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519BF8EB-44B9-48D3-9DFF-9B703DECF346}" xr6:coauthVersionLast="47" xr6:coauthVersionMax="47" xr10:uidLastSave="{00000000-0000-0000-0000-000000000000}"/>
  <bookViews>
    <workbookView xWindow="-120" yWindow="-120" windowWidth="29040" windowHeight="15720" tabRatio="906" firstSheet="11" activeTab="11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Budget - 2026" sheetId="109" r:id="rId5"/>
    <sheet name="Bottle Service Sales" sheetId="124" r:id="rId6"/>
    <sheet name="Summary - Avg Ck" sheetId="122" state="hidden" r:id="rId7"/>
    <sheet name="BTL service" sheetId="140" state="hidden" r:id="rId8"/>
    <sheet name="MILA 2F - Avg Ck" sheetId="134" state="hidden" r:id="rId9"/>
    <sheet name="Legend" sheetId="139" state="hidden" r:id="rId10"/>
    <sheet name="Dates" sheetId="35" state="hidden" r:id="rId11"/>
    <sheet name="RDG Weekly Sales" sheetId="103" r:id="rId12"/>
    <sheet name="MILA 3F - Avg Ck" sheetId="133" state="hidden" r:id="rId13"/>
    <sheet name="MILA Sales - 3F" sheetId="104" r:id="rId14"/>
    <sheet name="MILA Sales - 2F" sheetId="105" r:id="rId15"/>
    <sheet name="AVA WP Sales" sheetId="107" r:id="rId16"/>
    <sheet name="CASA NEOS Sales" sheetId="106" r:id="rId17"/>
    <sheet name="CN Lounge Sales" sheetId="141" r:id="rId18"/>
    <sheet name="CLAUDIE Sales" sheetId="108" r:id="rId19"/>
    <sheet name="AVA CG Sales" sheetId="120" r:id="rId20"/>
    <sheet name="Appendix" sheetId="60" r:id="rId21"/>
    <sheet name="MILA 3F - Overview" sheetId="115" r:id="rId22"/>
    <sheet name="MILA 2F - Overview" sheetId="119" r:id="rId23"/>
    <sheet name="AVA WP - Overview" sheetId="118" r:id="rId24"/>
    <sheet name="CASA NEOS Overview " sheetId="116" r:id="rId25"/>
    <sheet name="CASA NEOS LOUNGE - Overview" sheetId="142" r:id="rId26"/>
    <sheet name="CLAUDIE Overview" sheetId="117" r:id="rId27"/>
    <sheet name="AVA CG - Overview" sheetId="121" r:id="rId28"/>
    <sheet name="Sources--&gt;" sheetId="145" r:id="rId29"/>
    <sheet name="MILA 3F" sheetId="146" r:id="rId30"/>
    <sheet name="MILA II" sheetId="147" r:id="rId31"/>
    <sheet name="AVA WP" sheetId="152" r:id="rId32"/>
    <sheet name="CASA NEOS" sheetId="148" r:id="rId33"/>
    <sheet name="CLAUDIE" sheetId="149" r:id="rId34"/>
    <sheet name="AVA CG" sheetId="150" r:id="rId35"/>
    <sheet name="CN LOUNGE" sheetId="151" r:id="rId36"/>
    <sheet name="HONO Sales" sheetId="112" state="hidden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ExternalData_1" localSheetId="34" hidden="1">'AVA CG'!$A$1:$G$245</definedName>
    <definedName name="ExternalData_1" localSheetId="31" hidden="1">'AVA WP'!$A$1:$G$253</definedName>
    <definedName name="ExternalData_1" localSheetId="32" hidden="1">'CASA NEOS'!$A$1:$G$241</definedName>
    <definedName name="ExternalData_1" localSheetId="33" hidden="1">CLAUDIE!$A$1:$G$195</definedName>
    <definedName name="ExternalData_1" localSheetId="35" hidden="1">'CN LOUNGE'!$A$1:$G$142</definedName>
    <definedName name="ExternalData_1" localSheetId="29" hidden="1">'MILA 3F'!$A$1:$G$617</definedName>
    <definedName name="ExternalData_1" localSheetId="30" hidden="1">'MILA II'!$A$1:$G$181</definedName>
    <definedName name="ExternalData_2" localSheetId="34" hidden="1">'AVA CG'!$I$1:$O$71</definedName>
    <definedName name="ExternalData_2" localSheetId="31" hidden="1">'AVA WP'!$I$1:$O$73</definedName>
    <definedName name="ExternalData_2" localSheetId="32" hidden="1">'CASA NEOS'!$I$1:$O$131</definedName>
    <definedName name="ExternalData_2" localSheetId="33" hidden="1">CLAUDIE!$I$1:$O$571</definedName>
    <definedName name="ExternalData_2" localSheetId="35" hidden="1">'CN LOUNGE'!$I$1:$O$94</definedName>
    <definedName name="ExternalData_2" localSheetId="29" hidden="1">'MILA 3F'!$I$1:$O$94</definedName>
    <definedName name="ExternalData_2" localSheetId="30" hidden="1">'MILA II'!$I$1:$O$179</definedName>
    <definedName name="ExternalData_3" localSheetId="34" hidden="1">'AVA CG'!$Q$1:$AA$265</definedName>
    <definedName name="ExternalData_3" localSheetId="31" hidden="1">'AVA WP'!$Q$1:$W$170</definedName>
    <definedName name="ExternalData_3" localSheetId="32" hidden="1">'CASA NEOS'!$Q$1:$AA$289</definedName>
    <definedName name="ExternalData_3" localSheetId="33" hidden="1">CLAUDIE!$Q$1:$AA$259</definedName>
    <definedName name="ExternalData_3" localSheetId="35" hidden="1">'CN LOUNGE'!$Q$1:$AA$279</definedName>
    <definedName name="ExternalData_3" localSheetId="29" hidden="1">'MILA 3F'!$Q$1:$AA$348</definedName>
    <definedName name="ExternalData_3" localSheetId="30" hidden="1">'MILA II'!$Q$1:$W$193</definedName>
    <definedName name="ExternalData_4" localSheetId="31" hidden="1">'AVA WP'!$Y$1:$AI$241</definedName>
    <definedName name="ExternalData_4" localSheetId="30" hidden="1">'MILA II'!$Y$1:$AI$312</definedName>
    <definedName name="_xlnm.Print_Area" localSheetId="27">'AVA CG - Overview'!$D:$U</definedName>
    <definedName name="_xlnm.Print_Area" localSheetId="19">'AVA CG Sales'!$D$2:$P$29</definedName>
    <definedName name="_xlnm.Print_Area" localSheetId="23">'AVA WP - Overview'!$D:$U</definedName>
    <definedName name="_xlnm.Print_Area" localSheetId="15">'AVA WP Sales'!$D$2:$P$29</definedName>
    <definedName name="_xlnm.Print_Area" localSheetId="25">'CASA NEOS LOUNGE - Overview'!$D$2:$R$69</definedName>
    <definedName name="_xlnm.Print_Area" localSheetId="24">'CASA NEOS Overview '!$D:$R</definedName>
    <definedName name="_xlnm.Print_Area" localSheetId="16">'CASA NEOS Sales'!$D$2:$P$35</definedName>
    <definedName name="_xlnm.Print_Area" localSheetId="26">'CLAUDIE Overview'!$D:$R</definedName>
    <definedName name="_xlnm.Print_Area" localSheetId="18">'CLAUDIE Sales'!$D$2:$P$23</definedName>
    <definedName name="_xlnm.Print_Area" localSheetId="17">'CN Lounge Sales'!$D$2:$P$23</definedName>
    <definedName name="_xlnm.Print_Area" localSheetId="36">'HONO Sales'!$D$2:$P$21</definedName>
    <definedName name="_xlnm.Print_Area" localSheetId="22">'MILA 2F - Overview'!$D:$U</definedName>
    <definedName name="_xlnm.Print_Area" localSheetId="21">'MILA 3F - Overview'!$D:$R</definedName>
    <definedName name="_xlnm.Print_Area" localSheetId="14">'MILA Sales - 2F'!$D$2:$P$29</definedName>
    <definedName name="_xlnm.Print_Area" localSheetId="13">'MILA Sales - 3F'!$D$2:$P$23</definedName>
    <definedName name="_xlnm.Print_Area" localSheetId="0">'RDG Weekly'!$D$2:$AI$43</definedName>
    <definedName name="_xlnm.Print_Area" localSheetId="11">'RDG Weekly Sales'!$D$2:$P$53</definedName>
    <definedName name="_xlnm.Print_Area">#N/A</definedName>
    <definedName name="SERVER" localSheetId="27">#REF!</definedName>
    <definedName name="SERVER" localSheetId="19">#REF!</definedName>
    <definedName name="SERVER" localSheetId="23">#REF!</definedName>
    <definedName name="SERVER" localSheetId="15">#REF!</definedName>
    <definedName name="SERVER" localSheetId="24">#REF!</definedName>
    <definedName name="SERVER" localSheetId="16">#REF!</definedName>
    <definedName name="SERVER" localSheetId="26">#REF!</definedName>
    <definedName name="SERVER" localSheetId="18">#REF!</definedName>
    <definedName name="SERVER" localSheetId="36">#REF!</definedName>
    <definedName name="SERVER" localSheetId="22">#REF!</definedName>
    <definedName name="SERVER" localSheetId="21">#REF!</definedName>
    <definedName name="SERVER" localSheetId="14">#REF!</definedName>
    <definedName name="SERVER" localSheetId="13">#REF!</definedName>
    <definedName name="SERVER" localSheetId="0">#REF!</definedName>
    <definedName name="SERVER" localSheetId="11">#REF!</definedName>
    <definedName name="SERVER">'[1]2017 Forecast'!$E$19</definedName>
    <definedName name="spec" localSheetId="27">#REF!</definedName>
    <definedName name="spec" localSheetId="19">#REF!</definedName>
    <definedName name="spec" localSheetId="23">#REF!</definedName>
    <definedName name="spec" localSheetId="15">#REF!</definedName>
    <definedName name="spec" localSheetId="24">#REF!</definedName>
    <definedName name="spec" localSheetId="16">#REF!</definedName>
    <definedName name="spec" localSheetId="26">#REF!</definedName>
    <definedName name="spec" localSheetId="18">#REF!</definedName>
    <definedName name="spec" localSheetId="10">[2]Montreal!#REF!</definedName>
    <definedName name="spec" localSheetId="36">#REF!</definedName>
    <definedName name="spec" localSheetId="22">#REF!</definedName>
    <definedName name="spec" localSheetId="21">#REF!</definedName>
    <definedName name="spec" localSheetId="14">#REF!</definedName>
    <definedName name="spec" localSheetId="13">#REF!</definedName>
    <definedName name="spec" localSheetId="0">#REF!</definedName>
    <definedName name="spec" localSheetId="11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0" i="110" l="1" a="1"/>
  <c r="AC40" i="110" a="1"/>
  <c r="AO40" i="110" a="1"/>
  <c r="AF40" i="110"/>
  <c r="CI40" i="110"/>
  <c r="CH40" i="110"/>
  <c r="CJ40" i="110" s="1"/>
  <c r="CG40" i="110"/>
  <c r="CD40" i="110"/>
  <c r="CA40" i="110"/>
  <c r="BS40" i="110"/>
  <c r="BP40" i="110"/>
  <c r="BL40" i="110"/>
  <c r="BG40" i="110"/>
  <c r="BD40" i="110"/>
  <c r="AX40" i="110" a="1"/>
  <c r="AU40" i="110" a="1"/>
  <c r="AM40" i="110" a="1"/>
  <c r="AL40" i="110" a="1"/>
  <c r="T40" i="110" a="1"/>
  <c r="Q40" i="110" a="1"/>
  <c r="N40" i="110" a="1"/>
  <c r="H40" i="110" a="1"/>
  <c r="E40" i="110" a="1"/>
  <c r="L251" i="143"/>
  <c r="L252" i="143"/>
  <c r="L253" i="143"/>
  <c r="L254" i="143"/>
  <c r="L255" i="143"/>
  <c r="L256" i="143"/>
  <c r="L257" i="143"/>
  <c r="M257" i="143" s="1"/>
  <c r="N257" i="143" a="1"/>
  <c r="AF39" i="110"/>
  <c r="AO39" i="110" a="1"/>
  <c r="BD39" i="110"/>
  <c r="Z39" i="110" a="1"/>
  <c r="BS39" i="110"/>
  <c r="BP39" i="110"/>
  <c r="BL39" i="110"/>
  <c r="BG39" i="110"/>
  <c r="AX39" i="110" a="1"/>
  <c r="AU39" i="110" a="1"/>
  <c r="AL39" i="110" a="1"/>
  <c r="AC39" i="110" a="1"/>
  <c r="T39" i="110" a="1"/>
  <c r="Q39" i="110" a="1"/>
  <c r="N39" i="110" a="1"/>
  <c r="H39" i="110" a="1"/>
  <c r="E39" i="110" a="1"/>
  <c r="D1" i="103"/>
  <c r="D1" i="108" s="1"/>
  <c r="G22" i="108" s="1"/>
  <c r="L244" i="143"/>
  <c r="L245" i="143"/>
  <c r="L246" i="143"/>
  <c r="L247" i="143"/>
  <c r="L248" i="143"/>
  <c r="L249" i="143"/>
  <c r="L250" i="143"/>
  <c r="Z38" i="110" a="1"/>
  <c r="BD38" i="110"/>
  <c r="BM38" i="110" s="1"/>
  <c r="BS38" i="110"/>
  <c r="BP38" i="110"/>
  <c r="BG38" i="110"/>
  <c r="AX38" i="110" a="1"/>
  <c r="AU38" i="110" a="1"/>
  <c r="AO38" i="110" a="1"/>
  <c r="AL38" i="110" a="1"/>
  <c r="AF38" i="110"/>
  <c r="AC38" i="110" a="1"/>
  <c r="T38" i="110" a="1"/>
  <c r="Q38" i="110" a="1"/>
  <c r="N38" i="110" a="1"/>
  <c r="H38" i="110" a="1"/>
  <c r="E38" i="110" a="1"/>
  <c r="E8" i="144" a="1"/>
  <c r="BL38" i="110"/>
  <c r="BH38" i="110" a="1"/>
  <c r="BE38" i="110" a="1"/>
  <c r="AV38" i="110" a="1"/>
  <c r="AP38" i="110" a="1"/>
  <c r="AM38" i="110" a="1"/>
  <c r="L237" i="143"/>
  <c r="L238" i="143"/>
  <c r="L239" i="143"/>
  <c r="L240" i="143"/>
  <c r="L241" i="143"/>
  <c r="L242" i="143"/>
  <c r="L243" i="143"/>
  <c r="BS37" i="110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M224" i="143" s="1"/>
  <c r="L225" i="143"/>
  <c r="L226" i="143"/>
  <c r="L227" i="143"/>
  <c r="L228" i="143"/>
  <c r="L229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M216" i="143" s="1"/>
  <c r="L217" i="143"/>
  <c r="L218" i="143"/>
  <c r="L219" i="143"/>
  <c r="L220" i="143"/>
  <c r="L221" i="143"/>
  <c r="L222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L195" i="143"/>
  <c r="L196" i="143"/>
  <c r="L197" i="143"/>
  <c r="L198" i="143"/>
  <c r="L199" i="143"/>
  <c r="L200" i="143"/>
  <c r="L201" i="143"/>
  <c r="L30" i="110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BV38" i="110" l="1"/>
  <c r="AN40" i="110"/>
  <c r="BV40" i="110"/>
  <c r="BM40" i="110"/>
  <c r="BA40" i="110"/>
  <c r="AR40" i="110"/>
  <c r="AI40" i="110"/>
  <c r="W40" i="110"/>
  <c r="K40" i="110"/>
  <c r="M251" i="143"/>
  <c r="N251" i="143" a="1"/>
  <c r="M252" i="143"/>
  <c r="N252" i="143" a="1"/>
  <c r="M253" i="143"/>
  <c r="N253" i="143" a="1"/>
  <c r="M254" i="143"/>
  <c r="N254" i="143" a="1"/>
  <c r="M255" i="143"/>
  <c r="N255" i="143" a="1"/>
  <c r="N256" i="143" a="1"/>
  <c r="M256" i="143"/>
  <c r="AR38" i="110"/>
  <c r="W38" i="110"/>
  <c r="BV39" i="110"/>
  <c r="BM39" i="110"/>
  <c r="BA39" i="110"/>
  <c r="AR39" i="110"/>
  <c r="AI39" i="110"/>
  <c r="W39" i="110"/>
  <c r="K39" i="110"/>
  <c r="M244" i="143"/>
  <c r="N244" i="143" a="1"/>
  <c r="N245" i="143" a="1"/>
  <c r="M245" i="143"/>
  <c r="M246" i="143"/>
  <c r="N246" i="143" a="1"/>
  <c r="M247" i="143"/>
  <c r="N247" i="143" a="1"/>
  <c r="M248" i="143"/>
  <c r="N248" i="143" a="1"/>
  <c r="M249" i="143"/>
  <c r="N249" i="143" a="1"/>
  <c r="M250" i="143"/>
  <c r="N250" i="143" a="1"/>
  <c r="F22" i="108"/>
  <c r="H22" i="108" s="1"/>
  <c r="BA38" i="110"/>
  <c r="AI38" i="110"/>
  <c r="K38" i="110"/>
  <c r="M237" i="143"/>
  <c r="M238" i="143"/>
  <c r="M239" i="143"/>
  <c r="M240" i="143"/>
  <c r="M241" i="143"/>
  <c r="M242" i="143"/>
  <c r="M243" i="143"/>
  <c r="M230" i="143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F29" i="110"/>
  <c r="BS29" i="110"/>
  <c r="BP29" i="110"/>
  <c r="BD29" i="110"/>
  <c r="AX29" i="110"/>
  <c r="AO29" i="110"/>
  <c r="AF29" i="110"/>
  <c r="Z29" i="110"/>
  <c r="T29" i="110"/>
  <c r="Q29" i="110"/>
  <c r="E29" i="110"/>
  <c r="D7" i="144" l="1"/>
  <c r="T28" i="110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F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F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F26" i="110"/>
  <c r="L26" i="110" s="1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F25" i="110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F24" i="110"/>
  <c r="BF24" i="110" l="1"/>
  <c r="L139" i="143" l="1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F23" i="110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F22" i="110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F21" i="110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F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F19" i="110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F18" i="110"/>
  <c r="BH17" i="110"/>
  <c r="BE17" i="110" s="1"/>
  <c r="AV17" i="110"/>
  <c r="AY17" i="110" s="1"/>
  <c r="AM17" i="110"/>
  <c r="AP17" i="110" s="1"/>
  <c r="AD17" i="110"/>
  <c r="AA17" i="110" s="1"/>
  <c r="F17" i="110"/>
  <c r="BV56" i="110"/>
  <c r="BV55" i="110"/>
  <c r="BV54" i="110"/>
  <c r="BV53" i="110"/>
  <c r="BV52" i="110"/>
  <c r="BV51" i="110"/>
  <c r="BV50" i="110"/>
  <c r="BV49" i="110"/>
  <c r="BV48" i="110"/>
  <c r="BV47" i="110"/>
  <c r="BV46" i="110"/>
  <c r="BV45" i="110"/>
  <c r="BV44" i="110"/>
  <c r="BV43" i="110"/>
  <c r="BV42" i="110"/>
  <c r="BV41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F22" i="142" s="1"/>
  <c r="K22" i="142" s="1"/>
  <c r="AA16" i="110"/>
  <c r="F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F15" i="110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F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6" i="110"/>
  <c r="CH46" i="110"/>
  <c r="CG46" i="110"/>
  <c r="CD46" i="110"/>
  <c r="CA46" i="110"/>
  <c r="CI45" i="110"/>
  <c r="CH45" i="110"/>
  <c r="CG45" i="110"/>
  <c r="CD45" i="110"/>
  <c r="CA45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46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45" i="110"/>
  <c r="CJ22" i="110"/>
  <c r="CJ44" i="110"/>
  <c r="CJ51" i="110"/>
  <c r="CJ49" i="110"/>
  <c r="CJ30" i="110"/>
  <c r="CJ26" i="110"/>
  <c r="CJ24" i="110"/>
  <c r="CJ48" i="110"/>
  <c r="CJ16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D12" i="143" l="1"/>
  <c r="E12" i="143" s="1"/>
  <c r="D13" i="143" s="1"/>
  <c r="E13" i="143" s="1"/>
  <c r="D14" i="143" s="1"/>
  <c r="E14" i="143" s="1"/>
  <c r="D15" i="143" s="1"/>
  <c r="E15" i="143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F13" i="110"/>
  <c r="L13" i="110" s="1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46" i="110"/>
  <c r="BX46" i="110" s="1"/>
  <c r="BU46" i="110"/>
  <c r="BR46" i="110"/>
  <c r="BW45" i="110"/>
  <c r="BX45" i="110" s="1"/>
  <c r="BU45" i="110"/>
  <c r="BR45" i="110"/>
  <c r="BW44" i="110"/>
  <c r="BX44" i="110" s="1"/>
  <c r="BU44" i="110"/>
  <c r="BR44" i="110"/>
  <c r="BW43" i="110"/>
  <c r="BX43" i="110" s="1"/>
  <c r="BU43" i="110"/>
  <c r="BR43" i="110"/>
  <c r="BW42" i="110"/>
  <c r="BX42" i="110" s="1"/>
  <c r="BU42" i="110"/>
  <c r="BR42" i="110"/>
  <c r="BW41" i="110"/>
  <c r="BX41" i="110" s="1"/>
  <c r="BU41" i="110"/>
  <c r="BR41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X26" i="110" s="1"/>
  <c r="BU26" i="110"/>
  <c r="BR26" i="110"/>
  <c r="BW25" i="110"/>
  <c r="BX25" i="110" s="1"/>
  <c r="BU25" i="110"/>
  <c r="BR25" i="110"/>
  <c r="BW24" i="110"/>
  <c r="BX24" i="110" s="1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F12" i="110"/>
  <c r="L12" i="110" s="1"/>
  <c r="D16" i="143" l="1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K12" i="110"/>
  <c r="M12" i="110" s="1"/>
  <c r="BA12" i="110"/>
  <c r="BC12" i="110" s="1"/>
  <c r="G40" i="103"/>
  <c r="F40" i="103"/>
  <c r="E16" i="143" l="1"/>
  <c r="D17" i="143" s="1"/>
  <c r="E17" i="143" s="1"/>
  <c r="D18" i="143" s="1"/>
  <c r="E18" i="143" s="1"/>
  <c r="D19" i="143" s="1"/>
  <c r="E19" i="143" s="1"/>
  <c r="D20" i="143" s="1"/>
  <c r="E20" i="143" s="1"/>
  <c r="D21" i="143" s="1"/>
  <c r="AT12" i="110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E21" i="143" l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G15" i="142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F11" i="110"/>
  <c r="AM11" i="110"/>
  <c r="AP11" i="110" s="1"/>
  <c r="AO11" i="110"/>
  <c r="E11" i="110"/>
  <c r="E33" i="143" l="1"/>
  <c r="D34" i="143" s="1"/>
  <c r="E34" i="143" s="1"/>
  <c r="D35" i="143" s="1"/>
  <c r="E35" i="143" s="1"/>
  <c r="D36" i="143" s="1"/>
  <c r="E36" i="143" s="1"/>
  <c r="S11" i="110"/>
  <c r="BD11" i="110"/>
  <c r="P13" i="121" s="1"/>
  <c r="AF11" i="110"/>
  <c r="Z11" i="110"/>
  <c r="D37" i="143" l="1"/>
  <c r="N123" i="143" a="1"/>
  <c r="N136" i="143" a="1"/>
  <c r="N75" i="143" a="1"/>
  <c r="N225" i="143" a="1"/>
  <c r="N177" i="143" a="1"/>
  <c r="N189" i="143" a="1"/>
  <c r="N179" i="143" a="1"/>
  <c r="N203" i="143" a="1"/>
  <c r="N227" i="143" a="1"/>
  <c r="N240" i="143" a="1"/>
  <c r="N199" i="143" a="1"/>
  <c r="N137" i="143" a="1"/>
  <c r="N218" i="143" a="1"/>
  <c r="N7" i="143" a="1"/>
  <c r="N76" i="143" a="1"/>
  <c r="N187" i="143" a="1"/>
  <c r="N237" i="143" a="1"/>
  <c r="N38" i="143" a="1"/>
  <c r="N113" i="143" a="1"/>
  <c r="N73" i="143" a="1"/>
  <c r="N8" i="143" a="1"/>
  <c r="N167" i="143" a="1"/>
  <c r="N241" i="143" a="1"/>
  <c r="N60" i="143" a="1"/>
  <c r="N165" i="143" a="1"/>
  <c r="N100" i="143" a="1"/>
  <c r="N126" i="143" a="1"/>
  <c r="N226" i="143" a="1"/>
  <c r="N142" i="143" a="1"/>
  <c r="N74" i="143" a="1"/>
  <c r="N62" i="143" a="1"/>
  <c r="N105" i="143" a="1"/>
  <c r="N160" i="143" a="1"/>
  <c r="N197" i="143" a="1"/>
  <c r="N99" i="143" a="1"/>
  <c r="N23" i="143" a="1"/>
  <c r="N84" i="143" a="1"/>
  <c r="N81" i="143" a="1"/>
  <c r="N132" i="143" a="1"/>
  <c r="N12" i="143" a="1"/>
  <c r="N25" i="143" a="1"/>
  <c r="N39" i="143" a="1"/>
  <c r="N27" i="143" a="1"/>
  <c r="N124" i="143" a="1"/>
  <c r="N93" i="143" a="1"/>
  <c r="N42" i="143" a="1"/>
  <c r="N36" i="143" a="1"/>
  <c r="N72" i="143" a="1"/>
  <c r="N94" i="143" a="1"/>
  <c r="N219" i="143" a="1"/>
  <c r="N208" i="143" a="1"/>
  <c r="N46" i="143" a="1"/>
  <c r="N238" i="143" a="1"/>
  <c r="N80" i="143" a="1"/>
  <c r="N15" i="143" a="1"/>
  <c r="N26" i="143" a="1"/>
  <c r="N88" i="143" a="1"/>
  <c r="N143" i="143" a="1"/>
  <c r="N53" i="143" a="1"/>
  <c r="N59" i="143" a="1"/>
  <c r="N215" i="143" a="1"/>
  <c r="N213" i="143" a="1"/>
  <c r="N172" i="143" a="1"/>
  <c r="N214" i="143" a="1"/>
  <c r="N163" i="143" a="1"/>
  <c r="N228" i="143" a="1"/>
  <c r="N176" i="143" a="1"/>
  <c r="N169" i="143" a="1"/>
  <c r="N239" i="143" a="1"/>
  <c r="N243" i="143" a="1"/>
  <c r="N220" i="143" a="1"/>
  <c r="N145" i="143" a="1"/>
  <c r="N166" i="143" a="1"/>
  <c r="N149" i="143" a="1"/>
  <c r="N31" i="143" a="1"/>
  <c r="N85" i="143" a="1"/>
  <c r="N70" i="143" a="1"/>
  <c r="N67" i="143" a="1"/>
  <c r="N182" i="143" a="1"/>
  <c r="N116" i="143" a="1"/>
  <c r="N101" i="143" a="1"/>
  <c r="N158" i="143" a="1"/>
  <c r="N221" i="143" a="1"/>
  <c r="N209" i="143" a="1"/>
  <c r="N186" i="143" a="1"/>
  <c r="N217" i="143" a="1"/>
  <c r="N202" i="143" a="1"/>
  <c r="N168" i="143" a="1"/>
  <c r="N164" i="143" a="1"/>
  <c r="N196" i="143" a="1"/>
  <c r="N204" i="143" a="1"/>
  <c r="N201" i="143" a="1"/>
  <c r="N47" i="143" a="1"/>
  <c r="N68" i="143" a="1"/>
  <c r="N50" i="143" a="1"/>
  <c r="N193" i="143" a="1"/>
  <c r="N223" i="143" a="1"/>
  <c r="N180" i="143" a="1"/>
  <c r="N206" i="143" a="1"/>
  <c r="N78" i="143" a="1"/>
  <c r="N79" i="143" a="1"/>
  <c r="N185" i="143" a="1"/>
  <c r="N184" i="143" a="1"/>
  <c r="N82" i="143" a="1"/>
  <c r="N9" i="143" a="1"/>
  <c r="N65" i="143" a="1"/>
  <c r="N108" i="143" a="1"/>
  <c r="N66" i="143" a="1"/>
  <c r="N115" i="143" a="1"/>
  <c r="N159" i="143" a="1"/>
  <c r="N224" i="143" a="1"/>
  <c r="N19" i="143" a="1"/>
  <c r="N58" i="143" a="1"/>
  <c r="N41" i="143" a="1"/>
  <c r="N104" i="143" a="1"/>
  <c r="N178" i="143" a="1"/>
  <c r="N207" i="143" a="1"/>
  <c r="N171" i="143" a="1"/>
  <c r="N222" i="143" a="1"/>
  <c r="N77" i="143" a="1"/>
  <c r="N87" i="143" a="1"/>
  <c r="N56" i="143" a="1"/>
  <c r="N16" i="143" a="1"/>
  <c r="P22" i="120"/>
  <c r="L22" i="120"/>
  <c r="P16" i="120"/>
  <c r="L16" i="120"/>
  <c r="H16" i="120"/>
  <c r="P10" i="120"/>
  <c r="L10" i="120"/>
  <c r="H22" i="120"/>
  <c r="H10" i="120"/>
  <c r="E37" i="143" l="1"/>
  <c r="D38" i="143" s="1"/>
  <c r="N110" i="143" a="1"/>
  <c r="N155" i="143" a="1"/>
  <c r="N181" i="143" a="1"/>
  <c r="N98" i="143" a="1"/>
  <c r="N118" i="143" a="1"/>
  <c r="N30" i="143" a="1"/>
  <c r="N129" i="143" a="1"/>
  <c r="N29" i="143" a="1"/>
  <c r="N69" i="143" a="1"/>
  <c r="N37" i="143" a="1"/>
  <c r="N170" i="143" a="1"/>
  <c r="N161" i="143" a="1"/>
  <c r="N6" i="143" a="1"/>
  <c r="N92" i="143" a="1"/>
  <c r="N122" i="143" a="1"/>
  <c r="N242" i="143" a="1"/>
  <c r="N156" i="143" a="1"/>
  <c r="N230" i="143" a="1"/>
  <c r="N162" i="143" a="1"/>
  <c r="N91" i="143" a="1"/>
  <c r="N21" i="143" a="1"/>
  <c r="N111" i="143" a="1"/>
  <c r="N112" i="143" a="1"/>
  <c r="N216" i="143" a="1"/>
  <c r="N119" i="143" a="1"/>
  <c r="N54" i="143" a="1"/>
  <c r="N89" i="143" a="1"/>
  <c r="N103" i="143" a="1"/>
  <c r="N35" i="143" a="1"/>
  <c r="N133" i="143" a="1"/>
  <c r="N144" i="143" a="1"/>
  <c r="N141" i="143" a="1"/>
  <c r="N14" i="143" a="1"/>
  <c r="N32" i="143" a="1"/>
  <c r="N61" i="143" a="1"/>
  <c r="N107" i="143" a="1"/>
  <c r="N174" i="143" a="1"/>
  <c r="N135" i="143" a="1"/>
  <c r="N97" i="143" a="1"/>
  <c r="N11" i="143" a="1"/>
  <c r="N147" i="143" a="1"/>
  <c r="N192" i="143" a="1"/>
  <c r="N211" i="143" a="1"/>
  <c r="N195" i="143" a="1"/>
  <c r="N117" i="143" a="1"/>
  <c r="N114" i="143" a="1"/>
  <c r="N154" i="143" a="1"/>
  <c r="N17" i="143" a="1"/>
  <c r="N153" i="143" a="1"/>
  <c r="N86" i="143" a="1"/>
  <c r="N125" i="143" a="1"/>
  <c r="N10" i="143" a="1"/>
  <c r="N57" i="143" a="1"/>
  <c r="N34" i="143" a="1"/>
  <c r="N96" i="143" a="1"/>
  <c r="N157" i="143" a="1"/>
  <c r="N210" i="143" a="1"/>
  <c r="N234" i="143" a="1"/>
  <c r="N233" i="143" a="1"/>
  <c r="N236" i="143" a="1"/>
  <c r="N235" i="143" a="1"/>
  <c r="N138" i="143" a="1"/>
  <c r="N45" i="143" a="1"/>
  <c r="N131" i="143" a="1"/>
  <c r="N64" i="143" a="1"/>
  <c r="N33" i="143" a="1"/>
  <c r="N102" i="143" a="1"/>
  <c r="N55" i="143" a="1"/>
  <c r="N63" i="143" a="1"/>
  <c r="N175" i="143" a="1"/>
  <c r="N191" i="143" a="1"/>
  <c r="N48" i="143" a="1"/>
  <c r="N134" i="143" a="1"/>
  <c r="N194" i="143" a="1"/>
  <c r="N40" i="143" a="1"/>
  <c r="N18" i="143" a="1"/>
  <c r="N90" i="143" a="1"/>
  <c r="N150" i="143" a="1"/>
  <c r="N212" i="143" a="1"/>
  <c r="N95" i="143" a="1"/>
  <c r="N43" i="143" a="1"/>
  <c r="N128" i="143" a="1"/>
  <c r="N146" i="143" a="1"/>
  <c r="N232" i="143" a="1"/>
  <c r="N83" i="143" a="1"/>
  <c r="N231" i="143" a="1"/>
  <c r="N188" i="143" a="1"/>
  <c r="N106" i="143" a="1"/>
  <c r="N22" i="143" a="1"/>
  <c r="N28" i="143" a="1"/>
  <c r="N24" i="143" a="1"/>
  <c r="N148" i="143" a="1"/>
  <c r="N229" i="143" a="1"/>
  <c r="N127" i="143" a="1"/>
  <c r="N121" i="143" a="1"/>
  <c r="N139" i="143" a="1"/>
  <c r="N52" i="143" a="1"/>
  <c r="N183" i="143" a="1"/>
  <c r="N51" i="143" a="1"/>
  <c r="N49" i="143" a="1"/>
  <c r="N44" i="143" a="1"/>
  <c r="N151" i="143" a="1"/>
  <c r="N13" i="143" a="1"/>
  <c r="N130" i="143" a="1"/>
  <c r="N120" i="143" a="1"/>
  <c r="N190" i="143" a="1"/>
  <c r="N20" i="143" a="1"/>
  <c r="N152" i="143" a="1"/>
  <c r="N198" i="143" a="1"/>
  <c r="N200" i="143" a="1"/>
  <c r="AG10" i="110"/>
  <c r="U10" i="110"/>
  <c r="R10" i="110"/>
  <c r="F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46" i="110"/>
  <c r="BL45" i="110"/>
  <c r="BL44" i="110"/>
  <c r="BL43" i="110"/>
  <c r="BL42" i="110"/>
  <c r="BL41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46" i="110"/>
  <c r="BI45" i="110"/>
  <c r="BI44" i="110"/>
  <c r="BI43" i="110"/>
  <c r="BI42" i="110"/>
  <c r="BI41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46" i="110"/>
  <c r="BF45" i="110"/>
  <c r="BF44" i="110"/>
  <c r="BF43" i="110"/>
  <c r="BF42" i="110"/>
  <c r="BF41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46" i="110"/>
  <c r="AZ45" i="110"/>
  <c r="AZ44" i="110"/>
  <c r="AZ43" i="110"/>
  <c r="AZ42" i="110"/>
  <c r="AZ41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46" i="110"/>
  <c r="AQ45" i="110"/>
  <c r="AQ44" i="110"/>
  <c r="AQ43" i="110"/>
  <c r="AQ42" i="110"/>
  <c r="AQ41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46" i="110"/>
  <c r="AN45" i="110"/>
  <c r="AN44" i="110"/>
  <c r="AN43" i="110"/>
  <c r="AN42" i="110"/>
  <c r="AN41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46" i="110"/>
  <c r="AH45" i="110"/>
  <c r="AH44" i="110"/>
  <c r="AH43" i="110"/>
  <c r="AH42" i="110"/>
  <c r="AH41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46" i="110"/>
  <c r="AE45" i="110"/>
  <c r="AE44" i="110"/>
  <c r="AE43" i="110"/>
  <c r="AE42" i="110"/>
  <c r="AE41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46" i="110"/>
  <c r="AB45" i="110"/>
  <c r="AB44" i="110"/>
  <c r="AB43" i="110"/>
  <c r="AB42" i="110"/>
  <c r="AB41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46" i="110"/>
  <c r="V45" i="110"/>
  <c r="V44" i="110"/>
  <c r="V43" i="110"/>
  <c r="V42" i="110"/>
  <c r="V41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46" i="110"/>
  <c r="S45" i="110"/>
  <c r="S44" i="110"/>
  <c r="S43" i="110"/>
  <c r="S42" i="110"/>
  <c r="S41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46" i="110"/>
  <c r="P45" i="110"/>
  <c r="P44" i="110"/>
  <c r="P43" i="110"/>
  <c r="P42" i="110"/>
  <c r="P41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46" i="110"/>
  <c r="J45" i="110"/>
  <c r="J44" i="110"/>
  <c r="J43" i="110"/>
  <c r="J42" i="110"/>
  <c r="J41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46" i="110"/>
  <c r="G45" i="110"/>
  <c r="G44" i="110"/>
  <c r="G43" i="110"/>
  <c r="G42" i="110"/>
  <c r="G41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N173" i="143" l="1" a="1"/>
  <c r="E38" i="143"/>
  <c r="D39" i="143" s="1"/>
  <c r="AH10" i="110"/>
  <c r="AA10" i="110"/>
  <c r="AB10" i="110" s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N140" i="143" l="1" a="1"/>
  <c r="E39" i="143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G26" i="120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F9" i="110"/>
  <c r="T9" i="110"/>
  <c r="Q9" i="110"/>
  <c r="E9" i="110"/>
  <c r="BD9" i="110"/>
  <c r="AF9" i="110"/>
  <c r="Z9" i="110"/>
  <c r="AG8" i="110"/>
  <c r="U8" i="110"/>
  <c r="R8" i="110"/>
  <c r="N109" i="143" l="1" a="1"/>
  <c r="E50" i="143"/>
  <c r="D51" i="143" s="1"/>
  <c r="G9" i="110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N71" i="143" l="1" a="1"/>
  <c r="E51" i="143"/>
  <c r="D52" i="143" s="1"/>
  <c r="E52" i="143" s="1"/>
  <c r="D53" i="143" s="1"/>
  <c r="E53" i="143" s="1"/>
  <c r="D54" i="143" s="1"/>
  <c r="E54" i="143" s="1"/>
  <c r="D55" i="143" s="1"/>
  <c r="E55" i="143" s="1"/>
  <c r="D56" i="143" s="1"/>
  <c r="AP8" i="110"/>
  <c r="AQ8" i="110" s="1"/>
  <c r="AA8" i="110"/>
  <c r="AB8" i="110" s="1"/>
  <c r="P9" i="121"/>
  <c r="F8" i="110"/>
  <c r="G8" i="110" s="1"/>
  <c r="J8" i="110"/>
  <c r="BE8" i="110"/>
  <c r="BF8" i="110" s="1"/>
  <c r="U7" i="110"/>
  <c r="R7" i="110"/>
  <c r="BH7" i="110"/>
  <c r="BI7" i="110" s="1"/>
  <c r="AM7" i="110"/>
  <c r="AD7" i="110"/>
  <c r="AE7" i="110" s="1"/>
  <c r="F7" i="110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F6" i="110"/>
  <c r="AM6" i="110"/>
  <c r="AD6" i="110"/>
  <c r="BH6" i="110"/>
  <c r="BD6" i="110"/>
  <c r="N205" i="143" l="1" a="1"/>
  <c r="E56" i="143"/>
  <c r="D57" i="143" s="1"/>
  <c r="E57" i="143" s="1"/>
  <c r="AA7" i="110"/>
  <c r="AB7" i="110" s="1"/>
  <c r="G7" i="110"/>
  <c r="BE6" i="110"/>
  <c r="BF6" i="110" s="1"/>
  <c r="BI6" i="110"/>
  <c r="V7" i="110"/>
  <c r="BE5" i="110"/>
  <c r="BF5" i="110" s="1"/>
  <c r="BI5" i="110"/>
  <c r="P7" i="121"/>
  <c r="P8" i="121"/>
  <c r="AA6" i="110"/>
  <c r="AE6" i="110"/>
  <c r="AP6" i="110"/>
  <c r="AN6" i="110"/>
  <c r="S7" i="110"/>
  <c r="G6" i="110"/>
  <c r="AP7" i="110"/>
  <c r="AQ7" i="110" s="1"/>
  <c r="AN7" i="110"/>
  <c r="V6" i="110"/>
  <c r="BE7" i="110"/>
  <c r="BF7" i="110" s="1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F5" i="110"/>
  <c r="T5" i="110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V5" i="110" l="1"/>
  <c r="S5" i="110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L44" i="110"/>
  <c r="H10" i="108" l="1"/>
  <c r="BA45" i="110"/>
  <c r="K44" i="110" l="1"/>
  <c r="M44" i="110" s="1"/>
  <c r="F4" i="104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N46" i="110"/>
  <c r="BM46" i="110"/>
  <c r="BN45" i="110"/>
  <c r="BM45" i="110"/>
  <c r="BN44" i="110"/>
  <c r="BM44" i="110"/>
  <c r="BN43" i="110"/>
  <c r="BM43" i="110"/>
  <c r="BN42" i="110"/>
  <c r="BM42" i="110"/>
  <c r="BN41" i="110"/>
  <c r="BM41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BM26" i="110"/>
  <c r="BN25" i="110"/>
  <c r="BM25" i="110"/>
  <c r="BN24" i="110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BO44" i="110"/>
  <c r="F33" i="121"/>
  <c r="BO27" i="110"/>
  <c r="F30" i="121"/>
  <c r="BO25" i="110"/>
  <c r="F64" i="121"/>
  <c r="BO52" i="110"/>
  <c r="F50" i="121"/>
  <c r="BO41" i="110"/>
  <c r="F46" i="121"/>
  <c r="F55" i="121"/>
  <c r="BO45" i="110"/>
  <c r="F32" i="121"/>
  <c r="BO26" i="110"/>
  <c r="F56" i="121"/>
  <c r="BO46" i="110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BO42" i="110"/>
  <c r="F66" i="121"/>
  <c r="BO54" i="110"/>
  <c r="F11" i="121"/>
  <c r="BO9" i="110"/>
  <c r="F28" i="121"/>
  <c r="BO23" i="110"/>
  <c r="F35" i="121"/>
  <c r="BO29" i="110"/>
  <c r="F44" i="121"/>
  <c r="F52" i="121"/>
  <c r="BO43" i="110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2" i="110"/>
  <c r="F43" i="103" s="1"/>
  <c r="G23" i="120"/>
  <c r="F4" i="120"/>
  <c r="F1" i="120"/>
  <c r="D4" i="120"/>
  <c r="F39" i="121" l="1"/>
  <c r="BO32" i="110"/>
  <c r="F48" i="121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B58" i="122" l="1"/>
  <c r="AA58" i="122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46" i="110"/>
  <c r="AW45" i="110"/>
  <c r="AW44" i="110"/>
  <c r="AW43" i="110"/>
  <c r="AW42" i="110"/>
  <c r="AW41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B46" i="110"/>
  <c r="BA46" i="110"/>
  <c r="BB45" i="110"/>
  <c r="BC45" i="110" s="1"/>
  <c r="BB44" i="110"/>
  <c r="BA44" i="110"/>
  <c r="BB43" i="110"/>
  <c r="BA43" i="110"/>
  <c r="BB42" i="110"/>
  <c r="BA42" i="110"/>
  <c r="BB41" i="110"/>
  <c r="BA41" i="110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46" i="110"/>
  <c r="BC55" i="110"/>
  <c r="BC44" i="110"/>
  <c r="BC7" i="110"/>
  <c r="BC15" i="110"/>
  <c r="BC21" i="110"/>
  <c r="BC56" i="110"/>
  <c r="BC5" i="110"/>
  <c r="BC9" i="110"/>
  <c r="BC42" i="110"/>
  <c r="BC10" i="110"/>
  <c r="BC43" i="110"/>
  <c r="BC27" i="110"/>
  <c r="BC8" i="110"/>
  <c r="BC16" i="110"/>
  <c r="BC41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S46" i="110"/>
  <c r="AR46" i="110"/>
  <c r="AS45" i="110"/>
  <c r="AR45" i="110"/>
  <c r="AS44" i="110"/>
  <c r="AR44" i="110"/>
  <c r="AS43" i="110"/>
  <c r="AR43" i="110"/>
  <c r="AS42" i="110"/>
  <c r="AR42" i="110"/>
  <c r="AS41" i="110"/>
  <c r="AR41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AR26" i="110"/>
  <c r="AS25" i="110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43" i="110"/>
  <c r="AT45" i="110"/>
  <c r="AT8" i="110"/>
  <c r="AT42" i="110"/>
  <c r="AT19" i="110"/>
  <c r="AT31" i="110"/>
  <c r="AT44" i="110"/>
  <c r="AT27" i="110"/>
  <c r="AT26" i="110"/>
  <c r="AT25" i="110"/>
  <c r="AT23" i="110"/>
  <c r="AT29" i="110"/>
  <c r="AT34" i="110"/>
  <c r="AT46" i="110"/>
  <c r="AT52" i="110"/>
  <c r="AT21" i="110"/>
  <c r="AT35" i="110"/>
  <c r="AT41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J46" i="110"/>
  <c r="AI46" i="110"/>
  <c r="AJ45" i="110"/>
  <c r="AI45" i="110"/>
  <c r="AJ44" i="110"/>
  <c r="AI44" i="110"/>
  <c r="AJ43" i="110"/>
  <c r="AI43" i="110"/>
  <c r="AJ42" i="110"/>
  <c r="AI42" i="110"/>
  <c r="AJ41" i="110"/>
  <c r="AI41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AI26" i="110"/>
  <c r="AJ25" i="110"/>
  <c r="AI25" i="110"/>
  <c r="AJ24" i="110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J5" i="110"/>
  <c r="AI5" i="110"/>
  <c r="AK32" i="110" l="1"/>
  <c r="AK50" i="110"/>
  <c r="AK28" i="110"/>
  <c r="AK34" i="110"/>
  <c r="AK46" i="110"/>
  <c r="AK6" i="110"/>
  <c r="AK52" i="110"/>
  <c r="AK29" i="110"/>
  <c r="AK35" i="110"/>
  <c r="AK27" i="110"/>
  <c r="AK33" i="110"/>
  <c r="AK45" i="110"/>
  <c r="AK51" i="110"/>
  <c r="AK41" i="110"/>
  <c r="AK47" i="110"/>
  <c r="AK53" i="110"/>
  <c r="AK5" i="110"/>
  <c r="AK44" i="110"/>
  <c r="AK31" i="110"/>
  <c r="AK43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2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46" i="110"/>
  <c r="X45" i="110"/>
  <c r="X44" i="110"/>
  <c r="X43" i="110"/>
  <c r="X42" i="110"/>
  <c r="X41" i="110"/>
  <c r="X35" i="110"/>
  <c r="X34" i="110"/>
  <c r="X33" i="110"/>
  <c r="X32" i="110"/>
  <c r="X31" i="110"/>
  <c r="X30" i="110"/>
  <c r="X29" i="110"/>
  <c r="X28" i="110"/>
  <c r="X27" i="110"/>
  <c r="X26" i="110"/>
  <c r="Y26" i="110" s="1"/>
  <c r="X25" i="110"/>
  <c r="X24" i="110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46" i="110"/>
  <c r="W45" i="110"/>
  <c r="W44" i="110"/>
  <c r="W43" i="110"/>
  <c r="W42" i="110"/>
  <c r="W41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9" i="110" l="1"/>
  <c r="Y28" i="110"/>
  <c r="Y41" i="110"/>
  <c r="Y30" i="110"/>
  <c r="Y42" i="110"/>
  <c r="Y15" i="110"/>
  <c r="Y17" i="110"/>
  <c r="Y16" i="110"/>
  <c r="Y5" i="110"/>
  <c r="Y31" i="110"/>
  <c r="Y43" i="110"/>
  <c r="Y44" i="110"/>
  <c r="Y45" i="110"/>
  <c r="Y7" i="110"/>
  <c r="Y8" i="110"/>
  <c r="Y6" i="110"/>
  <c r="Y32" i="110"/>
  <c r="Y34" i="110"/>
  <c r="Y22" i="110"/>
  <c r="Y33" i="110"/>
  <c r="Y46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F61" i="119"/>
  <c r="H61" i="119" s="1"/>
  <c r="Y50" i="110"/>
  <c r="Y27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D24" i="134"/>
  <c r="C24" i="134"/>
  <c r="D24" i="133"/>
  <c r="C24" i="133"/>
  <c r="C91" i="134"/>
  <c r="D23" i="122"/>
  <c r="C23" i="122"/>
  <c r="C90" i="122"/>
  <c r="C76" i="134"/>
  <c r="C75" i="122"/>
  <c r="D87" i="134"/>
  <c r="C80" i="134"/>
  <c r="C87" i="122"/>
  <c r="C84" i="122"/>
  <c r="D77" i="122"/>
  <c r="C81" i="134"/>
  <c r="C82" i="122"/>
  <c r="D86" i="122"/>
  <c r="C79" i="122"/>
  <c r="D91" i="122"/>
  <c r="C89" i="134"/>
  <c r="C80" i="122"/>
  <c r="C88" i="122"/>
  <c r="C75" i="134"/>
  <c r="C90" i="134"/>
  <c r="C78" i="134"/>
  <c r="C91" i="122"/>
  <c r="C86" i="134"/>
  <c r="D79" i="134"/>
  <c r="D78" i="134"/>
  <c r="C77" i="122"/>
  <c r="D76" i="134"/>
  <c r="D88" i="134"/>
  <c r="C85" i="122"/>
  <c r="D78" i="122"/>
  <c r="D87" i="122"/>
  <c r="C82" i="134"/>
  <c r="C85" i="134"/>
  <c r="D90" i="122"/>
  <c r="D75" i="122"/>
  <c r="C77" i="134"/>
  <c r="D80" i="134"/>
  <c r="D77" i="134"/>
  <c r="D89" i="134"/>
  <c r="C89" i="122"/>
  <c r="C81" i="122"/>
  <c r="C76" i="122"/>
  <c r="D79" i="122"/>
  <c r="D76" i="122"/>
  <c r="D88" i="122"/>
  <c r="C84" i="134"/>
  <c r="D81" i="134"/>
  <c r="C79" i="134"/>
  <c r="C87" i="134"/>
  <c r="C88" i="134"/>
  <c r="C83" i="122"/>
  <c r="D80" i="122"/>
  <c r="D90" i="134"/>
  <c r="C78" i="122"/>
  <c r="C86" i="122"/>
  <c r="D91" i="134"/>
  <c r="C83" i="134"/>
  <c r="D89" i="122"/>
  <c r="D75" i="134"/>
  <c r="C68" i="122"/>
  <c r="C62" i="134"/>
  <c r="C67" i="134"/>
  <c r="C64" i="122"/>
  <c r="C54" i="134"/>
  <c r="C66" i="134"/>
  <c r="D54" i="134"/>
  <c r="D54" i="122"/>
  <c r="C61" i="122"/>
  <c r="D69" i="134"/>
  <c r="C66" i="122"/>
  <c r="D66" i="134"/>
  <c r="C65" i="122"/>
  <c r="C56" i="134"/>
  <c r="D68" i="134"/>
  <c r="D68" i="122"/>
  <c r="C53" i="134"/>
  <c r="C60" i="134"/>
  <c r="C53" i="122"/>
  <c r="C55" i="134"/>
  <c r="C68" i="134"/>
  <c r="D67" i="122"/>
  <c r="C59" i="122"/>
  <c r="D53" i="122"/>
  <c r="C69" i="122"/>
  <c r="C54" i="122"/>
  <c r="C67" i="122"/>
  <c r="D56" i="134"/>
  <c r="C63" i="134"/>
  <c r="D59" i="134"/>
  <c r="C69" i="134"/>
  <c r="D65" i="122"/>
  <c r="D64" i="122"/>
  <c r="D53" i="134"/>
  <c r="D55" i="122"/>
  <c r="C62" i="122"/>
  <c r="D58" i="134"/>
  <c r="D58" i="122"/>
  <c r="D56" i="122"/>
  <c r="C58" i="134"/>
  <c r="D57" i="122"/>
  <c r="D65" i="134"/>
  <c r="C58" i="122"/>
  <c r="D67" i="134"/>
  <c r="C57" i="122"/>
  <c r="C61" i="134"/>
  <c r="D66" i="122"/>
  <c r="C64" i="134"/>
  <c r="C55" i="122"/>
  <c r="C65" i="134"/>
  <c r="C60" i="122"/>
  <c r="D55" i="134"/>
  <c r="D57" i="134"/>
  <c r="C63" i="122"/>
  <c r="D69" i="122"/>
  <c r="C59" i="134"/>
  <c r="D109" i="122"/>
  <c r="D97" i="122"/>
  <c r="D108" i="122"/>
  <c r="C110" i="122"/>
  <c r="D100" i="122"/>
  <c r="C101" i="122"/>
  <c r="D110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1" i="122"/>
  <c r="C105" i="122"/>
  <c r="D111" i="122"/>
  <c r="D113" i="122"/>
  <c r="C112" i="122"/>
  <c r="C108" i="122"/>
  <c r="C102" i="122"/>
  <c r="C103" i="122"/>
  <c r="C106" i="122"/>
  <c r="D36" i="133"/>
  <c r="D36" i="122"/>
  <c r="C37" i="134"/>
  <c r="C38" i="122"/>
  <c r="C31" i="133"/>
  <c r="D45" i="133"/>
  <c r="C42" i="134"/>
  <c r="C34" i="133"/>
  <c r="D35" i="122"/>
  <c r="C40" i="134"/>
  <c r="D43" i="133"/>
  <c r="C37" i="133"/>
  <c r="D45" i="134"/>
  <c r="C46" i="134"/>
  <c r="C32" i="122"/>
  <c r="D47" i="133"/>
  <c r="D43" i="122"/>
  <c r="D46" i="122"/>
  <c r="D32" i="122"/>
  <c r="C33" i="134"/>
  <c r="C40" i="133"/>
  <c r="D43" i="134"/>
  <c r="C36" i="122"/>
  <c r="C43" i="134"/>
  <c r="C32" i="134"/>
  <c r="D44" i="122"/>
  <c r="C42" i="122"/>
  <c r="C39" i="134"/>
  <c r="C46" i="133"/>
  <c r="C33" i="133"/>
  <c r="C39" i="122"/>
  <c r="D42" i="122"/>
  <c r="C43" i="133"/>
  <c r="C32" i="133"/>
  <c r="C35" i="133"/>
  <c r="C31" i="122"/>
  <c r="C39" i="133"/>
  <c r="D46" i="133"/>
  <c r="C45" i="122"/>
  <c r="C35" i="134"/>
  <c r="C36" i="134"/>
  <c r="C45" i="133"/>
  <c r="C38" i="133"/>
  <c r="C42" i="133"/>
  <c r="D32" i="133"/>
  <c r="C44" i="134"/>
  <c r="D47" i="134"/>
  <c r="D36" i="134"/>
  <c r="D46" i="134"/>
  <c r="D35" i="134"/>
  <c r="C34" i="122"/>
  <c r="C36" i="133"/>
  <c r="C45" i="134"/>
  <c r="C38" i="134"/>
  <c r="C41" i="122"/>
  <c r="D32" i="134"/>
  <c r="C44" i="133"/>
  <c r="D44" i="133"/>
  <c r="C34" i="134"/>
  <c r="D34" i="133"/>
  <c r="D44" i="134"/>
  <c r="D37" i="134"/>
  <c r="D47" i="122"/>
  <c r="D37" i="133"/>
  <c r="C31" i="134"/>
  <c r="D45" i="122"/>
  <c r="D35" i="133"/>
  <c r="C35" i="122"/>
  <c r="C41" i="134"/>
  <c r="C44" i="122"/>
  <c r="C37" i="122"/>
  <c r="D31" i="133"/>
  <c r="D31" i="122"/>
  <c r="C47" i="122"/>
  <c r="D33" i="122"/>
  <c r="C33" i="122"/>
  <c r="D34" i="122"/>
  <c r="C47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K22" i="108" l="1"/>
  <c r="J22" i="108"/>
  <c r="O22" i="108"/>
  <c r="N22" i="108"/>
  <c r="P22" i="108" s="1"/>
  <c r="E69" i="134"/>
  <c r="K14" i="141"/>
  <c r="E47" i="133"/>
  <c r="E45" i="134"/>
  <c r="E56" i="134"/>
  <c r="O16" i="108"/>
  <c r="N16" i="108"/>
  <c r="K16" i="108"/>
  <c r="J16" i="108"/>
  <c r="E47" i="134"/>
  <c r="E91" i="134"/>
  <c r="E89" i="134"/>
  <c r="E91" i="122"/>
  <c r="E54" i="122"/>
  <c r="E68" i="122"/>
  <c r="E54" i="134"/>
  <c r="E24" i="133"/>
  <c r="E23" i="122"/>
  <c r="E47" i="122"/>
  <c r="E46" i="122"/>
  <c r="O10" i="108"/>
  <c r="N10" i="108"/>
  <c r="J10" i="108"/>
  <c r="K10" i="108"/>
  <c r="E45" i="133"/>
  <c r="E46" i="134"/>
  <c r="E111" i="122"/>
  <c r="E67" i="122"/>
  <c r="E90" i="122"/>
  <c r="E37" i="133"/>
  <c r="E100" i="122"/>
  <c r="E59" i="134"/>
  <c r="E57" i="122"/>
  <c r="E69" i="122"/>
  <c r="E64" i="122"/>
  <c r="F67" i="122"/>
  <c r="E36" i="122"/>
  <c r="F46" i="122"/>
  <c r="E43" i="122"/>
  <c r="E36" i="133"/>
  <c r="F101" i="122"/>
  <c r="E98" i="122"/>
  <c r="E67" i="134"/>
  <c r="E76" i="122"/>
  <c r="F79" i="122"/>
  <c r="E79" i="122"/>
  <c r="F31" i="134"/>
  <c r="F32" i="134"/>
  <c r="E31" i="134"/>
  <c r="F33" i="134"/>
  <c r="F34" i="134"/>
  <c r="E34" i="122"/>
  <c r="E36" i="134"/>
  <c r="E58" i="122"/>
  <c r="F68" i="122"/>
  <c r="E65" i="122"/>
  <c r="F81" i="134"/>
  <c r="E78" i="134"/>
  <c r="E66" i="134"/>
  <c r="F69" i="134"/>
  <c r="E43" i="133"/>
  <c r="F46" i="133"/>
  <c r="E44" i="122"/>
  <c r="F47" i="122"/>
  <c r="E35" i="134"/>
  <c r="E33" i="133"/>
  <c r="F36" i="133"/>
  <c r="E33" i="134"/>
  <c r="F36" i="134"/>
  <c r="F91" i="134"/>
  <c r="E88" i="134"/>
  <c r="E109" i="122"/>
  <c r="F112" i="122"/>
  <c r="E45" i="122"/>
  <c r="E46" i="133"/>
  <c r="F98" i="122"/>
  <c r="E97" i="122"/>
  <c r="F99" i="122"/>
  <c r="F100" i="122"/>
  <c r="F97" i="122"/>
  <c r="E101" i="122"/>
  <c r="E66" i="122"/>
  <c r="F69" i="122"/>
  <c r="F90" i="134"/>
  <c r="E87" i="134"/>
  <c r="E89" i="122"/>
  <c r="E90" i="134"/>
  <c r="E81" i="134"/>
  <c r="E37" i="134"/>
  <c r="F53" i="134"/>
  <c r="F55" i="134"/>
  <c r="E53" i="134"/>
  <c r="F56" i="134"/>
  <c r="F54" i="134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E108" i="122"/>
  <c r="F111" i="122"/>
  <c r="F68" i="134"/>
  <c r="E65" i="134"/>
  <c r="E68" i="134"/>
  <c r="E76" i="134"/>
  <c r="E24" i="134"/>
  <c r="E32" i="133"/>
  <c r="F35" i="133"/>
  <c r="F89" i="122"/>
  <c r="E86" i="122"/>
  <c r="E35" i="122"/>
  <c r="E42" i="122"/>
  <c r="F45" i="122"/>
  <c r="F102" i="122"/>
  <c r="E99" i="122"/>
  <c r="E55" i="122"/>
  <c r="E55" i="134"/>
  <c r="F80" i="122"/>
  <c r="E77" i="122"/>
  <c r="F91" i="122"/>
  <c r="E88" i="122"/>
  <c r="F90" i="122"/>
  <c r="E87" i="122"/>
  <c r="F77" i="122"/>
  <c r="F78" i="122"/>
  <c r="E75" i="122"/>
  <c r="F76" i="122"/>
  <c r="F75" i="122"/>
  <c r="E44" i="133"/>
  <c r="F47" i="133"/>
  <c r="E44" i="134"/>
  <c r="F47" i="134"/>
  <c r="F31" i="122"/>
  <c r="F34" i="122"/>
  <c r="F33" i="122"/>
  <c r="F32" i="122"/>
  <c r="E31" i="122"/>
  <c r="F34" i="133"/>
  <c r="E31" i="133"/>
  <c r="F31" i="133"/>
  <c r="F33" i="133"/>
  <c r="F32" i="133"/>
  <c r="E112" i="122"/>
  <c r="F113" i="122"/>
  <c r="E110" i="122"/>
  <c r="F54" i="122"/>
  <c r="F55" i="122"/>
  <c r="F53" i="122"/>
  <c r="E53" i="122"/>
  <c r="E77" i="134"/>
  <c r="F80" i="134"/>
  <c r="E80" i="134"/>
  <c r="S26" i="119"/>
  <c r="E43" i="134"/>
  <c r="F46" i="134"/>
  <c r="E78" i="122"/>
  <c r="F36" i="122"/>
  <c r="E33" i="122"/>
  <c r="E35" i="133"/>
  <c r="F35" i="134"/>
  <c r="E32" i="134"/>
  <c r="E32" i="122"/>
  <c r="F35" i="122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L22" i="108" l="1"/>
  <c r="J23" i="108"/>
  <c r="G69" i="134"/>
  <c r="G67" i="122"/>
  <c r="N11" i="108"/>
  <c r="P16" i="108"/>
  <c r="G90" i="122"/>
  <c r="G47" i="133"/>
  <c r="G56" i="134"/>
  <c r="G91" i="122"/>
  <c r="G77" i="134"/>
  <c r="G54" i="122"/>
  <c r="G36" i="122"/>
  <c r="G35" i="122"/>
  <c r="G47" i="134"/>
  <c r="G91" i="134"/>
  <c r="G68" i="122"/>
  <c r="G54" i="134"/>
  <c r="G111" i="122"/>
  <c r="G102" i="122"/>
  <c r="P10" i="108"/>
  <c r="L16" i="108"/>
  <c r="J17" i="108"/>
  <c r="G36" i="133"/>
  <c r="G46" i="122"/>
  <c r="G35" i="134"/>
  <c r="G37" i="133"/>
  <c r="G32" i="133"/>
  <c r="G46" i="134"/>
  <c r="G47" i="122"/>
  <c r="G90" i="134"/>
  <c r="G80" i="134"/>
  <c r="G76" i="122"/>
  <c r="G100" i="122"/>
  <c r="G55" i="122"/>
  <c r="G68" i="134"/>
  <c r="G53" i="134"/>
  <c r="G55" i="134"/>
  <c r="G69" i="122"/>
  <c r="L10" i="108"/>
  <c r="J11" i="108"/>
  <c r="G79" i="122"/>
  <c r="G33" i="122"/>
  <c r="G34" i="122"/>
  <c r="G98" i="122"/>
  <c r="G78" i="134"/>
  <c r="G81" i="134"/>
  <c r="G32" i="134"/>
  <c r="G53" i="122"/>
  <c r="G31" i="133"/>
  <c r="G75" i="122"/>
  <c r="G89" i="122"/>
  <c r="G33" i="133"/>
  <c r="G31" i="134"/>
  <c r="G80" i="122"/>
  <c r="G35" i="133"/>
  <c r="G37" i="134"/>
  <c r="G34" i="133"/>
  <c r="G79" i="134"/>
  <c r="G97" i="122"/>
  <c r="G78" i="122"/>
  <c r="G112" i="122"/>
  <c r="G32" i="122"/>
  <c r="G77" i="122"/>
  <c r="G99" i="122"/>
  <c r="G33" i="134"/>
  <c r="G46" i="133"/>
  <c r="G113" i="122"/>
  <c r="G75" i="134"/>
  <c r="G101" i="122"/>
  <c r="K50" i="103"/>
  <c r="G31" i="122"/>
  <c r="G45" i="122"/>
  <c r="G76" i="134"/>
  <c r="G36" i="134"/>
  <c r="G34" i="134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P28" i="120" l="1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L46" i="110"/>
  <c r="K46" i="110"/>
  <c r="L45" i="110"/>
  <c r="K45" i="110"/>
  <c r="F54" i="115"/>
  <c r="L43" i="110"/>
  <c r="K43" i="110"/>
  <c r="L42" i="110"/>
  <c r="K42" i="110"/>
  <c r="L41" i="110"/>
  <c r="K41" i="110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41" i="110"/>
  <c r="M9" i="110"/>
  <c r="M17" i="110"/>
  <c r="M30" i="110"/>
  <c r="M42" i="110"/>
  <c r="M45" i="110"/>
  <c r="M51" i="110"/>
  <c r="M50" i="110"/>
  <c r="M47" i="110"/>
  <c r="M6" i="110"/>
  <c r="M33" i="110"/>
  <c r="M23" i="110"/>
  <c r="M48" i="110"/>
  <c r="M27" i="110"/>
  <c r="M29" i="110"/>
  <c r="M24" i="110"/>
  <c r="M5" i="110"/>
  <c r="M11" i="110"/>
  <c r="M19" i="110"/>
  <c r="M26" i="110"/>
  <c r="M32" i="110"/>
  <c r="M7" i="110"/>
  <c r="M21" i="110"/>
  <c r="M46" i="110"/>
  <c r="M28" i="110"/>
  <c r="M34" i="110"/>
  <c r="M10" i="110"/>
  <c r="M49" i="110"/>
  <c r="M25" i="110"/>
  <c r="M31" i="110"/>
  <c r="M43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1" i="134"/>
  <c r="D21" i="133"/>
  <c r="D20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22" i="134"/>
  <c r="D22" i="133"/>
  <c r="D21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D23" i="133"/>
  <c r="D23" i="134"/>
  <c r="D22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E23" i="133"/>
  <c r="H62" i="115"/>
  <c r="H18" i="115"/>
  <c r="H41" i="115"/>
  <c r="H52" i="115"/>
  <c r="E22" i="134"/>
  <c r="F25" i="134"/>
  <c r="F25" i="122"/>
  <c r="E22" i="122"/>
  <c r="H12" i="115"/>
  <c r="H23" i="115"/>
  <c r="E10" i="122"/>
  <c r="F13" i="122"/>
  <c r="E13" i="122"/>
  <c r="E24" i="122"/>
  <c r="E12" i="122"/>
  <c r="E11" i="134"/>
  <c r="F14" i="134"/>
  <c r="E14" i="133"/>
  <c r="E13" i="134"/>
  <c r="E11" i="133"/>
  <c r="F14" i="133"/>
  <c r="E14" i="134"/>
  <c r="E25" i="134"/>
  <c r="E13" i="133"/>
  <c r="E25" i="133"/>
  <c r="E15" i="133"/>
  <c r="H13" i="115"/>
  <c r="E20" i="122"/>
  <c r="F23" i="122"/>
  <c r="G23" i="122" s="1"/>
  <c r="F26" i="115"/>
  <c r="K26" i="115" s="1"/>
  <c r="K22" i="115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24" i="122"/>
  <c r="E21" i="122"/>
  <c r="F31" i="115"/>
  <c r="K31" i="115" s="1"/>
  <c r="K28" i="115"/>
  <c r="E21" i="134"/>
  <c r="F24" i="134"/>
  <c r="G24" i="134" s="1"/>
  <c r="F11" i="133"/>
  <c r="F9" i="133"/>
  <c r="F12" i="133"/>
  <c r="F10" i="133"/>
  <c r="E9" i="133"/>
  <c r="H20" i="115"/>
  <c r="E14" i="122"/>
  <c r="F15" i="115"/>
  <c r="K15" i="115" s="1"/>
  <c r="K11" i="115"/>
  <c r="F24" i="133"/>
  <c r="G24" i="133" s="1"/>
  <c r="E21" i="133"/>
  <c r="F12" i="122"/>
  <c r="F10" i="122"/>
  <c r="E9" i="122"/>
  <c r="F11" i="122"/>
  <c r="F9" i="122"/>
  <c r="E15" i="134"/>
  <c r="E22" i="133"/>
  <c r="F25" i="133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E23" i="134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24" i="122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H10" i="115"/>
  <c r="H26" i="115"/>
  <c r="G25" i="133"/>
  <c r="G9" i="133"/>
  <c r="G12" i="134"/>
  <c r="G13" i="122"/>
  <c r="G11" i="133"/>
  <c r="G12" i="133"/>
  <c r="G25" i="122"/>
  <c r="G25" i="134"/>
  <c r="G14" i="134"/>
  <c r="G14" i="122"/>
  <c r="G11" i="122"/>
  <c r="G13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D94" i="80" s="1"/>
  <c r="AG22" i="80"/>
  <c r="AG94" i="80"/>
  <c r="AH94" i="80" s="1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7" i="80"/>
  <c r="Z96" i="80"/>
  <c r="AV98" i="80"/>
  <c r="AH23" i="80"/>
  <c r="Z24" i="80"/>
  <c r="AE22" i="80"/>
  <c r="AF32" i="80"/>
  <c r="X156" i="80"/>
  <c r="Z156" i="80" s="1"/>
  <c r="AB160" i="80"/>
  <c r="AH85" i="80"/>
  <c r="AF85" i="80"/>
  <c r="AD157" i="80"/>
  <c r="AF98" i="80"/>
  <c r="AB163" i="80"/>
  <c r="AE160" i="80"/>
  <c r="AF157" i="80"/>
  <c r="AG169" i="80"/>
  <c r="O151" i="80"/>
  <c r="AG161" i="80"/>
  <c r="AB169" i="80"/>
  <c r="AF96" i="80"/>
  <c r="X169" i="80"/>
  <c r="Z3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59" i="80" l="1"/>
  <c r="AH159" i="80" s="1"/>
  <c r="AH22" i="80"/>
  <c r="AG18" i="80"/>
  <c r="AH18" i="80" s="1"/>
  <c r="X90" i="80"/>
  <c r="Z90" i="80" s="1"/>
  <c r="AB90" i="80"/>
  <c r="AD90" i="80" s="1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G100" i="80"/>
  <c r="AH100" i="80" s="1"/>
  <c r="Z160" i="80"/>
  <c r="AH160" i="80"/>
  <c r="Z16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AG40" i="110" l="1" a="1"/>
  <c r="AH40" i="110" s="1"/>
  <c r="AG39" i="110" a="1"/>
  <c r="AH39" i="110" s="1"/>
  <c r="Q171" i="80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BQ40" i="110" l="1" a="1"/>
  <c r="BR40" i="110" s="1"/>
  <c r="BQ39" i="110" a="1"/>
  <c r="BR39" i="110" s="1"/>
  <c r="AY106" i="80"/>
  <c r="AZ106" i="80" s="1"/>
  <c r="AZ102" i="80"/>
  <c r="AZ165" i="80"/>
  <c r="AY167" i="80"/>
  <c r="AV167" i="80"/>
  <c r="AU171" i="80"/>
  <c r="AV171" i="80" s="1"/>
  <c r="BD100" i="80"/>
  <c r="BC102" i="80"/>
  <c r="BC106" i="80" l="1"/>
  <c r="BD106" i="80" s="1"/>
  <c r="BD102" i="80"/>
  <c r="AY171" i="80"/>
  <c r="AZ171" i="80" s="1"/>
  <c r="AZ167" i="80"/>
  <c r="F3" i="80" l="1"/>
  <c r="F4" i="80" l="1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AQ161" i="80" l="1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U40" i="110" l="1" a="1"/>
  <c r="V40" i="110" s="1"/>
  <c r="BA158" i="80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AV37" i="110" l="1" a="1"/>
  <c r="I209" i="80"/>
  <c r="I219" i="80" s="1"/>
  <c r="AK18" i="80"/>
  <c r="J209" i="80" l="1"/>
  <c r="I213" i="80"/>
  <c r="AK155" i="80"/>
  <c r="AW18" i="80"/>
  <c r="AX18" i="80" s="1"/>
  <c r="AL18" i="80"/>
  <c r="AM18" i="80"/>
  <c r="J213" i="80" l="1"/>
  <c r="I216" i="80"/>
  <c r="BA18" i="80"/>
  <c r="BB18" i="80" s="1"/>
  <c r="AM155" i="80"/>
  <c r="AO18" i="80"/>
  <c r="AN18" i="80"/>
  <c r="AL155" i="80"/>
  <c r="AW155" i="80"/>
  <c r="AX155" i="80" s="1"/>
  <c r="AV39" i="110" l="1" a="1"/>
  <c r="J216" i="80"/>
  <c r="I222" i="80"/>
  <c r="AQ18" i="80"/>
  <c r="BE18" i="80"/>
  <c r="BF18" i="80" s="1"/>
  <c r="AO155" i="80"/>
  <c r="AP155" i="80" s="1"/>
  <c r="AP18" i="80"/>
  <c r="BA155" i="80"/>
  <c r="BB155" i="80" s="1"/>
  <c r="AN155" i="80"/>
  <c r="AW39" i="110" l="1"/>
  <c r="J222" i="80"/>
  <c r="J219" i="80"/>
  <c r="AQ155" i="80"/>
  <c r="AR155" i="80" s="1"/>
  <c r="AR18" i="80"/>
  <c r="AK22" i="80" l="1"/>
  <c r="AY39" i="110" l="1" a="1"/>
  <c r="AM22" i="80"/>
  <c r="AW22" i="80"/>
  <c r="AX22" i="80" s="1"/>
  <c r="AK159" i="80"/>
  <c r="AL22" i="80"/>
  <c r="AV40" i="110" l="1" a="1"/>
  <c r="G13" i="108" s="1"/>
  <c r="AY40" i="110" a="1"/>
  <c r="AZ39" i="110"/>
  <c r="BB39" i="110"/>
  <c r="AW159" i="80"/>
  <c r="AX159" i="80" s="1"/>
  <c r="AL159" i="80"/>
  <c r="AO22" i="80"/>
  <c r="AM159" i="80"/>
  <c r="BA22" i="80"/>
  <c r="BB22" i="80" s="1"/>
  <c r="AN22" i="80"/>
  <c r="G15" i="108" l="1"/>
  <c r="H13" i="108"/>
  <c r="G17" i="108"/>
  <c r="AZ40" i="110"/>
  <c r="G7" i="108"/>
  <c r="AW40" i="110"/>
  <c r="BB40" i="110"/>
  <c r="BC39" i="110"/>
  <c r="D84" i="122"/>
  <c r="D85" i="134"/>
  <c r="BT39" i="110" a="1"/>
  <c r="AQ22" i="80"/>
  <c r="AO159" i="80"/>
  <c r="AP159" i="80" s="1"/>
  <c r="BE22" i="80"/>
  <c r="BF22" i="80" s="1"/>
  <c r="AP22" i="80"/>
  <c r="BA159" i="80"/>
  <c r="BB159" i="80" s="1"/>
  <c r="AN159" i="80"/>
  <c r="H17" i="108" l="1"/>
  <c r="H15" i="108"/>
  <c r="H7" i="108"/>
  <c r="H11" i="108" s="1"/>
  <c r="G9" i="108"/>
  <c r="G11" i="108"/>
  <c r="G19" i="108"/>
  <c r="BC40" i="110"/>
  <c r="D85" i="122"/>
  <c r="D86" i="134"/>
  <c r="E84" i="122"/>
  <c r="F87" i="122"/>
  <c r="G87" i="122" s="1"/>
  <c r="F88" i="134"/>
  <c r="G88" i="134" s="1"/>
  <c r="E85" i="134"/>
  <c r="G23" i="108"/>
  <c r="G21" i="108"/>
  <c r="H19" i="108"/>
  <c r="H23" i="108" s="1"/>
  <c r="BU39" i="110"/>
  <c r="BW39" i="110"/>
  <c r="BX39" i="110" s="1"/>
  <c r="AQ159" i="80"/>
  <c r="AR159" i="80" s="1"/>
  <c r="AR22" i="80"/>
  <c r="E85" i="122" l="1"/>
  <c r="F88" i="122"/>
  <c r="G88" i="122" s="1"/>
  <c r="E86" i="134"/>
  <c r="F89" i="134"/>
  <c r="G89" i="134" s="1"/>
  <c r="AK95" i="80"/>
  <c r="BT40" i="110" l="1" a="1"/>
  <c r="AW95" i="80"/>
  <c r="AL95" i="80"/>
  <c r="AM95" i="80"/>
  <c r="BU40" i="110" l="1"/>
  <c r="BW40" i="110"/>
  <c r="BX40" i="110" s="1"/>
  <c r="AO95" i="80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X209" i="80" l="1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AB219" i="80" l="1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K222" i="80" l="1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L222" i="80" l="1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AR30" i="80" l="1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I40" i="110" l="1" a="1"/>
  <c r="AQ171" i="80"/>
  <c r="AR171" i="80" s="1"/>
  <c r="AR167" i="80"/>
  <c r="F40" i="110" l="1" a="1"/>
  <c r="J40" i="110"/>
  <c r="AQ225" i="80"/>
  <c r="P40" i="116"/>
  <c r="P42" i="116" s="1"/>
  <c r="AR33" i="110"/>
  <c r="G40" i="110" l="1"/>
  <c r="L40" i="110"/>
  <c r="D20" i="134"/>
  <c r="D19" i="122"/>
  <c r="D20" i="133"/>
  <c r="M40" i="110"/>
  <c r="AT33" i="110"/>
  <c r="C57" i="134"/>
  <c r="C56" i="122"/>
  <c r="F40" i="116"/>
  <c r="M40" i="116"/>
  <c r="M42" i="116" s="1"/>
  <c r="E20" i="134" l="1"/>
  <c r="F23" i="134"/>
  <c r="G23" i="134" s="1"/>
  <c r="F22" i="122"/>
  <c r="G22" i="122" s="1"/>
  <c r="E19" i="122"/>
  <c r="F23" i="133"/>
  <c r="G23" i="133" s="1"/>
  <c r="E20" i="133"/>
  <c r="E56" i="122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R40" i="110" l="1" a="1"/>
  <c r="S40" i="110" s="1"/>
  <c r="G56" i="122"/>
  <c r="G57" i="134"/>
  <c r="H42" i="116"/>
  <c r="K42" i="116"/>
  <c r="AS53" i="110" l="1"/>
  <c r="AT53" i="110" s="1"/>
  <c r="J13" i="106" l="1"/>
  <c r="J15" i="106" s="1"/>
  <c r="P12" i="116"/>
  <c r="P15" i="116" s="1"/>
  <c r="AO10" i="110"/>
  <c r="AQ10" i="110" s="1"/>
  <c r="AN10" i="110"/>
  <c r="M12" i="116" l="1"/>
  <c r="AR10" i="110"/>
  <c r="J17" i="106"/>
  <c r="AT10" i="110" l="1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F11" i="116" l="1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F15" i="116" l="1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H9" i="108" s="1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H21" i="108" s="1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E7" i="144" l="1"/>
  <c r="E9" i="144" s="1"/>
  <c r="D21" i="144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AM37" i="110" l="1" a="1"/>
  <c r="AP37" i="110" l="1" a="1"/>
  <c r="BE37" i="110" l="1" a="1"/>
  <c r="BH37" i="110" l="1" a="1"/>
  <c r="BH36" i="110" l="1" a="1"/>
  <c r="BE36" i="110" a="1"/>
  <c r="K7" i="108" l="1"/>
  <c r="AV36" i="110" a="1"/>
  <c r="K9" i="108" l="1"/>
  <c r="K11" i="108"/>
  <c r="L7" i="108"/>
  <c r="K13" i="108"/>
  <c r="L11" i="108" l="1"/>
  <c r="L9" i="108"/>
  <c r="K15" i="108"/>
  <c r="K17" i="108"/>
  <c r="K19" i="108"/>
  <c r="L13" i="108"/>
  <c r="K21" i="108" l="1"/>
  <c r="L19" i="108"/>
  <c r="K23" i="108"/>
  <c r="L17" i="108"/>
  <c r="L15" i="108"/>
  <c r="L23" i="108" l="1"/>
  <c r="L21" i="108"/>
  <c r="AM39" i="110" l="1" a="1"/>
  <c r="AN39" i="110" s="1"/>
  <c r="AM36" i="110" a="1"/>
  <c r="AP39" i="110" l="1" a="1"/>
  <c r="AP36" i="110" a="1"/>
  <c r="AW38" i="110" s="1"/>
  <c r="AQ39" i="110" l="1"/>
  <c r="AS39" i="110"/>
  <c r="AW36" i="110"/>
  <c r="O13" i="108"/>
  <c r="AS36" i="110"/>
  <c r="AQ36" i="110"/>
  <c r="BI38" i="110"/>
  <c r="G7" i="104"/>
  <c r="G7" i="141"/>
  <c r="K19" i="107"/>
  <c r="O13" i="106"/>
  <c r="K13" i="106"/>
  <c r="AN36" i="110"/>
  <c r="G19" i="107"/>
  <c r="G13" i="141"/>
  <c r="K7" i="141"/>
  <c r="G13" i="104"/>
  <c r="AN38" i="110"/>
  <c r="G13" i="106"/>
  <c r="G13" i="105"/>
  <c r="K13" i="141"/>
  <c r="BN36" i="110"/>
  <c r="BF36" i="110"/>
  <c r="BF37" i="110"/>
  <c r="BN37" i="110"/>
  <c r="BO37" i="110" s="1"/>
  <c r="G19" i="105"/>
  <c r="BN38" i="110"/>
  <c r="BF38" i="110"/>
  <c r="AS37" i="110"/>
  <c r="AQ37" i="110"/>
  <c r="BI36" i="110"/>
  <c r="AS38" i="110"/>
  <c r="AQ38" i="110"/>
  <c r="D63" i="134" l="1"/>
  <c r="D62" i="122"/>
  <c r="AT39" i="110"/>
  <c r="O17" i="108"/>
  <c r="P13" i="108"/>
  <c r="O15" i="108"/>
  <c r="G23" i="105"/>
  <c r="G21" i="105"/>
  <c r="H19" i="105"/>
  <c r="H7" i="104"/>
  <c r="G9" i="104"/>
  <c r="G19" i="104"/>
  <c r="G11" i="104"/>
  <c r="K19" i="141"/>
  <c r="K11" i="141"/>
  <c r="L7" i="141"/>
  <c r="K9" i="141"/>
  <c r="G7" i="103"/>
  <c r="K15" i="141"/>
  <c r="K17" i="141"/>
  <c r="L13" i="141"/>
  <c r="G15" i="141"/>
  <c r="G17" i="141"/>
  <c r="H13" i="141"/>
  <c r="K31" i="103"/>
  <c r="AT38" i="110"/>
  <c r="D61" i="122"/>
  <c r="D62" i="134"/>
  <c r="O17" i="106"/>
  <c r="O15" i="106"/>
  <c r="P13" i="106"/>
  <c r="G23" i="107"/>
  <c r="H19" i="107"/>
  <c r="G21" i="107"/>
  <c r="BO36" i="110"/>
  <c r="G15" i="105"/>
  <c r="G17" i="105"/>
  <c r="H13" i="105"/>
  <c r="G31" i="103"/>
  <c r="L13" i="106"/>
  <c r="K17" i="106"/>
  <c r="K15" i="106"/>
  <c r="G17" i="106"/>
  <c r="G15" i="106"/>
  <c r="H13" i="106"/>
  <c r="AT36" i="110"/>
  <c r="D60" i="134"/>
  <c r="D59" i="122"/>
  <c r="BO38" i="110"/>
  <c r="H13" i="104"/>
  <c r="G27" i="104"/>
  <c r="G15" i="104"/>
  <c r="G17" i="104"/>
  <c r="L19" i="107"/>
  <c r="K23" i="107"/>
  <c r="K21" i="107"/>
  <c r="H7" i="141"/>
  <c r="G11" i="141"/>
  <c r="G9" i="141"/>
  <c r="G19" i="141"/>
  <c r="AT37" i="110"/>
  <c r="D61" i="134"/>
  <c r="D60" i="122"/>
  <c r="E63" i="134" l="1"/>
  <c r="E62" i="122"/>
  <c r="P15" i="108"/>
  <c r="P17" i="108"/>
  <c r="F62" i="122"/>
  <c r="F59" i="122"/>
  <c r="F61" i="122"/>
  <c r="F60" i="122"/>
  <c r="E59" i="122"/>
  <c r="L15" i="106"/>
  <c r="L17" i="106"/>
  <c r="G33" i="103"/>
  <c r="G35" i="103"/>
  <c r="H31" i="103"/>
  <c r="P17" i="106"/>
  <c r="P15" i="106"/>
  <c r="L9" i="141"/>
  <c r="L11" i="141"/>
  <c r="H17" i="105"/>
  <c r="H15" i="105"/>
  <c r="G11" i="103"/>
  <c r="G9" i="103"/>
  <c r="H7" i="103"/>
  <c r="L19" i="141"/>
  <c r="K23" i="141"/>
  <c r="K21" i="141"/>
  <c r="F61" i="134"/>
  <c r="F60" i="134"/>
  <c r="E60" i="134"/>
  <c r="F63" i="134"/>
  <c r="F62" i="134"/>
  <c r="H21" i="107"/>
  <c r="H23" i="107"/>
  <c r="E61" i="122"/>
  <c r="H19" i="141"/>
  <c r="G23" i="141"/>
  <c r="G21" i="141"/>
  <c r="H15" i="106"/>
  <c r="H17" i="106"/>
  <c r="H15" i="141"/>
  <c r="H17" i="141"/>
  <c r="G23" i="104"/>
  <c r="G21" i="104"/>
  <c r="H19" i="104"/>
  <c r="L23" i="107"/>
  <c r="L21" i="107"/>
  <c r="E62" i="134"/>
  <c r="E60" i="122"/>
  <c r="H15" i="104"/>
  <c r="H17" i="104"/>
  <c r="H9" i="104"/>
  <c r="H11" i="104"/>
  <c r="E61" i="134"/>
  <c r="H9" i="141"/>
  <c r="H11" i="141"/>
  <c r="L17" i="141"/>
  <c r="L15" i="141"/>
  <c r="H23" i="105"/>
  <c r="H21" i="105"/>
  <c r="K33" i="103"/>
  <c r="L31" i="103"/>
  <c r="K35" i="103"/>
  <c r="G62" i="122" l="1"/>
  <c r="G63" i="134"/>
  <c r="G60" i="134"/>
  <c r="G59" i="122"/>
  <c r="L33" i="103"/>
  <c r="L35" i="103"/>
  <c r="L21" i="141"/>
  <c r="L23" i="141"/>
  <c r="H21" i="141"/>
  <c r="H23" i="141"/>
  <c r="G61" i="134"/>
  <c r="H9" i="103"/>
  <c r="H11" i="103"/>
  <c r="H23" i="104"/>
  <c r="H21" i="104"/>
  <c r="G60" i="122"/>
  <c r="G61" i="122"/>
  <c r="G62" i="134"/>
  <c r="H35" i="103"/>
  <c r="H33" i="103"/>
  <c r="U36" i="110" l="1" a="1"/>
  <c r="R36" i="110" a="1"/>
  <c r="AG36" i="110" a="1"/>
  <c r="V36" i="110" l="1"/>
  <c r="S36" i="110"/>
  <c r="AH36" i="110"/>
  <c r="AG37" i="110" a="1"/>
  <c r="U38" i="110" l="1" a="1"/>
  <c r="V38" i="110" s="1"/>
  <c r="U37" i="110" a="1"/>
  <c r="R37" i="110" a="1"/>
  <c r="AH37" i="110"/>
  <c r="AP40" i="110" l="1" a="1"/>
  <c r="V37" i="110"/>
  <c r="S37" i="110" s="1"/>
  <c r="R38" i="110" a="1"/>
  <c r="AD39" i="110" a="1"/>
  <c r="G7" i="106" l="1"/>
  <c r="O7" i="106"/>
  <c r="K7" i="106"/>
  <c r="AQ40" i="110"/>
  <c r="AS40" i="110"/>
  <c r="O40" i="110" a="1"/>
  <c r="S38" i="110"/>
  <c r="AG38" i="110" a="1"/>
  <c r="AE39" i="110"/>
  <c r="G31" i="106" l="1"/>
  <c r="G11" i="106"/>
  <c r="G9" i="106"/>
  <c r="H7" i="106"/>
  <c r="O31" i="106"/>
  <c r="O9" i="106"/>
  <c r="O11" i="106"/>
  <c r="P7" i="106"/>
  <c r="K31" i="106"/>
  <c r="K11" i="106"/>
  <c r="K9" i="106"/>
  <c r="L7" i="106"/>
  <c r="K25" i="103"/>
  <c r="G25" i="103"/>
  <c r="O25" i="103"/>
  <c r="D63" i="122"/>
  <c r="D64" i="134"/>
  <c r="AT40" i="110"/>
  <c r="G7" i="105"/>
  <c r="P40" i="110"/>
  <c r="X40" i="110"/>
  <c r="U39" i="110" a="1"/>
  <c r="R39" i="110" a="1"/>
  <c r="O19" i="107"/>
  <c r="AH38" i="110"/>
  <c r="AA39" i="110" a="1"/>
  <c r="G33" i="106" l="1"/>
  <c r="G35" i="106"/>
  <c r="H31" i="106"/>
  <c r="H9" i="106"/>
  <c r="H11" i="106"/>
  <c r="O35" i="106"/>
  <c r="O33" i="106"/>
  <c r="P31" i="106"/>
  <c r="P9" i="106"/>
  <c r="P11" i="106"/>
  <c r="K35" i="106"/>
  <c r="L31" i="106"/>
  <c r="K33" i="106"/>
  <c r="L9" i="106"/>
  <c r="L11" i="106"/>
  <c r="K29" i="103"/>
  <c r="L25" i="103"/>
  <c r="K27" i="103"/>
  <c r="G27" i="103"/>
  <c r="G29" i="103"/>
  <c r="H25" i="103"/>
  <c r="P25" i="103"/>
  <c r="O29" i="103"/>
  <c r="O27" i="103"/>
  <c r="F63" i="122"/>
  <c r="F64" i="122"/>
  <c r="G64" i="122" s="1"/>
  <c r="F65" i="122"/>
  <c r="G65" i="122" s="1"/>
  <c r="F66" i="122"/>
  <c r="G66" i="122" s="1"/>
  <c r="E63" i="122"/>
  <c r="F65" i="134"/>
  <c r="G65" i="134" s="1"/>
  <c r="F64" i="134"/>
  <c r="F66" i="134"/>
  <c r="G66" i="134" s="1"/>
  <c r="E64" i="134"/>
  <c r="F67" i="134"/>
  <c r="G67" i="134" s="1"/>
  <c r="G11" i="105"/>
  <c r="H7" i="105"/>
  <c r="G25" i="105"/>
  <c r="G9" i="105"/>
  <c r="G13" i="103"/>
  <c r="D42" i="133"/>
  <c r="D41" i="122"/>
  <c r="D42" i="134"/>
  <c r="Y40" i="110"/>
  <c r="O19" i="105"/>
  <c r="K19" i="105"/>
  <c r="V39" i="110"/>
  <c r="O13" i="105"/>
  <c r="K13" i="105"/>
  <c r="S39" i="110"/>
  <c r="O21" i="107"/>
  <c r="P19" i="107"/>
  <c r="O23" i="107"/>
  <c r="AB39" i="110"/>
  <c r="AJ39" i="110"/>
  <c r="H35" i="106" l="1"/>
  <c r="H33" i="106"/>
  <c r="P33" i="106"/>
  <c r="P35" i="106"/>
  <c r="L33" i="106"/>
  <c r="L35" i="106"/>
  <c r="L27" i="103"/>
  <c r="L29" i="103"/>
  <c r="H29" i="103"/>
  <c r="H27" i="103"/>
  <c r="P27" i="103"/>
  <c r="P29" i="103"/>
  <c r="G63" i="122"/>
  <c r="G64" i="134"/>
  <c r="H9" i="105"/>
  <c r="H11" i="105"/>
  <c r="G29" i="105"/>
  <c r="G27" i="105"/>
  <c r="H25" i="105"/>
  <c r="H13" i="103"/>
  <c r="G15" i="103"/>
  <c r="G17" i="103"/>
  <c r="F45" i="133"/>
  <c r="G45" i="133" s="1"/>
  <c r="E42" i="133"/>
  <c r="E41" i="122"/>
  <c r="F44" i="122"/>
  <c r="G44" i="122" s="1"/>
  <c r="E42" i="134"/>
  <c r="F45" i="134"/>
  <c r="G45" i="134" s="1"/>
  <c r="O23" i="105"/>
  <c r="P19" i="105"/>
  <c r="O21" i="105"/>
  <c r="K23" i="105"/>
  <c r="K21" i="105"/>
  <c r="L19" i="105"/>
  <c r="P13" i="105"/>
  <c r="O15" i="105"/>
  <c r="O17" i="105"/>
  <c r="K17" i="105"/>
  <c r="L13" i="105"/>
  <c r="K15" i="105"/>
  <c r="P21" i="107"/>
  <c r="P23" i="107"/>
  <c r="D106" i="122"/>
  <c r="AK39" i="110"/>
  <c r="H27" i="105" l="1"/>
  <c r="H29" i="105"/>
  <c r="H15" i="103"/>
  <c r="H17" i="103"/>
  <c r="P23" i="105"/>
  <c r="P21" i="105"/>
  <c r="L23" i="105"/>
  <c r="L21" i="105"/>
  <c r="P17" i="105"/>
  <c r="P15" i="105"/>
  <c r="L15" i="105"/>
  <c r="L17" i="105"/>
  <c r="E106" i="122"/>
  <c r="AD37" i="110" l="1" a="1"/>
  <c r="AE37" i="110" s="1"/>
  <c r="AD38" i="110" a="1"/>
  <c r="AE38" i="110" s="1"/>
  <c r="AA37" i="110" a="1"/>
  <c r="AA38" i="110" a="1"/>
  <c r="AD36" i="110" a="1"/>
  <c r="AE36" i="110" l="1"/>
  <c r="AB37" i="110"/>
  <c r="AJ37" i="110"/>
  <c r="AJ38" i="110"/>
  <c r="AB38" i="110"/>
  <c r="D104" i="122" l="1"/>
  <c r="AK37" i="110"/>
  <c r="D105" i="122"/>
  <c r="AK38" i="110"/>
  <c r="AD40" i="110" l="1" a="1"/>
  <c r="AA40" i="110" a="1"/>
  <c r="E104" i="122"/>
  <c r="E105" i="122"/>
  <c r="AA36" i="110" a="1"/>
  <c r="O7" i="107" l="1"/>
  <c r="G7" i="107"/>
  <c r="K7" i="107"/>
  <c r="AB40" i="110"/>
  <c r="O13" i="107"/>
  <c r="K13" i="107"/>
  <c r="G13" i="107"/>
  <c r="AE40" i="110"/>
  <c r="AJ40" i="110"/>
  <c r="AB36" i="110"/>
  <c r="AJ36" i="110"/>
  <c r="O19" i="103" s="1"/>
  <c r="G11" i="107" l="1"/>
  <c r="H7" i="107"/>
  <c r="G9" i="107"/>
  <c r="L7" i="107"/>
  <c r="K11" i="107"/>
  <c r="K9" i="107"/>
  <c r="O25" i="107"/>
  <c r="O11" i="107"/>
  <c r="O9" i="107"/>
  <c r="P7" i="107"/>
  <c r="P13" i="107"/>
  <c r="O17" i="107"/>
  <c r="O15" i="107"/>
  <c r="K25" i="107"/>
  <c r="K17" i="107"/>
  <c r="L13" i="107"/>
  <c r="K15" i="107"/>
  <c r="G25" i="107"/>
  <c r="H13" i="107"/>
  <c r="G15" i="107"/>
  <c r="G17" i="107"/>
  <c r="K19" i="103"/>
  <c r="G19" i="103"/>
  <c r="D107" i="122"/>
  <c r="AK40" i="110"/>
  <c r="P19" i="103"/>
  <c r="O21" i="103"/>
  <c r="O23" i="103"/>
  <c r="AK36" i="110"/>
  <c r="D103" i="122"/>
  <c r="F106" i="122" s="1"/>
  <c r="G106" i="122" s="1"/>
  <c r="O29" i="107" l="1"/>
  <c r="P25" i="107"/>
  <c r="O27" i="107"/>
  <c r="P9" i="107"/>
  <c r="P11" i="107"/>
  <c r="H9" i="107"/>
  <c r="H11" i="107"/>
  <c r="L11" i="107"/>
  <c r="L9" i="107"/>
  <c r="P17" i="107"/>
  <c r="P15" i="107"/>
  <c r="K27" i="107"/>
  <c r="L25" i="107"/>
  <c r="K29" i="107"/>
  <c r="L17" i="107"/>
  <c r="L15" i="107"/>
  <c r="G29" i="107"/>
  <c r="G27" i="107"/>
  <c r="H25" i="107"/>
  <c r="H17" i="107"/>
  <c r="H15" i="107"/>
  <c r="L19" i="103"/>
  <c r="K21" i="103"/>
  <c r="K23" i="103"/>
  <c r="G21" i="103"/>
  <c r="H19" i="103"/>
  <c r="G23" i="103"/>
  <c r="F107" i="122"/>
  <c r="F108" i="122"/>
  <c r="G108" i="122" s="1"/>
  <c r="F109" i="122"/>
  <c r="G109" i="122" s="1"/>
  <c r="F110" i="122"/>
  <c r="G110" i="122" s="1"/>
  <c r="E107" i="122"/>
  <c r="BH39" i="110" a="1"/>
  <c r="BE39" i="110" a="1"/>
  <c r="P23" i="103"/>
  <c r="P21" i="103"/>
  <c r="F104" i="122"/>
  <c r="G104" i="122" s="1"/>
  <c r="F105" i="122"/>
  <c r="G105" i="122" s="1"/>
  <c r="F103" i="122"/>
  <c r="E103" i="122"/>
  <c r="P27" i="107" l="1"/>
  <c r="P29" i="107"/>
  <c r="L29" i="107"/>
  <c r="L27" i="107"/>
  <c r="H27" i="107"/>
  <c r="H29" i="107"/>
  <c r="L23" i="103"/>
  <c r="L21" i="103"/>
  <c r="H21" i="103"/>
  <c r="H23" i="103"/>
  <c r="G107" i="122"/>
  <c r="BI39" i="110"/>
  <c r="BF39" i="110"/>
  <c r="BN39" i="110"/>
  <c r="G103" i="122"/>
  <c r="BO39" i="110" l="1"/>
  <c r="BH40" i="110" l="1" a="1"/>
  <c r="BE40" i="110" a="1"/>
  <c r="AY36" i="110" a="1"/>
  <c r="AY37" i="110" a="1"/>
  <c r="AY38" i="110" a="1"/>
  <c r="O13" i="120" l="1"/>
  <c r="G13" i="120"/>
  <c r="K13" i="120"/>
  <c r="BF40" i="110"/>
  <c r="G7" i="120"/>
  <c r="O7" i="120"/>
  <c r="K7" i="120"/>
  <c r="BI40" i="110"/>
  <c r="BN40" i="110"/>
  <c r="O7" i="108"/>
  <c r="AZ36" i="110"/>
  <c r="BB36" i="110"/>
  <c r="AZ37" i="110"/>
  <c r="BB37" i="110"/>
  <c r="AZ38" i="110"/>
  <c r="BB38" i="110"/>
  <c r="O17" i="120" l="1"/>
  <c r="O15" i="120"/>
  <c r="P13" i="120"/>
  <c r="O25" i="120"/>
  <c r="G25" i="120"/>
  <c r="H13" i="120"/>
  <c r="G15" i="120"/>
  <c r="G17" i="120"/>
  <c r="K17" i="120"/>
  <c r="L13" i="120"/>
  <c r="K15" i="120"/>
  <c r="K25" i="120"/>
  <c r="G11" i="120"/>
  <c r="G9" i="120"/>
  <c r="H7" i="120"/>
  <c r="O9" i="120"/>
  <c r="P7" i="120"/>
  <c r="O11" i="120"/>
  <c r="K9" i="120"/>
  <c r="K11" i="120"/>
  <c r="L7" i="120"/>
  <c r="BO40" i="110"/>
  <c r="O43" i="103"/>
  <c r="K43" i="103"/>
  <c r="G43" i="103"/>
  <c r="O19" i="108"/>
  <c r="P7" i="108"/>
  <c r="O9" i="108"/>
  <c r="O11" i="108"/>
  <c r="O37" i="103"/>
  <c r="BC36" i="110"/>
  <c r="D82" i="134"/>
  <c r="D81" i="122"/>
  <c r="K37" i="103"/>
  <c r="D82" i="122"/>
  <c r="D83" i="134"/>
  <c r="BC37" i="110"/>
  <c r="D83" i="122"/>
  <c r="D84" i="134"/>
  <c r="BC38" i="110"/>
  <c r="G37" i="103"/>
  <c r="P15" i="120" l="1"/>
  <c r="P17" i="120"/>
  <c r="O27" i="120"/>
  <c r="P25" i="120"/>
  <c r="O29" i="120"/>
  <c r="H25" i="120"/>
  <c r="G29" i="120"/>
  <c r="G27" i="120"/>
  <c r="H15" i="120"/>
  <c r="H17" i="120"/>
  <c r="L17" i="120"/>
  <c r="L15" i="120"/>
  <c r="K29" i="120"/>
  <c r="L25" i="120"/>
  <c r="K27" i="120"/>
  <c r="H11" i="120"/>
  <c r="H9" i="120"/>
  <c r="P11" i="120"/>
  <c r="P9" i="120"/>
  <c r="L9" i="120"/>
  <c r="L11" i="120"/>
  <c r="P43" i="103"/>
  <c r="O47" i="103"/>
  <c r="O45" i="103"/>
  <c r="K45" i="103"/>
  <c r="L43" i="103"/>
  <c r="K47" i="103"/>
  <c r="G45" i="103"/>
  <c r="G47" i="103"/>
  <c r="H43" i="103"/>
  <c r="P19" i="108"/>
  <c r="O23" i="108"/>
  <c r="O21" i="108"/>
  <c r="P9" i="108"/>
  <c r="P11" i="108"/>
  <c r="P37" i="103"/>
  <c r="O41" i="103"/>
  <c r="O39" i="103"/>
  <c r="F83" i="134"/>
  <c r="E82" i="134"/>
  <c r="F84" i="134"/>
  <c r="F82" i="134"/>
  <c r="G82" i="134" s="1"/>
  <c r="F85" i="134"/>
  <c r="G85" i="134" s="1"/>
  <c r="F81" i="122"/>
  <c r="E81" i="122"/>
  <c r="F83" i="122"/>
  <c r="F84" i="122"/>
  <c r="G84" i="122" s="1"/>
  <c r="F82" i="122"/>
  <c r="L37" i="103"/>
  <c r="K41" i="103"/>
  <c r="K39" i="103"/>
  <c r="E82" i="122"/>
  <c r="F85" i="122"/>
  <c r="G85" i="122" s="1"/>
  <c r="F86" i="134"/>
  <c r="G86" i="134" s="1"/>
  <c r="E83" i="134"/>
  <c r="F86" i="122"/>
  <c r="G86" i="122" s="1"/>
  <c r="E83" i="122"/>
  <c r="F87" i="134"/>
  <c r="G87" i="134" s="1"/>
  <c r="E84" i="134"/>
  <c r="G49" i="103"/>
  <c r="G39" i="103"/>
  <c r="G41" i="103"/>
  <c r="H37" i="103"/>
  <c r="P27" i="120" l="1"/>
  <c r="P29" i="120"/>
  <c r="H29" i="120"/>
  <c r="H27" i="120"/>
  <c r="L27" i="120"/>
  <c r="L29" i="120"/>
  <c r="P47" i="103"/>
  <c r="P45" i="103"/>
  <c r="L45" i="103"/>
  <c r="L47" i="103"/>
  <c r="H45" i="103"/>
  <c r="H47" i="103"/>
  <c r="P21" i="108"/>
  <c r="P23" i="108"/>
  <c r="P39" i="103"/>
  <c r="P41" i="103"/>
  <c r="L41" i="103"/>
  <c r="L39" i="103"/>
  <c r="G51" i="103"/>
  <c r="G53" i="103"/>
  <c r="H49" i="103"/>
  <c r="G56" i="103"/>
  <c r="G59" i="103" s="1"/>
  <c r="G62" i="103" s="1"/>
  <c r="G66" i="103" s="1"/>
  <c r="H41" i="103"/>
  <c r="H39" i="103"/>
  <c r="G83" i="134"/>
  <c r="G84" i="134"/>
  <c r="G81" i="122"/>
  <c r="G83" i="122"/>
  <c r="G82" i="122"/>
  <c r="H53" i="103" l="1"/>
  <c r="H51" i="103"/>
  <c r="H56" i="103"/>
  <c r="H59" i="103" l="1"/>
  <c r="H62" i="103" l="1"/>
  <c r="H66" i="103" s="1"/>
  <c r="O39" i="110" l="1" a="1"/>
  <c r="O37" i="110" l="1" a="1"/>
  <c r="X39" i="110"/>
  <c r="P39" i="110"/>
  <c r="K7" i="105"/>
  <c r="O36" i="110" a="1"/>
  <c r="O38" i="110" a="1"/>
  <c r="X37" i="110" l="1"/>
  <c r="P37" i="110"/>
  <c r="Y39" i="110"/>
  <c r="D40" i="122"/>
  <c r="D41" i="133"/>
  <c r="D41" i="134"/>
  <c r="K13" i="103"/>
  <c r="K9" i="105"/>
  <c r="K11" i="105"/>
  <c r="R11" i="105"/>
  <c r="L7" i="105"/>
  <c r="T7" i="105"/>
  <c r="T8" i="105" s="1"/>
  <c r="K25" i="105"/>
  <c r="X36" i="110"/>
  <c r="O7" i="105"/>
  <c r="P36" i="110"/>
  <c r="X38" i="110"/>
  <c r="P38" i="110"/>
  <c r="D39" i="133" l="1"/>
  <c r="Y37" i="110"/>
  <c r="D39" i="134"/>
  <c r="D38" i="122"/>
  <c r="F43" i="122"/>
  <c r="G43" i="122" s="1"/>
  <c r="E40" i="122"/>
  <c r="E41" i="133"/>
  <c r="F44" i="133"/>
  <c r="G44" i="133" s="1"/>
  <c r="F44" i="134"/>
  <c r="G44" i="134" s="1"/>
  <c r="E41" i="134"/>
  <c r="K15" i="103"/>
  <c r="K17" i="103"/>
  <c r="L13" i="103"/>
  <c r="L11" i="105"/>
  <c r="Q8" i="105"/>
  <c r="L9" i="105"/>
  <c r="S13" i="105" s="1"/>
  <c r="U7" i="105"/>
  <c r="U8" i="105" s="1"/>
  <c r="U9" i="105" s="1"/>
  <c r="K29" i="105"/>
  <c r="K27" i="105"/>
  <c r="L25" i="105"/>
  <c r="O13" i="103"/>
  <c r="D38" i="134"/>
  <c r="D38" i="133"/>
  <c r="D37" i="122"/>
  <c r="Y36" i="110"/>
  <c r="O25" i="105"/>
  <c r="O9" i="105"/>
  <c r="P7" i="105"/>
  <c r="O11" i="105"/>
  <c r="Y38" i="110"/>
  <c r="D40" i="133"/>
  <c r="D40" i="134"/>
  <c r="D39" i="122"/>
  <c r="E39" i="133" l="1"/>
  <c r="F42" i="133"/>
  <c r="G42" i="133" s="1"/>
  <c r="E39" i="134"/>
  <c r="F42" i="134"/>
  <c r="G42" i="134" s="1"/>
  <c r="E38" i="122"/>
  <c r="F41" i="122"/>
  <c r="G41" i="122" s="1"/>
  <c r="L15" i="103"/>
  <c r="L17" i="103"/>
  <c r="L27" i="105"/>
  <c r="L29" i="105"/>
  <c r="P13" i="103"/>
  <c r="O15" i="103"/>
  <c r="O17" i="103"/>
  <c r="F38" i="134"/>
  <c r="F40" i="134"/>
  <c r="F41" i="134"/>
  <c r="G41" i="134" s="1"/>
  <c r="E38" i="134"/>
  <c r="F39" i="134"/>
  <c r="G39" i="134" s="1"/>
  <c r="F38" i="133"/>
  <c r="E38" i="133"/>
  <c r="F39" i="133"/>
  <c r="G39" i="133" s="1"/>
  <c r="F40" i="133"/>
  <c r="F41" i="133"/>
  <c r="G41" i="133" s="1"/>
  <c r="F40" i="122"/>
  <c r="G40" i="122" s="1"/>
  <c r="F38" i="122"/>
  <c r="E37" i="122"/>
  <c r="F37" i="122"/>
  <c r="F39" i="122"/>
  <c r="O29" i="105"/>
  <c r="P25" i="105"/>
  <c r="O27" i="105"/>
  <c r="P9" i="105"/>
  <c r="P11" i="105"/>
  <c r="E40" i="133"/>
  <c r="F43" i="133"/>
  <c r="G43" i="133" s="1"/>
  <c r="E40" i="134"/>
  <c r="F43" i="134"/>
  <c r="G43" i="134" s="1"/>
  <c r="F42" i="122"/>
  <c r="G42" i="122" s="1"/>
  <c r="E39" i="122"/>
  <c r="G38" i="122" l="1"/>
  <c r="G37" i="122"/>
  <c r="P15" i="103"/>
  <c r="P17" i="103"/>
  <c r="P27" i="105"/>
  <c r="P29" i="105"/>
  <c r="G38" i="134"/>
  <c r="G40" i="134"/>
  <c r="G38" i="133"/>
  <c r="G40" i="133"/>
  <c r="G39" i="122"/>
  <c r="I37" i="110" l="1" a="1"/>
  <c r="J37" i="110" s="1"/>
  <c r="I36" i="110" a="1"/>
  <c r="I39" i="110" a="1"/>
  <c r="F37" i="110" a="1"/>
  <c r="F36" i="110" a="1"/>
  <c r="F39" i="110" a="1"/>
  <c r="I38" i="110" a="1"/>
  <c r="J38" i="110" s="1"/>
  <c r="J36" i="110" l="1"/>
  <c r="O13" i="104"/>
  <c r="K13" i="104"/>
  <c r="J39" i="110"/>
  <c r="L37" i="110"/>
  <c r="G37" i="110"/>
  <c r="G36" i="110"/>
  <c r="L36" i="110"/>
  <c r="K7" i="104"/>
  <c r="L39" i="110"/>
  <c r="G39" i="110"/>
  <c r="F38" i="110" a="1"/>
  <c r="O7" i="104" s="1"/>
  <c r="P13" i="104" l="1"/>
  <c r="O17" i="104"/>
  <c r="O15" i="104"/>
  <c r="L13" i="104"/>
  <c r="K15" i="104"/>
  <c r="K17" i="104"/>
  <c r="D17" i="134"/>
  <c r="D17" i="133"/>
  <c r="D16" i="122"/>
  <c r="M37" i="110"/>
  <c r="P7" i="104"/>
  <c r="O11" i="104"/>
  <c r="O19" i="104"/>
  <c r="O9" i="104"/>
  <c r="D15" i="122"/>
  <c r="M36" i="110"/>
  <c r="D16" i="133"/>
  <c r="D16" i="134"/>
  <c r="L7" i="104"/>
  <c r="K9" i="104"/>
  <c r="K11" i="104"/>
  <c r="K19" i="104"/>
  <c r="K7" i="103"/>
  <c r="D19" i="134"/>
  <c r="M39" i="110"/>
  <c r="D19" i="133"/>
  <c r="D18" i="122"/>
  <c r="L38" i="110"/>
  <c r="G38" i="110"/>
  <c r="P17" i="104" l="1"/>
  <c r="P15" i="104"/>
  <c r="L15" i="104"/>
  <c r="L17" i="104"/>
  <c r="E17" i="134"/>
  <c r="E17" i="133"/>
  <c r="E16" i="122"/>
  <c r="P11" i="104"/>
  <c r="P9" i="104"/>
  <c r="O23" i="104"/>
  <c r="P19" i="104"/>
  <c r="O21" i="104"/>
  <c r="F15" i="122"/>
  <c r="F16" i="122"/>
  <c r="G16" i="122" s="1"/>
  <c r="E15" i="122"/>
  <c r="F17" i="133"/>
  <c r="G17" i="133" s="1"/>
  <c r="E16" i="133"/>
  <c r="F16" i="133"/>
  <c r="G16" i="133" s="1"/>
  <c r="F17" i="134"/>
  <c r="G17" i="134" s="1"/>
  <c r="F16" i="134"/>
  <c r="E16" i="134"/>
  <c r="L9" i="104"/>
  <c r="L11" i="104"/>
  <c r="L19" i="104"/>
  <c r="K21" i="104"/>
  <c r="K23" i="104"/>
  <c r="K49" i="103"/>
  <c r="K11" i="103"/>
  <c r="K9" i="103"/>
  <c r="L7" i="103"/>
  <c r="F22" i="134"/>
  <c r="G22" i="134" s="1"/>
  <c r="E19" i="134"/>
  <c r="F22" i="133"/>
  <c r="G22" i="133" s="1"/>
  <c r="E19" i="133"/>
  <c r="E18" i="122"/>
  <c r="F21" i="122"/>
  <c r="G21" i="122" s="1"/>
  <c r="D18" i="134"/>
  <c r="M38" i="110"/>
  <c r="D18" i="133"/>
  <c r="D17" i="122"/>
  <c r="O7" i="103"/>
  <c r="F20" i="134" l="1"/>
  <c r="G20" i="134" s="1"/>
  <c r="F19" i="134"/>
  <c r="G19" i="134" s="1"/>
  <c r="F18" i="134"/>
  <c r="F20" i="133"/>
  <c r="G20" i="133" s="1"/>
  <c r="F19" i="133"/>
  <c r="G19" i="133" s="1"/>
  <c r="F19" i="122"/>
  <c r="G19" i="122" s="1"/>
  <c r="F18" i="122"/>
  <c r="G18" i="122" s="1"/>
  <c r="F17" i="122"/>
  <c r="P21" i="104"/>
  <c r="P23" i="104"/>
  <c r="L21" i="104"/>
  <c r="L23" i="104"/>
  <c r="K56" i="103"/>
  <c r="K59" i="103" s="1"/>
  <c r="K62" i="103" s="1"/>
  <c r="K66" i="103" s="1"/>
  <c r="K53" i="103"/>
  <c r="K51" i="103"/>
  <c r="L49" i="103"/>
  <c r="L11" i="103"/>
  <c r="L9" i="103"/>
  <c r="F21" i="134"/>
  <c r="G21" i="134" s="1"/>
  <c r="E18" i="134"/>
  <c r="F21" i="133"/>
  <c r="G21" i="133" s="1"/>
  <c r="E18" i="133"/>
  <c r="F18" i="133"/>
  <c r="E17" i="122"/>
  <c r="F20" i="122"/>
  <c r="G20" i="122" s="1"/>
  <c r="O11" i="103"/>
  <c r="P7" i="103"/>
  <c r="O9" i="103"/>
  <c r="G15" i="122"/>
  <c r="G16" i="134"/>
  <c r="G18" i="134" l="1"/>
  <c r="G17" i="122"/>
  <c r="L56" i="103"/>
  <c r="L53" i="103"/>
  <c r="L51" i="103"/>
  <c r="P11" i="103"/>
  <c r="P9" i="103"/>
  <c r="G18" i="133"/>
  <c r="L59" i="103" l="1"/>
  <c r="L62" i="103" s="1"/>
  <c r="L66" i="103" s="1"/>
  <c r="BQ37" i="110" l="1" a="1"/>
  <c r="BR37" i="110" s="1"/>
  <c r="BI37" i="110" s="1"/>
  <c r="AW37" i="110" s="1"/>
  <c r="AN37" i="110" s="1"/>
  <c r="BQ38" i="110" a="1"/>
  <c r="BR38" i="110" s="1"/>
  <c r="BT36" i="110" a="1"/>
  <c r="BT37" i="110" a="1"/>
  <c r="BT38" i="110" a="1"/>
  <c r="BQ36" i="110" l="1" a="1"/>
  <c r="BW36" i="110" s="1"/>
  <c r="O13" i="141"/>
  <c r="BU36" i="110"/>
  <c r="BU37" i="110"/>
  <c r="BW37" i="110"/>
  <c r="BX37" i="110" s="1"/>
  <c r="BW38" i="110"/>
  <c r="BX38" i="110" s="1"/>
  <c r="BU38" i="110"/>
  <c r="O7" i="141" l="1"/>
  <c r="BR36" i="110"/>
  <c r="O15" i="141"/>
  <c r="O17" i="141"/>
  <c r="P13" i="141"/>
  <c r="O31" i="103"/>
  <c r="BX36" i="110"/>
  <c r="O19" i="141" l="1"/>
  <c r="O11" i="141"/>
  <c r="O9" i="141"/>
  <c r="P7" i="141"/>
  <c r="P17" i="141"/>
  <c r="P15" i="141"/>
  <c r="O49" i="103"/>
  <c r="P31" i="103"/>
  <c r="O35" i="103"/>
  <c r="O33" i="103"/>
  <c r="P19" i="141" l="1"/>
  <c r="O23" i="141"/>
  <c r="O21" i="141"/>
  <c r="P11" i="141"/>
  <c r="P9" i="141"/>
  <c r="P49" i="103"/>
  <c r="O51" i="103"/>
  <c r="O56" i="103"/>
  <c r="O59" i="103" s="1"/>
  <c r="O62" i="103" s="1"/>
  <c r="O66" i="103" s="1"/>
  <c r="O53" i="103"/>
  <c r="P35" i="103"/>
  <c r="P33" i="103"/>
  <c r="P21" i="141" l="1"/>
  <c r="P23" i="141"/>
  <c r="P53" i="103"/>
  <c r="P51" i="103"/>
  <c r="P56" i="103"/>
  <c r="P59" i="103" s="1"/>
  <c r="P62" i="103" s="1"/>
  <c r="P66" i="103" s="1"/>
  <c r="BT40" i="110"/>
  <c r="BQ40" i="110"/>
  <c r="BH40" i="110"/>
  <c r="BE40" i="110"/>
  <c r="AY40" i="110"/>
  <c r="AX40" i="110"/>
  <c r="AV40" i="110"/>
  <c r="AU40" i="110"/>
  <c r="AP40" i="110"/>
  <c r="AO40" i="110"/>
  <c r="AM40" i="110"/>
  <c r="AL40" i="110"/>
  <c r="AG40" i="110"/>
  <c r="AD40" i="110"/>
  <c r="AC40" i="110"/>
  <c r="AA40" i="110"/>
  <c r="Z40" i="110"/>
  <c r="U40" i="110"/>
  <c r="T40" i="110"/>
  <c r="R40" i="110"/>
  <c r="Q40" i="110"/>
  <c r="O40" i="110"/>
  <c r="N40" i="110"/>
  <c r="I40" i="110"/>
  <c r="H40" i="110"/>
  <c r="F40" i="110"/>
  <c r="E40" i="110"/>
  <c r="BT39" i="110"/>
  <c r="BQ39" i="110"/>
  <c r="BH39" i="110"/>
  <c r="BE39" i="110"/>
  <c r="AY39" i="110"/>
  <c r="AX39" i="110"/>
  <c r="AV39" i="110"/>
  <c r="AU39" i="110"/>
  <c r="AP39" i="110"/>
  <c r="AO39" i="110"/>
  <c r="AM39" i="110"/>
  <c r="AL39" i="110"/>
  <c r="AG39" i="110"/>
  <c r="AD39" i="110"/>
  <c r="AC39" i="110"/>
  <c r="AA39" i="110"/>
  <c r="Z39" i="110"/>
  <c r="U39" i="110"/>
  <c r="T39" i="110"/>
  <c r="R39" i="110"/>
  <c r="Q39" i="110"/>
  <c r="O39" i="110"/>
  <c r="N39" i="110"/>
  <c r="I39" i="110"/>
  <c r="H39" i="110"/>
  <c r="F39" i="110"/>
  <c r="E39" i="110"/>
  <c r="BT38" i="110"/>
  <c r="BQ38" i="110"/>
  <c r="BH38" i="110"/>
  <c r="BE38" i="110"/>
  <c r="AY38" i="110"/>
  <c r="AX38" i="110"/>
  <c r="AV38" i="110"/>
  <c r="AU38" i="110"/>
  <c r="AP38" i="110"/>
  <c r="AO38" i="110"/>
  <c r="AM38" i="110"/>
  <c r="AL38" i="110"/>
  <c r="AG38" i="110"/>
  <c r="AD38" i="110"/>
  <c r="AC38" i="110"/>
  <c r="AA38" i="110"/>
  <c r="Z38" i="110"/>
  <c r="U38" i="110"/>
  <c r="T38" i="110"/>
  <c r="R38" i="110"/>
  <c r="Q38" i="110"/>
  <c r="O38" i="110"/>
  <c r="N38" i="110"/>
  <c r="I38" i="110"/>
  <c r="H38" i="110"/>
  <c r="F38" i="110"/>
  <c r="E38" i="110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57" i="143"/>
  <c r="N256" i="143"/>
  <c r="N255" i="143"/>
  <c r="N254" i="143"/>
  <c r="N253" i="143"/>
  <c r="N252" i="143"/>
  <c r="N251" i="143"/>
  <c r="N250" i="143"/>
  <c r="N249" i="143"/>
  <c r="N248" i="143"/>
  <c r="N247" i="143"/>
  <c r="N246" i="143"/>
  <c r="N245" i="143"/>
  <c r="N244" i="143"/>
  <c r="N243" i="143"/>
  <c r="N242" i="143"/>
  <c r="N241" i="143"/>
  <c r="N240" i="143"/>
  <c r="N239" i="143"/>
  <c r="N238" i="143"/>
  <c r="N237" i="143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<sst xmlns="http://schemas.openxmlformats.org/spreadsheetml/2006/main" count="14805" uniqueCount="348">
  <si>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</si>
  <si>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</si>
  <si>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</si>
  <si>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</si>
  <si>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</si>
  <si>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</si>
  <si>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</si>
  <si>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</si>
  <si>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</si>
  <si>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</si>
  <si>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</si>
  <si>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</si>
  <si>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</si>
  <si>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</si>
  <si>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</si>
  <si>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</si>
  <si>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</si>
  <si>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</si>
  <si>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</si>
  <si>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</si>
  <si>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</si>
  <si>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</si>
  <si>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</si>
  <si>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</si>
  <si>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</si>
  <si>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</si>
  <si>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</si>
  <si>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</si>
  <si>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</si>
  <si>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</si>
  <si>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</si>
  <si>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</si>
  <si>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</si>
  <si>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</si>
  <si>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</si>
  <si>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</si>
  <si>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</si>
  <si>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</si>
  <si>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</si>
  <si>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</si>
  <si>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</si>
  <si>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</si>
  <si>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</si>
  <si>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</si>
  <si>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</si>
  <si>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</si>
  <si>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</si>
  <si>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</si>
  <si>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</si>
  <si>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</si>
  <si>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</si>
  <si>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</si>
  <si>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</si>
  <si>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</si>
  <si>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</si>
  <si>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</si>
  <si>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</si>
  <si>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</si>
  <si>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</si>
  <si>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</si>
  <si>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</si>
  <si>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</si>
  <si>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</si>
  <si>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</si>
  <si>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</si>
  <si>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</si>
  <si>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</si>
  <si>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</si>
  <si>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</si>
  <si>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</si>
  <si>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</si>
  <si>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</si>
  <si>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</si>
  <si>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</si>
  <si>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</si>
  <si>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</si>
  <si>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</si>
  <si>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</si>
  <si>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</si>
  <si>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</si>
  <si>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</si>
  <si>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</si>
  <si>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</si>
  <si>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</si>
  <si>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</si>
  <si>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</si>
  <si>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</si>
  <si>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</si>
  <si>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</si>
  <si>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</si>
  <si>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</si>
  <si>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</si>
  <si>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</si>
  <si>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</si>
  <si>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</si>
  <si>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</si>
  <si>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</si>
  <si>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</si>
  <si>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</si>
  <si>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</si>
  <si>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</si>
  <si>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36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</si>
  <si>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</si>
  <si>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</si>
  <si>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</si>
  <si>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</si>
  <si>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</si>
  <si>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</si>
  <si>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</si>
  <si>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</si>
  <si>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</si>
  <si>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</si>
  <si>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</si>
  <si>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</si>
  <si>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</si>
  <si>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</si>
  <si>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</si>
  <si>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</si>
  <si>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</si>
  <si>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</si>
  <si>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</si>
  <si>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</si>
  <si>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</si>
  <si>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</si>
  <si>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</si>
  <si>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</si>
  <si>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</si>
  <si>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</si>
  <si>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</si>
  <si>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</si>
  <si>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</si>
  <si>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</si>
  <si>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</si>
  <si>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</si>
  <si>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</si>
  <si>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</si>
  <si>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</si>
  <si>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</si>
  <si>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</si>
  <si>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</si>
  <si>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</si>
  <si>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</si>
  <si>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</si>
  <si>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</si>
  <si>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</si>
  <si>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</si>
  <si>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</si>
  <si>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</si>
  <si>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</si>
  <si>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</si>
  <si>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</si>
  <si>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</si>
  <si>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</si>
  <si>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</si>
  <si>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</si>
  <si>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</si>
  <si>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</si>
  <si>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</si>
  <si>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</si>
  <si>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</si>
  <si>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</si>
  <si>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</si>
  <si>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</si>
  <si>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</si>
  <si>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</si>
  <si>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</si>
  <si>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</si>
  <si>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</si>
  <si>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33</t>
  </si>
  <si>
    <t>Week 34</t>
  </si>
  <si>
    <t>Period 9</t>
  </si>
  <si>
    <t>P9</t>
  </si>
  <si>
    <t>Week 35</t>
  </si>
  <si>
    <t>Week 37</t>
  </si>
  <si>
    <t>Week 38</t>
  </si>
  <si>
    <t>Week 39</t>
  </si>
  <si>
    <t>Period 10</t>
  </si>
  <si>
    <t>Week 40</t>
  </si>
  <si>
    <t>Week 41</t>
  </si>
  <si>
    <t>Week 42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</si>
  <si>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</si>
  <si>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</si>
  <si>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</si>
  <si>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</si>
  <si>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</si>
  <si>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</si>
  <si>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</si>
  <si>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</si>
  <si>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</si>
  <si>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</si>
  <si>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</si>
  <si>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</si>
  <si>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</si>
  <si>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</si>
  <si>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</si>
  <si>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</si>
  <si>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</si>
  <si>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</si>
  <si>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</si>
  <si>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</si>
  <si>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</si>
  <si>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</si>
  <si>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</si>
  <si>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</si>
  <si>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</si>
  <si>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</si>
  <si>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</si>
  <si>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</si>
  <si>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</si>
  <si>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</si>
  <si>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</si>
  <si>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</si>
  <si>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</si>
  <si>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</si>
  <si>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</si>
  <si>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</si>
  <si>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</si>
  <si>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</si>
  <si>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</si>
  <si>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</si>
  <si>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</si>
  <si>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</si>
  <si>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</si>
  <si>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</si>
  <si>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</si>
  <si>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</si>
  <si>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</si>
  <si>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</si>
  <si>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</si>
  <si>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</si>
  <si>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</si>
  <si>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</si>
  <si>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</si>
  <si>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</si>
  <si>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</si>
  <si>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</si>
  <si>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</si>
  <si>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</si>
  <si>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</si>
  <si>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</si>
  <si>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</si>
  <si>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</si>
  <si>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</si>
  <si>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</si>
  <si>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</si>
  <si>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</si>
  <si>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</si>
  <si>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</si>
  <si>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</si>
  <si>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</si>
  <si>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</si>
  <si>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</si>
  <si>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</si>
  <si>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</si>
  <si>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</si>
  <si>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</si>
  <si>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</si>
  <si>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</si>
  <si>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</si>
  <si>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</si>
  <si>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</si>
  <si>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</si>
  <si>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</si>
  <si>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</si>
  <si>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</si>
  <si>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</si>
  <si>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</si>
  <si>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</si>
  <si>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</si>
  <si>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</si>
  <si>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</si>
  <si>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</si>
  <si>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Week -51</t>
  </si>
  <si>
    <t>Retail Mila</t>
  </si>
  <si>
    <t>Week -50</t>
  </si>
  <si>
    <t>Food Brunch - Packages</t>
  </si>
  <si>
    <t>Week -49</t>
  </si>
  <si>
    <t>Wine</t>
  </si>
  <si>
    <t>Week -48</t>
  </si>
  <si>
    <t>Bottled Beer</t>
  </si>
  <si>
    <t>Week -47</t>
  </si>
  <si>
    <t>Liquor</t>
  </si>
  <si>
    <t>Week -46</t>
  </si>
  <si>
    <t>N/A Beverages</t>
  </si>
  <si>
    <t>Week -45</t>
  </si>
  <si>
    <t>Food</t>
  </si>
  <si>
    <t>Week -44</t>
  </si>
  <si>
    <t>Wine BTG</t>
  </si>
  <si>
    <t>Week -43</t>
  </si>
  <si>
    <t>Wine Reserve</t>
  </si>
  <si>
    <t>Week -42</t>
  </si>
  <si>
    <t>RETAIL</t>
  </si>
  <si>
    <t>Week -41</t>
  </si>
  <si>
    <t>No Sales Category Assigned</t>
  </si>
  <si>
    <t>Week -40</t>
  </si>
  <si>
    <t>Week -39</t>
  </si>
  <si>
    <t>Week -38</t>
  </si>
  <si>
    <t>Week -37</t>
  </si>
  <si>
    <t>Week -36</t>
  </si>
  <si>
    <t>Week -35</t>
  </si>
  <si>
    <t>Week -34</t>
  </si>
  <si>
    <t>Week -33</t>
  </si>
  <si>
    <t>Week -32</t>
  </si>
  <si>
    <t>Week -31</t>
  </si>
  <si>
    <t>Week -30</t>
  </si>
  <si>
    <t>Week -29</t>
  </si>
  <si>
    <t>Week -28</t>
  </si>
  <si>
    <t>Week -27</t>
  </si>
  <si>
    <t>Week -26</t>
  </si>
  <si>
    <t>Week -25</t>
  </si>
  <si>
    <t>Week -24</t>
  </si>
  <si>
    <t>Week -23</t>
  </si>
  <si>
    <t>Week -22</t>
  </si>
  <si>
    <t>Week -21</t>
  </si>
  <si>
    <t>Week -20</t>
  </si>
  <si>
    <t>Week -19</t>
  </si>
  <si>
    <t>Week -18</t>
  </si>
  <si>
    <t>Week -17</t>
  </si>
  <si>
    <t>Week -16</t>
  </si>
  <si>
    <t>Week -15</t>
  </si>
  <si>
    <t>Week -14</t>
  </si>
  <si>
    <t>Week -13</t>
  </si>
  <si>
    <t>Week -12</t>
  </si>
  <si>
    <t>Week -11</t>
  </si>
  <si>
    <t>Week -10</t>
  </si>
  <si>
    <t>Week -9</t>
  </si>
  <si>
    <t>Week -8</t>
  </si>
  <si>
    <t>Week -7</t>
  </si>
  <si>
    <t>Week -6</t>
  </si>
  <si>
    <t>Week -5</t>
  </si>
  <si>
    <t>Week -4</t>
  </si>
  <si>
    <t>Week -3</t>
  </si>
  <si>
    <t>Week -2</t>
  </si>
  <si>
    <t>Week -1</t>
  </si>
  <si>
    <t>Week 0</t>
  </si>
  <si>
    <t>Custom Amount Refunds</t>
  </si>
  <si>
    <t>Food Brunch - Cold Dishes</t>
  </si>
  <si>
    <t>Retail MM Mila</t>
  </si>
  <si>
    <t>Retail Ava</t>
  </si>
  <si>
    <t>NA Beverage</t>
  </si>
  <si>
    <t>Retail MM Ava</t>
  </si>
  <si>
    <t>Retail</t>
  </si>
  <si>
    <t>Docking Fees</t>
  </si>
  <si>
    <t>Wine by the Glass</t>
  </si>
  <si>
    <t>Other Sales</t>
  </si>
  <si>
    <t>Cancellation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</si>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</sst>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35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43" fontId="84" fillId="0" borderId="0" xfId="0" applyNumberFormat="1" applyFont="1"/>
    <xf numFmtId="43" fontId="88" fillId="0" borderId="0" xfId="0" applyNumberFormat="1" applyFont="1"/>
    <xf numFmtId="0" fontId="37" fillId="2" borderId="0" xfId="3" applyFont="1" applyFill="1" applyAlignment="1">
      <alignment horizontal="center" vertic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23" fillId="4" borderId="0" xfId="3" applyFont="1" applyFill="1" applyAlignment="1">
      <alignment horizontal="center" vertic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11" fillId="2" borderId="0" xfId="3" applyFill="1" applyAlignment="1">
      <alignment horizontal="center"/>
    </xf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0" fontId="49" fillId="0" borderId="0" xfId="8" applyFont="1" applyFill="1" applyAlignment="1">
      <alignment horizontal="center"/>
    </xf>
    <xf numFmtId="167" fontId="53" fillId="0" borderId="0" xfId="6" applyNumberFormat="1" applyFont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5.xml"/><Relationship Id="rId47" Type="http://schemas.openxmlformats.org/officeDocument/2006/relationships/externalLink" Target="externalLinks/externalLink10.xml"/><Relationship Id="rId50" Type="http://schemas.openxmlformats.org/officeDocument/2006/relationships/connections" Target="connections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3.xml"/><Relationship Id="rId45" Type="http://schemas.openxmlformats.org/officeDocument/2006/relationships/externalLink" Target="externalLinks/externalLink8.xml"/><Relationship Id="rId53" Type="http://schemas.openxmlformats.org/officeDocument/2006/relationships/sheetMetadata" Target="metadata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6.xml"/><Relationship Id="rId48" Type="http://schemas.openxmlformats.org/officeDocument/2006/relationships/externalLink" Target="externalLinks/externalLink11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46" Type="http://schemas.openxmlformats.org/officeDocument/2006/relationships/externalLink" Target="externalLinks/externalLink9.xml"/><Relationship Id="rId59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4.xml"/><Relationship Id="rId54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7.xml"/><Relationship Id="rId5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10P22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269</v>
          </cell>
          <cell r="AR47">
            <v>3781</v>
          </cell>
        </row>
        <row r="48">
          <cell r="I48" t="str">
            <v>P8</v>
          </cell>
          <cell r="AA48">
            <v>1224</v>
          </cell>
          <cell r="AR48">
            <v>14215</v>
          </cell>
        </row>
        <row r="49">
          <cell r="I49" t="str">
            <v>Week 35</v>
          </cell>
          <cell r="AA49">
            <v>324</v>
          </cell>
          <cell r="AR49">
            <v>3342</v>
          </cell>
        </row>
        <row r="50">
          <cell r="I50" t="str">
            <v>Week 36</v>
          </cell>
          <cell r="AA50">
            <v>307</v>
          </cell>
          <cell r="AR50">
            <v>3306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631</v>
          </cell>
          <cell r="AR54">
            <v>6648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10P22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</sheetNames>
    <sheetDataSet>
      <sheetData sheetId="0"/>
      <sheetData sheetId="1"/>
      <sheetData sheetId="2"/>
      <sheetData sheetId="3">
        <row r="6">
          <cell r="B6">
            <v>46020</v>
          </cell>
        </row>
      </sheetData>
      <sheetData sheetId="4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417</v>
          </cell>
          <cell r="BI33">
            <v>762</v>
          </cell>
        </row>
        <row r="34">
          <cell r="I34" t="str">
            <v>Week 23</v>
          </cell>
          <cell r="AA34">
            <v>72</v>
          </cell>
          <cell r="AR34">
            <v>338</v>
          </cell>
          <cell r="BI34">
            <v>593</v>
          </cell>
        </row>
        <row r="35">
          <cell r="I35" t="str">
            <v>Week 24</v>
          </cell>
          <cell r="AA35">
            <v>47</v>
          </cell>
          <cell r="AR35">
            <v>198</v>
          </cell>
          <cell r="BI35">
            <v>562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562</v>
          </cell>
        </row>
        <row r="37">
          <cell r="I37" t="str">
            <v>Week 26</v>
          </cell>
          <cell r="AA37">
            <v>61</v>
          </cell>
          <cell r="AR37">
            <v>263</v>
          </cell>
          <cell r="BI37">
            <v>781</v>
          </cell>
        </row>
        <row r="38">
          <cell r="I38" t="str">
            <v>P6</v>
          </cell>
          <cell r="AA38">
            <v>293</v>
          </cell>
          <cell r="AR38">
            <v>1441</v>
          </cell>
          <cell r="BI38">
            <v>3260</v>
          </cell>
        </row>
        <row r="39">
          <cell r="I39" t="str">
            <v>Week 27</v>
          </cell>
          <cell r="AA39">
            <v>74</v>
          </cell>
          <cell r="AR39">
            <v>194</v>
          </cell>
          <cell r="BI39">
            <v>654</v>
          </cell>
        </row>
        <row r="40">
          <cell r="I40" t="str">
            <v>Week 28</v>
          </cell>
          <cell r="AA40">
            <v>82</v>
          </cell>
          <cell r="AR40">
            <v>321</v>
          </cell>
          <cell r="BI40">
            <v>682</v>
          </cell>
        </row>
        <row r="41">
          <cell r="I41" t="str">
            <v>Week 29</v>
          </cell>
          <cell r="AA41">
            <v>82</v>
          </cell>
          <cell r="AR41">
            <v>236</v>
          </cell>
          <cell r="BI41">
            <v>684</v>
          </cell>
        </row>
        <row r="42">
          <cell r="I42" t="str">
            <v>Week 30</v>
          </cell>
          <cell r="AA42">
            <v>76</v>
          </cell>
          <cell r="AR42">
            <v>284</v>
          </cell>
          <cell r="BI42">
            <v>621</v>
          </cell>
        </row>
        <row r="43">
          <cell r="I43" t="str">
            <v>P7</v>
          </cell>
          <cell r="AA43">
            <v>314</v>
          </cell>
          <cell r="AR43">
            <v>1035</v>
          </cell>
          <cell r="BI43">
            <v>2641</v>
          </cell>
        </row>
        <row r="44">
          <cell r="I44" t="str">
            <v>Week 31</v>
          </cell>
          <cell r="AA44">
            <v>70</v>
          </cell>
          <cell r="AR44">
            <v>219</v>
          </cell>
          <cell r="BI44">
            <v>482</v>
          </cell>
        </row>
        <row r="45">
          <cell r="I45" t="str">
            <v>Week 32</v>
          </cell>
          <cell r="AA45">
            <v>76</v>
          </cell>
          <cell r="AR45">
            <v>249</v>
          </cell>
          <cell r="BI45">
            <v>531</v>
          </cell>
        </row>
        <row r="46">
          <cell r="I46" t="str">
            <v>Week 33</v>
          </cell>
          <cell r="AA46">
            <v>63</v>
          </cell>
          <cell r="AR46">
            <v>283</v>
          </cell>
          <cell r="BI46">
            <v>470</v>
          </cell>
        </row>
        <row r="47">
          <cell r="I47" t="str">
            <v>Week 34</v>
          </cell>
          <cell r="AA47">
            <v>54</v>
          </cell>
          <cell r="AR47">
            <v>258</v>
          </cell>
          <cell r="BI47">
            <v>608</v>
          </cell>
        </row>
        <row r="48">
          <cell r="I48" t="str">
            <v>P8</v>
          </cell>
          <cell r="AA48">
            <v>263</v>
          </cell>
          <cell r="AR48">
            <v>1009</v>
          </cell>
          <cell r="BI48">
            <v>2091</v>
          </cell>
        </row>
        <row r="49">
          <cell r="I49" t="str">
            <v>Week 35</v>
          </cell>
          <cell r="AA49">
            <v>83</v>
          </cell>
          <cell r="AR49">
            <v>227</v>
          </cell>
          <cell r="BI49">
            <v>632</v>
          </cell>
        </row>
        <row r="50">
          <cell r="I50" t="str">
            <v>Week 36</v>
          </cell>
          <cell r="AA50">
            <v>63</v>
          </cell>
          <cell r="AR50">
            <v>249</v>
          </cell>
          <cell r="BI50">
            <v>611</v>
          </cell>
        </row>
        <row r="51">
          <cell r="I51" t="str">
            <v>Week 37</v>
          </cell>
          <cell r="AA51">
            <v>0</v>
          </cell>
          <cell r="AR51">
            <v>0</v>
          </cell>
          <cell r="BI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  <cell r="BI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146</v>
          </cell>
          <cell r="AR54">
            <v>476</v>
          </cell>
          <cell r="BI54">
            <v>1243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/>
      <sheetData sheetId="6"/>
      <sheetData sheetId="7"/>
      <sheetData sheetId="8"/>
      <sheetData sheetId="9"/>
      <sheetData sheetId="10">
        <row r="7">
          <cell r="H7" t="str">
            <v>Week 1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10P22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</sheetNames>
    <sheetDataSet>
      <sheetData sheetId="0"/>
      <sheetData sheetId="1"/>
      <sheetData sheetId="2">
        <row r="7">
          <cell r="D7" t="str">
            <v>Week 1</v>
          </cell>
        </row>
      </sheetData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205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180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131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706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195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165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77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101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538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145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163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158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832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113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140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191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142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586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181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170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145</v>
          </cell>
        </row>
        <row r="47">
          <cell r="I47" t="str">
            <v>Week 34</v>
          </cell>
          <cell r="AA47">
            <v>290</v>
          </cell>
          <cell r="AR47">
            <v>2014</v>
          </cell>
          <cell r="BI47">
            <v>269</v>
          </cell>
        </row>
        <row r="48">
          <cell r="I48" t="str">
            <v>P8</v>
          </cell>
          <cell r="AA48">
            <v>1199</v>
          </cell>
          <cell r="AR48">
            <v>6918</v>
          </cell>
          <cell r="BI48">
            <v>765</v>
          </cell>
        </row>
        <row r="49">
          <cell r="I49" t="str">
            <v>Week 35</v>
          </cell>
          <cell r="AA49">
            <v>335</v>
          </cell>
          <cell r="AR49">
            <v>1869</v>
          </cell>
          <cell r="BI49">
            <v>211</v>
          </cell>
        </row>
        <row r="50">
          <cell r="I50" t="str">
            <v>Week 36</v>
          </cell>
          <cell r="AA50">
            <v>325</v>
          </cell>
          <cell r="AR50">
            <v>1985</v>
          </cell>
          <cell r="BI50">
            <v>235</v>
          </cell>
        </row>
        <row r="51">
          <cell r="I51" t="str">
            <v>Week 37</v>
          </cell>
          <cell r="AA51">
            <v>0</v>
          </cell>
          <cell r="AR51">
            <v>0</v>
          </cell>
          <cell r="BI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  <cell r="BI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660</v>
          </cell>
          <cell r="AR54">
            <v>3854</v>
          </cell>
          <cell r="BI54">
            <v>446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1P22"/>
      <sheetName val="2P22"/>
      <sheetName val="3P22"/>
      <sheetName val="10P22"/>
      <sheetName val="11P22"/>
      <sheetName val="12P22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4P22"/>
      <sheetName val="5P22"/>
      <sheetName val="6P22"/>
      <sheetName val="7P22"/>
      <sheetName val="8P22"/>
      <sheetName val="9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7">
          <cell r="D7" t="str">
            <v>Week 1</v>
          </cell>
        </row>
      </sheetData>
      <sheetData sheetId="10"/>
      <sheetData sheetId="11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2144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1270</v>
          </cell>
          <cell r="AR37">
            <v>2583</v>
          </cell>
        </row>
        <row r="38">
          <cell r="I38" t="str">
            <v>P6</v>
          </cell>
          <cell r="AA38">
            <v>5473</v>
          </cell>
          <cell r="AR38">
            <v>12830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1198</v>
          </cell>
          <cell r="AR40">
            <v>2488</v>
          </cell>
        </row>
        <row r="41">
          <cell r="I41" t="str">
            <v>Week 29</v>
          </cell>
          <cell r="AA41">
            <v>729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3557</v>
          </cell>
          <cell r="AR43">
            <v>9604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548</v>
          </cell>
          <cell r="AR45">
            <v>2173</v>
          </cell>
        </row>
        <row r="46">
          <cell r="I46" t="str">
            <v>Week 33</v>
          </cell>
          <cell r="AA46">
            <v>661</v>
          </cell>
          <cell r="AR46">
            <v>1920</v>
          </cell>
        </row>
        <row r="47">
          <cell r="I47" t="str">
            <v>Week 34</v>
          </cell>
          <cell r="AA47">
            <v>631</v>
          </cell>
          <cell r="AR47">
            <v>2046</v>
          </cell>
        </row>
        <row r="48">
          <cell r="I48" t="str">
            <v>P8</v>
          </cell>
          <cell r="AA48">
            <v>2676</v>
          </cell>
          <cell r="AR48">
            <v>8206</v>
          </cell>
        </row>
        <row r="49">
          <cell r="I49" t="str">
            <v>Week 35</v>
          </cell>
          <cell r="AA49">
            <v>727</v>
          </cell>
          <cell r="AR49">
            <v>1897</v>
          </cell>
        </row>
        <row r="50">
          <cell r="I50" t="str">
            <v>Week 36</v>
          </cell>
          <cell r="AA50">
            <v>748</v>
          </cell>
          <cell r="AR50">
            <v>1820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1475</v>
          </cell>
          <cell r="AR54">
            <v>3717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12"/>
      <sheetData sheetId="13"/>
      <sheetData sheetId="14"/>
      <sheetData sheetId="15">
        <row r="7">
          <cell r="AR7">
            <v>5.6959979583518547E-2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30">
          <cell r="BD30">
            <v>0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10P22"/>
      <sheetName val="11P22"/>
      <sheetName val="DASHBOARD"/>
      <sheetName val="DAILY SALES"/>
      <sheetName val="COVERS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422</v>
          </cell>
          <cell r="AR47">
            <v>1914</v>
          </cell>
        </row>
        <row r="48">
          <cell r="I48" t="str">
            <v>P8</v>
          </cell>
          <cell r="AA48">
            <v>1530</v>
          </cell>
          <cell r="AR48">
            <v>7017</v>
          </cell>
        </row>
        <row r="49">
          <cell r="I49" t="str">
            <v>Week 35</v>
          </cell>
          <cell r="AA49">
            <v>317</v>
          </cell>
          <cell r="AR49">
            <v>1714</v>
          </cell>
        </row>
        <row r="50">
          <cell r="I50" t="str">
            <v>Week 36</v>
          </cell>
          <cell r="AA50">
            <v>316</v>
          </cell>
          <cell r="AR50">
            <v>1677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633</v>
          </cell>
          <cell r="AR54">
            <v>3391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10P22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INCOME"/>
      <sheetName val="OTHER G&amp;A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382</v>
          </cell>
          <cell r="AR47">
            <v>1544</v>
          </cell>
        </row>
        <row r="48">
          <cell r="I48" t="str">
            <v>P8</v>
          </cell>
          <cell r="AA48">
            <v>1544</v>
          </cell>
          <cell r="AR48">
            <v>5506</v>
          </cell>
        </row>
        <row r="49">
          <cell r="I49" t="str">
            <v>Week 35</v>
          </cell>
          <cell r="AA49">
            <v>318</v>
          </cell>
          <cell r="AR49">
            <v>1545</v>
          </cell>
        </row>
        <row r="50">
          <cell r="I50" t="str">
            <v>Week 36</v>
          </cell>
          <cell r="AA50">
            <v>384</v>
          </cell>
          <cell r="AR50">
            <v>1386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702</v>
          </cell>
          <cell r="AR54">
            <v>2931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46</v>
          </cell>
          <cell r="AR58">
            <v>0</v>
          </cell>
        </row>
        <row r="59">
          <cell r="I59" t="str">
            <v>P10</v>
          </cell>
          <cell r="AA59">
            <v>46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3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10P22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4P22"/>
      <sheetName val="5P22"/>
      <sheetName val="6P22"/>
      <sheetName val="7P22"/>
      <sheetName val="8P22"/>
      <sheetName val="9P22"/>
      <sheetName val="SALES DROP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315</v>
          </cell>
          <cell r="AR47">
            <v>395</v>
          </cell>
        </row>
        <row r="48">
          <cell r="I48" t="str">
            <v>P8</v>
          </cell>
          <cell r="AA48">
            <v>925</v>
          </cell>
          <cell r="AR48">
            <v>1712</v>
          </cell>
        </row>
        <row r="49">
          <cell r="I49" t="str">
            <v>Week 35</v>
          </cell>
          <cell r="AA49">
            <v>237</v>
          </cell>
          <cell r="AR49">
            <v>307</v>
          </cell>
        </row>
        <row r="50">
          <cell r="I50" t="str">
            <v>Week 36</v>
          </cell>
          <cell r="AA50">
            <v>217</v>
          </cell>
          <cell r="AR50">
            <v>303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454</v>
          </cell>
          <cell r="AR54">
            <v>610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57" totalsRowShown="0" headerRowDxfId="276" headerRowBorderDxfId="274" tableBorderDxfId="275">
  <autoFilter ref="H5:N257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617" tableType="queryTable" totalsRowShown="0" headerRowDxfId="234" dataDxfId="233">
  <autoFilter ref="A1:G617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94" tableType="queryTable" totalsRowShown="0" headerRowDxfId="225" dataDxfId="224">
  <autoFilter ref="I1:O94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48" tableType="queryTable" totalsRowShown="0" headerRowDxfId="216" dataDxfId="215">
  <autoFilter ref="Q1:AA348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181" tableType="queryTable" totalsRowShown="0" headerRowDxfId="203" dataDxfId="202">
  <autoFilter ref="A1:G181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179" tableType="queryTable" totalsRowShown="0" headerRowDxfId="194" dataDxfId="193">
  <autoFilter ref="I1:O179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193" tableType="queryTable" totalsRowShown="0" headerRowDxfId="185" dataDxfId="184">
  <autoFilter ref="Q1:W193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2" tableType="queryTable" totalsRowShown="0" headerRowDxfId="176" dataDxfId="175">
  <autoFilter ref="Y1:AI312" xr:uid="{71BED49A-A848-4094-9ABE-C740ACFF0004}"/>
  <sortState xmlns:xlrd2="http://schemas.microsoft.com/office/spreadsheetml/2017/richdata2" ref="Y2:AI312">
    <sortCondition ref="AA1:AA312"/>
  </sortState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53" tableType="queryTable" totalsRowShown="0" headerRowDxfId="163" dataDxfId="162">
  <autoFilter ref="A1:G253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73" tableType="queryTable" totalsRowShown="0" headerRowDxfId="154" dataDxfId="153">
  <autoFilter ref="I1:O73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170" tableType="queryTable" totalsRowShown="0" headerRowDxfId="145" dataDxfId="144">
  <autoFilter ref="Q1:W170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241" tableType="queryTable" totalsRowShown="0" headerRowDxfId="136" dataDxfId="135">
  <autoFilter ref="Y1:AI241" xr:uid="{5A1A5769-3623-4606-A27D-6167CFA520CC}"/>
  <sortState xmlns:xlrd2="http://schemas.microsoft.com/office/spreadsheetml/2017/richdata2" ref="Y2:AI241">
    <sortCondition ref="AA1:AA241"/>
  </sortState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41" tableType="queryTable" totalsRowShown="0" headerRowDxfId="123" dataDxfId="122">
  <autoFilter ref="A1:G241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31" tableType="queryTable" totalsRowShown="0" headerRowDxfId="114" dataDxfId="113">
  <autoFilter ref="I1:O131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89" tableType="queryTable" totalsRowShown="0" headerRowDxfId="105" dataDxfId="104">
  <autoFilter ref="Q1:AA289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195" tableType="queryTable" totalsRowShown="0" headerRowDxfId="92" dataDxfId="91">
  <autoFilter ref="A1:G195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571" tableType="queryTable" totalsRowShown="0" headerRowDxfId="83" dataDxfId="82">
  <autoFilter ref="I1:O571" xr:uid="{3FFCF514-AEAC-443C-BA54-881DBC7A869F}"/>
  <sortState xmlns:xlrd2="http://schemas.microsoft.com/office/spreadsheetml/2017/richdata2" ref="I2:O571">
    <sortCondition ref="M1:M571"/>
  </sortState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59" tableType="queryTable" totalsRowShown="0" headerRowDxfId="74" dataDxfId="73">
  <autoFilter ref="Q1:AA259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45" tableType="queryTable" totalsRowShown="0" headerRowDxfId="61" dataDxfId="60">
  <autoFilter ref="A1:G245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71" tableType="queryTable" totalsRowShown="0" headerRowDxfId="52" dataDxfId="51">
  <autoFilter ref="I1:O71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65" tableType="queryTable" totalsRowShown="0" headerRowDxfId="43" dataDxfId="42">
  <autoFilter ref="Q1:AA265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42" tableType="queryTable" totalsRowShown="0" headerRowDxfId="30" dataDxfId="29">
  <autoFilter ref="A1:G142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94" tableType="queryTable" totalsRowShown="0" headerRowDxfId="21" dataDxfId="20">
  <autoFilter ref="I1:O94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79" tableType="queryTable" totalsRowShown="0" headerRowDxfId="12" dataDxfId="11">
  <autoFilter ref="Q1:AA279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398" t="str">
        <f>CONCATENATE("Riviera Dining Group - Profit &amp; Loss",)</f>
        <v>Riviera Dining Group - Profit &amp; Loss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  <c r="S2" s="399"/>
      <c r="T2" s="399"/>
      <c r="U2" s="399"/>
      <c r="V2" s="399"/>
      <c r="W2" s="399"/>
      <c r="X2" s="399"/>
      <c r="Y2" s="399"/>
      <c r="Z2" s="399"/>
      <c r="AA2" s="399"/>
      <c r="AB2" s="399"/>
      <c r="AC2" s="399"/>
      <c r="AD2" s="399"/>
      <c r="AE2" s="399"/>
      <c r="AF2" s="399"/>
      <c r="AG2" s="399"/>
      <c r="AH2" s="399"/>
      <c r="AI2" s="399"/>
      <c r="AK2" s="407" t="s">
        <v>0</v>
      </c>
      <c r="AL2" s="408"/>
      <c r="AM2" s="408"/>
      <c r="AN2" s="408"/>
      <c r="AO2" s="408"/>
      <c r="AP2" s="408"/>
      <c r="AQ2" s="408"/>
      <c r="AR2" s="408"/>
      <c r="AU2" s="407" t="s">
        <v>1</v>
      </c>
      <c r="AV2" s="408"/>
      <c r="AW2" s="408"/>
      <c r="AX2" s="408"/>
      <c r="AY2" s="408"/>
      <c r="AZ2" s="408"/>
      <c r="BA2" s="408"/>
      <c r="BB2" s="408"/>
      <c r="BC2" s="408"/>
      <c r="BD2" s="408"/>
      <c r="BE2" s="408"/>
      <c r="BF2" s="408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VLOOKUP($D9,'[4]REF #'!$C:$E,2,FALSE)</f>
        <v>#REF!</v>
      </c>
      <c r="C9" s="7" t="e">
        <f>VLOOKUP($D9,'[4]REF #'!$C:$E,3,FALSE)</f>
        <v>#REF!</v>
      </c>
      <c r="D9" s="52" t="e">
        <f>+#REF!</f>
        <v>#REF!</v>
      </c>
      <c r="F9" s="409" t="s">
        <v>6</v>
      </c>
      <c r="G9" s="409"/>
      <c r="H9" s="409"/>
      <c r="I9" s="409"/>
      <c r="J9" s="409"/>
      <c r="K9" s="409"/>
      <c r="L9" s="409"/>
      <c r="M9" s="409"/>
      <c r="N9" s="409"/>
      <c r="O9" s="409"/>
      <c r="P9" s="409"/>
      <c r="Q9" s="409"/>
      <c r="R9" s="409"/>
      <c r="S9" s="409"/>
      <c r="T9" s="409"/>
      <c r="U9" s="409"/>
      <c r="V9" s="409"/>
      <c r="W9" s="94"/>
      <c r="X9" s="413" t="s">
        <v>7</v>
      </c>
      <c r="Y9" s="413"/>
      <c r="Z9" s="413"/>
      <c r="AA9" s="413"/>
      <c r="AB9" s="413"/>
      <c r="AC9" s="413"/>
      <c r="AD9" s="413"/>
      <c r="AE9" s="413"/>
      <c r="AF9" s="413"/>
      <c r="AG9" s="413"/>
      <c r="AH9" s="413"/>
      <c r="AI9" s="71"/>
      <c r="AK9" s="402" t="e">
        <f>+D3</f>
        <v>#REF!</v>
      </c>
      <c r="AL9" s="402"/>
      <c r="AM9" s="402" t="e">
        <f>+D4</f>
        <v>#REF!</v>
      </c>
      <c r="AN9" s="402"/>
      <c r="AO9" s="402" t="e">
        <f>+D5</f>
        <v>#REF!</v>
      </c>
      <c r="AP9" s="402"/>
      <c r="AQ9" s="402" t="e">
        <f>+D6</f>
        <v>#REF!</v>
      </c>
      <c r="AR9" s="402"/>
      <c r="AU9" s="402" t="e">
        <f>+D3</f>
        <v>#REF!</v>
      </c>
      <c r="AV9" s="402"/>
      <c r="AW9" s="402"/>
      <c r="AX9" s="402"/>
      <c r="AY9" s="402" t="e">
        <f>+D4</f>
        <v>#REF!</v>
      </c>
      <c r="AZ9" s="402"/>
      <c r="BA9" s="402"/>
      <c r="BB9" s="402"/>
      <c r="BC9" s="402" t="e">
        <f>+D5</f>
        <v>#REF!</v>
      </c>
      <c r="BD9" s="402"/>
      <c r="BE9" s="402"/>
      <c r="BF9" s="402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6" t="s">
        <v>8</v>
      </c>
      <c r="G11" s="396"/>
      <c r="H11" s="67"/>
      <c r="I11" s="396" t="s">
        <v>9</v>
      </c>
      <c r="J11" s="396"/>
      <c r="K11" s="396"/>
      <c r="L11" s="67"/>
      <c r="M11" s="396" t="s">
        <v>10</v>
      </c>
      <c r="N11" s="396"/>
      <c r="O11" s="396"/>
      <c r="P11" s="67"/>
      <c r="Q11" s="396" t="s">
        <v>11</v>
      </c>
      <c r="R11" s="396"/>
      <c r="S11" s="396"/>
      <c r="T11" s="10"/>
      <c r="U11" s="9"/>
      <c r="X11" s="396" t="s">
        <v>12</v>
      </c>
      <c r="Y11" s="396"/>
      <c r="Z11" s="396"/>
      <c r="AA11" s="67"/>
      <c r="AB11" s="396" t="s">
        <v>13</v>
      </c>
      <c r="AC11" s="396"/>
      <c r="AD11" s="396"/>
      <c r="AE11" s="396" t="s">
        <v>10</v>
      </c>
      <c r="AF11" s="396"/>
      <c r="AG11" s="396" t="s">
        <v>14</v>
      </c>
      <c r="AH11" s="396"/>
      <c r="AI11" s="10"/>
      <c r="AK11" s="397" t="s">
        <v>15</v>
      </c>
      <c r="AL11" s="397"/>
      <c r="AM11" s="397" t="s">
        <v>15</v>
      </c>
      <c r="AN11" s="397"/>
      <c r="AO11" s="397" t="s">
        <v>15</v>
      </c>
      <c r="AP11" s="397"/>
      <c r="AQ11" s="397" t="s">
        <v>15</v>
      </c>
      <c r="AR11" s="397"/>
      <c r="AU11" s="396">
        <v>2023</v>
      </c>
      <c r="AV11" s="396"/>
      <c r="AW11" s="397" t="s">
        <v>15</v>
      </c>
      <c r="AX11" s="397"/>
      <c r="AY11" s="396">
        <v>2023</v>
      </c>
      <c r="AZ11" s="396"/>
      <c r="BA11" s="397" t="s">
        <v>15</v>
      </c>
      <c r="BB11" s="397"/>
      <c r="BC11" s="396">
        <v>2023</v>
      </c>
      <c r="BD11" s="396"/>
      <c r="BE11" s="397" t="s">
        <v>15</v>
      </c>
      <c r="BF11" s="397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403" t="s">
        <v>55</v>
      </c>
      <c r="G46" s="403"/>
      <c r="H46" s="403"/>
      <c r="I46" s="403"/>
      <c r="J46" s="403"/>
      <c r="K46" s="403"/>
      <c r="L46" s="403"/>
      <c r="M46" s="403"/>
      <c r="N46" s="403"/>
      <c r="O46" s="403"/>
      <c r="P46" s="403"/>
      <c r="Q46" s="403"/>
      <c r="R46" s="403"/>
      <c r="S46" s="403"/>
      <c r="T46" s="403"/>
      <c r="U46" s="403"/>
      <c r="V46" s="403"/>
      <c r="W46" s="403"/>
      <c r="X46" s="403"/>
      <c r="Y46" s="403"/>
      <c r="Z46" s="403"/>
      <c r="AA46" s="403"/>
      <c r="AB46" s="403"/>
      <c r="AC46" s="403"/>
      <c r="AD46" s="403"/>
      <c r="AE46" s="403"/>
      <c r="AF46" s="403"/>
      <c r="AG46" s="81"/>
    </row>
    <row r="47" spans="2:58">
      <c r="D47" s="82" t="s">
        <v>56</v>
      </c>
      <c r="E47" s="75"/>
      <c r="F47" s="403" t="s">
        <v>57</v>
      </c>
      <c r="G47" s="403"/>
      <c r="H47" s="403"/>
      <c r="I47" s="403"/>
      <c r="J47" s="403"/>
      <c r="K47" s="403"/>
      <c r="L47" s="403"/>
      <c r="M47" s="403"/>
      <c r="N47" s="403"/>
      <c r="O47" s="403"/>
      <c r="P47" s="403"/>
      <c r="Q47" s="403"/>
      <c r="R47" s="403"/>
      <c r="S47" s="403"/>
      <c r="T47" s="403"/>
      <c r="U47" s="403"/>
      <c r="V47" s="403"/>
      <c r="W47" s="403"/>
      <c r="X47" s="403"/>
      <c r="Y47" s="403"/>
      <c r="Z47" s="403"/>
      <c r="AA47" s="403"/>
      <c r="AB47" s="403"/>
      <c r="AC47" s="403"/>
      <c r="AD47" s="403"/>
      <c r="AE47" s="403"/>
      <c r="AF47" s="403"/>
      <c r="AG47" s="81"/>
    </row>
    <row r="48" spans="2:58">
      <c r="D48" s="82" t="s">
        <v>31</v>
      </c>
      <c r="E48" s="75"/>
      <c r="F48" s="403" t="s">
        <v>58</v>
      </c>
      <c r="G48" s="403"/>
      <c r="H48" s="403"/>
      <c r="I48" s="403"/>
      <c r="J48" s="403"/>
      <c r="K48" s="403"/>
      <c r="L48" s="403"/>
      <c r="M48" s="403"/>
      <c r="N48" s="403"/>
      <c r="O48" s="403"/>
      <c r="P48" s="403"/>
      <c r="Q48" s="403"/>
      <c r="R48" s="403"/>
      <c r="S48" s="403"/>
      <c r="T48" s="403"/>
      <c r="U48" s="403"/>
      <c r="V48" s="403"/>
      <c r="W48" s="403"/>
      <c r="X48" s="403"/>
      <c r="Y48" s="403"/>
      <c r="Z48" s="403"/>
      <c r="AA48" s="403"/>
      <c r="AB48" s="403"/>
      <c r="AC48" s="403"/>
      <c r="AD48" s="403"/>
      <c r="AE48" s="403"/>
      <c r="AF48" s="403"/>
      <c r="AG48" s="81"/>
    </row>
    <row r="49" spans="2:35">
      <c r="D49" s="82" t="s">
        <v>34</v>
      </c>
      <c r="E49" s="75"/>
      <c r="F49" s="403" t="s">
        <v>59</v>
      </c>
      <c r="G49" s="403"/>
      <c r="H49" s="403"/>
      <c r="I49" s="403"/>
      <c r="J49" s="403"/>
      <c r="K49" s="403"/>
      <c r="L49" s="403"/>
      <c r="M49" s="403"/>
      <c r="N49" s="403"/>
      <c r="O49" s="403"/>
      <c r="P49" s="403"/>
      <c r="Q49" s="403"/>
      <c r="R49" s="403"/>
      <c r="S49" s="403"/>
      <c r="T49" s="403"/>
      <c r="U49" s="403"/>
      <c r="V49" s="403"/>
      <c r="W49" s="403"/>
      <c r="X49" s="403"/>
      <c r="Y49" s="403"/>
      <c r="Z49" s="403"/>
      <c r="AA49" s="403"/>
      <c r="AB49" s="403"/>
      <c r="AC49" s="403"/>
      <c r="AD49" s="403"/>
      <c r="AE49" s="403"/>
      <c r="AF49" s="403"/>
      <c r="AG49" s="81"/>
    </row>
    <row r="50" spans="2:35">
      <c r="D50" s="82" t="s">
        <v>36</v>
      </c>
      <c r="E50" s="75"/>
      <c r="F50" s="403" t="s">
        <v>60</v>
      </c>
      <c r="G50" s="403"/>
      <c r="H50" s="403"/>
      <c r="I50" s="403"/>
      <c r="J50" s="403"/>
      <c r="K50" s="403"/>
      <c r="L50" s="403"/>
      <c r="M50" s="403"/>
      <c r="N50" s="403"/>
      <c r="O50" s="403"/>
      <c r="P50" s="403"/>
      <c r="Q50" s="403"/>
      <c r="R50" s="403"/>
      <c r="S50" s="403"/>
      <c r="T50" s="403"/>
      <c r="U50" s="403"/>
      <c r="V50" s="403"/>
      <c r="W50" s="403"/>
      <c r="X50" s="403"/>
      <c r="Y50" s="403"/>
      <c r="Z50" s="403"/>
      <c r="AA50" s="403"/>
      <c r="AB50" s="403"/>
      <c r="AC50" s="403"/>
      <c r="AD50" s="403"/>
      <c r="AE50" s="403"/>
      <c r="AF50" s="403"/>
      <c r="AG50" s="81"/>
    </row>
    <row r="51" spans="2:35">
      <c r="D51" s="83" t="s">
        <v>38</v>
      </c>
      <c r="E51" s="75"/>
      <c r="F51" s="403"/>
      <c r="G51" s="403"/>
      <c r="H51" s="403"/>
      <c r="I51" s="403"/>
      <c r="J51" s="403"/>
      <c r="K51" s="403"/>
      <c r="L51" s="403"/>
      <c r="M51" s="403"/>
      <c r="N51" s="403"/>
      <c r="O51" s="403"/>
      <c r="P51" s="403"/>
      <c r="Q51" s="403"/>
      <c r="R51" s="403"/>
      <c r="S51" s="403"/>
      <c r="T51" s="403"/>
      <c r="U51" s="403"/>
      <c r="V51" s="403"/>
      <c r="W51" s="403"/>
      <c r="X51" s="403"/>
      <c r="Y51" s="403"/>
      <c r="Z51" s="403"/>
      <c r="AA51" s="403"/>
      <c r="AB51" s="403"/>
      <c r="AC51" s="403"/>
      <c r="AD51" s="403"/>
      <c r="AE51" s="403"/>
      <c r="AF51" s="403"/>
      <c r="AG51" s="81"/>
    </row>
    <row r="52" spans="2:35" ht="15.75" thickBot="1">
      <c r="D52" s="84"/>
      <c r="E52" s="85"/>
      <c r="F52" s="404"/>
      <c r="G52" s="404"/>
      <c r="H52" s="404"/>
      <c r="I52" s="404"/>
      <c r="J52" s="404"/>
      <c r="K52" s="404"/>
      <c r="L52" s="404"/>
      <c r="M52" s="404"/>
      <c r="N52" s="404"/>
      <c r="O52" s="404"/>
      <c r="P52" s="404"/>
      <c r="Q52" s="404"/>
      <c r="R52" s="404"/>
      <c r="S52" s="404"/>
      <c r="T52" s="404"/>
      <c r="U52" s="404"/>
      <c r="V52" s="404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410"/>
      <c r="G53" s="410"/>
      <c r="H53" s="410"/>
      <c r="I53" s="410"/>
      <c r="J53" s="410"/>
      <c r="K53" s="410"/>
      <c r="L53" s="410"/>
      <c r="M53" s="410"/>
      <c r="N53" s="410"/>
      <c r="O53" s="410"/>
      <c r="P53" s="410"/>
      <c r="Q53" s="410"/>
      <c r="R53" s="410"/>
      <c r="S53" s="410"/>
      <c r="T53" s="410"/>
      <c r="U53" s="410"/>
      <c r="V53" s="410"/>
      <c r="W53" s="69"/>
    </row>
    <row r="54" spans="2:35">
      <c r="F54" s="410"/>
      <c r="G54" s="410"/>
      <c r="H54" s="410"/>
      <c r="I54" s="410"/>
      <c r="J54" s="410"/>
      <c r="K54" s="410"/>
      <c r="L54" s="410"/>
      <c r="M54" s="410"/>
      <c r="N54" s="410"/>
      <c r="O54" s="410"/>
      <c r="P54" s="410"/>
      <c r="Q54" s="410"/>
      <c r="R54" s="410"/>
      <c r="S54" s="410"/>
      <c r="T54" s="410"/>
      <c r="U54" s="410"/>
      <c r="V54" s="410"/>
      <c r="W54" s="69"/>
    </row>
    <row r="55" spans="2:35">
      <c r="F55" s="410"/>
      <c r="G55" s="410"/>
      <c r="H55" s="410"/>
      <c r="I55" s="410"/>
      <c r="J55" s="410"/>
      <c r="K55" s="410"/>
      <c r="L55" s="410"/>
      <c r="M55" s="410"/>
      <c r="N55" s="410"/>
      <c r="O55" s="410"/>
      <c r="P55" s="410"/>
      <c r="Q55" s="410"/>
      <c r="R55" s="410"/>
      <c r="S55" s="410"/>
      <c r="T55" s="410"/>
      <c r="U55" s="410"/>
      <c r="V55" s="410"/>
      <c r="W55" s="69"/>
    </row>
    <row r="56" spans="2:35" ht="17.649999999999999" hidden="1" customHeight="1">
      <c r="B56" s="46"/>
      <c r="D56" s="13" t="s">
        <v>61</v>
      </c>
      <c r="F56" s="411">
        <v>0.88166666666666671</v>
      </c>
      <c r="G56" s="411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11">
        <v>0.88166666666666671</v>
      </c>
      <c r="Y56" s="411"/>
      <c r="Z56" s="411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12" t="e">
        <f>F34*F56</f>
        <v>#REF!</v>
      </c>
      <c r="G57" s="412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12" t="e">
        <f>X34*X56</f>
        <v>#REF!</v>
      </c>
      <c r="Y57" s="412"/>
      <c r="Z57" s="412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5" t="str">
        <f>CONCATENATE("MILA Lounge - Profit &amp; Loss",)</f>
        <v>MILA Lounge - Profit &amp; Loss</v>
      </c>
      <c r="E76" s="406"/>
      <c r="F76" s="406"/>
      <c r="G76" s="406"/>
      <c r="H76" s="406"/>
      <c r="I76" s="406"/>
      <c r="J76" s="406"/>
      <c r="K76" s="406"/>
      <c r="L76" s="406"/>
      <c r="M76" s="406"/>
      <c r="N76" s="406"/>
      <c r="O76" s="406"/>
      <c r="P76" s="406"/>
      <c r="Q76" s="406"/>
      <c r="R76" s="406"/>
      <c r="S76" s="406"/>
      <c r="T76" s="406"/>
      <c r="U76" s="406"/>
      <c r="V76" s="406"/>
      <c r="W76" s="406"/>
      <c r="X76" s="406"/>
      <c r="Y76" s="406"/>
      <c r="Z76" s="406"/>
      <c r="AA76" s="406"/>
      <c r="AB76" s="406"/>
      <c r="AC76" s="406"/>
      <c r="AD76" s="406"/>
      <c r="AE76" s="406"/>
      <c r="AF76" s="406"/>
      <c r="AG76" s="406"/>
      <c r="AI76" s="74"/>
      <c r="AK76" s="407" t="s">
        <v>0</v>
      </c>
      <c r="AL76" s="408"/>
      <c r="AM76" s="408"/>
      <c r="AN76" s="408"/>
      <c r="AO76" s="408"/>
      <c r="AP76" s="408"/>
      <c r="AQ76" s="408"/>
      <c r="AR76" s="408"/>
      <c r="AU76" s="407" t="s">
        <v>1</v>
      </c>
      <c r="AV76" s="408"/>
      <c r="AW76" s="408"/>
      <c r="AX76" s="408"/>
      <c r="AY76" s="408"/>
      <c r="AZ76" s="408"/>
      <c r="BA76" s="408"/>
      <c r="BB76" s="408"/>
      <c r="BC76" s="408"/>
      <c r="BD76" s="408"/>
      <c r="BE76" s="408"/>
      <c r="BF76" s="408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409" t="str">
        <f>+F9</f>
        <v>MTD</v>
      </c>
      <c r="G81" s="409"/>
      <c r="H81" s="409"/>
      <c r="I81" s="409"/>
      <c r="J81" s="409"/>
      <c r="K81" s="409"/>
      <c r="L81" s="409"/>
      <c r="M81" s="409"/>
      <c r="N81" s="409"/>
      <c r="O81" s="409"/>
      <c r="P81" s="409"/>
      <c r="Q81" s="409"/>
      <c r="R81" s="409"/>
      <c r="S81" s="409"/>
      <c r="T81" s="409"/>
      <c r="U81" s="409"/>
      <c r="V81" s="409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402" t="e">
        <f>+AK9</f>
        <v>#REF!</v>
      </c>
      <c r="AL81" s="402"/>
      <c r="AM81" s="402" t="e">
        <f>+AM9</f>
        <v>#REF!</v>
      </c>
      <c r="AN81" s="402"/>
      <c r="AO81" s="402" t="e">
        <f>+AO9</f>
        <v>#REF!</v>
      </c>
      <c r="AP81" s="402"/>
      <c r="AQ81" s="402" t="e">
        <f>+AQ9</f>
        <v>#REF!</v>
      </c>
      <c r="AR81" s="402"/>
      <c r="AU81" s="402" t="e">
        <f>+AU9</f>
        <v>#REF!</v>
      </c>
      <c r="AV81" s="402"/>
      <c r="AW81" s="402"/>
      <c r="AX81" s="402"/>
      <c r="AY81" s="402" t="e">
        <f>+AY9</f>
        <v>#REF!</v>
      </c>
      <c r="AZ81" s="402"/>
      <c r="BA81" s="402"/>
      <c r="BB81" s="402"/>
      <c r="BC81" s="402" t="e">
        <f>+BC9</f>
        <v>#REF!</v>
      </c>
      <c r="BD81" s="402"/>
      <c r="BE81" s="402"/>
      <c r="BF81" s="402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6" t="str">
        <f>+F11</f>
        <v>MILA 3F</v>
      </c>
      <c r="G83" s="396"/>
      <c r="H83" s="67"/>
      <c r="I83" s="396" t="str">
        <f>+I11</f>
        <v>MILA 2F</v>
      </c>
      <c r="J83" s="396"/>
      <c r="K83" s="396"/>
      <c r="L83" s="67"/>
      <c r="M83" s="396" t="str">
        <f>+M11</f>
        <v>AVA</v>
      </c>
      <c r="N83" s="396"/>
      <c r="O83" s="396"/>
      <c r="P83" s="67"/>
      <c r="Q83" s="396" t="str">
        <f>+Q11</f>
        <v>CASA NEOS</v>
      </c>
      <c r="R83" s="396"/>
      <c r="S83" s="396"/>
      <c r="T83" s="10"/>
      <c r="U83" s="9"/>
      <c r="X83" s="396" t="str">
        <f>+X11</f>
        <v>MILA</v>
      </c>
      <c r="Y83" s="396"/>
      <c r="Z83" s="396"/>
      <c r="AA83" s="67"/>
      <c r="AB83" s="396" t="str">
        <f>+AB11</f>
        <v>MILA MM</v>
      </c>
      <c r="AC83" s="396"/>
      <c r="AD83" s="396"/>
      <c r="AE83" s="396" t="str">
        <f>+AE11</f>
        <v>AVA</v>
      </c>
      <c r="AF83" s="396"/>
      <c r="AG83" s="396" t="str">
        <f>+AG11</f>
        <v>BAOLI</v>
      </c>
      <c r="AH83" s="396"/>
      <c r="AI83" s="10"/>
      <c r="AK83" s="397" t="s">
        <v>15</v>
      </c>
      <c r="AL83" s="397"/>
      <c r="AM83" s="397" t="s">
        <v>15</v>
      </c>
      <c r="AN83" s="397"/>
      <c r="AO83" s="397" t="s">
        <v>15</v>
      </c>
      <c r="AP83" s="397"/>
      <c r="AQ83" s="397" t="s">
        <v>15</v>
      </c>
      <c r="AR83" s="397"/>
      <c r="AU83" s="396">
        <v>2023</v>
      </c>
      <c r="AV83" s="396"/>
      <c r="AW83" s="397" t="s">
        <v>15</v>
      </c>
      <c r="AX83" s="397"/>
      <c r="AY83" s="396">
        <v>2023</v>
      </c>
      <c r="AZ83" s="396"/>
      <c r="BA83" s="397" t="s">
        <v>15</v>
      </c>
      <c r="BB83" s="397"/>
      <c r="BC83" s="396">
        <v>2023</v>
      </c>
      <c r="BD83" s="396"/>
      <c r="BE83" s="397" t="s">
        <v>15</v>
      </c>
      <c r="BF83" s="397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403"/>
      <c r="G116" s="403"/>
      <c r="H116" s="403"/>
      <c r="I116" s="403"/>
      <c r="J116" s="403"/>
      <c r="K116" s="403"/>
      <c r="L116" s="403"/>
      <c r="M116" s="403"/>
      <c r="N116" s="403"/>
      <c r="O116" s="403"/>
      <c r="P116" s="403"/>
      <c r="Q116" s="403"/>
      <c r="R116" s="403"/>
      <c r="S116" s="403"/>
      <c r="T116" s="403"/>
      <c r="U116" s="403"/>
      <c r="V116" s="403"/>
      <c r="W116" s="403"/>
      <c r="X116" s="403"/>
      <c r="Y116" s="403"/>
      <c r="Z116" s="403"/>
      <c r="AA116" s="403"/>
      <c r="AB116" s="403"/>
      <c r="AC116" s="403"/>
      <c r="AD116" s="403"/>
      <c r="AE116" s="403"/>
      <c r="AF116" s="403"/>
      <c r="AG116" s="81"/>
    </row>
    <row r="117" spans="4:35" ht="14.65" hidden="1" customHeight="1" outlineLevel="1">
      <c r="D117" s="82" t="s">
        <v>56</v>
      </c>
      <c r="E117" s="75"/>
      <c r="F117" s="403" t="s">
        <v>66</v>
      </c>
      <c r="G117" s="403"/>
      <c r="H117" s="403"/>
      <c r="I117" s="403"/>
      <c r="J117" s="403"/>
      <c r="K117" s="403"/>
      <c r="L117" s="403"/>
      <c r="M117" s="403"/>
      <c r="N117" s="403"/>
      <c r="O117" s="403"/>
      <c r="P117" s="403"/>
      <c r="Q117" s="403"/>
      <c r="R117" s="403"/>
      <c r="S117" s="403"/>
      <c r="T117" s="403"/>
      <c r="U117" s="403"/>
      <c r="V117" s="403"/>
      <c r="W117" s="403"/>
      <c r="X117" s="403"/>
      <c r="Y117" s="403"/>
      <c r="Z117" s="403"/>
      <c r="AA117" s="403"/>
      <c r="AB117" s="403"/>
      <c r="AC117" s="403"/>
      <c r="AD117" s="403"/>
      <c r="AE117" s="403"/>
      <c r="AF117" s="403"/>
      <c r="AG117" s="81"/>
    </row>
    <row r="118" spans="4:35" ht="14.65" hidden="1" customHeight="1" outlineLevel="1">
      <c r="D118" s="82" t="s">
        <v>31</v>
      </c>
      <c r="E118" s="75"/>
      <c r="F118" s="403" t="s">
        <v>58</v>
      </c>
      <c r="G118" s="403"/>
      <c r="H118" s="403"/>
      <c r="I118" s="403"/>
      <c r="J118" s="403"/>
      <c r="K118" s="403"/>
      <c r="L118" s="403"/>
      <c r="M118" s="403"/>
      <c r="N118" s="403"/>
      <c r="O118" s="403"/>
      <c r="P118" s="403"/>
      <c r="Q118" s="403"/>
      <c r="R118" s="403"/>
      <c r="S118" s="403"/>
      <c r="T118" s="403"/>
      <c r="U118" s="403"/>
      <c r="V118" s="403"/>
      <c r="W118" s="403"/>
      <c r="X118" s="403"/>
      <c r="Y118" s="403"/>
      <c r="Z118" s="403"/>
      <c r="AA118" s="403"/>
      <c r="AB118" s="403"/>
      <c r="AC118" s="403"/>
      <c r="AD118" s="403"/>
      <c r="AE118" s="403"/>
      <c r="AF118" s="403"/>
      <c r="AG118" s="81"/>
    </row>
    <row r="119" spans="4:35" ht="14.65" hidden="1" customHeight="1" outlineLevel="1">
      <c r="D119" s="82" t="s">
        <v>34</v>
      </c>
      <c r="E119" s="75"/>
      <c r="F119" s="403" t="s">
        <v>67</v>
      </c>
      <c r="G119" s="403"/>
      <c r="H119" s="403"/>
      <c r="I119" s="403"/>
      <c r="J119" s="403"/>
      <c r="K119" s="403"/>
      <c r="L119" s="403"/>
      <c r="M119" s="403"/>
      <c r="N119" s="403"/>
      <c r="O119" s="403"/>
      <c r="P119" s="403"/>
      <c r="Q119" s="403"/>
      <c r="R119" s="403"/>
      <c r="S119" s="403"/>
      <c r="T119" s="403"/>
      <c r="U119" s="403"/>
      <c r="V119" s="403"/>
      <c r="W119" s="403"/>
      <c r="X119" s="403"/>
      <c r="Y119" s="403"/>
      <c r="Z119" s="403"/>
      <c r="AA119" s="403"/>
      <c r="AB119" s="403"/>
      <c r="AC119" s="403"/>
      <c r="AD119" s="403"/>
      <c r="AE119" s="403"/>
      <c r="AF119" s="403"/>
      <c r="AG119" s="81"/>
    </row>
    <row r="120" spans="4:35" ht="14.65" hidden="1" customHeight="1" outlineLevel="1">
      <c r="D120" s="82" t="s">
        <v>36</v>
      </c>
      <c r="E120" s="75"/>
      <c r="F120" s="403" t="s">
        <v>68</v>
      </c>
      <c r="G120" s="403"/>
      <c r="H120" s="403"/>
      <c r="I120" s="403"/>
      <c r="J120" s="403"/>
      <c r="K120" s="403"/>
      <c r="L120" s="403"/>
      <c r="M120" s="403"/>
      <c r="N120" s="403"/>
      <c r="O120" s="403"/>
      <c r="P120" s="403"/>
      <c r="Q120" s="403"/>
      <c r="R120" s="403"/>
      <c r="S120" s="403"/>
      <c r="T120" s="403"/>
      <c r="U120" s="403"/>
      <c r="V120" s="403"/>
      <c r="W120" s="403"/>
      <c r="X120" s="403"/>
      <c r="Y120" s="403"/>
      <c r="Z120" s="403"/>
      <c r="AA120" s="403"/>
      <c r="AB120" s="403"/>
      <c r="AC120" s="403"/>
      <c r="AD120" s="403"/>
      <c r="AE120" s="403"/>
      <c r="AF120" s="403"/>
      <c r="AG120" s="81"/>
    </row>
    <row r="121" spans="4:35" ht="14.65" hidden="1" customHeight="1" outlineLevel="1">
      <c r="D121" s="83" t="s">
        <v>38</v>
      </c>
      <c r="E121" s="75"/>
      <c r="F121" s="403"/>
      <c r="G121" s="403"/>
      <c r="H121" s="403"/>
      <c r="I121" s="403"/>
      <c r="J121" s="403"/>
      <c r="K121" s="403"/>
      <c r="L121" s="403"/>
      <c r="M121" s="403"/>
      <c r="N121" s="403"/>
      <c r="O121" s="403"/>
      <c r="P121" s="403"/>
      <c r="Q121" s="403"/>
      <c r="R121" s="403"/>
      <c r="S121" s="403"/>
      <c r="T121" s="403"/>
      <c r="U121" s="403"/>
      <c r="V121" s="403"/>
      <c r="W121" s="403"/>
      <c r="X121" s="403"/>
      <c r="Y121" s="403"/>
      <c r="Z121" s="403"/>
      <c r="AA121" s="403"/>
      <c r="AB121" s="403"/>
      <c r="AC121" s="403"/>
      <c r="AD121" s="403"/>
      <c r="AE121" s="403"/>
      <c r="AF121" s="403"/>
      <c r="AG121" s="81"/>
    </row>
    <row r="122" spans="4:35" ht="15" hidden="1" customHeight="1" outlineLevel="1" thickBot="1">
      <c r="D122" s="84"/>
      <c r="E122" s="85"/>
      <c r="F122" s="404"/>
      <c r="G122" s="404"/>
      <c r="H122" s="404"/>
      <c r="I122" s="404"/>
      <c r="J122" s="404"/>
      <c r="K122" s="404"/>
      <c r="L122" s="404"/>
      <c r="M122" s="404"/>
      <c r="N122" s="404"/>
      <c r="O122" s="404"/>
      <c r="P122" s="404"/>
      <c r="Q122" s="404"/>
      <c r="R122" s="404"/>
      <c r="S122" s="404"/>
      <c r="T122" s="404"/>
      <c r="U122" s="404"/>
      <c r="V122" s="404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5" t="s">
        <v>69</v>
      </c>
      <c r="E141" s="406"/>
      <c r="F141" s="406"/>
      <c r="G141" s="406"/>
      <c r="H141" s="406"/>
      <c r="I141" s="406"/>
      <c r="J141" s="406"/>
      <c r="K141" s="406"/>
      <c r="L141" s="406"/>
      <c r="M141" s="406"/>
      <c r="N141" s="406"/>
      <c r="O141" s="406"/>
      <c r="P141" s="406"/>
      <c r="Q141" s="406"/>
      <c r="R141" s="406"/>
      <c r="S141" s="406"/>
      <c r="T141" s="406"/>
      <c r="U141" s="406"/>
      <c r="V141" s="406"/>
      <c r="W141" s="406"/>
      <c r="X141" s="406"/>
      <c r="Y141" s="406"/>
      <c r="Z141" s="406"/>
      <c r="AA141" s="406"/>
      <c r="AB141" s="406"/>
      <c r="AC141" s="406"/>
      <c r="AD141" s="406"/>
      <c r="AE141" s="406"/>
      <c r="AF141" s="406"/>
      <c r="AG141" s="406"/>
      <c r="AH141" s="74"/>
      <c r="AK141" s="407" t="s">
        <v>0</v>
      </c>
      <c r="AL141" s="408"/>
      <c r="AM141" s="408"/>
      <c r="AN141" s="408"/>
      <c r="AO141" s="408"/>
      <c r="AP141" s="408"/>
      <c r="AQ141" s="408"/>
      <c r="AR141" s="408"/>
      <c r="AU141" s="407" t="s">
        <v>1</v>
      </c>
      <c r="AV141" s="408"/>
      <c r="AW141" s="408"/>
      <c r="AX141" s="408"/>
      <c r="AY141" s="408"/>
      <c r="AZ141" s="408"/>
      <c r="BA141" s="408"/>
      <c r="BB141" s="408"/>
      <c r="BC141" s="408"/>
      <c r="BD141" s="408"/>
      <c r="BE141" s="408"/>
      <c r="BF141" s="408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409" t="str">
        <f>+F81</f>
        <v>MTD</v>
      </c>
      <c r="G146" s="409"/>
      <c r="H146" s="409"/>
      <c r="I146" s="409"/>
      <c r="J146" s="409"/>
      <c r="K146" s="409"/>
      <c r="L146" s="409"/>
      <c r="M146" s="409"/>
      <c r="N146" s="409"/>
      <c r="O146" s="409"/>
      <c r="P146" s="409"/>
      <c r="Q146" s="409"/>
      <c r="R146" s="409"/>
      <c r="S146" s="409"/>
      <c r="T146" s="409"/>
      <c r="U146" s="409"/>
      <c r="V146" s="409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402" t="e">
        <f>+AK81</f>
        <v>#REF!</v>
      </c>
      <c r="AL146" s="402"/>
      <c r="AM146" s="402" t="e">
        <f>+AM81</f>
        <v>#REF!</v>
      </c>
      <c r="AN146" s="402"/>
      <c r="AO146" s="402" t="e">
        <f>+AO81</f>
        <v>#REF!</v>
      </c>
      <c r="AP146" s="402"/>
      <c r="AQ146" s="402" t="e">
        <f>+AQ81</f>
        <v>#REF!</v>
      </c>
      <c r="AR146" s="402"/>
      <c r="AU146" s="402" t="e">
        <f>+AU81</f>
        <v>#REF!</v>
      </c>
      <c r="AV146" s="402"/>
      <c r="AW146" s="402"/>
      <c r="AX146" s="402"/>
      <c r="AY146" s="402" t="e">
        <f>+AY81</f>
        <v>#REF!</v>
      </c>
      <c r="AZ146" s="402"/>
      <c r="BA146" s="402"/>
      <c r="BB146" s="402"/>
      <c r="BC146" s="402" t="e">
        <f>+BC81</f>
        <v>#REF!</v>
      </c>
      <c r="BD146" s="402"/>
      <c r="BE146" s="402"/>
      <c r="BF146" s="402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6" t="str">
        <f>+F83</f>
        <v>MILA 3F</v>
      </c>
      <c r="G148" s="396"/>
      <c r="H148" s="67"/>
      <c r="I148" s="396" t="str">
        <f>+I83</f>
        <v>MILA 2F</v>
      </c>
      <c r="J148" s="396"/>
      <c r="K148" s="396"/>
      <c r="L148" s="67"/>
      <c r="M148" s="396" t="str">
        <f>+M83</f>
        <v>AVA</v>
      </c>
      <c r="N148" s="396"/>
      <c r="O148" s="396"/>
      <c r="P148" s="67"/>
      <c r="Q148" s="396" t="str">
        <f>+Q83</f>
        <v>CASA NEOS</v>
      </c>
      <c r="R148" s="396"/>
      <c r="S148" s="396"/>
      <c r="T148" s="10"/>
      <c r="U148" s="9"/>
      <c r="X148" s="396" t="str">
        <f>+X83</f>
        <v>MILA</v>
      </c>
      <c r="Y148" s="396"/>
      <c r="Z148" s="396"/>
      <c r="AA148" s="67"/>
      <c r="AB148" s="396" t="str">
        <f>+AB83</f>
        <v>MILA MM</v>
      </c>
      <c r="AC148" s="396"/>
      <c r="AD148" s="396"/>
      <c r="AE148" s="396" t="str">
        <f>+AE83</f>
        <v>AVA</v>
      </c>
      <c r="AF148" s="396"/>
      <c r="AG148" s="396" t="str">
        <f>+AG83</f>
        <v>BAOLI</v>
      </c>
      <c r="AH148" s="396"/>
      <c r="AI148" s="10"/>
      <c r="AK148" s="397" t="s">
        <v>15</v>
      </c>
      <c r="AL148" s="397"/>
      <c r="AM148" s="397" t="s">
        <v>15</v>
      </c>
      <c r="AN148" s="397"/>
      <c r="AO148" s="397" t="s">
        <v>15</v>
      </c>
      <c r="AP148" s="397"/>
      <c r="AQ148" s="397" t="s">
        <v>15</v>
      </c>
      <c r="AR148" s="397"/>
      <c r="AU148" s="396">
        <v>2023</v>
      </c>
      <c r="AV148" s="396"/>
      <c r="AW148" s="397" t="s">
        <v>15</v>
      </c>
      <c r="AX148" s="397"/>
      <c r="AY148" s="396">
        <v>2023</v>
      </c>
      <c r="AZ148" s="396"/>
      <c r="BA148" s="397" t="s">
        <v>15</v>
      </c>
      <c r="BB148" s="397"/>
      <c r="BC148" s="396">
        <v>2023</v>
      </c>
      <c r="BD148" s="396"/>
      <c r="BE148" s="397" t="s">
        <v>15</v>
      </c>
      <c r="BF148" s="397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398" t="str">
        <f>CONCATENATE("Riviera Dining Group - Profit &amp; Loss",)</f>
        <v>Riviera Dining Group - Profit &amp; Loss</v>
      </c>
      <c r="E191" s="399"/>
      <c r="F191" s="399"/>
      <c r="G191" s="399"/>
      <c r="H191" s="399"/>
      <c r="I191" s="399"/>
      <c r="J191" s="399"/>
      <c r="K191" s="399"/>
      <c r="L191" s="399"/>
      <c r="M191" s="399"/>
      <c r="N191" s="399"/>
      <c r="O191" s="399"/>
      <c r="P191" s="399"/>
      <c r="Q191" s="399"/>
      <c r="R191" s="399"/>
      <c r="S191" s="399"/>
      <c r="T191" s="399"/>
      <c r="U191" s="399"/>
      <c r="V191" s="399"/>
      <c r="W191" s="399"/>
      <c r="X191" s="399"/>
      <c r="Y191" s="399"/>
      <c r="Z191" s="399"/>
      <c r="AA191" s="399"/>
      <c r="AB191" s="399"/>
      <c r="AC191" s="399"/>
      <c r="AD191" s="399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395" t="s">
        <v>6</v>
      </c>
      <c r="G193" s="395"/>
      <c r="H193" s="395"/>
      <c r="I193" s="395"/>
      <c r="J193" s="395"/>
      <c r="K193" s="395"/>
      <c r="L193" s="395"/>
      <c r="M193" s="395"/>
      <c r="N193" s="395"/>
      <c r="O193" s="395"/>
      <c r="P193" s="110"/>
      <c r="Q193" s="71"/>
      <c r="R193" s="71"/>
      <c r="S193" s="395" t="s">
        <v>7</v>
      </c>
      <c r="T193" s="395"/>
      <c r="U193" s="395"/>
      <c r="V193" s="395"/>
      <c r="W193" s="395"/>
      <c r="X193" s="395"/>
      <c r="Y193" s="395"/>
      <c r="Z193" s="395"/>
      <c r="AA193" s="395"/>
      <c r="AB193" s="395"/>
      <c r="AC193" s="110"/>
    </row>
    <row r="195" spans="3:52" ht="27" customHeight="1">
      <c r="F195" s="142" t="s">
        <v>77</v>
      </c>
      <c r="G195" s="400" t="s">
        <v>72</v>
      </c>
      <c r="H195" s="401"/>
      <c r="I195" s="400" t="s">
        <v>73</v>
      </c>
      <c r="J195" s="401"/>
      <c r="K195" s="400" t="s">
        <v>74</v>
      </c>
      <c r="L195" s="401"/>
      <c r="M195" s="400" t="s">
        <v>44</v>
      </c>
      <c r="N195" s="401"/>
      <c r="O195" s="400" t="s">
        <v>47</v>
      </c>
      <c r="P195" s="401"/>
      <c r="Q195" s="141"/>
      <c r="R195" s="141"/>
      <c r="S195" s="142" t="s">
        <v>77</v>
      </c>
      <c r="T195" s="400" t="s">
        <v>72</v>
      </c>
      <c r="U195" s="401"/>
      <c r="V195" s="400" t="s">
        <v>73</v>
      </c>
      <c r="W195" s="401"/>
      <c r="X195" s="400" t="s">
        <v>74</v>
      </c>
      <c r="Y195" s="401"/>
      <c r="Z195" s="400" t="s">
        <v>44</v>
      </c>
      <c r="AA195" s="401"/>
      <c r="AB195" s="400" t="s">
        <v>47</v>
      </c>
      <c r="AC195" s="401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390" t="s">
        <v>6</v>
      </c>
      <c r="AM200" s="390"/>
      <c r="AN200" s="390"/>
      <c r="AO200" s="390"/>
      <c r="AP200" s="390"/>
      <c r="AQ200" s="390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390"/>
      <c r="AM201" s="390"/>
      <c r="AN201" s="390"/>
      <c r="AO201" s="390"/>
      <c r="AP201" s="390"/>
      <c r="AQ201" s="390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[3]KPI!$C$6</f>
        <v>15093</v>
      </c>
      <c r="AX204" s="135">
        <f>[3]KPI!$C$24</f>
        <v>4408</v>
      </c>
      <c r="AY204" s="135">
        <f>[3]KPI!$C$62</f>
        <v>7402</v>
      </c>
      <c r="AZ204" s="135">
        <f>[3]KPI!$C$82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[3]KPI!$C$9</f>
        <v>157.8113847478964</v>
      </c>
      <c r="AX205" s="136">
        <f>[3]KPI!$C$28</f>
        <v>276.01779038112528</v>
      </c>
      <c r="AY205" s="136">
        <f>[3]KPI!$C$66</f>
        <v>101.17650770062147</v>
      </c>
      <c r="AZ205" s="136">
        <f>[3]KPI!$C$85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[3]KPI!$C$6</f>
        <v>15093</v>
      </c>
      <c r="AO210" s="140">
        <f>[3]KPI!$C$24</f>
        <v>4408</v>
      </c>
      <c r="AP210" s="140">
        <f>[3]KPI!$C$62</f>
        <v>7402</v>
      </c>
      <c r="AQ210" s="140">
        <f>[3]KPI!$C$82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[3]KPI!$E$6</f>
        <v>170664</v>
      </c>
      <c r="AO224" s="140">
        <f>[3]KPI!$E$24</f>
        <v>49008</v>
      </c>
      <c r="AP224" s="140">
        <f>[3]KPI!$E$62</f>
        <v>93765</v>
      </c>
      <c r="AQ224" s="140">
        <f>[3]KPI!$E$82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[3]KPI!$E$9</f>
        <v>152.7354468429194</v>
      </c>
      <c r="AO225" s="132">
        <f>[3]KPI!$E$28</f>
        <v>284.11783388089265</v>
      </c>
      <c r="AP225" s="132">
        <f>[3]KPI!$E$66</f>
        <v>102.49201237135391</v>
      </c>
      <c r="AQ225" s="132">
        <f>[3]KPI!$E$85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[3]KPI!$C$6</f>
        <v>15093</v>
      </c>
      <c r="I234" s="76">
        <f>[3]KPI!$C$24</f>
        <v>4408</v>
      </c>
      <c r="J234" s="5">
        <f>[3]KPI!$C$62</f>
        <v>7402</v>
      </c>
      <c r="K234" s="5">
        <f>[3]KPI!$C$82</f>
        <v>6461</v>
      </c>
    </row>
    <row r="235" spans="2:43">
      <c r="F235" s="54" t="s">
        <v>82</v>
      </c>
      <c r="H235" s="122">
        <f>[3]KPI!$C$9</f>
        <v>157.8113847478964</v>
      </c>
      <c r="I235" s="123">
        <f>[3]KPI!$C$28</f>
        <v>276.01779038112528</v>
      </c>
      <c r="J235" s="122">
        <f>[3]KPI!$C$66</f>
        <v>101.17650770062147</v>
      </c>
      <c r="K235" s="122">
        <f>[3]KPI!$C$85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I51"/>
  <sheetViews>
    <sheetView showGridLines="0" workbookViewId="0">
      <selection activeCell="L15" sqref="L15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9">
      <c r="B2" s="350" t="s">
        <v>100</v>
      </c>
      <c r="C2" s="382" t="s">
        <v>101</v>
      </c>
    </row>
    <row r="3" spans="2:9">
      <c r="B3" s="350" t="s">
        <v>102</v>
      </c>
      <c r="C3" s="383" t="str" cm="1">
        <f t="array" ref="C3">_xlfn._xlws.FILTER(Table3[Period],Table3[Week '#]=Reconciliation!$C$2,"")</f>
        <v>P9</v>
      </c>
    </row>
    <row r="6" spans="2:9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9">
      <c r="B7" s="369" t="str" cm="1">
        <f t="array" ref="B7:C7">_xlfn.UNIQUE(_xlfn._xlws.FILTER(CHOOSE({1,2},Table6[Week '#],SUMPRODUCT((Table6[Week '#]=Reconciliation!$C$2)*(Table6[Net sales]))),Table6[Week '#]=Reconciliation!$C$2,""))</f>
        <v>Week 36</v>
      </c>
      <c r="C7" s="370">
        <v>2044581.9600000002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2041040.9899999998</v>
      </c>
      <c r="E7" s="371">
        <f>C7-D7</f>
        <v>3540.9700000004377</v>
      </c>
      <c r="G7" s="388"/>
    </row>
    <row r="8" spans="2:9">
      <c r="B8" s="372" t="s">
        <v>106</v>
      </c>
      <c r="C8" s="373"/>
      <c r="D8" s="372"/>
      <c r="E8" s="377" cm="1">
        <f t="array" ref="E8">SUMPRODUCT((Table4[Week '#]=Reconciliation!$C$2)*(Table4[Non-Grat Service $]))</f>
        <v>3540.97</v>
      </c>
    </row>
    <row r="9" spans="2:9">
      <c r="B9" s="374" t="s">
        <v>107</v>
      </c>
      <c r="C9" s="375"/>
      <c r="D9" s="376"/>
      <c r="E9" s="366">
        <f>E7-E8</f>
        <v>4.3792169890366495E-10</v>
      </c>
    </row>
    <row r="10" spans="2:9">
      <c r="C10" s="362"/>
    </row>
    <row r="11" spans="2:9">
      <c r="C11" s="362"/>
    </row>
    <row r="12" spans="2:9">
      <c r="C12" s="362"/>
    </row>
    <row r="13" spans="2:9">
      <c r="B13" s="364" t="s">
        <v>100</v>
      </c>
      <c r="C13" s="378" t="s">
        <v>108</v>
      </c>
      <c r="D13" s="365" t="s">
        <v>103</v>
      </c>
    </row>
    <row r="14" spans="2:9">
      <c r="B14" s="369" t="str" cm="1">
        <f t="array" ref="B14:D20">_xlfn._xlws.FILTER(CHOOSE({1,2,3},Table6[Week '#],Table6[Day of Week],Table6[Net sales]),Table6[Week '#]=Reconciliation!$C$2,"")</f>
        <v>Week 36</v>
      </c>
      <c r="C14" s="370" t="str">
        <v>Monday</v>
      </c>
      <c r="D14" s="375">
        <v>94720.65</v>
      </c>
      <c r="I14" s="362"/>
    </row>
    <row r="15" spans="2:9">
      <c r="B15" s="369" t="str">
        <v>Week 36</v>
      </c>
      <c r="C15" s="370" t="str">
        <v>Tuesday</v>
      </c>
      <c r="D15" s="375">
        <v>104974.41</v>
      </c>
      <c r="I15" s="362"/>
    </row>
    <row r="16" spans="2:9">
      <c r="B16" s="369" t="str">
        <v>Week 36</v>
      </c>
      <c r="C16" s="370" t="str">
        <v>Wednesday</v>
      </c>
      <c r="D16" s="375">
        <v>140846.72</v>
      </c>
      <c r="I16" s="362"/>
    </row>
    <row r="17" spans="2:9">
      <c r="B17" s="369" t="str">
        <v>Week 36</v>
      </c>
      <c r="C17" s="370" t="str">
        <v>Thursday</v>
      </c>
      <c r="D17" s="375">
        <v>194720.52</v>
      </c>
      <c r="I17" s="362"/>
    </row>
    <row r="18" spans="2:9">
      <c r="B18" s="369" t="str">
        <v>Week 36</v>
      </c>
      <c r="C18" s="370" t="str">
        <v>Friday</v>
      </c>
      <c r="D18" s="375">
        <v>449420.54</v>
      </c>
      <c r="I18" s="362"/>
    </row>
    <row r="19" spans="2:9">
      <c r="B19" s="369" t="str">
        <v>Week 36</v>
      </c>
      <c r="C19" s="370" t="str">
        <v>Saturday</v>
      </c>
      <c r="D19" s="375">
        <v>539243.31999999995</v>
      </c>
      <c r="I19" s="362"/>
    </row>
    <row r="20" spans="2:9">
      <c r="B20" s="372" t="str">
        <v>Week 36</v>
      </c>
      <c r="C20" s="373" t="str">
        <v>Sunday</v>
      </c>
      <c r="D20" s="375">
        <v>520655.8</v>
      </c>
      <c r="I20" s="362"/>
    </row>
    <row r="21" spans="2:9">
      <c r="B21" s="381" t="s">
        <v>107</v>
      </c>
      <c r="C21" s="379"/>
      <c r="D21" s="380">
        <f>SUM(D14:D20)</f>
        <v>2044581.9600000002</v>
      </c>
      <c r="I21" s="389"/>
    </row>
    <row r="22" spans="2:9">
      <c r="C22" s="362"/>
    </row>
    <row r="23" spans="2:9">
      <c r="C23" s="362"/>
    </row>
    <row r="24" spans="2:9">
      <c r="C24" s="362"/>
    </row>
    <row r="25" spans="2:9">
      <c r="C25" s="362"/>
    </row>
    <row r="26" spans="2:9">
      <c r="C26" s="362"/>
    </row>
    <row r="27" spans="2:9">
      <c r="C27" s="362"/>
    </row>
    <row r="28" spans="2:9">
      <c r="C28" s="362"/>
    </row>
    <row r="29" spans="2:9">
      <c r="C29" s="362"/>
    </row>
    <row r="30" spans="2:9">
      <c r="C30" s="362"/>
    </row>
    <row r="31" spans="2:9">
      <c r="C31" s="362"/>
    </row>
    <row r="32" spans="2:9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57"/>
  <sheetViews>
    <sheetView showGridLines="0" workbookViewId="0"/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4" width="9.140625" style="343"/>
    <col min="15" max="15" width="9.28515625" style="343" customWidth="1"/>
    <col min="16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168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168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169</v>
      </c>
      <c r="D39" s="353">
        <f t="shared" si="2"/>
        <v>46251</v>
      </c>
      <c r="E39" s="354">
        <f>Table3[[#This Row],[Start Date]]+6</f>
        <v>46257</v>
      </c>
      <c r="F39" s="350" t="s">
        <v>170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169</v>
      </c>
      <c r="R39" s="353">
        <v>46251</v>
      </c>
      <c r="S39" s="354">
        <v>46257</v>
      </c>
      <c r="T39" s="362">
        <v>5552.87</v>
      </c>
    </row>
    <row r="40" spans="2:20" ht="12">
      <c r="B40" s="346" t="s">
        <v>171</v>
      </c>
      <c r="C40" s="347" t="s">
        <v>172</v>
      </c>
      <c r="D40" s="348">
        <f t="shared" si="2"/>
        <v>46258</v>
      </c>
      <c r="E40" s="349">
        <f>Table3[[#This Row],[Start Date]]+6</f>
        <v>46264</v>
      </c>
      <c r="F40" s="350" t="s">
        <v>170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171</v>
      </c>
      <c r="Q40" s="343" t="s">
        <v>172</v>
      </c>
      <c r="R40" s="348">
        <v>46258</v>
      </c>
      <c r="S40" s="349">
        <v>46264</v>
      </c>
      <c r="T40" s="362">
        <v>4550.49</v>
      </c>
    </row>
    <row r="41" spans="2:20" ht="12">
      <c r="B41" s="351" t="s">
        <v>171</v>
      </c>
      <c r="C41" s="352" t="s">
        <v>101</v>
      </c>
      <c r="D41" s="353">
        <f t="shared" si="2"/>
        <v>46265</v>
      </c>
      <c r="E41" s="354">
        <f>Table3[[#This Row],[Start Date]]+6</f>
        <v>46271</v>
      </c>
      <c r="F41" s="350" t="s">
        <v>170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171</v>
      </c>
      <c r="Q41" s="343" t="s">
        <v>101</v>
      </c>
      <c r="R41" s="353">
        <v>46265</v>
      </c>
      <c r="S41" s="354">
        <v>46271</v>
      </c>
      <c r="T41" s="362">
        <v>3540.97</v>
      </c>
    </row>
    <row r="42" spans="2:20" ht="12">
      <c r="B42" s="346" t="s">
        <v>171</v>
      </c>
      <c r="C42" s="347" t="s">
        <v>173</v>
      </c>
      <c r="D42" s="348">
        <f t="shared" si="2"/>
        <v>46272</v>
      </c>
      <c r="E42" s="349">
        <f>Table3[[#This Row],[Start Date]]+6</f>
        <v>46278</v>
      </c>
      <c r="F42" s="350" t="s">
        <v>170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171</v>
      </c>
      <c r="Q42" s="343" t="s">
        <v>173</v>
      </c>
      <c r="R42" s="348">
        <v>46272</v>
      </c>
      <c r="S42" s="349">
        <v>46278</v>
      </c>
      <c r="T42" s="362"/>
    </row>
    <row r="43" spans="2:20" ht="12">
      <c r="B43" s="351" t="s">
        <v>171</v>
      </c>
      <c r="C43" s="352" t="s">
        <v>174</v>
      </c>
      <c r="D43" s="353">
        <f t="shared" si="2"/>
        <v>46279</v>
      </c>
      <c r="E43" s="354">
        <f>Table3[[#This Row],[Start Date]]+6</f>
        <v>46285</v>
      </c>
      <c r="F43" s="350" t="s">
        <v>170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171</v>
      </c>
      <c r="Q43" s="343" t="s">
        <v>174</v>
      </c>
      <c r="R43" s="353">
        <v>46279</v>
      </c>
      <c r="S43" s="354">
        <v>46285</v>
      </c>
      <c r="T43" s="362"/>
    </row>
    <row r="44" spans="2:20" ht="12">
      <c r="B44" s="346" t="s">
        <v>171</v>
      </c>
      <c r="C44" s="347" t="s">
        <v>175</v>
      </c>
      <c r="D44" s="348">
        <f t="shared" si="2"/>
        <v>46286</v>
      </c>
      <c r="E44" s="349">
        <f>Table3[[#This Row],[Start Date]]+6</f>
        <v>46292</v>
      </c>
      <c r="F44" s="350" t="s">
        <v>176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171</v>
      </c>
      <c r="Q44" s="343" t="s">
        <v>175</v>
      </c>
      <c r="R44" s="348">
        <v>46286</v>
      </c>
      <c r="S44" s="349">
        <v>46292</v>
      </c>
      <c r="T44" s="362"/>
    </row>
    <row r="45" spans="2:20" ht="12">
      <c r="B45" s="351" t="s">
        <v>76</v>
      </c>
      <c r="C45" s="352" t="s">
        <v>177</v>
      </c>
      <c r="D45" s="353">
        <f t="shared" si="2"/>
        <v>46293</v>
      </c>
      <c r="E45" s="354">
        <f>Table3[[#This Row],[Start Date]]+6</f>
        <v>46299</v>
      </c>
      <c r="F45" s="350" t="s">
        <v>176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177</v>
      </c>
      <c r="R45" s="353">
        <v>46293</v>
      </c>
      <c r="S45" s="354">
        <v>46299</v>
      </c>
      <c r="T45" s="362"/>
    </row>
    <row r="46" spans="2:20" ht="12">
      <c r="B46" s="346" t="s">
        <v>76</v>
      </c>
      <c r="C46" s="347" t="s">
        <v>178</v>
      </c>
      <c r="D46" s="348">
        <f t="shared" si="2"/>
        <v>46300</v>
      </c>
      <c r="E46" s="349">
        <f>Table3[[#This Row],[Start Date]]+6</f>
        <v>46306</v>
      </c>
      <c r="F46" s="350" t="s">
        <v>176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178</v>
      </c>
      <c r="R46" s="348">
        <v>46300</v>
      </c>
      <c r="S46" s="349">
        <v>46306</v>
      </c>
      <c r="T46" s="362"/>
    </row>
    <row r="47" spans="2:20" ht="12">
      <c r="B47" s="351" t="s">
        <v>76</v>
      </c>
      <c r="C47" s="352" t="s">
        <v>179</v>
      </c>
      <c r="D47" s="353">
        <f t="shared" si="2"/>
        <v>46307</v>
      </c>
      <c r="E47" s="354">
        <f>Table3[[#This Row],[Start Date]]+6</f>
        <v>46313</v>
      </c>
      <c r="F47" s="350" t="s">
        <v>176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179</v>
      </c>
      <c r="R47" s="353">
        <v>46307</v>
      </c>
      <c r="S47" s="354">
        <v>46313</v>
      </c>
      <c r="T47" s="362"/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  <row r="237" spans="8:14">
      <c r="H237" s="343">
        <v>20260817</v>
      </c>
      <c r="I237" s="362">
        <v>99798.77</v>
      </c>
      <c r="J237" s="343">
        <v>427</v>
      </c>
      <c r="K237" s="343">
        <v>1959</v>
      </c>
      <c r="L237" s="363">
        <f t="shared" ref="L237:L243" si="38">DATE(LEFT(H237,4),MID(H237,5,2),RIGHT(H237,2))</f>
        <v>46251</v>
      </c>
      <c r="M237" s="350" t="str">
        <f t="shared" ref="M237:M243" si="39">TEXT(L237,"DDDD")</f>
        <v>Monday</v>
      </c>
      <c r="N237" s="350" t="str" cm="1">
        <f t="array" ref="N237">_xlfn._xlws.FILTER(Table3[Week '#],(Table3[Start Date]&lt;=Table6[[#This Row],[Date]])*(Table3[End Date]&gt;=Table6[[#This Row],[Date]]),"")</f>
        <v>Week 34</v>
      </c>
    </row>
    <row r="238" spans="8:14">
      <c r="H238" s="343">
        <v>20260818</v>
      </c>
      <c r="I238" s="362">
        <v>170377.19</v>
      </c>
      <c r="J238" s="343">
        <v>549</v>
      </c>
      <c r="K238" s="343">
        <v>1461</v>
      </c>
      <c r="L238" s="363">
        <f t="shared" si="38"/>
        <v>46252</v>
      </c>
      <c r="M238" s="350" t="str">
        <f t="shared" si="39"/>
        <v>Tuesday</v>
      </c>
      <c r="N238" s="350" t="str" cm="1">
        <f t="array" ref="N238">_xlfn._xlws.FILTER(Table3[Week '#],(Table3[Start Date]&lt;=Table6[[#This Row],[Date]])*(Table3[End Date]&gt;=Table6[[#This Row],[Date]]),"")</f>
        <v>Week 34</v>
      </c>
    </row>
    <row r="239" spans="8:14">
      <c r="H239" s="343">
        <v>20260819</v>
      </c>
      <c r="I239" s="362">
        <v>179832.09</v>
      </c>
      <c r="J239" s="343">
        <v>813</v>
      </c>
      <c r="K239" s="343">
        <v>2889</v>
      </c>
      <c r="L239" s="363">
        <f t="shared" si="38"/>
        <v>46253</v>
      </c>
      <c r="M239" s="350" t="str">
        <f t="shared" si="39"/>
        <v>Wednesday</v>
      </c>
      <c r="N239" s="350" t="str" cm="1">
        <f t="array" ref="N239">_xlfn._xlws.FILTER(Table3[Week '#],(Table3[Start Date]&lt;=Table6[[#This Row],[Date]])*(Table3[End Date]&gt;=Table6[[#This Row],[Date]]),"")</f>
        <v>Week 34</v>
      </c>
    </row>
    <row r="240" spans="8:14">
      <c r="H240" s="343">
        <v>20260820</v>
      </c>
      <c r="I240" s="362">
        <v>295283.89</v>
      </c>
      <c r="J240" s="343">
        <v>1321</v>
      </c>
      <c r="K240" s="343">
        <v>2821</v>
      </c>
      <c r="L240" s="363">
        <f t="shared" si="38"/>
        <v>46254</v>
      </c>
      <c r="M240" s="350" t="str">
        <f t="shared" si="39"/>
        <v>Thursday</v>
      </c>
      <c r="N240" s="350" t="str" cm="1">
        <f t="array" ref="N240">_xlfn._xlws.FILTER(Table3[Week '#],(Table3[Start Date]&lt;=Table6[[#This Row],[Date]])*(Table3[End Date]&gt;=Table6[[#This Row],[Date]]),"")</f>
        <v>Week 34</v>
      </c>
    </row>
    <row r="241" spans="8:14">
      <c r="H241" s="343">
        <v>20260821</v>
      </c>
      <c r="I241" s="362">
        <v>440631.69</v>
      </c>
      <c r="J241" s="343">
        <v>1720</v>
      </c>
      <c r="K241" s="343">
        <v>3905</v>
      </c>
      <c r="L241" s="363">
        <f t="shared" si="38"/>
        <v>46255</v>
      </c>
      <c r="M241" s="350" t="str">
        <f t="shared" si="39"/>
        <v>Friday</v>
      </c>
      <c r="N241" s="350" t="str" cm="1">
        <f t="array" ref="N241">_xlfn._xlws.FILTER(Table3[Week '#],(Table3[Start Date]&lt;=Table6[[#This Row],[Date]])*(Table3[End Date]&gt;=Table6[[#This Row],[Date]]),"")</f>
        <v>Week 34</v>
      </c>
    </row>
    <row r="242" spans="8:14">
      <c r="H242" s="343">
        <v>20260822</v>
      </c>
      <c r="I242" s="362">
        <v>511041.9</v>
      </c>
      <c r="J242" s="343">
        <v>2159</v>
      </c>
      <c r="K242" s="343">
        <v>4721</v>
      </c>
      <c r="L242" s="363">
        <f t="shared" si="38"/>
        <v>46256</v>
      </c>
      <c r="M242" s="350" t="str">
        <f t="shared" si="39"/>
        <v>Saturday</v>
      </c>
      <c r="N242" s="350" t="str" cm="1">
        <f t="array" ref="N242">_xlfn._xlws.FILTER(Table3[Week '#],(Table3[Start Date]&lt;=Table6[[#This Row],[Date]])*(Table3[End Date]&gt;=Table6[[#This Row],[Date]]),"")</f>
        <v>Week 34</v>
      </c>
    </row>
    <row r="243" spans="8:14">
      <c r="H243" s="343">
        <v>20260823</v>
      </c>
      <c r="I243" s="362">
        <v>303791.78000000003</v>
      </c>
      <c r="J243" s="343">
        <v>1217</v>
      </c>
      <c r="K243" s="343">
        <v>2751</v>
      </c>
      <c r="L243" s="363">
        <f t="shared" si="38"/>
        <v>46257</v>
      </c>
      <c r="M243" s="350" t="str">
        <f t="shared" si="39"/>
        <v>Sunday</v>
      </c>
      <c r="N243" s="350" t="str" cm="1">
        <f t="array" ref="N243">_xlfn._xlws.FILTER(Table3[Week '#],(Table3[Start Date]&lt;=Table6[[#This Row],[Date]])*(Table3[End Date]&gt;=Table6[[#This Row],[Date]]),"")</f>
        <v>Week 34</v>
      </c>
    </row>
    <row r="244" spans="8:14">
      <c r="H244" s="343">
        <v>20260824</v>
      </c>
      <c r="I244" s="362">
        <v>127106.05</v>
      </c>
      <c r="J244" s="343">
        <v>410</v>
      </c>
      <c r="K244" s="343">
        <v>1060</v>
      </c>
      <c r="L244" s="363">
        <f t="shared" ref="L244:L250" si="40">DATE(LEFT(H244,4),MID(H244,5,2),RIGHT(H244,2))</f>
        <v>46258</v>
      </c>
      <c r="M244" s="350" t="str">
        <f t="shared" ref="M244:M250" si="41">TEXT(L244,"DDDD")</f>
        <v>Monday</v>
      </c>
      <c r="N244" s="350" t="str" cm="1">
        <f t="array" ref="N244">_xlfn._xlws.FILTER(Table3[Week '#],(Table3[Start Date]&lt;=Table6[[#This Row],[Date]])*(Table3[End Date]&gt;=Table6[[#This Row],[Date]]),"")</f>
        <v>Week 35</v>
      </c>
    </row>
    <row r="245" spans="8:14">
      <c r="H245" s="343">
        <v>20260825</v>
      </c>
      <c r="I245" s="362">
        <v>137225.01</v>
      </c>
      <c r="J245" s="343">
        <v>486</v>
      </c>
      <c r="K245" s="343">
        <v>1134</v>
      </c>
      <c r="L245" s="363">
        <f t="shared" si="40"/>
        <v>46259</v>
      </c>
      <c r="M245" s="350" t="str">
        <f t="shared" si="41"/>
        <v>Tuesday</v>
      </c>
      <c r="N245" s="350" t="str" cm="1">
        <f t="array" ref="N245">_xlfn._xlws.FILTER(Table3[Week '#],(Table3[Start Date]&lt;=Table6[[#This Row],[Date]])*(Table3[End Date]&gt;=Table6[[#This Row],[Date]]),"")</f>
        <v>Week 35</v>
      </c>
    </row>
    <row r="246" spans="8:14">
      <c r="H246" s="343">
        <v>20260826</v>
      </c>
      <c r="I246" s="362">
        <v>148919.57999999999</v>
      </c>
      <c r="J246" s="343">
        <v>650</v>
      </c>
      <c r="K246" s="343">
        <v>1473</v>
      </c>
      <c r="L246" s="363">
        <f t="shared" si="40"/>
        <v>46260</v>
      </c>
      <c r="M246" s="350" t="str">
        <f t="shared" si="41"/>
        <v>Wednesday</v>
      </c>
      <c r="N246" s="350" t="str" cm="1">
        <f t="array" ref="N246">_xlfn._xlws.FILTER(Table3[Week '#],(Table3[Start Date]&lt;=Table6[[#This Row],[Date]])*(Table3[End Date]&gt;=Table6[[#This Row],[Date]]),"")</f>
        <v>Week 35</v>
      </c>
    </row>
    <row r="247" spans="8:14">
      <c r="H247" s="343">
        <v>20260827</v>
      </c>
      <c r="I247" s="362">
        <v>265564.90000000002</v>
      </c>
      <c r="J247" s="343">
        <v>1103</v>
      </c>
      <c r="K247" s="343">
        <v>3781</v>
      </c>
      <c r="L247" s="363">
        <f t="shared" si="40"/>
        <v>46261</v>
      </c>
      <c r="M247" s="350" t="str">
        <f t="shared" si="41"/>
        <v>Thursday</v>
      </c>
      <c r="N247" s="350" t="str" cm="1">
        <f t="array" ref="N247">_xlfn._xlws.FILTER(Table3[Week '#],(Table3[Start Date]&lt;=Table6[[#This Row],[Date]])*(Table3[End Date]&gt;=Table6[[#This Row],[Date]]),"")</f>
        <v>Week 35</v>
      </c>
    </row>
    <row r="248" spans="8:14">
      <c r="H248" s="343">
        <v>20260828</v>
      </c>
      <c r="I248" s="362">
        <v>414197.7</v>
      </c>
      <c r="J248" s="343">
        <v>1705</v>
      </c>
      <c r="K248" s="343">
        <v>3604</v>
      </c>
      <c r="L248" s="363">
        <f t="shared" si="40"/>
        <v>46262</v>
      </c>
      <c r="M248" s="350" t="str">
        <f t="shared" si="41"/>
        <v>Friday</v>
      </c>
      <c r="N248" s="350" t="str" cm="1">
        <f t="array" ref="N248">_xlfn._xlws.FILTER(Table3[Week '#],(Table3[Start Date]&lt;=Table6[[#This Row],[Date]])*(Table3[End Date]&gt;=Table6[[#This Row],[Date]]),"")</f>
        <v>Week 35</v>
      </c>
    </row>
    <row r="249" spans="8:14">
      <c r="H249" s="343">
        <v>20260829</v>
      </c>
      <c r="I249" s="362">
        <v>511799.37</v>
      </c>
      <c r="J249" s="343">
        <v>2091</v>
      </c>
      <c r="K249" s="343">
        <v>4506</v>
      </c>
      <c r="L249" s="363">
        <f t="shared" si="40"/>
        <v>46263</v>
      </c>
      <c r="M249" s="350" t="str">
        <f t="shared" si="41"/>
        <v>Saturday</v>
      </c>
      <c r="N249" s="350" t="str" cm="1">
        <f t="array" ref="N249">_xlfn._xlws.FILTER(Table3[Week '#],(Table3[Start Date]&lt;=Table6[[#This Row],[Date]])*(Table3[End Date]&gt;=Table6[[#This Row],[Date]]),"")</f>
        <v>Week 35</v>
      </c>
    </row>
    <row r="250" spans="8:14">
      <c r="H250" s="343">
        <v>20260830</v>
      </c>
      <c r="I250" s="362">
        <v>353025.17</v>
      </c>
      <c r="J250" s="343">
        <v>1324</v>
      </c>
      <c r="K250" s="343">
        <v>3039</v>
      </c>
      <c r="L250" s="363">
        <f t="shared" si="40"/>
        <v>46264</v>
      </c>
      <c r="M250" s="350" t="str">
        <f t="shared" si="41"/>
        <v>Sunday</v>
      </c>
      <c r="N250" s="350" t="str" cm="1">
        <f t="array" ref="N250">_xlfn._xlws.FILTER(Table3[Week '#],(Table3[Start Date]&lt;=Table6[[#This Row],[Date]])*(Table3[End Date]&gt;=Table6[[#This Row],[Date]]),"")</f>
        <v>Week 35</v>
      </c>
    </row>
    <row r="251" spans="8:14">
      <c r="H251" s="343">
        <v>20260831</v>
      </c>
      <c r="I251" s="362">
        <v>94720.65</v>
      </c>
      <c r="J251" s="343">
        <v>336</v>
      </c>
      <c r="K251" s="343">
        <v>798</v>
      </c>
      <c r="L251" s="363">
        <f t="shared" ref="L251:L257" si="42">DATE(LEFT(H251,4),MID(H251,5,2),RIGHT(H251,2))</f>
        <v>46265</v>
      </c>
      <c r="M251" s="350" t="str">
        <f t="shared" ref="M251:M257" si="43">TEXT(L251,"DDDD")</f>
        <v>Monday</v>
      </c>
      <c r="N251" s="350" t="str" cm="1">
        <f t="array" ref="N251">_xlfn._xlws.FILTER(Table3[Week '#],(Table3[Start Date]&lt;=Table6[[#This Row],[Date]])*(Table3[End Date]&gt;=Table6[[#This Row],[Date]]),"")</f>
        <v>Week 36</v>
      </c>
    </row>
    <row r="252" spans="8:14">
      <c r="H252" s="343">
        <v>20260901</v>
      </c>
      <c r="I252" s="362">
        <v>104974.41</v>
      </c>
      <c r="J252" s="343">
        <v>472</v>
      </c>
      <c r="K252" s="343">
        <v>1029</v>
      </c>
      <c r="L252" s="363">
        <f t="shared" si="42"/>
        <v>46266</v>
      </c>
      <c r="M252" s="350" t="str">
        <f t="shared" si="43"/>
        <v>Tuesday</v>
      </c>
      <c r="N252" s="350" t="str" cm="1">
        <f t="array" ref="N252">_xlfn._xlws.FILTER(Table3[Week '#],(Table3[Start Date]&lt;=Table6[[#This Row],[Date]])*(Table3[End Date]&gt;=Table6[[#This Row],[Date]]),"")</f>
        <v>Week 36</v>
      </c>
    </row>
    <row r="253" spans="8:14">
      <c r="H253" s="343">
        <v>20260902</v>
      </c>
      <c r="I253" s="362">
        <v>140846.72</v>
      </c>
      <c r="J253" s="343">
        <v>627</v>
      </c>
      <c r="K253" s="343">
        <v>3147</v>
      </c>
      <c r="L253" s="363">
        <f t="shared" si="42"/>
        <v>46267</v>
      </c>
      <c r="M253" s="350" t="str">
        <f t="shared" si="43"/>
        <v>Wednesday</v>
      </c>
      <c r="N253" s="350" t="str" cm="1">
        <f t="array" ref="N253">_xlfn._xlws.FILTER(Table3[Week '#],(Table3[Start Date]&lt;=Table6[[#This Row],[Date]])*(Table3[End Date]&gt;=Table6[[#This Row],[Date]]),"")</f>
        <v>Week 36</v>
      </c>
    </row>
    <row r="254" spans="8:14">
      <c r="H254" s="343">
        <v>20260903</v>
      </c>
      <c r="I254" s="362">
        <v>194720.52</v>
      </c>
      <c r="J254" s="343">
        <v>904</v>
      </c>
      <c r="K254" s="343">
        <v>1821</v>
      </c>
      <c r="L254" s="363">
        <f t="shared" si="42"/>
        <v>46268</v>
      </c>
      <c r="M254" s="350" t="str">
        <f t="shared" si="43"/>
        <v>Thursday</v>
      </c>
      <c r="N254" s="350" t="str" cm="1">
        <f t="array" ref="N254">_xlfn._xlws.FILTER(Table3[Week '#],(Table3[Start Date]&lt;=Table6[[#This Row],[Date]])*(Table3[End Date]&gt;=Table6[[#This Row],[Date]]),"")</f>
        <v>Week 36</v>
      </c>
    </row>
    <row r="255" spans="8:14">
      <c r="H255" s="343">
        <v>20260904</v>
      </c>
      <c r="I255" s="362">
        <v>449420.54</v>
      </c>
      <c r="J255" s="343">
        <v>1703</v>
      </c>
      <c r="K255" s="343">
        <v>3550</v>
      </c>
      <c r="L255" s="363">
        <f t="shared" si="42"/>
        <v>46269</v>
      </c>
      <c r="M255" s="350" t="str">
        <f t="shared" si="43"/>
        <v>Friday</v>
      </c>
      <c r="N255" s="350" t="str" cm="1">
        <f t="array" ref="N255">_xlfn._xlws.FILTER(Table3[Week '#],(Table3[Start Date]&lt;=Table6[[#This Row],[Date]])*(Table3[End Date]&gt;=Table6[[#This Row],[Date]]),"")</f>
        <v>Week 36</v>
      </c>
    </row>
    <row r="256" spans="8:14">
      <c r="H256" s="343">
        <v>20260905</v>
      </c>
      <c r="I256" s="362">
        <v>539243.31999999995</v>
      </c>
      <c r="J256" s="343">
        <v>2190</v>
      </c>
      <c r="K256" s="343">
        <v>5551</v>
      </c>
      <c r="L256" s="363">
        <f t="shared" si="42"/>
        <v>46270</v>
      </c>
      <c r="M256" s="350" t="str">
        <f t="shared" si="43"/>
        <v>Saturday</v>
      </c>
      <c r="N256" s="350" t="str" cm="1">
        <f t="array" ref="N256">_xlfn._xlws.FILTER(Table3[Week '#],(Table3[Start Date]&lt;=Table6[[#This Row],[Date]])*(Table3[End Date]&gt;=Table6[[#This Row],[Date]]),"")</f>
        <v>Week 36</v>
      </c>
    </row>
    <row r="257" spans="8:14">
      <c r="H257" s="343">
        <v>20260906</v>
      </c>
      <c r="I257" s="362">
        <v>520655.8</v>
      </c>
      <c r="J257" s="343">
        <v>2226</v>
      </c>
      <c r="K257" s="343">
        <v>4687</v>
      </c>
      <c r="L257" s="363">
        <f t="shared" si="42"/>
        <v>46271</v>
      </c>
      <c r="M257" s="350" t="str">
        <f t="shared" si="43"/>
        <v>Sunday</v>
      </c>
      <c r="N257" s="350" t="str" cm="1">
        <f t="array" ref="N257">_xlfn._xlws.FILTER(Table3[Week '#],(Table3[Start Date]&lt;=Table6[[#This Row],[Date]])*(Table3[End Date]&gt;=Table6[[#This Row],[Date]]),"")</f>
        <v>Week 36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I12" activePane="bottomRight" state="frozen"/>
      <selection pane="bottomRight" activeCell="W37" sqref="W37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22" t="s">
        <v>194</v>
      </c>
      <c r="B2" s="422"/>
      <c r="C2" s="422"/>
      <c r="D2" s="422"/>
      <c r="E2" s="414" t="s">
        <v>195</v>
      </c>
      <c r="F2" s="414"/>
      <c r="G2" s="415"/>
      <c r="H2" s="414" t="s">
        <v>195</v>
      </c>
      <c r="I2" s="414"/>
      <c r="J2" s="415"/>
      <c r="K2" s="416" t="s">
        <v>195</v>
      </c>
      <c r="L2" s="414"/>
      <c r="M2" s="417"/>
      <c r="N2" s="414" t="s">
        <v>196</v>
      </c>
      <c r="O2" s="414"/>
      <c r="P2" s="415"/>
      <c r="Q2" s="414" t="s">
        <v>196</v>
      </c>
      <c r="R2" s="414"/>
      <c r="S2" s="415"/>
      <c r="T2" s="414" t="s">
        <v>196</v>
      </c>
      <c r="U2" s="414"/>
      <c r="V2" s="415"/>
      <c r="W2" s="416" t="s">
        <v>196</v>
      </c>
      <c r="X2" s="414"/>
      <c r="Y2" s="417"/>
      <c r="Z2" s="414" t="s">
        <v>197</v>
      </c>
      <c r="AA2" s="414"/>
      <c r="AB2" s="415"/>
      <c r="AC2" s="414" t="s">
        <v>197</v>
      </c>
      <c r="AD2" s="414"/>
      <c r="AE2" s="415"/>
      <c r="AF2" s="414" t="s">
        <v>197</v>
      </c>
      <c r="AG2" s="414"/>
      <c r="AH2" s="415"/>
      <c r="AI2" s="416" t="s">
        <v>198</v>
      </c>
      <c r="AJ2" s="414"/>
      <c r="AK2" s="417"/>
      <c r="AL2" s="414" t="s">
        <v>199</v>
      </c>
      <c r="AM2" s="414"/>
      <c r="AN2" s="415"/>
      <c r="AO2" s="414" t="s">
        <v>199</v>
      </c>
      <c r="AP2" s="414"/>
      <c r="AQ2" s="415"/>
      <c r="AR2" s="416" t="s">
        <v>199</v>
      </c>
      <c r="AS2" s="414"/>
      <c r="AT2" s="417"/>
      <c r="AU2" s="414" t="s">
        <v>200</v>
      </c>
      <c r="AV2" s="414"/>
      <c r="AW2" s="415"/>
      <c r="AX2" s="414" t="s">
        <v>200</v>
      </c>
      <c r="AY2" s="414"/>
      <c r="AZ2" s="415"/>
      <c r="BA2" s="416" t="s">
        <v>200</v>
      </c>
      <c r="BB2" s="414"/>
      <c r="BC2" s="417"/>
      <c r="BD2" s="414" t="s">
        <v>201</v>
      </c>
      <c r="BE2" s="414"/>
      <c r="BF2" s="415"/>
      <c r="BG2" s="414" t="s">
        <v>201</v>
      </c>
      <c r="BH2" s="414"/>
      <c r="BI2" s="415"/>
      <c r="BJ2" s="414" t="s">
        <v>201</v>
      </c>
      <c r="BK2" s="414"/>
      <c r="BL2" s="415"/>
      <c r="BM2" s="414" t="s">
        <v>201</v>
      </c>
      <c r="BN2" s="414"/>
      <c r="BO2" s="415"/>
      <c r="BP2" s="414" t="s">
        <v>202</v>
      </c>
      <c r="BQ2" s="414"/>
      <c r="BR2" s="415"/>
      <c r="BS2" s="414" t="s">
        <v>202</v>
      </c>
      <c r="BT2" s="414"/>
      <c r="BU2" s="415"/>
      <c r="BV2" s="414" t="s">
        <v>202</v>
      </c>
      <c r="BW2" s="414"/>
      <c r="BX2" s="415"/>
      <c r="BY2" s="414" t="s">
        <v>203</v>
      </c>
      <c r="BZ2" s="414"/>
      <c r="CA2" s="415"/>
      <c r="CB2" s="414" t="s">
        <v>203</v>
      </c>
      <c r="CC2" s="414"/>
      <c r="CD2" s="415"/>
      <c r="CE2" s="414" t="s">
        <v>203</v>
      </c>
      <c r="CF2" s="414"/>
      <c r="CG2" s="415"/>
      <c r="CH2" s="416" t="s">
        <v>203</v>
      </c>
      <c r="CI2" s="414"/>
      <c r="CJ2" s="417"/>
    </row>
    <row r="3" spans="1:88" s="4" customFormat="1">
      <c r="A3" s="422"/>
      <c r="B3" s="422"/>
      <c r="C3" s="422"/>
      <c r="D3" s="422"/>
      <c r="E3" s="418" t="s">
        <v>204</v>
      </c>
      <c r="F3" s="418"/>
      <c r="G3" s="419"/>
      <c r="H3" s="418" t="s">
        <v>205</v>
      </c>
      <c r="I3" s="418"/>
      <c r="J3" s="419"/>
      <c r="K3" s="420" t="s">
        <v>107</v>
      </c>
      <c r="L3" s="418"/>
      <c r="M3" s="421"/>
      <c r="N3" s="418" t="s">
        <v>206</v>
      </c>
      <c r="O3" s="418"/>
      <c r="P3" s="419"/>
      <c r="Q3" s="418" t="s">
        <v>207</v>
      </c>
      <c r="R3" s="418"/>
      <c r="S3" s="419"/>
      <c r="T3" s="418" t="s">
        <v>208</v>
      </c>
      <c r="U3" s="418"/>
      <c r="V3" s="419"/>
      <c r="W3" s="420" t="s">
        <v>107</v>
      </c>
      <c r="X3" s="418"/>
      <c r="Y3" s="421"/>
      <c r="Z3" s="418" t="s">
        <v>204</v>
      </c>
      <c r="AA3" s="418"/>
      <c r="AB3" s="419"/>
      <c r="AC3" s="418" t="s">
        <v>205</v>
      </c>
      <c r="AD3" s="418"/>
      <c r="AE3" s="419"/>
      <c r="AF3" s="418" t="s">
        <v>207</v>
      </c>
      <c r="AG3" s="418"/>
      <c r="AH3" s="419"/>
      <c r="AI3" s="420" t="s">
        <v>107</v>
      </c>
      <c r="AJ3" s="418"/>
      <c r="AK3" s="421"/>
      <c r="AL3" s="418" t="s">
        <v>205</v>
      </c>
      <c r="AM3" s="418"/>
      <c r="AN3" s="419"/>
      <c r="AO3" s="418" t="s">
        <v>204</v>
      </c>
      <c r="AP3" s="418"/>
      <c r="AQ3" s="419"/>
      <c r="AR3" s="420" t="s">
        <v>107</v>
      </c>
      <c r="AS3" s="418"/>
      <c r="AT3" s="421"/>
      <c r="AU3" s="418" t="s">
        <v>205</v>
      </c>
      <c r="AV3" s="418"/>
      <c r="AW3" s="419"/>
      <c r="AX3" s="418" t="s">
        <v>204</v>
      </c>
      <c r="AY3" s="418"/>
      <c r="AZ3" s="419"/>
      <c r="BA3" s="420" t="s">
        <v>107</v>
      </c>
      <c r="BB3" s="418"/>
      <c r="BC3" s="421"/>
      <c r="BD3" s="418" t="s">
        <v>204</v>
      </c>
      <c r="BE3" s="418"/>
      <c r="BF3" s="419"/>
      <c r="BG3" s="418" t="s">
        <v>205</v>
      </c>
      <c r="BH3" s="418"/>
      <c r="BI3" s="419"/>
      <c r="BJ3" s="418" t="s">
        <v>207</v>
      </c>
      <c r="BK3" s="418"/>
      <c r="BL3" s="419"/>
      <c r="BM3" s="420" t="s">
        <v>107</v>
      </c>
      <c r="BN3" s="418"/>
      <c r="BO3" s="421"/>
      <c r="BP3" s="418" t="s">
        <v>208</v>
      </c>
      <c r="BQ3" s="418"/>
      <c r="BR3" s="419"/>
      <c r="BS3" s="418" t="s">
        <v>207</v>
      </c>
      <c r="BT3" s="418"/>
      <c r="BU3" s="419"/>
      <c r="BV3" s="420" t="s">
        <v>107</v>
      </c>
      <c r="BW3" s="418"/>
      <c r="BX3" s="421"/>
      <c r="BY3" s="418" t="s">
        <v>204</v>
      </c>
      <c r="BZ3" s="418"/>
      <c r="CA3" s="419"/>
      <c r="CB3" s="418" t="s">
        <v>205</v>
      </c>
      <c r="CC3" s="418"/>
      <c r="CD3" s="419"/>
      <c r="CE3" s="418" t="s">
        <v>207</v>
      </c>
      <c r="CF3" s="418"/>
      <c r="CG3" s="419"/>
      <c r="CH3" s="420" t="s">
        <v>107</v>
      </c>
      <c r="CI3" s="418"/>
      <c r="CJ3" s="421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42361.75</v>
      </c>
      <c r="I24" s="310">
        <v>416</v>
      </c>
      <c r="J24" s="316">
        <f t="shared" si="0"/>
        <v>101.83112980769231</v>
      </c>
      <c r="K24" s="3">
        <f t="shared" si="1"/>
        <v>711921.33</v>
      </c>
      <c r="L24" s="97">
        <f t="shared" si="2"/>
        <v>4534</v>
      </c>
      <c r="M24" s="317">
        <f t="shared" si="3"/>
        <v>157.01837891486545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44255.6</v>
      </c>
      <c r="I25" s="310">
        <v>395</v>
      </c>
      <c r="J25" s="316">
        <f t="shared" si="0"/>
        <v>112.03949367088607</v>
      </c>
      <c r="K25" s="3">
        <f t="shared" si="1"/>
        <v>733615.49999999988</v>
      </c>
      <c r="L25" s="97">
        <f t="shared" si="2"/>
        <v>4710</v>
      </c>
      <c r="M25" s="317">
        <f t="shared" si="3"/>
        <v>155.75700636942673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51670.2</v>
      </c>
      <c r="I26" s="310">
        <v>404</v>
      </c>
      <c r="J26" s="316">
        <f t="shared" si="0"/>
        <v>127.89653465346534</v>
      </c>
      <c r="K26" s="3">
        <f t="shared" si="1"/>
        <v>707380.64</v>
      </c>
      <c r="L26" s="97">
        <f>F26+I26</f>
        <v>4807</v>
      </c>
      <c r="M26" s="317">
        <f t="shared" si="3"/>
        <v>147.15636363636364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39216.93</v>
      </c>
      <c r="I27" s="310">
        <v>337</v>
      </c>
      <c r="J27" s="316">
        <f t="shared" si="0"/>
        <v>116.37071216617211</v>
      </c>
      <c r="K27" s="3">
        <f t="shared" si="1"/>
        <v>632806.93000000005</v>
      </c>
      <c r="L27" s="97">
        <f t="shared" si="2"/>
        <v>3939</v>
      </c>
      <c r="M27" s="317">
        <f t="shared" si="3"/>
        <v>160.6516704747398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196591.75000000003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227131.25000000003</v>
      </c>
      <c r="BB27" s="97">
        <f t="shared" si="37"/>
        <v>1734</v>
      </c>
      <c r="BC27" s="317">
        <f t="shared" si="16"/>
        <v>130.98688004613612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249</v>
      </c>
      <c r="S36" s="170">
        <f t="shared" si="5"/>
        <v>132.20481927710844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531</v>
      </c>
      <c r="V36" s="170">
        <f t="shared" si="6"/>
        <v>227.545197740113</v>
      </c>
      <c r="W36" s="167">
        <f t="shared" si="29"/>
        <v>176817.5</v>
      </c>
      <c r="X36" s="168">
        <f t="shared" si="30"/>
        <v>856</v>
      </c>
      <c r="Y36" s="172">
        <f t="shared" si="7"/>
        <v>206.5625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170</v>
      </c>
      <c r="AH36" s="170">
        <f t="shared" si="10"/>
        <v>177.0528235294118</v>
      </c>
      <c r="AI36" s="3">
        <f t="shared" si="31"/>
        <v>219819.07000000004</v>
      </c>
      <c r="AJ36" s="97">
        <f t="shared" si="32"/>
        <v>2112</v>
      </c>
      <c r="AK36" s="172">
        <f t="shared" si="11"/>
        <v>104.08099905303033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548</v>
      </c>
      <c r="AN36" s="170">
        <f t="shared" si="12"/>
        <v>183.969799270073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2173</v>
      </c>
      <c r="AQ36" s="170">
        <f t="shared" si="13"/>
        <v>155.96449148642429</v>
      </c>
      <c r="AR36" s="3">
        <f t="shared" si="33"/>
        <v>439726.29</v>
      </c>
      <c r="AS36" s="97">
        <f t="shared" si="34"/>
        <v>2721</v>
      </c>
      <c r="AT36" s="172">
        <f t="shared" si="14"/>
        <v>161.60466372657112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168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283</v>
      </c>
      <c r="S37" s="170">
        <f t="shared" si="5"/>
        <v>186.71837455830391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64932.7</v>
      </c>
      <c r="U37" s="168" cm="1">
        <f t="array" ref="U37">_xlfn._xlws.FILTER([6]COVERS!$BI$11:$BI$70,[6]COVERS!$I$11:$I$70=A37,"")</f>
        <v>470</v>
      </c>
      <c r="V37" s="170">
        <f t="shared" si="6"/>
        <v>138.15468085106383</v>
      </c>
      <c r="W37" s="167">
        <f t="shared" si="29"/>
        <v>133033</v>
      </c>
      <c r="X37" s="168">
        <f t="shared" si="30"/>
        <v>816</v>
      </c>
      <c r="Y37" s="172">
        <f t="shared" si="7"/>
        <v>163.03063725490196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160122.23999999999</v>
      </c>
      <c r="AA37" s="168" cm="1">
        <f t="array" ref="AA37">_xlfn._xlws.FILTER([7]COVERS!$AR$11:$AR$70,[7]COVERS!$I$11:$I$70=$A37,"")</f>
        <v>1695</v>
      </c>
      <c r="AB37" s="170">
        <f t="shared" si="8"/>
        <v>94.467398230088492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145</v>
      </c>
      <c r="AH37" s="170">
        <f t="shared" si="10"/>
        <v>224.1503448275862</v>
      </c>
      <c r="AI37" s="3">
        <f t="shared" si="31"/>
        <v>207885.03999999998</v>
      </c>
      <c r="AJ37" s="97">
        <f t="shared" si="32"/>
        <v>2095</v>
      </c>
      <c r="AK37" s="172">
        <f t="shared" si="11"/>
        <v>99.229136038186141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661</v>
      </c>
      <c r="AN37" s="170">
        <f t="shared" si="12"/>
        <v>88.388593040847198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1920</v>
      </c>
      <c r="AQ37" s="170">
        <f t="shared" si="13"/>
        <v>163.81885416666665</v>
      </c>
      <c r="AR37" s="3">
        <f t="shared" si="33"/>
        <v>372957.05999999994</v>
      </c>
      <c r="AS37" s="97">
        <f t="shared" si="34"/>
        <v>2581</v>
      </c>
      <c r="AT37" s="172">
        <f t="shared" si="14"/>
        <v>144.50099186361874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169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1</v>
      </c>
      <c r="E38" s="167" cm="1">
        <f t="array" ref="E38">SUMPRODUCT((Dinner[Week '#]=$A38)*(INT(Dinner[yyyyMMdd]/10000)=VALUE(RIGHT($AX$2,4)))*Dinner[Net sales])-SUMPRODUCT((Non_Grat_Serv_Chrg[Week '#]=$A38)*(YEAR(Non_Grat_Serv_Chrg[Start Date])=VALUE(RIGHT($AX$2,4)))*(Non_Grat_Serv_Chrg[Sales category]="Non-Grat Svc Charges")*Non_Grat_Serv_Chrg[Net sales])</f>
        <v>507489.99999999994</v>
      </c>
      <c r="F38" s="168" cm="1">
        <f t="array" ref="F38">_xlfn._xlws.FILTER([5]COVERS!$AR$7:$AR$71,[5]COVERS!$I$7:$I$71=$A38,"")</f>
        <v>3781</v>
      </c>
      <c r="G38" s="170">
        <f t="shared" ref="G38" si="84">IFERROR(E38/F38,"")</f>
        <v>134.22110552763817</v>
      </c>
      <c r="H38" s="167" cm="1">
        <f t="array" ref="H38">SUMPRODUCT((Lunch[Week '#]=$A38)*(INT(Lunch[yyyyMMdd]/10000)=VALUE(RIGHT($H$2,4)))*Lunch[Net sales])</f>
        <v>30216</v>
      </c>
      <c r="I38" s="168" cm="1">
        <f t="array" ref="I38">_xlfn._xlws.FILTER([5]COVERS!$AA$7:$AA$71,[5]COVERS!$I$7:$I$71=$A38,"")</f>
        <v>269</v>
      </c>
      <c r="J38" s="170">
        <f t="shared" ref="J38" si="85">IFERROR(H38/I38,"")</f>
        <v>112.32713754646841</v>
      </c>
      <c r="K38" s="3">
        <f t="shared" ref="K38" si="86">E38+H38</f>
        <v>537706</v>
      </c>
      <c r="L38" s="97">
        <f t="shared" ref="L38" si="87">F38+I38</f>
        <v>4050</v>
      </c>
      <c r="M38" s="172">
        <f t="shared" ref="M38" si="88">IFERROR(K38/L38,"")</f>
        <v>132.76691358024692</v>
      </c>
      <c r="N38" s="167" cm="1">
        <f t="array" ref="N38">SUMPRODUCT((Omakase[Week '#]=$A38)*(INT(Omakase[yyyyMMdd]/10000)=VALUE(RIGHT($N$2,4)))*Omakase[Net sales])</f>
        <v>17523</v>
      </c>
      <c r="O38" s="168" cm="1">
        <f t="array" ref="O38">_xlfn._xlws.FILTER([6]COVERS!$AA$11:$AA$70,[6]COVERS!$I$11:$I$70=A38,"")</f>
        <v>54</v>
      </c>
      <c r="P38" s="170">
        <f t="shared" ref="P38" si="89">IFERROR(N38/O38,"")</f>
        <v>324.5</v>
      </c>
      <c r="Q38" s="167" cm="1">
        <f t="array" ref="Q38">SUMPRODUCT((MM[Week '#]=$A38)*(INT(MM[yyyyMMdd]/10000)=VALUE(RIGHT($Q$2,4)))*MM[Net sales])</f>
        <v>43187</v>
      </c>
      <c r="R38" s="168" cm="1">
        <f t="array" ref="R38">_xlfn._xlws.FILTER([6]COVERS!$AR$11:$AR$70,[6]COVERS!$I$11:$I$70=A38,"")</f>
        <v>258</v>
      </c>
      <c r="S38" s="170">
        <f t="shared" ref="S38" si="90">IFERROR(Q38/R38,"")</f>
        <v>167.39147286821705</v>
      </c>
      <c r="T38" s="167" cm="1">
        <f t="array" ref="T38">SUMPRODUCT((Lounge[Week '#]=$A38)*(INT(Lounge[yyyyMMdd]/10000)=VALUE(RIGHT($Q$2,4)))*Lounge[Net sales])-SUMIFS(Sales_Categories[Net sales],Sales_Categories[Week '#],$A38,Sales_Categories[Sales category],"Non-Grat Svc Charges")</f>
        <v>130893</v>
      </c>
      <c r="U38" s="168" cm="1">
        <f t="array" ref="U38">_xlfn._xlws.FILTER([6]COVERS!$BI$11:$BI$70,[6]COVERS!$I$11:$I$70=A38,"")</f>
        <v>608</v>
      </c>
      <c r="V38" s="170">
        <f t="shared" ref="V38" si="91">IFERROR(T38/U38,"")</f>
        <v>215.28453947368422</v>
      </c>
      <c r="W38" s="167">
        <f>SUM(N38,Q38,T38)</f>
        <v>191603</v>
      </c>
      <c r="X38" s="168">
        <f t="shared" ref="X38" si="92">SUM(O38,R38,U38)</f>
        <v>920</v>
      </c>
      <c r="Y38" s="172">
        <f t="shared" ref="Y38" si="93">IFERROR(W38/X38,"")</f>
        <v>208.2641304347826</v>
      </c>
      <c r="Z38" s="167" cm="1">
        <f t="array" ref="Z38">SUMPRODUCT((_26DinnerSalesACT[Week '#]=$A38)*(INT(_26DinnerSalesACT[yyyyMMdd]/10000)=VALUE(RIGHT($AX$2,4)))*_26DinnerSalesACT[Net sales])-
SUMIFS(_2026AVATotalSalesCat[Net sales],_2026AVATotalSalesCat[Week '#],$A38,_2026AVATotalSalesCat[Sales category],"Non-Grat Svc Charges")-54.95</f>
        <v>206338.25</v>
      </c>
      <c r="AA38" s="168" cm="1">
        <f t="array" ref="AA38">_xlfn._xlws.FILTER([7]COVERS!$AR$11:$AR$70,[7]COVERS!$I$11:$I$70=$A38,"")</f>
        <v>2014</v>
      </c>
      <c r="AB38" s="170">
        <f t="shared" ref="AB38" si="94">IFERROR(Z38/AA38,"")</f>
        <v>102.45196127110228</v>
      </c>
      <c r="AC38" s="167" cm="1">
        <f t="array" ref="AC38">SUMPRODUCT((_26LunchSalesACT[Week '#]=$A38)*(INT(_26LunchSalesACT[yyyyMMdd]/10000)=VALUE(RIGHT($AX$2,4)))*_26LunchSalesACT[Net sales])</f>
        <v>17786</v>
      </c>
      <c r="AD38" s="168" cm="1">
        <f t="array" ref="AD38">_xlfn._xlws.FILTER([7]COVERS!$AA$11:$AA$70,[7]COVERS!$I$11:$I$70=$A38,"")</f>
        <v>290</v>
      </c>
      <c r="AE38" s="170">
        <f t="shared" ref="AE38" si="95">IFERROR(AC38/AD38,"")</f>
        <v>61.331034482758618</v>
      </c>
      <c r="AF38" s="167">
        <f>SUMIF(_26MMSalesACT[Week '#],$A38,_26MMSalesACT[Net sales])</f>
        <v>39261.039999999994</v>
      </c>
      <c r="AG38" s="168" cm="1">
        <f t="array" ref="AG38">_xlfn._xlws.FILTER([7]COVERS!$BI$11:$BI$70,[7]COVERS!$I$11:$I$70=$A38,"")</f>
        <v>269</v>
      </c>
      <c r="AH38" s="170">
        <f t="shared" ref="AH38" si="96">IFERROR(AF38/AG38,"")</f>
        <v>145.95182156133828</v>
      </c>
      <c r="AI38" s="3">
        <f>Z38+AF38+AC38</f>
        <v>263385.28999999998</v>
      </c>
      <c r="AJ38" s="97">
        <f t="shared" ref="AJ38" si="97">AA38+AG38+AD38</f>
        <v>2573</v>
      </c>
      <c r="AK38" s="172">
        <f t="shared" ref="AK38" si="98">IFERROR(AI38/AJ38,"")</f>
        <v>102.36505635445005</v>
      </c>
      <c r="AL38" s="167" cm="1">
        <f t="array" ref="AL38">SUMPRODUCT((Brunch[Week '#]=$A38)*(INT(Brunch[yyyyMMdd]/10000)=VALUE(RIGHT($AL$2,4)))*Brunch[Net sales])</f>
        <v>63555.3</v>
      </c>
      <c r="AM38" s="168" cm="1">
        <f t="array" ref="AM38">_xlfn._xlws.FILTER([8]COVERS!$AA$11:$AA$71,[8]COVERS!$I$11:$I$71=A38,"")</f>
        <v>631</v>
      </c>
      <c r="AN38" s="170">
        <f t="shared" ref="AN38" si="99">IFERROR(AL38/AM38,"")</f>
        <v>100.7215530903328</v>
      </c>
      <c r="AO38" s="167" cm="1">
        <f t="array" ref="AO38">SUMPRODUCT((Dinner__2[Week '#]=$A38)*(INT(Dinner__2[yyyyMMdd]/10000)=VALUE(RIGHT($AL$2,4)))*Dinner__2[Net sales])-
SUMIFS(Sales_Categories__2[Net sales],Sales_Categories__2[Week '#],$A38,Sales_Categories__2[Sales category],"Non-Grat Svc Charges")</f>
        <v>323010.56</v>
      </c>
      <c r="AP38" s="168" cm="1">
        <f t="array" ref="AP38">_xlfn._xlws.FILTER([8]COVERS!$AR$11:$AR$71,[8]COVERS!$I$11:$I$71=A38,"")</f>
        <v>2046</v>
      </c>
      <c r="AQ38" s="170">
        <f t="shared" ref="AQ38" si="100">IFERROR(AO38/AP38,"")</f>
        <v>157.87417399804497</v>
      </c>
      <c r="AR38" s="3">
        <f t="shared" si="33"/>
        <v>386565.86</v>
      </c>
      <c r="AS38" s="97">
        <f t="shared" ref="AS38" si="101">AP38+AM38</f>
        <v>2677</v>
      </c>
      <c r="AT38" s="172">
        <f t="shared" ref="AT38" si="102">IFERROR(AR38/AS38,"")</f>
        <v>144.4026372805379</v>
      </c>
      <c r="AU38" s="167" cm="1">
        <f t="array" ref="AU38">SUMPRODUCT((Brunch__2[Week '#]=$A38)*(INT(Brunch__2[yyyyMMdd]/10000)=VALUE(RIGHT($AU$2,4)))*Brunch__2[Net sales])</f>
        <v>38676.46</v>
      </c>
      <c r="AV38" s="168" cm="1">
        <f t="array" ref="AV38">_xlfn._xlws.FILTER([9]COVERS!$AA$11:$AA$71,[9]COVERS!$I$11:$I$71=A38,"")</f>
        <v>422</v>
      </c>
      <c r="AW38" s="170">
        <f t="shared" ref="AW38" si="103">IFERROR(AU38/AV38,0)</f>
        <v>91.650379146919434</v>
      </c>
      <c r="AX38" s="167" cm="1">
        <f t="array" ref="AX38">SUMPRODUCT((Dinner__3[Week '#]=$A38)*(INT(Dinner__3[yyyyMMdd]/10000)=VALUE(RIGHT($AX$2,4)))*Dinner__3[Net sales])-SUMPRODUCT((Sales_Categories__3[Week '#]=$A38)*(YEAR(Sales_Categories__3[Start Date])=VALUE(RIGHT($AX$2,4)))*(Sales_Categories__3[Sales category]="Non-Grat Svc Charges")*Sales_Categories__3[Net sales])</f>
        <v>243338.46000000002</v>
      </c>
      <c r="AY38" s="168" cm="1">
        <f t="array" ref="AY38">_xlfn._xlws.FILTER([9]COVERS!$AR$11:$AR$71,[9]COVERS!$I$11:$I$71=A38,"")</f>
        <v>1914</v>
      </c>
      <c r="AZ38" s="170">
        <f t="shared" ref="AZ38" si="104">IFERROR(AX38/AY38,"")</f>
        <v>127.1360815047022</v>
      </c>
      <c r="BA38" s="3">
        <f t="shared" si="36"/>
        <v>282014.92000000004</v>
      </c>
      <c r="BB38" s="97">
        <f t="shared" ref="BB38" si="105">AY38+AV38</f>
        <v>2336</v>
      </c>
      <c r="BC38" s="172">
        <f t="shared" ref="BC38" si="106">IFERROR(BA38/BB38,"")</f>
        <v>120.72556506849317</v>
      </c>
      <c r="BD38" s="167">
        <f>SUMIF(_2026DinnerSales[Week '#],$A38,_2026DinnerSales[Net sales])-
SUMIFS(_2026TotalSalesCat[Net sales],_2026TotalSalesCat[Week '#],$A38,_2026TotalSalesCat[Sales category],"Non-Grat Svc Charges")-102.4</f>
        <v>184832.41999999998</v>
      </c>
      <c r="BE38" s="168" cm="1">
        <f t="array" ref="BE38">_xlfn._xlws.FILTER([10]COVERS!$AR$11:$AR$70,[10]COVERS!$I$11:$I$70=$A38,"")</f>
        <v>1544</v>
      </c>
      <c r="BF38" s="170">
        <f t="shared" ref="BF38" si="107">IFERROR(BD38/BE38,"")</f>
        <v>119.71011658031087</v>
      </c>
      <c r="BG38" s="167">
        <f>SUMIF(_2026BrunchSales[Week '#],$A38,_2026BrunchSales[Net sales])</f>
        <v>31587.200000000001</v>
      </c>
      <c r="BH38" s="168" cm="1">
        <f t="array" ref="BH38">_xlfn._xlws.FILTER([10]COVERS!$AA$11:$AA$70,[10]COVERS!$I$11:$I$70=$A38,"")</f>
        <v>382</v>
      </c>
      <c r="BI38" s="170">
        <f t="shared" ref="BI38" si="108">IFERROR(BG38/BH38,"")</f>
        <v>82.689005235602096</v>
      </c>
      <c r="BJ38" s="167"/>
      <c r="BK38" s="168"/>
      <c r="BL38" s="170" t="str">
        <f t="shared" ref="BL38" si="109">IFERROR(BJ38/BK38,"")</f>
        <v/>
      </c>
      <c r="BM38" s="3">
        <f t="shared" si="38"/>
        <v>216419.62</v>
      </c>
      <c r="BN38" s="97">
        <f t="shared" ref="BN38" si="110">BE38+BK38+BH38</f>
        <v>1926</v>
      </c>
      <c r="BO38" s="172">
        <f t="shared" ref="BO38" si="111">IFERROR(BM38/BN38,"")</f>
        <v>112.36740394600207</v>
      </c>
      <c r="BP38" s="167">
        <f>SUMIF(Lounge__2[Week '#],$A38,Lounge__2[Net sales])-
SUMIFS(Sales_Categories__4[Net sales],Sales_Categories__4[Week '#],$A38,Sales_Categories__4[Sales category],"Non-Grat Svc Charges")</f>
        <v>81304.5</v>
      </c>
      <c r="BQ38" s="168" cm="1">
        <f t="array" ref="BQ38">_xlfn._xlws.FILTER([11]COVERS!$AR$11:$AR$71,[11]COVERS!$I$11:$I$71=A38,"")</f>
        <v>395</v>
      </c>
      <c r="BR38" s="170">
        <f t="shared" ref="BR38" si="112">IFERROR(BP38/BQ38,"")</f>
        <v>205.83417721518987</v>
      </c>
      <c r="BS38" s="167">
        <f>SUMIF(MM__2[Week '#],$A38,MM__2[Net sales])</f>
        <v>36205.25</v>
      </c>
      <c r="BT38" s="168" cm="1">
        <f t="array" ref="BT38">_xlfn._xlws.FILTER([11]COVERS!$AA$11:$AA$71,[11]COVERS!$I$11:$I$71=A38,"")</f>
        <v>315</v>
      </c>
      <c r="BU38" s="170">
        <f t="shared" ref="BU38" si="113">IFERROR(BS38/BT38,"")</f>
        <v>114.93730158730159</v>
      </c>
      <c r="BV38" s="3">
        <f t="shared" si="40"/>
        <v>117509.75</v>
      </c>
      <c r="BW38" s="97">
        <f t="shared" ref="BW38" si="114">BT38+BQ38</f>
        <v>710</v>
      </c>
      <c r="BX38" s="172">
        <f t="shared" ref="BX38" si="115">IFERROR(BV38/BW38,"")</f>
        <v>165.50669014084508</v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172</v>
      </c>
      <c r="B39" t="s">
        <v>171</v>
      </c>
      <c r="C39" s="2">
        <f>VLOOKUP(A39,Dates!$B$2:$E$53,4,FALSE)</f>
        <v>35</v>
      </c>
      <c r="D39" s="168" t="b">
        <f>IF(C39&lt;='RDG Weekly Sales'!$F$1,TRUE,FALSE)</f>
        <v>1</v>
      </c>
      <c r="E39" s="167" cm="1">
        <f t="array" ref="E39">SUMPRODUCT((Dinner[Week '#]=$A39)*(INT(Dinner[yyyyMMdd]/10000)=VALUE(RIGHT($AX$2,4)))*Dinner[Net sales])-SUMPRODUCT((Non_Grat_Serv_Chrg[Week '#]=$A39)*(YEAR(Non_Grat_Serv_Chrg[Start Date])=VALUE(RIGHT($AX$2,4)))*(Non_Grat_Serv_Chrg[Sales category]="Non-Grat Svc Charges")*Non_Grat_Serv_Chrg[Net sales])</f>
        <v>463486.61</v>
      </c>
      <c r="F39" s="168" cm="1">
        <f t="array" ref="F39">_xlfn._xlws.FILTER([5]COVERS!$AR$7:$AR$71,[5]COVERS!$I$7:$I$71=$A39,"")</f>
        <v>3342</v>
      </c>
      <c r="G39" s="170">
        <f t="shared" ref="G39" si="116">IFERROR(E39/F39,"")</f>
        <v>138.68540095751047</v>
      </c>
      <c r="H39" s="167" cm="1">
        <f t="array" ref="H39">SUMPRODUCT((Lunch[Week '#]=$A39)*(INT(Lunch[yyyyMMdd]/10000)=VALUE(RIGHT($H$2,4)))*Lunch[Net sales])</f>
        <v>42968.65</v>
      </c>
      <c r="I39" s="168" cm="1">
        <f t="array" ref="I39">_xlfn._xlws.FILTER([5]COVERS!$AA$7:$AA$71,[5]COVERS!$I$7:$I$71=$A39,"")</f>
        <v>324</v>
      </c>
      <c r="J39" s="170">
        <f t="shared" ref="J39" si="117">IFERROR(H39/I39,"")</f>
        <v>132.61929012345681</v>
      </c>
      <c r="K39" s="3">
        <f t="shared" ref="K39" si="118">E39+H39</f>
        <v>506455.26</v>
      </c>
      <c r="L39" s="97">
        <f t="shared" ref="L39" si="119">F39+I39</f>
        <v>3666</v>
      </c>
      <c r="M39" s="172">
        <f t="shared" ref="M39" si="120">IFERROR(K39/L39,"")</f>
        <v>138.1492798690671</v>
      </c>
      <c r="N39" s="167" cm="1">
        <f t="array" ref="N39">SUMPRODUCT((Omakase[Week '#]=$A39)*(INT(Omakase[yyyyMMdd]/10000)=VALUE(RIGHT($N$2,4)))*Omakase[Net sales])</f>
        <v>24026.010000000002</v>
      </c>
      <c r="O39" s="168" cm="1">
        <f t="array" ref="O39">_xlfn._xlws.FILTER([6]COVERS!$AA$11:$AA$70,[6]COVERS!$I$11:$I$70=A39,"")</f>
        <v>83</v>
      </c>
      <c r="P39" s="170">
        <f t="shared" ref="P39" si="121">IFERROR(N39/O39,"")</f>
        <v>289.47000000000003</v>
      </c>
      <c r="Q39" s="167" cm="1">
        <f t="array" ref="Q39">SUMPRODUCT((MM[Week '#]=$A39)*(INT(MM[yyyyMMdd]/10000)=VALUE(RIGHT($Q$2,4)))*MM[Net sales])</f>
        <v>40807</v>
      </c>
      <c r="R39" s="168" cm="1">
        <f t="array" ref="R39">_xlfn._xlws.FILTER([6]COVERS!$AR$11:$AR$70,[6]COVERS!$I$11:$I$70=A39,"")</f>
        <v>227</v>
      </c>
      <c r="S39" s="170">
        <f t="shared" ref="S39" si="122">IFERROR(Q39/R39,"")</f>
        <v>179.76651982378854</v>
      </c>
      <c r="T39" s="167" cm="1">
        <f t="array" ref="T39">SUMPRODUCT((Lounge[Week '#]=$A39)*(INT(Lounge[yyyyMMdd]/10000)=VALUE(RIGHT($Q$2,4)))*Lounge[Net sales])-SUMIFS(Sales_Categories[Net sales],Sales_Categories[Week '#],$A39,Sales_Categories[Sales category],"Non-Grat Svc Charges")</f>
        <v>169053.5</v>
      </c>
      <c r="U39" s="168" cm="1">
        <f t="array" ref="U39">_xlfn._xlws.FILTER([6]COVERS!$BI$11:$BI$70,[6]COVERS!$I$11:$I$70=A39,"")</f>
        <v>632</v>
      </c>
      <c r="V39" s="170">
        <f t="shared" ref="V39" si="123">IFERROR(T39/U39,"")</f>
        <v>267.48971518987344</v>
      </c>
      <c r="W39" s="167">
        <f>SUM(N39,Q39,T39)</f>
        <v>233886.51</v>
      </c>
      <c r="X39" s="168">
        <f t="shared" ref="X39" si="124">SUM(O39,R39,U39)</f>
        <v>942</v>
      </c>
      <c r="Y39" s="172">
        <f t="shared" ref="Y39" si="125">IFERROR(W39/X39,"")</f>
        <v>248.28716560509554</v>
      </c>
      <c r="Z39" s="167" cm="1">
        <f t="array" ref="Z39">SUMPRODUCT((_26DinnerSalesACT[Week '#]=$A39)*(INT(_26DinnerSalesACT[yyyyMMdd]/10000)=VALUE(RIGHT($AX$2,4)))*_26DinnerSalesACT[Net sales])-
SUMIFS(_2026AVATotalSalesCat[Net sales],_2026AVATotalSalesCat[Week '#],$A39,_2026AVATotalSalesCat[Sales category],"Non-Grat Svc Charges")</f>
        <v>190623.05</v>
      </c>
      <c r="AA39" s="168" cm="1">
        <f t="array" ref="AA39">_xlfn._xlws.FILTER([7]COVERS!$AR$11:$AR$70,[7]COVERS!$I$11:$I$70=$A39,"")</f>
        <v>1869</v>
      </c>
      <c r="AB39" s="170">
        <f t="shared" ref="AB39" si="126">IFERROR(Z39/AA39,"")</f>
        <v>101.99200107009095</v>
      </c>
      <c r="AC39" s="167" cm="1">
        <f t="array" ref="AC39">SUMPRODUCT((_26LunchSalesACT[Week '#]=$A39)*(INT(_26LunchSalesACT[yyyyMMdd]/10000)=VALUE(RIGHT($AX$2,4)))*_26LunchSalesACT[Net sales])</f>
        <v>24087.03</v>
      </c>
      <c r="AD39" s="168" cm="1">
        <f t="array" ref="AD39">_xlfn._xlws.FILTER([7]COVERS!$AA$11:$AA$70,[7]COVERS!$I$11:$I$70=$A39,"")</f>
        <v>335</v>
      </c>
      <c r="AE39" s="170">
        <f t="shared" ref="AE39" si="127">IFERROR(AC39/AD39,"")</f>
        <v>71.901582089552235</v>
      </c>
      <c r="AF39" s="167">
        <f>SUMIF(_26MMSalesACT[Week '#],$A39,_26MMSalesACT[Net sales])-774.66</f>
        <v>29920.539999999997</v>
      </c>
      <c r="AG39" s="168" cm="1">
        <f t="array" ref="AG39">_xlfn._xlws.FILTER([7]COVERS!$BI$11:$BI$70,[7]COVERS!$I$11:$I$70=$A39,"")</f>
        <v>211</v>
      </c>
      <c r="AH39" s="170">
        <f t="shared" ref="AH39" si="128">IFERROR(AF39/AG39,"")</f>
        <v>141.80350710900473</v>
      </c>
      <c r="AI39" s="3">
        <f>Z39+AF39+AC39</f>
        <v>244630.62</v>
      </c>
      <c r="AJ39" s="97">
        <f t="shared" ref="AJ39" si="129">AA39+AG39+AD39</f>
        <v>2415</v>
      </c>
      <c r="AK39" s="172">
        <f t="shared" ref="AK39" si="130">IFERROR(AI39/AJ39,"")</f>
        <v>101.29632298136646</v>
      </c>
      <c r="AL39" s="167" cm="1">
        <f t="array" ref="AL39">SUMPRODUCT((Brunch[Week '#]=$A39)*(INT(Brunch[yyyyMMdd]/10000)=VALUE(RIGHT($AL$2,4)))*Brunch[Net sales])</f>
        <v>65311.07</v>
      </c>
      <c r="AM39" s="168" cm="1">
        <f t="array" ref="AM39">_xlfn._xlws.FILTER([8]COVERS!$AA$11:$AA$71,[8]COVERS!$I$11:$I$71=A39,"")</f>
        <v>727</v>
      </c>
      <c r="AN39" s="170">
        <f t="shared" ref="AN39" si="131">IFERROR(AL39/AM39,"")</f>
        <v>89.836409903713886</v>
      </c>
      <c r="AO39" s="167" cm="1">
        <f t="array" ref="AO39">SUMPRODUCT((Dinner__2[Week '#]=$A39)*(INT(Dinner__2[yyyyMMdd]/10000)=VALUE(RIGHT($AL$2,4)))*Dinner__2[Net sales])-
SUMIFS(Sales_Categories__2[Net sales],Sales_Categories__2[Week '#],$A39,Sales_Categories__2[Sales category],"Non-Grat Svc Charges")-513.86</f>
        <v>344349.59</v>
      </c>
      <c r="AP39" s="168" cm="1">
        <f t="array" ref="AP39">_xlfn._xlws.FILTER([8]COVERS!$AR$11:$AR$71,[8]COVERS!$I$11:$I$71=A39,"")</f>
        <v>1897</v>
      </c>
      <c r="AQ39" s="170">
        <f t="shared" ref="AQ39" si="132">IFERROR(AO39/AP39,"")</f>
        <v>181.52324196099104</v>
      </c>
      <c r="AR39" s="3">
        <f t="shared" ref="AR39" si="133">AO39+AL39</f>
        <v>409660.66000000003</v>
      </c>
      <c r="AS39" s="97">
        <f t="shared" ref="AS39" si="134">AP39+AM39</f>
        <v>2624</v>
      </c>
      <c r="AT39" s="172">
        <f t="shared" ref="AT39" si="135">IFERROR(AR39/AS39,"")</f>
        <v>156.12067835365855</v>
      </c>
      <c r="AU39" s="167" cm="1">
        <f t="array" ref="AU39">SUMPRODUCT((Brunch__2[Week '#]=$A39)*(INT(Brunch__2[yyyyMMdd]/10000)=VALUE(RIGHT($AU$2,4)))*Brunch__2[Net sales])</f>
        <v>33799.85</v>
      </c>
      <c r="AV39" s="168" cm="1">
        <f t="array" ref="AV39">_xlfn._xlws.FILTER([9]COVERS!$AA$11:$AA$71,[9]COVERS!$I$11:$I$71=A39,"")</f>
        <v>317</v>
      </c>
      <c r="AW39" s="170">
        <f t="shared" ref="AW39" si="136">IFERROR(AU39/AV39,0)</f>
        <v>106.62413249211356</v>
      </c>
      <c r="AX39" s="167" cm="1">
        <f t="array" ref="AX39">SUMPRODUCT((Dinner__3[Week '#]=$A39)*(INT(Dinner__3[yyyyMMdd]/10000)=VALUE(RIGHT($AX$2,4)))*Dinner__3[Net sales])-SUMPRODUCT((Sales_Categories__3[Week '#]=$A39)*(YEAR(Sales_Categories__3[Start Date])=VALUE(RIGHT($AX$2,4)))*(Sales_Categories__3[Sales category]="Non-Grat Svc Charges")*Sales_Categories__3[Net sales])</f>
        <v>236152.30000000002</v>
      </c>
      <c r="AY39" s="168" cm="1">
        <f t="array" ref="AY39">_xlfn._xlws.FILTER([9]COVERS!$AR$11:$AR$71,[9]COVERS!$I$11:$I$71=A39,"")</f>
        <v>1714</v>
      </c>
      <c r="AZ39" s="170">
        <f t="shared" ref="AZ39" si="137">IFERROR(AX39/AY39,"")</f>
        <v>137.77847141190199</v>
      </c>
      <c r="BA39" s="3">
        <f t="shared" ref="BA39" si="138">AX39+AU39</f>
        <v>269952.15000000002</v>
      </c>
      <c r="BB39" s="97">
        <f t="shared" ref="BB39" si="139">AY39+AV39</f>
        <v>2031</v>
      </c>
      <c r="BC39" s="172">
        <f t="shared" ref="BC39" si="140">IFERROR(BA39/BB39,"")</f>
        <v>132.9158788774003</v>
      </c>
      <c r="BD39" s="167">
        <f>SUMIF(_2026DinnerSales[Week '#],$A39,_2026DinnerSales[Net sales])-
SUMIFS(_2026TotalSalesCat[Net sales],_2026TotalSalesCat[Week '#],$A39,_2026TotalSalesCat[Sales category],"Non-Grat Svc Charges")</f>
        <v>168887.84999999998</v>
      </c>
      <c r="BE39" s="168" cm="1">
        <f t="array" ref="BE39">_xlfn._xlws.FILTER([10]COVERS!$AR$11:$AR$70,[10]COVERS!$I$11:$I$70=$A39,"")</f>
        <v>1545</v>
      </c>
      <c r="BF39" s="170">
        <f t="shared" ref="BF39" si="141">IFERROR(BD39/BE39,"")</f>
        <v>109.31252427184465</v>
      </c>
      <c r="BG39" s="167">
        <f>SUMIF(_2026BrunchSales[Week '#],$A39,_2026BrunchSales[Net sales])</f>
        <v>26118.14</v>
      </c>
      <c r="BH39" s="168" cm="1">
        <f t="array" ref="BH39">_xlfn._xlws.FILTER([10]COVERS!$AA$11:$AA$70,[10]COVERS!$I$11:$I$70=$A39,"")</f>
        <v>318</v>
      </c>
      <c r="BI39" s="170">
        <f t="shared" ref="BI39" si="142">IFERROR(BG39/BH39,"")</f>
        <v>82.132515723270444</v>
      </c>
      <c r="BJ39" s="167"/>
      <c r="BK39" s="168"/>
      <c r="BL39" s="170" t="str">
        <f t="shared" ref="BL39" si="143">IFERROR(BJ39/BK39,"")</f>
        <v/>
      </c>
      <c r="BM39" s="3">
        <f t="shared" ref="BM39" si="144">BD39+BJ39+BG39</f>
        <v>195005.99</v>
      </c>
      <c r="BN39" s="97">
        <f t="shared" ref="BN39" si="145">BE39+BK39+BH39</f>
        <v>1863</v>
      </c>
      <c r="BO39" s="172">
        <f t="shared" ref="BO39" si="146">IFERROR(BM39/BN39,"")</f>
        <v>104.67310252281267</v>
      </c>
      <c r="BP39" s="167">
        <f>SUMIF(Lounge__2[Week '#],$A39,Lounge__2[Net sales])-
SUMIFS(Sales_Categories__4[Net sales],Sales_Categories__4[Week '#],$A39,Sales_Categories__4[Sales category],"Non-Grat Svc Charges")</f>
        <v>69503.100000000006</v>
      </c>
      <c r="BQ39" s="168" cm="1">
        <f t="array" ref="BQ39">_xlfn._xlws.FILTER([11]COVERS!$AR$11:$AR$71,[11]COVERS!$I$11:$I$71=A39,"")</f>
        <v>307</v>
      </c>
      <c r="BR39" s="170">
        <f t="shared" ref="BR39" si="147">IFERROR(BP39/BQ39,"")</f>
        <v>226.39446254071663</v>
      </c>
      <c r="BS39" s="167">
        <f>SUMIF(MM__2[Week '#],$A39,MM__2[Net sales])</f>
        <v>24193</v>
      </c>
      <c r="BT39" s="168" cm="1">
        <f t="array" ref="BT39">_xlfn._xlws.FILTER([11]COVERS!$AA$11:$AA$71,[11]COVERS!$I$11:$I$71=A39,"")</f>
        <v>237</v>
      </c>
      <c r="BU39" s="170">
        <f t="shared" ref="BU39" si="148">IFERROR(BS39/BT39,"")</f>
        <v>102.08016877637131</v>
      </c>
      <c r="BV39" s="3">
        <f t="shared" ref="BV39" si="149">+BP39+BS39</f>
        <v>93696.1</v>
      </c>
      <c r="BW39" s="97">
        <f t="shared" ref="BW39" si="150">BT39+BQ39</f>
        <v>544</v>
      </c>
      <c r="BX39" s="172">
        <f t="shared" ref="BX39" si="151">IFERROR(BV39/BW39,"")</f>
        <v>172.23547794117647</v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101</v>
      </c>
      <c r="B40" t="s">
        <v>171</v>
      </c>
      <c r="C40" s="2">
        <f>VLOOKUP(A40,Dates!$B$2:$E$53,4,FALSE)</f>
        <v>36</v>
      </c>
      <c r="D40" s="168" t="b">
        <f>IF(C40&lt;='RDG Weekly Sales'!$F$1,TRUE,FALSE)</f>
        <v>1</v>
      </c>
      <c r="E40" s="167" cm="1">
        <f t="array" ref="E40">SUMPRODUCT((Dinner[Week '#]=$A40)*(INT(Dinner[yyyyMMdd]/10000)=VALUE(RIGHT($AX$2,4)))*Dinner[Net sales])-SUMPRODUCT((Non_Grat_Serv_Chrg[Week '#]=$A40)*(YEAR(Non_Grat_Serv_Chrg[Start Date])=VALUE(RIGHT($AX$2,4)))*(Non_Grat_Serv_Chrg[Sales category]="Non-Grat Svc Charges")*Non_Grat_Serv_Chrg[Net sales])</f>
        <v>485648.35</v>
      </c>
      <c r="F40" s="168" cm="1">
        <f t="array" ref="F40">_xlfn._xlws.FILTER([5]COVERS!$AR$7:$AR$71,[5]COVERS!$I$7:$I$71=$A40,"")</f>
        <v>3306</v>
      </c>
      <c r="G40" s="170">
        <f t="shared" ref="G40" si="152">IFERROR(E40/F40,"")</f>
        <v>146.89907743496673</v>
      </c>
      <c r="H40" s="167" cm="1">
        <f t="array" ref="H40">SUMPRODUCT((Lunch[Week '#]=$A40)*(INT(Lunch[yyyyMMdd]/10000)=VALUE(RIGHT($H$2,4)))*Lunch[Net sales])</f>
        <v>37651</v>
      </c>
      <c r="I40" s="168" cm="1">
        <f t="array" ref="I40">_xlfn._xlws.FILTER([5]COVERS!$AA$7:$AA$71,[5]COVERS!$I$7:$I$71=$A40,"")</f>
        <v>307</v>
      </c>
      <c r="J40" s="170">
        <f t="shared" ref="J40" si="153">IFERROR(H40/I40,"")</f>
        <v>122.64169381107492</v>
      </c>
      <c r="K40" s="3">
        <f t="shared" ref="K40" si="154">E40+H40</f>
        <v>523299.35</v>
      </c>
      <c r="L40" s="97">
        <f t="shared" ref="L40" si="155">F40+I40</f>
        <v>3613</v>
      </c>
      <c r="M40" s="172">
        <f t="shared" ref="M40" si="156">IFERROR(K40/L40,"")</f>
        <v>144.83790478826458</v>
      </c>
      <c r="N40" s="167" cm="1">
        <f t="array" ref="N40">SUMPRODUCT((Omakase[Week '#]=$A40)*(INT(Omakase[yyyyMMdd]/10000)=VALUE(RIGHT($N$2,4)))*Omakase[Net sales])</f>
        <v>22472.5</v>
      </c>
      <c r="O40" s="168" cm="1">
        <f t="array" ref="O40">_xlfn._xlws.FILTER([6]COVERS!$AA$11:$AA$70,[6]COVERS!$I$11:$I$70=A40,"")</f>
        <v>63</v>
      </c>
      <c r="P40" s="170">
        <f t="shared" ref="P40" si="157">IFERROR(N40/O40,"")</f>
        <v>356.70634920634922</v>
      </c>
      <c r="Q40" s="167" cm="1">
        <f t="array" ref="Q40">SUMPRODUCT((MM[Week '#]=$A40)*(INT(MM[yyyyMMdd]/10000)=VALUE(RIGHT($Q$2,4)))*MM[Net sales])</f>
        <v>56655.199999999997</v>
      </c>
      <c r="R40" s="168" cm="1">
        <f t="array" ref="R40">_xlfn._xlws.FILTER([6]COVERS!$AR$11:$AR$70,[6]COVERS!$I$11:$I$70=A40,"")</f>
        <v>249</v>
      </c>
      <c r="S40" s="170">
        <f t="shared" ref="S40" si="158">IFERROR(Q40/R40,"")</f>
        <v>227.53092369477909</v>
      </c>
      <c r="T40" s="167" cm="1">
        <f t="array" ref="T40">SUMPRODUCT((Lounge[Week '#]=$A40)*(INT(Lounge[yyyyMMdd]/10000)=VALUE(RIGHT($Q$2,4)))*Lounge[Net sales])-SUMIFS(Sales_Categories[Net sales],Sales_Categories[Week '#],$A40,Sales_Categories[Sales category],"Non-Grat Svc Charges")</f>
        <v>210425.55000000002</v>
      </c>
      <c r="U40" s="168" cm="1">
        <f t="array" ref="U40">_xlfn._xlws.FILTER([6]COVERS!$BI$11:$BI$70,[6]COVERS!$I$11:$I$70=A40,"")</f>
        <v>611</v>
      </c>
      <c r="V40" s="170">
        <f t="shared" ref="V40" si="159">IFERROR(T40/U40,"")</f>
        <v>344.39533551554831</v>
      </c>
      <c r="W40" s="167">
        <f>SUM(N40,Q40,T40)</f>
        <v>289553.25</v>
      </c>
      <c r="X40" s="168">
        <f t="shared" ref="X40" si="160">SUM(O40,R40,U40)</f>
        <v>923</v>
      </c>
      <c r="Y40" s="172">
        <f t="shared" ref="Y40" si="161">IFERROR(W40/X40,"")</f>
        <v>313.70882990249186</v>
      </c>
      <c r="Z40" s="167" cm="1">
        <f t="array" ref="Z40">SUMPRODUCT((_26DinnerSalesACT[Week '#]=$A40)*(INT(_26DinnerSalesACT[yyyyMMdd]/10000)=VALUE(RIGHT($AX$2,4)))*_26DinnerSalesACT[Net sales])-
SUMIFS(_2026AVATotalSalesCat[Net sales],_2026AVATotalSalesCat[Week '#],$A40,_2026AVATotalSalesCat[Sales category],"Non-Grat Svc Charges")-88.18</f>
        <v>193991.09000000003</v>
      </c>
      <c r="AA40" s="168" cm="1">
        <f t="array" ref="AA40">_xlfn._xlws.FILTER([7]COVERS!$AR$11:$AR$70,[7]COVERS!$I$11:$I$70=$A40,"")</f>
        <v>1985</v>
      </c>
      <c r="AB40" s="170">
        <f t="shared" ref="AB40" si="162">IFERROR(Z40/AA40,"")</f>
        <v>97.728508816120922</v>
      </c>
      <c r="AC40" s="167" cm="1">
        <f t="array" ref="AC40">SUMPRODUCT((_26LunchSalesACT[Week '#]=$A40)*(INT(_26LunchSalesACT[yyyyMMdd]/10000)=VALUE(RIGHT($AX$2,4)))*_26LunchSalesACT[Net sales])-106.08</f>
        <v>20257.419999999998</v>
      </c>
      <c r="AD40" s="168" cm="1">
        <f t="array" ref="AD40">_xlfn._xlws.FILTER([7]COVERS!$AA$11:$AA$70,[7]COVERS!$I$11:$I$70=$A40,"")</f>
        <v>325</v>
      </c>
      <c r="AE40" s="170">
        <f t="shared" ref="AE40" si="163">IFERROR(AC40/AD40,"")</f>
        <v>62.330523076923072</v>
      </c>
      <c r="AF40" s="167">
        <f>SUMIF(_26MMSalesACT[Week '#],$A40,_26MMSalesACT[Net sales])</f>
        <v>30617.79</v>
      </c>
      <c r="AG40" s="168" cm="1">
        <f t="array" ref="AG40">_xlfn._xlws.FILTER([7]COVERS!$BI$11:$BI$70,[7]COVERS!$I$11:$I$70=$A40,"")</f>
        <v>235</v>
      </c>
      <c r="AH40" s="170">
        <f t="shared" ref="AH40" si="164">IFERROR(AF40/AG40,"")</f>
        <v>130.28846808510639</v>
      </c>
      <c r="AI40" s="3">
        <f>Z40+AF40+AC40</f>
        <v>244866.30000000005</v>
      </c>
      <c r="AJ40" s="97">
        <f t="shared" ref="AJ40" si="165">AA40+AG40+AD40</f>
        <v>2545</v>
      </c>
      <c r="AK40" s="172">
        <f t="shared" ref="AK40" si="166">IFERROR(AI40/AJ40,"")</f>
        <v>96.214656188605133</v>
      </c>
      <c r="AL40" s="167" cm="1">
        <f t="array" ref="AL40">SUMPRODUCT((Brunch[Week '#]=$A40)*(INT(Brunch[yyyyMMdd]/10000)=VALUE(RIGHT($AL$2,4)))*Brunch[Net sales])</f>
        <v>78015.399999999994</v>
      </c>
      <c r="AM40" s="168" cm="1">
        <f t="array" ref="AM40">_xlfn._xlws.FILTER([8]COVERS!$AA$11:$AA$71,[8]COVERS!$I$11:$I$71=A40,"")</f>
        <v>748</v>
      </c>
      <c r="AN40" s="170">
        <f t="shared" ref="AN40" si="167">IFERROR(AL40/AM40,"")</f>
        <v>104.29866310160428</v>
      </c>
      <c r="AO40" s="167" cm="1">
        <f t="array" ref="AO40">SUMPRODUCT((Dinner__2[Week '#]=$A40)*(INT(Dinner__2[yyyyMMdd]/10000)=VALUE(RIGHT($AL$2,4)))*Dinner__2[Net sales])-
SUMIFS(Sales_Categories__2[Net sales],Sales_Categories__2[Week '#],$A40,Sales_Categories__2[Sales category],"Non-Grat Svc Charges")</f>
        <v>301658.69</v>
      </c>
      <c r="AP40" s="168" cm="1">
        <f t="array" ref="AP40">_xlfn._xlws.FILTER([8]COVERS!$AR$11:$AR$71,[8]COVERS!$I$11:$I$71=A40,"")</f>
        <v>1820</v>
      </c>
      <c r="AQ40" s="170">
        <f t="shared" ref="AQ40" si="168">IFERROR(AO40/AP40,"")</f>
        <v>165.74653296703298</v>
      </c>
      <c r="AR40" s="3">
        <f t="shared" ref="AR40" si="169">AO40+AL40</f>
        <v>379674.08999999997</v>
      </c>
      <c r="AS40" s="97">
        <f t="shared" ref="AS40" si="170">AP40+AM40</f>
        <v>2568</v>
      </c>
      <c r="AT40" s="172">
        <f t="shared" ref="AT40" si="171">IFERROR(AR40/AS40,"")</f>
        <v>147.84816588785046</v>
      </c>
      <c r="AU40" s="167" cm="1">
        <f t="array" ref="AU40">SUMPRODUCT((Brunch__2[Week '#]=$A40)*(INT(Brunch__2[yyyyMMdd]/10000)=VALUE(RIGHT($AU$2,4)))*Brunch__2[Net sales])</f>
        <v>29607.8</v>
      </c>
      <c r="AV40" s="168" cm="1">
        <f t="array" ref="AV40">_xlfn._xlws.FILTER([9]COVERS!$AA$11:$AA$71,[9]COVERS!$I$11:$I$71=A40,"")</f>
        <v>316</v>
      </c>
      <c r="AW40" s="170">
        <f t="shared" ref="AW40" si="172">IFERROR(AU40/AV40,0)</f>
        <v>93.695569620253167</v>
      </c>
      <c r="AX40" s="167" cm="1">
        <f t="array" ref="AX40">SUMPRODUCT((Dinner__3[Week '#]=$A40)*(INT(Dinner__3[yyyyMMdd]/10000)=VALUE(RIGHT($AX$2,4)))*Dinner__3[Net sales])-SUMPRODUCT((Sales_Categories__3[Week '#]=$A40)*(YEAR(Sales_Categories__3[Start Date])=VALUE(RIGHT($AX$2,4)))*(Sales_Categories__3[Sales category]="Non-Grat Svc Charges")*Sales_Categories__3[Net sales])</f>
        <v>230160.95</v>
      </c>
      <c r="AY40" s="168" cm="1">
        <f t="array" ref="AY40">_xlfn._xlws.FILTER([9]COVERS!$AR$11:$AR$71,[9]COVERS!$I$11:$I$71=A40,"")</f>
        <v>1677</v>
      </c>
      <c r="AZ40" s="170">
        <f t="shared" ref="AZ40" si="173">IFERROR(AX40/AY40,"")</f>
        <v>137.24564698867025</v>
      </c>
      <c r="BA40" s="3">
        <f t="shared" ref="BA40" si="174">AX40+AU40</f>
        <v>259768.75</v>
      </c>
      <c r="BB40" s="97">
        <f t="shared" ref="BB40" si="175">AY40+AV40</f>
        <v>1993</v>
      </c>
      <c r="BC40" s="172">
        <f t="shared" ref="BC40" si="176">IFERROR(BA40/BB40,"")</f>
        <v>130.34056698444556</v>
      </c>
      <c r="BD40" s="167">
        <f>SUMIF(_2026DinnerSales[Week '#],$A40,_2026DinnerSales[Net sales])-
SUMIFS(_2026TotalSalesCat[Net sales],_2026TotalSalesCat[Week '#],$A40,_2026TotalSalesCat[Sales category],"Non-Grat Svc Charges")</f>
        <v>158924.06</v>
      </c>
      <c r="BE40" s="168" cm="1">
        <f t="array" ref="BE40">_xlfn._xlws.FILTER([10]COVERS!$AR$11:$AR$70,[10]COVERS!$I$11:$I$70=$A40,"")</f>
        <v>1386</v>
      </c>
      <c r="BF40" s="170">
        <f t="shared" ref="BF40" si="177">IFERROR(BD40/BE40,"")</f>
        <v>114.66382395382395</v>
      </c>
      <c r="BG40" s="167">
        <f>SUMIF(_2026BrunchSales[Week '#],$A40,_2026BrunchSales[Net sales])</f>
        <v>31573.29</v>
      </c>
      <c r="BH40" s="168" cm="1">
        <f t="array" ref="BH40">_xlfn._xlws.FILTER([10]COVERS!$AA$11:$AA$70,[10]COVERS!$I$11:$I$70=$A40,"")</f>
        <v>384</v>
      </c>
      <c r="BI40" s="170">
        <f t="shared" ref="BI40" si="178">IFERROR(BG40/BH40,"")</f>
        <v>82.222109375000002</v>
      </c>
      <c r="BJ40" s="167"/>
      <c r="BK40" s="168"/>
      <c r="BL40" s="170" t="str">
        <f t="shared" ref="BL40" si="179">IFERROR(BJ40/BK40,"")</f>
        <v/>
      </c>
      <c r="BM40" s="3">
        <f t="shared" ref="BM40" si="180">BD40+BJ40+BG40</f>
        <v>190497.35</v>
      </c>
      <c r="BN40" s="97">
        <f t="shared" ref="BN40" si="181">BE40+BK40+BH40</f>
        <v>1770</v>
      </c>
      <c r="BO40" s="172">
        <f t="shared" ref="BO40" si="182">IFERROR(BM40/BN40,"")</f>
        <v>107.62562146892655</v>
      </c>
      <c r="BP40" s="167">
        <f>SUMIF(Lounge__2[Week '#],$A40,Lounge__2[Net sales])-
SUMIFS(Sales_Categories__4[Net sales],Sales_Categories__4[Week '#],$A40,Sales_Categories__4[Sales category],"Non-Grat Svc Charges")</f>
        <v>111917.9</v>
      </c>
      <c r="BQ40" s="168" cm="1">
        <f t="array" ref="BQ40">_xlfn._xlws.FILTER([11]COVERS!$AR$11:$AR$71,[11]COVERS!$I$11:$I$71=A40,"")</f>
        <v>303</v>
      </c>
      <c r="BR40" s="170">
        <f t="shared" ref="BR40" si="183">IFERROR(BP40/BQ40,"")</f>
        <v>369.36600660066006</v>
      </c>
      <c r="BS40" s="167">
        <f>SUMIF(MM__2[Week '#],$A40,MM__2[Net sales])</f>
        <v>41464</v>
      </c>
      <c r="BT40" s="168" cm="1">
        <f t="array" ref="BT40">_xlfn._xlws.FILTER([11]COVERS!$AA$11:$AA$71,[11]COVERS!$I$11:$I$71=A40,"")</f>
        <v>217</v>
      </c>
      <c r="BU40" s="170">
        <f t="shared" ref="BU40" si="184">IFERROR(BS40/BT40,"")</f>
        <v>191.07834101382488</v>
      </c>
      <c r="BV40" s="3">
        <f t="shared" ref="BV40" si="185">+BP40+BS40</f>
        <v>153381.9</v>
      </c>
      <c r="BW40" s="97">
        <f t="shared" ref="BW40" si="186">BT40+BQ40</f>
        <v>520</v>
      </c>
      <c r="BX40" s="172">
        <f t="shared" ref="BX40" si="187">IFERROR(BV40/BW40,"")</f>
        <v>294.96519230769229</v>
      </c>
      <c r="BY40" s="167">
        <v>0</v>
      </c>
      <c r="BZ40" s="167">
        <v>0</v>
      </c>
      <c r="CA40" s="170" t="str">
        <f t="shared" ref="CA40" si="188">IFERROR(BY40/BZ40,"")</f>
        <v/>
      </c>
      <c r="CB40" s="167">
        <v>0</v>
      </c>
      <c r="CC40" s="167">
        <v>0</v>
      </c>
      <c r="CD40" s="170" t="str">
        <f t="shared" ref="CD40" si="189">IFERROR(CB40/CC40,"")</f>
        <v/>
      </c>
      <c r="CE40" s="167"/>
      <c r="CF40" s="168"/>
      <c r="CG40" s="170" t="str">
        <f t="shared" ref="CG40" si="190">IFERROR(CE40/CF40,"")</f>
        <v/>
      </c>
      <c r="CH40" s="3">
        <f t="shared" ref="CH40" si="191">BY40+CE40+CB40</f>
        <v>0</v>
      </c>
      <c r="CI40" s="97">
        <f t="shared" ref="CI40" si="192">BZ40+CF40+CC40</f>
        <v>0</v>
      </c>
      <c r="CJ40" s="172" t="str">
        <f t="shared" ref="CJ40" si="193">IFERROR(CH40/CI40,"")</f>
        <v/>
      </c>
    </row>
    <row r="41" spans="1:88">
      <c r="A41" t="s">
        <v>173</v>
      </c>
      <c r="B41" t="s">
        <v>171</v>
      </c>
      <c r="C41" s="2">
        <f>VLOOKUP(A41,Dates!$B$2:$E$53,4,FALSE)</f>
        <v>37</v>
      </c>
      <c r="D41" s="168" t="b">
        <f>IF(C41&lt;='RDG Weekly Sales'!$F$1,TRUE,FALSE)</f>
        <v>0</v>
      </c>
      <c r="E41" s="167"/>
      <c r="F41" s="168"/>
      <c r="G41" s="170" t="str">
        <f t="shared" si="28"/>
        <v/>
      </c>
      <c r="H41" s="167"/>
      <c r="I41" s="168"/>
      <c r="J41" s="170" t="str">
        <f t="shared" si="0"/>
        <v/>
      </c>
      <c r="K41" s="3">
        <f t="shared" si="82"/>
        <v>0</v>
      </c>
      <c r="L41" s="97">
        <f t="shared" si="83"/>
        <v>0</v>
      </c>
      <c r="M41" s="172" t="str">
        <f t="shared" si="3"/>
        <v/>
      </c>
      <c r="N41" s="167"/>
      <c r="O41" s="168"/>
      <c r="P41" s="170" t="str">
        <f t="shared" si="4"/>
        <v/>
      </c>
      <c r="Q41" s="167"/>
      <c r="R41" s="168"/>
      <c r="S41" s="170" t="str">
        <f t="shared" si="5"/>
        <v/>
      </c>
      <c r="T41" s="167"/>
      <c r="U41" s="168"/>
      <c r="V41" s="170" t="str">
        <f t="shared" si="6"/>
        <v/>
      </c>
      <c r="W41" s="167">
        <f t="shared" si="29"/>
        <v>0</v>
      </c>
      <c r="X41" s="168">
        <f t="shared" si="30"/>
        <v>0</v>
      </c>
      <c r="Y41" s="172" t="str">
        <f t="shared" si="7"/>
        <v/>
      </c>
      <c r="Z41" s="167"/>
      <c r="AA41" s="168"/>
      <c r="AB41" s="170" t="str">
        <f t="shared" si="8"/>
        <v/>
      </c>
      <c r="AC41" s="167"/>
      <c r="AD41" s="168"/>
      <c r="AE41" s="170" t="str">
        <f t="shared" si="9"/>
        <v/>
      </c>
      <c r="AF41" s="167"/>
      <c r="AG41" s="168"/>
      <c r="AH41" s="170" t="str">
        <f t="shared" si="10"/>
        <v/>
      </c>
      <c r="AI41" s="3">
        <f t="shared" si="31"/>
        <v>0</v>
      </c>
      <c r="AJ41" s="97">
        <f t="shared" si="32"/>
        <v>0</v>
      </c>
      <c r="AK41" s="172" t="str">
        <f t="shared" si="11"/>
        <v/>
      </c>
      <c r="AL41" s="167"/>
      <c r="AM41" s="168"/>
      <c r="AN41" s="170" t="str">
        <f t="shared" si="12"/>
        <v/>
      </c>
      <c r="AO41" s="167"/>
      <c r="AP41" s="168"/>
      <c r="AQ41" s="170" t="str">
        <f t="shared" si="13"/>
        <v/>
      </c>
      <c r="AR41" s="3">
        <f t="shared" si="33"/>
        <v>0</v>
      </c>
      <c r="AS41" s="97">
        <f t="shared" si="34"/>
        <v>0</v>
      </c>
      <c r="AT41" s="172" t="str">
        <f t="shared" si="14"/>
        <v/>
      </c>
      <c r="AU41" s="167"/>
      <c r="AV41" s="168"/>
      <c r="AW41" s="170">
        <f t="shared" si="81"/>
        <v>0</v>
      </c>
      <c r="AX41" s="167"/>
      <c r="AY41" s="168"/>
      <c r="AZ41" s="170" t="str">
        <f t="shared" si="15"/>
        <v/>
      </c>
      <c r="BA41" s="3">
        <f t="shared" si="36"/>
        <v>0</v>
      </c>
      <c r="BB41" s="97">
        <f t="shared" si="37"/>
        <v>0</v>
      </c>
      <c r="BC41" s="172" t="str">
        <f t="shared" si="16"/>
        <v/>
      </c>
      <c r="BD41" s="167"/>
      <c r="BE41" s="168"/>
      <c r="BF41" s="170" t="str">
        <f t="shared" si="17"/>
        <v/>
      </c>
      <c r="BG41" s="167"/>
      <c r="BH41" s="168"/>
      <c r="BI41" s="170" t="str">
        <f t="shared" si="18"/>
        <v/>
      </c>
      <c r="BJ41" s="167"/>
      <c r="BK41" s="168"/>
      <c r="BL41" s="170" t="str">
        <f t="shared" si="19"/>
        <v/>
      </c>
      <c r="BM41" s="3">
        <f t="shared" si="38"/>
        <v>0</v>
      </c>
      <c r="BN41" s="97">
        <f t="shared" si="39"/>
        <v>0</v>
      </c>
      <c r="BO41" s="172" t="str">
        <f t="shared" si="20"/>
        <v/>
      </c>
      <c r="BP41" s="167"/>
      <c r="BQ41" s="168"/>
      <c r="BR41" s="170" t="str">
        <f t="shared" si="70"/>
        <v/>
      </c>
      <c r="BS41" s="167"/>
      <c r="BT41" s="168"/>
      <c r="BU41" s="170" t="str">
        <f t="shared" si="71"/>
        <v/>
      </c>
      <c r="BV41" s="3">
        <f t="shared" si="40"/>
        <v>0</v>
      </c>
      <c r="BW41" s="97">
        <f t="shared" si="72"/>
        <v>0</v>
      </c>
      <c r="BX41" s="172" t="str">
        <f t="shared" si="73"/>
        <v/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174</v>
      </c>
      <c r="B42" t="s">
        <v>171</v>
      </c>
      <c r="C42" s="2">
        <f>VLOOKUP(A42,Dates!$B$2:$E$53,4,FALSE)</f>
        <v>38</v>
      </c>
      <c r="D42" s="168" t="b">
        <f>IF(C42&lt;='RDG Weekly Sales'!$F$1,TRUE,FALSE)</f>
        <v>0</v>
      </c>
      <c r="E42" s="167"/>
      <c r="F42" s="168"/>
      <c r="G42" s="170" t="str">
        <f t="shared" si="28"/>
        <v/>
      </c>
      <c r="H42" s="167"/>
      <c r="I42" s="168"/>
      <c r="J42" s="170" t="str">
        <f t="shared" si="0"/>
        <v/>
      </c>
      <c r="K42" s="3">
        <f t="shared" si="82"/>
        <v>0</v>
      </c>
      <c r="L42" s="97">
        <f t="shared" si="83"/>
        <v>0</v>
      </c>
      <c r="M42" s="172" t="str">
        <f t="shared" si="3"/>
        <v/>
      </c>
      <c r="N42" s="167"/>
      <c r="O42" s="168"/>
      <c r="P42" s="170" t="str">
        <f t="shared" si="4"/>
        <v/>
      </c>
      <c r="Q42" s="167"/>
      <c r="R42" s="168"/>
      <c r="S42" s="170" t="str">
        <f t="shared" si="5"/>
        <v/>
      </c>
      <c r="T42" s="167"/>
      <c r="U42" s="168"/>
      <c r="V42" s="170" t="str">
        <f t="shared" si="6"/>
        <v/>
      </c>
      <c r="W42" s="167">
        <f t="shared" si="29"/>
        <v>0</v>
      </c>
      <c r="X42" s="168">
        <f t="shared" si="30"/>
        <v>0</v>
      </c>
      <c r="Y42" s="172" t="str">
        <f t="shared" si="7"/>
        <v/>
      </c>
      <c r="Z42" s="167"/>
      <c r="AA42" s="168"/>
      <c r="AB42" s="170" t="str">
        <f t="shared" si="8"/>
        <v/>
      </c>
      <c r="AC42" s="167"/>
      <c r="AD42" s="168"/>
      <c r="AE42" s="170" t="str">
        <f t="shared" si="9"/>
        <v/>
      </c>
      <c r="AF42" s="167"/>
      <c r="AG42" s="168"/>
      <c r="AH42" s="170" t="str">
        <f t="shared" si="10"/>
        <v/>
      </c>
      <c r="AI42" s="3">
        <f t="shared" si="31"/>
        <v>0</v>
      </c>
      <c r="AJ42" s="97">
        <f t="shared" si="32"/>
        <v>0</v>
      </c>
      <c r="AK42" s="172" t="str">
        <f t="shared" si="11"/>
        <v/>
      </c>
      <c r="AL42" s="167"/>
      <c r="AM42" s="168"/>
      <c r="AN42" s="170" t="str">
        <f t="shared" si="12"/>
        <v/>
      </c>
      <c r="AO42" s="167"/>
      <c r="AP42" s="168"/>
      <c r="AQ42" s="170" t="str">
        <f t="shared" si="13"/>
        <v/>
      </c>
      <c r="AR42" s="3">
        <f t="shared" si="33"/>
        <v>0</v>
      </c>
      <c r="AS42" s="97">
        <f t="shared" si="34"/>
        <v>0</v>
      </c>
      <c r="AT42" s="172" t="str">
        <f t="shared" si="14"/>
        <v/>
      </c>
      <c r="AU42" s="167"/>
      <c r="AV42" s="168"/>
      <c r="AW42" s="170">
        <f t="shared" si="81"/>
        <v>0</v>
      </c>
      <c r="AX42" s="167"/>
      <c r="AY42" s="168"/>
      <c r="AZ42" s="170" t="str">
        <f t="shared" si="15"/>
        <v/>
      </c>
      <c r="BA42" s="3">
        <f t="shared" si="36"/>
        <v>0</v>
      </c>
      <c r="BB42" s="97">
        <f t="shared" si="37"/>
        <v>0</v>
      </c>
      <c r="BC42" s="172" t="str">
        <f t="shared" si="16"/>
        <v/>
      </c>
      <c r="BD42" s="167"/>
      <c r="BE42" s="168"/>
      <c r="BF42" s="170" t="str">
        <f t="shared" si="17"/>
        <v/>
      </c>
      <c r="BG42" s="167"/>
      <c r="BH42" s="168"/>
      <c r="BI42" s="170" t="str">
        <f t="shared" si="18"/>
        <v/>
      </c>
      <c r="BJ42" s="167"/>
      <c r="BK42" s="168"/>
      <c r="BL42" s="170" t="str">
        <f t="shared" si="19"/>
        <v/>
      </c>
      <c r="BM42" s="3">
        <f t="shared" si="38"/>
        <v>0</v>
      </c>
      <c r="BN42" s="97">
        <f t="shared" si="39"/>
        <v>0</v>
      </c>
      <c r="BO42" s="172" t="str">
        <f t="shared" si="20"/>
        <v/>
      </c>
      <c r="BP42" s="167"/>
      <c r="BQ42" s="168"/>
      <c r="BR42" s="170" t="str">
        <f t="shared" si="70"/>
        <v/>
      </c>
      <c r="BS42" s="167"/>
      <c r="BT42" s="168"/>
      <c r="BU42" s="170" t="str">
        <f t="shared" si="71"/>
        <v/>
      </c>
      <c r="BV42" s="3">
        <f t="shared" si="40"/>
        <v>0</v>
      </c>
      <c r="BW42" s="97">
        <f t="shared" si="72"/>
        <v>0</v>
      </c>
      <c r="BX42" s="172" t="str">
        <f t="shared" si="73"/>
        <v/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175</v>
      </c>
      <c r="B43" t="s">
        <v>171</v>
      </c>
      <c r="C43" s="2">
        <f>VLOOKUP(A43,Dates!$B$2:$E$53,4,FALSE)</f>
        <v>39</v>
      </c>
      <c r="D43" s="168" t="b">
        <f>IF(C43&lt;='RDG Weekly Sales'!$F$1,TRUE,FALSE)</f>
        <v>0</v>
      </c>
      <c r="E43" s="167"/>
      <c r="F43" s="168"/>
      <c r="G43" s="170" t="str">
        <f t="shared" si="28"/>
        <v/>
      </c>
      <c r="H43" s="167"/>
      <c r="I43" s="168"/>
      <c r="J43" s="170" t="str">
        <f t="shared" si="0"/>
        <v/>
      </c>
      <c r="K43" s="3">
        <f t="shared" si="82"/>
        <v>0</v>
      </c>
      <c r="L43" s="97">
        <f t="shared" si="83"/>
        <v>0</v>
      </c>
      <c r="M43" s="172" t="str">
        <f t="shared" si="3"/>
        <v/>
      </c>
      <c r="N43" s="167"/>
      <c r="O43" s="168"/>
      <c r="P43" s="170" t="str">
        <f t="shared" si="4"/>
        <v/>
      </c>
      <c r="Q43" s="167"/>
      <c r="R43" s="168"/>
      <c r="S43" s="170" t="str">
        <f t="shared" si="5"/>
        <v/>
      </c>
      <c r="T43" s="167"/>
      <c r="U43" s="168"/>
      <c r="V43" s="170" t="str">
        <f t="shared" si="6"/>
        <v/>
      </c>
      <c r="W43" s="167">
        <f t="shared" si="29"/>
        <v>0</v>
      </c>
      <c r="X43" s="168">
        <f t="shared" si="30"/>
        <v>0</v>
      </c>
      <c r="Y43" s="172" t="str">
        <f t="shared" si="7"/>
        <v/>
      </c>
      <c r="Z43" s="167"/>
      <c r="AA43" s="168"/>
      <c r="AB43" s="170" t="str">
        <f t="shared" si="8"/>
        <v/>
      </c>
      <c r="AC43" s="167"/>
      <c r="AD43" s="168"/>
      <c r="AE43" s="170" t="str">
        <f t="shared" si="9"/>
        <v/>
      </c>
      <c r="AF43" s="167"/>
      <c r="AG43" s="168"/>
      <c r="AH43" s="170" t="str">
        <f t="shared" si="10"/>
        <v/>
      </c>
      <c r="AI43" s="3">
        <f t="shared" si="31"/>
        <v>0</v>
      </c>
      <c r="AJ43" s="97">
        <f t="shared" si="32"/>
        <v>0</v>
      </c>
      <c r="AK43" s="172" t="str">
        <f t="shared" si="11"/>
        <v/>
      </c>
      <c r="AL43" s="167"/>
      <c r="AM43" s="168"/>
      <c r="AN43" s="170" t="str">
        <f t="shared" si="12"/>
        <v/>
      </c>
      <c r="AO43" s="167"/>
      <c r="AP43" s="168"/>
      <c r="AQ43" s="170" t="str">
        <f t="shared" si="13"/>
        <v/>
      </c>
      <c r="AR43" s="3">
        <f t="shared" si="33"/>
        <v>0</v>
      </c>
      <c r="AS43" s="97">
        <f t="shared" si="34"/>
        <v>0</v>
      </c>
      <c r="AT43" s="172" t="str">
        <f t="shared" si="14"/>
        <v/>
      </c>
      <c r="AU43" s="167"/>
      <c r="AV43" s="168"/>
      <c r="AW43" s="170">
        <f t="shared" si="81"/>
        <v>0</v>
      </c>
      <c r="AX43" s="167"/>
      <c r="AY43" s="168"/>
      <c r="AZ43" s="170" t="str">
        <f t="shared" si="15"/>
        <v/>
      </c>
      <c r="BA43" s="3">
        <f t="shared" si="36"/>
        <v>0</v>
      </c>
      <c r="BB43" s="97">
        <f t="shared" si="37"/>
        <v>0</v>
      </c>
      <c r="BC43" s="172" t="str">
        <f t="shared" si="16"/>
        <v/>
      </c>
      <c r="BD43" s="167"/>
      <c r="BE43" s="168"/>
      <c r="BF43" s="170" t="str">
        <f t="shared" si="17"/>
        <v/>
      </c>
      <c r="BG43" s="167"/>
      <c r="BH43" s="168"/>
      <c r="BI43" s="170" t="str">
        <f t="shared" si="18"/>
        <v/>
      </c>
      <c r="BJ43" s="167"/>
      <c r="BK43" s="168"/>
      <c r="BL43" s="170" t="str">
        <f t="shared" si="19"/>
        <v/>
      </c>
      <c r="BM43" s="3">
        <f t="shared" si="38"/>
        <v>0</v>
      </c>
      <c r="BN43" s="97">
        <f t="shared" si="39"/>
        <v>0</v>
      </c>
      <c r="BO43" s="172" t="str">
        <f t="shared" si="20"/>
        <v/>
      </c>
      <c r="BP43" s="167"/>
      <c r="BQ43" s="168"/>
      <c r="BR43" s="170" t="str">
        <f t="shared" si="70"/>
        <v/>
      </c>
      <c r="BS43" s="167"/>
      <c r="BT43" s="168"/>
      <c r="BU43" s="170" t="str">
        <f t="shared" si="71"/>
        <v/>
      </c>
      <c r="BV43" s="3">
        <f t="shared" si="40"/>
        <v>0</v>
      </c>
      <c r="BW43" s="97">
        <f t="shared" si="72"/>
        <v>0</v>
      </c>
      <c r="BX43" s="172" t="str">
        <f t="shared" si="73"/>
        <v/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177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0</v>
      </c>
      <c r="E44" s="167"/>
      <c r="F44" s="168"/>
      <c r="G44" s="170" t="str">
        <f t="shared" si="28"/>
        <v/>
      </c>
      <c r="H44" s="167"/>
      <c r="I44" s="168"/>
      <c r="J44" s="170" t="str">
        <f t="shared" si="0"/>
        <v/>
      </c>
      <c r="K44" s="3">
        <f>E44+H44</f>
        <v>0</v>
      </c>
      <c r="L44" s="97">
        <f>F44+I44</f>
        <v>0</v>
      </c>
      <c r="M44" s="172" t="str">
        <f t="shared" si="3"/>
        <v/>
      </c>
      <c r="N44" s="167"/>
      <c r="O44" s="168"/>
      <c r="P44" s="170" t="str">
        <f t="shared" si="4"/>
        <v/>
      </c>
      <c r="Q44" s="167"/>
      <c r="R44" s="168"/>
      <c r="S44" s="170" t="str">
        <f t="shared" si="5"/>
        <v/>
      </c>
      <c r="T44" s="167"/>
      <c r="U44" s="168"/>
      <c r="V44" s="170" t="str">
        <f t="shared" si="6"/>
        <v/>
      </c>
      <c r="W44" s="167">
        <f t="shared" si="29"/>
        <v>0</v>
      </c>
      <c r="X44" s="168">
        <f t="shared" si="30"/>
        <v>0</v>
      </c>
      <c r="Y44" s="172" t="str">
        <f t="shared" si="7"/>
        <v/>
      </c>
      <c r="Z44" s="167"/>
      <c r="AA44" s="168"/>
      <c r="AB44" s="170" t="str">
        <f t="shared" si="8"/>
        <v/>
      </c>
      <c r="AC44" s="167"/>
      <c r="AD44" s="168"/>
      <c r="AE44" s="170" t="str">
        <f t="shared" si="9"/>
        <v/>
      </c>
      <c r="AF44" s="167"/>
      <c r="AG44" s="168"/>
      <c r="AH44" s="170" t="str">
        <f t="shared" si="10"/>
        <v/>
      </c>
      <c r="AI44" s="3">
        <f t="shared" si="31"/>
        <v>0</v>
      </c>
      <c r="AJ44" s="97">
        <f t="shared" si="32"/>
        <v>0</v>
      </c>
      <c r="AK44" s="172" t="str">
        <f t="shared" si="11"/>
        <v/>
      </c>
      <c r="AL44" s="167"/>
      <c r="AM44" s="168"/>
      <c r="AN44" s="170" t="str">
        <f t="shared" si="12"/>
        <v/>
      </c>
      <c r="AO44" s="167"/>
      <c r="AP44" s="168"/>
      <c r="AQ44" s="170" t="str">
        <f t="shared" si="13"/>
        <v/>
      </c>
      <c r="AR44" s="3">
        <f t="shared" si="33"/>
        <v>0</v>
      </c>
      <c r="AS44" s="97">
        <f t="shared" si="34"/>
        <v>0</v>
      </c>
      <c r="AT44" s="172" t="str">
        <f t="shared" si="14"/>
        <v/>
      </c>
      <c r="AU44" s="167"/>
      <c r="AV44" s="168"/>
      <c r="AW44" s="170">
        <f t="shared" si="81"/>
        <v>0</v>
      </c>
      <c r="AX44" s="167"/>
      <c r="AY44" s="168"/>
      <c r="AZ44" s="170" t="str">
        <f t="shared" si="15"/>
        <v/>
      </c>
      <c r="BA44" s="3">
        <f t="shared" si="36"/>
        <v>0</v>
      </c>
      <c r="BB44" s="97">
        <f t="shared" si="37"/>
        <v>0</v>
      </c>
      <c r="BC44" s="172" t="str">
        <f t="shared" si="16"/>
        <v/>
      </c>
      <c r="BD44" s="167"/>
      <c r="BE44" s="168"/>
      <c r="BF44" s="170" t="str">
        <f t="shared" si="17"/>
        <v/>
      </c>
      <c r="BG44" s="167"/>
      <c r="BH44" s="168"/>
      <c r="BI44" s="170" t="str">
        <f t="shared" si="18"/>
        <v/>
      </c>
      <c r="BJ44" s="167"/>
      <c r="BK44" s="168"/>
      <c r="BL44" s="170" t="str">
        <f t="shared" si="19"/>
        <v/>
      </c>
      <c r="BM44" s="3">
        <f t="shared" si="38"/>
        <v>0</v>
      </c>
      <c r="BN44" s="97">
        <f t="shared" si="39"/>
        <v>0</v>
      </c>
      <c r="BO44" s="172" t="str">
        <f t="shared" si="20"/>
        <v/>
      </c>
      <c r="BP44" s="167"/>
      <c r="BQ44" s="168"/>
      <c r="BR44" s="170" t="str">
        <f t="shared" si="70"/>
        <v/>
      </c>
      <c r="BS44" s="167"/>
      <c r="BT44" s="168"/>
      <c r="BU44" s="170" t="str">
        <f t="shared" si="71"/>
        <v/>
      </c>
      <c r="BV44" s="3">
        <f t="shared" si="40"/>
        <v>0</v>
      </c>
      <c r="BW44" s="97">
        <f t="shared" si="72"/>
        <v>0</v>
      </c>
      <c r="BX44" s="172" t="str">
        <f t="shared" si="73"/>
        <v/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178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0</v>
      </c>
      <c r="E45" s="167"/>
      <c r="F45" s="168"/>
      <c r="G45" s="170" t="str">
        <f t="shared" si="28"/>
        <v/>
      </c>
      <c r="H45" s="167"/>
      <c r="I45" s="168"/>
      <c r="J45" s="170" t="str">
        <f t="shared" si="0"/>
        <v/>
      </c>
      <c r="K45" s="3">
        <f t="shared" si="82"/>
        <v>0</v>
      </c>
      <c r="L45" s="97">
        <f t="shared" si="83"/>
        <v>0</v>
      </c>
      <c r="M45" s="172" t="str">
        <f t="shared" si="3"/>
        <v/>
      </c>
      <c r="N45" s="167"/>
      <c r="O45" s="168"/>
      <c r="P45" s="170" t="str">
        <f t="shared" si="4"/>
        <v/>
      </c>
      <c r="Q45" s="167"/>
      <c r="R45" s="168"/>
      <c r="S45" s="170" t="str">
        <f t="shared" si="5"/>
        <v/>
      </c>
      <c r="T45" s="167"/>
      <c r="U45" s="168"/>
      <c r="V45" s="170" t="str">
        <f t="shared" si="6"/>
        <v/>
      </c>
      <c r="W45" s="167">
        <f t="shared" si="29"/>
        <v>0</v>
      </c>
      <c r="X45" s="168">
        <f t="shared" si="30"/>
        <v>0</v>
      </c>
      <c r="Y45" s="172" t="str">
        <f t="shared" si="7"/>
        <v/>
      </c>
      <c r="Z45" s="167"/>
      <c r="AA45" s="168"/>
      <c r="AB45" s="170" t="str">
        <f t="shared" si="8"/>
        <v/>
      </c>
      <c r="AC45" s="167"/>
      <c r="AD45" s="168"/>
      <c r="AE45" s="170" t="str">
        <f t="shared" si="9"/>
        <v/>
      </c>
      <c r="AF45" s="167"/>
      <c r="AG45" s="168"/>
      <c r="AH45" s="170" t="str">
        <f t="shared" si="10"/>
        <v/>
      </c>
      <c r="AI45" s="3">
        <f t="shared" si="31"/>
        <v>0</v>
      </c>
      <c r="AJ45" s="97">
        <f t="shared" si="32"/>
        <v>0</v>
      </c>
      <c r="AK45" s="172" t="str">
        <f t="shared" si="11"/>
        <v/>
      </c>
      <c r="AL45" s="167"/>
      <c r="AM45" s="168"/>
      <c r="AN45" s="170" t="str">
        <f t="shared" si="12"/>
        <v/>
      </c>
      <c r="AO45" s="167"/>
      <c r="AP45" s="168"/>
      <c r="AQ45" s="170" t="str">
        <f t="shared" si="13"/>
        <v/>
      </c>
      <c r="AR45" s="3">
        <f t="shared" si="33"/>
        <v>0</v>
      </c>
      <c r="AS45" s="97">
        <f t="shared" si="34"/>
        <v>0</v>
      </c>
      <c r="AT45" s="172" t="str">
        <f t="shared" si="14"/>
        <v/>
      </c>
      <c r="AU45" s="167"/>
      <c r="AV45" s="168"/>
      <c r="AW45" s="170">
        <f t="shared" si="81"/>
        <v>0</v>
      </c>
      <c r="AX45" s="167"/>
      <c r="AY45" s="168"/>
      <c r="AZ45" s="170" t="str">
        <f t="shared" si="15"/>
        <v/>
      </c>
      <c r="BA45" s="3">
        <f>AX45+AU45</f>
        <v>0</v>
      </c>
      <c r="BB45" s="97">
        <f t="shared" si="37"/>
        <v>0</v>
      </c>
      <c r="BC45" s="172" t="str">
        <f t="shared" si="16"/>
        <v/>
      </c>
      <c r="BD45" s="167"/>
      <c r="BE45" s="168"/>
      <c r="BF45" s="170" t="str">
        <f t="shared" si="17"/>
        <v/>
      </c>
      <c r="BG45" s="167"/>
      <c r="BH45" s="168"/>
      <c r="BI45" s="170" t="str">
        <f t="shared" si="18"/>
        <v/>
      </c>
      <c r="BJ45" s="167"/>
      <c r="BK45" s="168"/>
      <c r="BL45" s="170" t="str">
        <f t="shared" si="19"/>
        <v/>
      </c>
      <c r="BM45" s="3">
        <f t="shared" si="38"/>
        <v>0</v>
      </c>
      <c r="BN45" s="97">
        <f t="shared" si="39"/>
        <v>0</v>
      </c>
      <c r="BO45" s="172" t="str">
        <f t="shared" si="20"/>
        <v/>
      </c>
      <c r="BP45" s="167"/>
      <c r="BQ45" s="168"/>
      <c r="BR45" s="170" t="str">
        <f t="shared" si="70"/>
        <v/>
      </c>
      <c r="BS45" s="167"/>
      <c r="BT45" s="168"/>
      <c r="BU45" s="170" t="str">
        <f t="shared" si="71"/>
        <v/>
      </c>
      <c r="BV45" s="3">
        <f t="shared" si="40"/>
        <v>0</v>
      </c>
      <c r="BW45" s="97">
        <f t="shared" si="72"/>
        <v>0</v>
      </c>
      <c r="BX45" s="172" t="str">
        <f t="shared" si="73"/>
        <v/>
      </c>
      <c r="BY45" s="167">
        <v>0</v>
      </c>
      <c r="BZ45" s="167">
        <v>0</v>
      </c>
      <c r="CA45" s="170" t="str">
        <f t="shared" si="74"/>
        <v/>
      </c>
      <c r="CB45" s="167">
        <v>0</v>
      </c>
      <c r="CC45" s="167">
        <v>0</v>
      </c>
      <c r="CD45" s="170" t="str">
        <f t="shared" si="75"/>
        <v/>
      </c>
      <c r="CE45" s="167"/>
      <c r="CF45" s="168"/>
      <c r="CG45" s="170" t="str">
        <f t="shared" si="76"/>
        <v/>
      </c>
      <c r="CH45" s="3">
        <f t="shared" si="77"/>
        <v>0</v>
      </c>
      <c r="CI45" s="97">
        <f t="shared" si="78"/>
        <v>0</v>
      </c>
      <c r="CJ45" s="172" t="str">
        <f t="shared" si="79"/>
        <v/>
      </c>
    </row>
    <row r="46" spans="1:88">
      <c r="A46" t="s">
        <v>179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0</v>
      </c>
      <c r="E46" s="167"/>
      <c r="F46" s="168"/>
      <c r="G46" s="170" t="str">
        <f t="shared" si="28"/>
        <v/>
      </c>
      <c r="H46" s="167"/>
      <c r="I46" s="168"/>
      <c r="J46" s="170" t="str">
        <f t="shared" si="0"/>
        <v/>
      </c>
      <c r="K46" s="3">
        <f t="shared" si="82"/>
        <v>0</v>
      </c>
      <c r="L46" s="97">
        <f t="shared" si="83"/>
        <v>0</v>
      </c>
      <c r="M46" s="172" t="str">
        <f t="shared" si="3"/>
        <v/>
      </c>
      <c r="N46" s="167"/>
      <c r="O46" s="168"/>
      <c r="P46" s="170" t="str">
        <f t="shared" si="4"/>
        <v/>
      </c>
      <c r="Q46" s="167"/>
      <c r="R46" s="168"/>
      <c r="S46" s="170" t="str">
        <f t="shared" si="5"/>
        <v/>
      </c>
      <c r="T46" s="167"/>
      <c r="U46" s="168"/>
      <c r="V46" s="170" t="str">
        <f t="shared" si="6"/>
        <v/>
      </c>
      <c r="W46" s="167">
        <f t="shared" si="29"/>
        <v>0</v>
      </c>
      <c r="X46" s="168">
        <f t="shared" si="30"/>
        <v>0</v>
      </c>
      <c r="Y46" s="172" t="str">
        <f t="shared" si="7"/>
        <v/>
      </c>
      <c r="Z46" s="167"/>
      <c r="AA46" s="168"/>
      <c r="AB46" s="170" t="str">
        <f t="shared" si="8"/>
        <v/>
      </c>
      <c r="AC46" s="167"/>
      <c r="AD46" s="168"/>
      <c r="AE46" s="170" t="str">
        <f t="shared" si="9"/>
        <v/>
      </c>
      <c r="AF46" s="167"/>
      <c r="AG46" s="168"/>
      <c r="AH46" s="170" t="str">
        <f t="shared" si="10"/>
        <v/>
      </c>
      <c r="AI46" s="3">
        <f t="shared" si="31"/>
        <v>0</v>
      </c>
      <c r="AJ46" s="97">
        <f t="shared" si="32"/>
        <v>0</v>
      </c>
      <c r="AK46" s="172" t="str">
        <f t="shared" si="11"/>
        <v/>
      </c>
      <c r="AL46" s="167"/>
      <c r="AM46" s="168"/>
      <c r="AN46" s="170" t="str">
        <f t="shared" si="12"/>
        <v/>
      </c>
      <c r="AO46" s="167"/>
      <c r="AP46" s="168"/>
      <c r="AQ46" s="170" t="str">
        <f t="shared" si="13"/>
        <v/>
      </c>
      <c r="AR46" s="3">
        <f t="shared" si="33"/>
        <v>0</v>
      </c>
      <c r="AS46" s="97">
        <f t="shared" si="34"/>
        <v>0</v>
      </c>
      <c r="AT46" s="172" t="str">
        <f t="shared" si="14"/>
        <v/>
      </c>
      <c r="AU46" s="167"/>
      <c r="AV46" s="168"/>
      <c r="AW46" s="170">
        <f t="shared" si="81"/>
        <v>0</v>
      </c>
      <c r="AX46" s="167"/>
      <c r="AY46" s="168"/>
      <c r="AZ46" s="170" t="str">
        <f t="shared" si="15"/>
        <v/>
      </c>
      <c r="BA46" s="3">
        <f t="shared" si="36"/>
        <v>0</v>
      </c>
      <c r="BB46" s="97">
        <f t="shared" si="37"/>
        <v>0</v>
      </c>
      <c r="BC46" s="172" t="str">
        <f t="shared" si="16"/>
        <v/>
      </c>
      <c r="BD46" s="167"/>
      <c r="BE46" s="168"/>
      <c r="BF46" s="170" t="str">
        <f t="shared" si="17"/>
        <v/>
      </c>
      <c r="BG46" s="167"/>
      <c r="BH46" s="168"/>
      <c r="BI46" s="170" t="str">
        <f t="shared" si="18"/>
        <v/>
      </c>
      <c r="BJ46" s="167"/>
      <c r="BK46" s="168"/>
      <c r="BL46" s="170" t="str">
        <f t="shared" si="19"/>
        <v/>
      </c>
      <c r="BM46" s="3">
        <f t="shared" si="38"/>
        <v>0</v>
      </c>
      <c r="BN46" s="97">
        <f t="shared" si="39"/>
        <v>0</v>
      </c>
      <c r="BO46" s="172" t="str">
        <f t="shared" si="20"/>
        <v/>
      </c>
      <c r="BP46" s="167"/>
      <c r="BQ46" s="168"/>
      <c r="BR46" s="170" t="str">
        <f t="shared" si="70"/>
        <v/>
      </c>
      <c r="BS46" s="167"/>
      <c r="BT46" s="168"/>
      <c r="BU46" s="170" t="str">
        <f t="shared" si="71"/>
        <v/>
      </c>
      <c r="BV46" s="3">
        <f t="shared" si="40"/>
        <v>0</v>
      </c>
      <c r="BW46" s="97">
        <f t="shared" si="72"/>
        <v>0</v>
      </c>
      <c r="BX46" s="172" t="str">
        <f t="shared" si="73"/>
        <v/>
      </c>
      <c r="BY46" s="167">
        <v>0</v>
      </c>
      <c r="BZ46" s="167">
        <v>0</v>
      </c>
      <c r="CA46" s="170" t="str">
        <f t="shared" si="74"/>
        <v/>
      </c>
      <c r="CB46" s="167">
        <v>0</v>
      </c>
      <c r="CC46" s="167">
        <v>0</v>
      </c>
      <c r="CD46" s="170" t="str">
        <f t="shared" si="75"/>
        <v/>
      </c>
      <c r="CE46" s="167"/>
      <c r="CF46" s="168"/>
      <c r="CG46" s="170" t="str">
        <f t="shared" si="76"/>
        <v/>
      </c>
      <c r="CH46" s="3">
        <f t="shared" si="77"/>
        <v>0</v>
      </c>
      <c r="CI46" s="97">
        <f t="shared" si="78"/>
        <v>0</v>
      </c>
      <c r="CJ46" s="172" t="str">
        <f t="shared" si="79"/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AU2:AW2"/>
    <mergeCell ref="AX2:AZ2"/>
    <mergeCell ref="BA2:BC2"/>
    <mergeCell ref="AU3:AW3"/>
    <mergeCell ref="AX3:AZ3"/>
    <mergeCell ref="BA3:BC3"/>
    <mergeCell ref="AL2:AN2"/>
    <mergeCell ref="AO2:AQ2"/>
    <mergeCell ref="AR2:AT2"/>
    <mergeCell ref="AL3:AN3"/>
    <mergeCell ref="AO3:AQ3"/>
    <mergeCell ref="AR3:AT3"/>
    <mergeCell ref="K2:M2"/>
    <mergeCell ref="N2:P2"/>
    <mergeCell ref="E3:G3"/>
    <mergeCell ref="H3:J3"/>
    <mergeCell ref="Q2:S2"/>
    <mergeCell ref="N3:P3"/>
    <mergeCell ref="Q3:S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BM2:BO2"/>
    <mergeCell ref="BM3:BO3"/>
    <mergeCell ref="BD2:BF2"/>
    <mergeCell ref="BG2:BI2"/>
    <mergeCell ref="BJ2:BL2"/>
    <mergeCell ref="BD3:BF3"/>
    <mergeCell ref="BG3:BI3"/>
    <mergeCell ref="BJ3:BL3"/>
    <mergeCell ref="BP2:BR2"/>
    <mergeCell ref="BS2:BU2"/>
    <mergeCell ref="BV2:BX2"/>
    <mergeCell ref="BP3:BR3"/>
    <mergeCell ref="BS3:BU3"/>
    <mergeCell ref="BV3:BX3"/>
    <mergeCell ref="BY2:CA2"/>
    <mergeCell ref="CB2:CD2"/>
    <mergeCell ref="CE2:CG2"/>
    <mergeCell ref="CH2:CJ2"/>
    <mergeCell ref="BY3:CA3"/>
    <mergeCell ref="CB3:CD3"/>
    <mergeCell ref="CE3:CG3"/>
    <mergeCell ref="CH3:CJ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CA12" activePane="bottomRight" state="frozen"/>
      <selection pane="bottomRight" activeCell="CS58" sqref="CS58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4" t="s">
        <v>195</v>
      </c>
      <c r="G2" s="414"/>
      <c r="H2" s="414"/>
      <c r="I2" s="414" t="s">
        <v>210</v>
      </c>
      <c r="J2" s="414"/>
      <c r="K2" s="414"/>
      <c r="L2" s="414" t="s">
        <v>195</v>
      </c>
      <c r="M2" s="414"/>
      <c r="N2" s="414"/>
      <c r="O2" s="414" t="s">
        <v>210</v>
      </c>
      <c r="P2" s="423"/>
      <c r="Q2" s="414"/>
      <c r="R2" s="414" t="s">
        <v>195</v>
      </c>
      <c r="S2" s="414"/>
      <c r="T2" s="414"/>
      <c r="U2" s="414" t="s">
        <v>210</v>
      </c>
      <c r="V2" s="414"/>
      <c r="W2" s="414"/>
      <c r="X2" s="414" t="s">
        <v>196</v>
      </c>
      <c r="Y2" s="414"/>
      <c r="Z2" s="415"/>
      <c r="AA2" s="414" t="s">
        <v>211</v>
      </c>
      <c r="AB2" s="414"/>
      <c r="AC2" s="415"/>
      <c r="AD2" s="414" t="s">
        <v>196</v>
      </c>
      <c r="AE2" s="414"/>
      <c r="AF2" s="415"/>
      <c r="AG2" s="414" t="s">
        <v>211</v>
      </c>
      <c r="AH2" s="414"/>
      <c r="AI2" s="415"/>
      <c r="AJ2" s="414" t="s">
        <v>196</v>
      </c>
      <c r="AK2" s="414"/>
      <c r="AL2" s="415"/>
      <c r="AM2" s="414" t="s">
        <v>211</v>
      </c>
      <c r="AN2" s="414"/>
      <c r="AO2" s="415"/>
      <c r="AP2" s="416" t="s">
        <v>195</v>
      </c>
      <c r="AQ2" s="414"/>
      <c r="AR2" s="417"/>
      <c r="AS2" s="416" t="s">
        <v>211</v>
      </c>
      <c r="AT2" s="414"/>
      <c r="AU2" s="417"/>
      <c r="AV2" s="414" t="s">
        <v>197</v>
      </c>
      <c r="AW2" s="414"/>
      <c r="AX2" s="415"/>
      <c r="AY2" s="414" t="s">
        <v>197</v>
      </c>
      <c r="AZ2" s="414"/>
      <c r="BA2" s="415"/>
      <c r="BB2" s="414" t="s">
        <v>197</v>
      </c>
      <c r="BC2" s="414"/>
      <c r="BD2" s="415"/>
      <c r="BE2" s="414" t="s">
        <v>197</v>
      </c>
      <c r="BF2" s="414"/>
      <c r="BG2" s="415"/>
      <c r="BH2" s="414" t="s">
        <v>198</v>
      </c>
      <c r="BI2" s="414"/>
      <c r="BJ2" s="415"/>
      <c r="BK2" s="414" t="s">
        <v>198</v>
      </c>
      <c r="BL2" s="414"/>
      <c r="BM2" s="415"/>
      <c r="BN2" s="414" t="s">
        <v>198</v>
      </c>
      <c r="BO2" s="414"/>
      <c r="BP2" s="415"/>
      <c r="BQ2" s="414" t="s">
        <v>198</v>
      </c>
      <c r="BR2" s="414"/>
      <c r="BS2" s="415"/>
      <c r="BT2" s="414" t="s">
        <v>199</v>
      </c>
      <c r="BU2" s="414"/>
      <c r="BV2" s="415"/>
      <c r="BW2" s="414" t="s">
        <v>199</v>
      </c>
      <c r="BX2" s="414"/>
      <c r="BY2" s="415"/>
      <c r="BZ2" s="414" t="s">
        <v>199</v>
      </c>
      <c r="CA2" s="414"/>
      <c r="CB2" s="415"/>
      <c r="CC2" s="414" t="s">
        <v>212</v>
      </c>
      <c r="CD2" s="414"/>
      <c r="CE2" s="415"/>
      <c r="CF2" s="414" t="s">
        <v>212</v>
      </c>
      <c r="CG2" s="414"/>
      <c r="CH2" s="415"/>
      <c r="CI2" s="414" t="s">
        <v>212</v>
      </c>
      <c r="CJ2" s="414"/>
      <c r="CK2" s="415"/>
      <c r="CL2" s="414" t="s">
        <v>213</v>
      </c>
      <c r="CM2" s="414"/>
      <c r="CN2" s="415"/>
      <c r="CO2" s="414" t="s">
        <v>213</v>
      </c>
      <c r="CP2" s="414"/>
      <c r="CQ2" s="415"/>
      <c r="CR2" s="416" t="s">
        <v>213</v>
      </c>
      <c r="CS2" s="414"/>
      <c r="CT2" s="417"/>
      <c r="CU2" s="414" t="s">
        <v>200</v>
      </c>
      <c r="CV2" s="414"/>
      <c r="CW2" s="415"/>
      <c r="CX2" s="414" t="s">
        <v>200</v>
      </c>
      <c r="CY2" s="414"/>
      <c r="CZ2" s="415"/>
      <c r="DA2" s="414" t="s">
        <v>200</v>
      </c>
      <c r="DB2" s="414"/>
      <c r="DC2" s="415"/>
      <c r="DD2" s="414" t="s">
        <v>201</v>
      </c>
      <c r="DE2" s="414"/>
      <c r="DF2" s="415"/>
      <c r="DG2" s="414" t="s">
        <v>201</v>
      </c>
      <c r="DH2" s="414"/>
      <c r="DI2" s="415"/>
      <c r="DJ2" s="414" t="s">
        <v>201</v>
      </c>
      <c r="DK2" s="414"/>
      <c r="DL2" s="415"/>
      <c r="DM2" s="414" t="s">
        <v>201</v>
      </c>
      <c r="DN2" s="414"/>
      <c r="DO2" s="415"/>
      <c r="DP2" s="414" t="s">
        <v>202</v>
      </c>
      <c r="DQ2" s="414"/>
      <c r="DR2" s="415"/>
      <c r="DS2" s="414" t="s">
        <v>202</v>
      </c>
      <c r="DT2" s="414"/>
      <c r="DU2" s="415"/>
      <c r="DV2" s="414" t="s">
        <v>202</v>
      </c>
      <c r="DW2" s="414"/>
      <c r="DX2" s="415"/>
      <c r="DY2" s="414" t="s">
        <v>203</v>
      </c>
      <c r="DZ2" s="414"/>
      <c r="EA2" s="415"/>
      <c r="EB2" s="414" t="s">
        <v>203</v>
      </c>
      <c r="EC2" s="414"/>
      <c r="ED2" s="415"/>
      <c r="EE2" s="414" t="s">
        <v>203</v>
      </c>
      <c r="EF2" s="414"/>
      <c r="EG2" s="415"/>
      <c r="EH2" s="414" t="s">
        <v>203</v>
      </c>
      <c r="EI2" s="414"/>
      <c r="EJ2" s="415"/>
    </row>
    <row r="3" spans="2:140" s="4" customFormat="1">
      <c r="E3" s="173"/>
      <c r="F3" s="418" t="s">
        <v>204</v>
      </c>
      <c r="G3" s="418"/>
      <c r="H3" s="419"/>
      <c r="I3" s="418" t="s">
        <v>204</v>
      </c>
      <c r="J3" s="418"/>
      <c r="K3" s="419"/>
      <c r="L3" s="418" t="s">
        <v>205</v>
      </c>
      <c r="M3" s="418"/>
      <c r="N3" s="419"/>
      <c r="O3" s="418" t="s">
        <v>205</v>
      </c>
      <c r="P3" s="418"/>
      <c r="Q3" s="419"/>
      <c r="R3" s="4" t="s">
        <v>107</v>
      </c>
      <c r="T3" s="176"/>
      <c r="W3" s="177"/>
      <c r="X3" s="418" t="s">
        <v>206</v>
      </c>
      <c r="Y3" s="418"/>
      <c r="Z3" s="419"/>
      <c r="AA3" s="418" t="s">
        <v>206</v>
      </c>
      <c r="AB3" s="418"/>
      <c r="AC3" s="419"/>
      <c r="AD3" s="418" t="s">
        <v>207</v>
      </c>
      <c r="AE3" s="418"/>
      <c r="AF3" s="419"/>
      <c r="AG3" s="418" t="s">
        <v>207</v>
      </c>
      <c r="AH3" s="418"/>
      <c r="AI3" s="419"/>
      <c r="AJ3" s="418" t="s">
        <v>208</v>
      </c>
      <c r="AK3" s="418"/>
      <c r="AL3" s="419"/>
      <c r="AM3" s="418" t="s">
        <v>208</v>
      </c>
      <c r="AN3" s="418"/>
      <c r="AO3" s="419"/>
      <c r="AP3" s="420" t="s">
        <v>107</v>
      </c>
      <c r="AQ3" s="418"/>
      <c r="AR3" s="421"/>
      <c r="AS3" s="420" t="s">
        <v>107</v>
      </c>
      <c r="AT3" s="418"/>
      <c r="AU3" s="421"/>
      <c r="AV3" s="418" t="s">
        <v>204</v>
      </c>
      <c r="AW3" s="418"/>
      <c r="AX3" s="419"/>
      <c r="AY3" s="418" t="s">
        <v>205</v>
      </c>
      <c r="AZ3" s="418"/>
      <c r="BA3" s="419"/>
      <c r="BB3" s="418" t="s">
        <v>207</v>
      </c>
      <c r="BC3" s="418"/>
      <c r="BD3" s="419"/>
      <c r="BE3" s="420" t="s">
        <v>107</v>
      </c>
      <c r="BF3" s="418"/>
      <c r="BG3" s="421"/>
      <c r="BH3" s="418" t="s">
        <v>204</v>
      </c>
      <c r="BI3" s="418"/>
      <c r="BJ3" s="419"/>
      <c r="BK3" s="418" t="s">
        <v>205</v>
      </c>
      <c r="BL3" s="418"/>
      <c r="BM3" s="419"/>
      <c r="BN3" s="418" t="s">
        <v>207</v>
      </c>
      <c r="BO3" s="418"/>
      <c r="BP3" s="419"/>
      <c r="BQ3" s="420" t="s">
        <v>107</v>
      </c>
      <c r="BR3" s="418"/>
      <c r="BS3" s="421"/>
      <c r="BT3" s="418" t="s">
        <v>205</v>
      </c>
      <c r="BU3" s="418"/>
      <c r="BV3" s="419"/>
      <c r="BW3" s="418" t="s">
        <v>204</v>
      </c>
      <c r="BX3" s="418"/>
      <c r="BY3" s="419"/>
      <c r="BZ3" s="420" t="s">
        <v>107</v>
      </c>
      <c r="CA3" s="418"/>
      <c r="CB3" s="421"/>
      <c r="CC3" s="418" t="s">
        <v>205</v>
      </c>
      <c r="CD3" s="418"/>
      <c r="CE3" s="419"/>
      <c r="CF3" s="418" t="s">
        <v>204</v>
      </c>
      <c r="CG3" s="418"/>
      <c r="CH3" s="419"/>
      <c r="CI3" s="420" t="s">
        <v>107</v>
      </c>
      <c r="CJ3" s="418"/>
      <c r="CK3" s="421"/>
      <c r="CL3" s="418" t="s">
        <v>205</v>
      </c>
      <c r="CM3" s="418"/>
      <c r="CN3" s="419"/>
      <c r="CO3" s="418" t="s">
        <v>204</v>
      </c>
      <c r="CP3" s="418"/>
      <c r="CQ3" s="419"/>
      <c r="CR3" s="420" t="s">
        <v>107</v>
      </c>
      <c r="CS3" s="418"/>
      <c r="CT3" s="421"/>
      <c r="CU3" s="418" t="s">
        <v>205</v>
      </c>
      <c r="CV3" s="418"/>
      <c r="CW3" s="419"/>
      <c r="CX3" s="418" t="s">
        <v>204</v>
      </c>
      <c r="CY3" s="418"/>
      <c r="CZ3" s="419"/>
      <c r="DA3" s="420" t="s">
        <v>107</v>
      </c>
      <c r="DB3" s="418"/>
      <c r="DC3" s="421"/>
      <c r="DD3" s="418" t="s">
        <v>204</v>
      </c>
      <c r="DE3" s="418"/>
      <c r="DF3" s="419"/>
      <c r="DG3" s="418" t="s">
        <v>205</v>
      </c>
      <c r="DH3" s="418"/>
      <c r="DI3" s="419"/>
      <c r="DJ3" s="418" t="s">
        <v>207</v>
      </c>
      <c r="DK3" s="418"/>
      <c r="DL3" s="419"/>
      <c r="DM3" s="420" t="s">
        <v>107</v>
      </c>
      <c r="DN3" s="418"/>
      <c r="DO3" s="421"/>
      <c r="DP3" s="418" t="s">
        <v>208</v>
      </c>
      <c r="DQ3" s="418"/>
      <c r="DR3" s="419"/>
      <c r="DS3" s="418" t="s">
        <v>207</v>
      </c>
      <c r="DT3" s="418"/>
      <c r="DU3" s="419"/>
      <c r="DV3" s="420" t="s">
        <v>107</v>
      </c>
      <c r="DW3" s="418"/>
      <c r="DX3" s="421"/>
      <c r="DY3" s="418" t="s">
        <v>204</v>
      </c>
      <c r="DZ3" s="418"/>
      <c r="EA3" s="419"/>
      <c r="EB3" s="418" t="s">
        <v>205</v>
      </c>
      <c r="EC3" s="418"/>
      <c r="ED3" s="419"/>
      <c r="EE3" s="418" t="s">
        <v>207</v>
      </c>
      <c r="EF3" s="418"/>
      <c r="EG3" s="419"/>
      <c r="EH3" s="420" t="s">
        <v>107</v>
      </c>
      <c r="EI3" s="418"/>
      <c r="EJ3" s="421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168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169</v>
      </c>
      <c r="C38" t="s">
        <v>165</v>
      </c>
      <c r="D38">
        <f>VLOOKUP(B38,Dates!$B$2:$E$53,4,FALSE)</f>
        <v>34</v>
      </c>
      <c r="E38" s="168" t="b">
        <f>IF(D38&lt;='RDG Weekly Sales'!$F$1,TRUE,FALSE)</f>
        <v>1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172</v>
      </c>
      <c r="C39" t="s">
        <v>171</v>
      </c>
      <c r="D39">
        <f>VLOOKUP(B39,Dates!$B$2:$E$53,4,FALSE)</f>
        <v>35</v>
      </c>
      <c r="E39" s="168" t="b">
        <f>IF(D39&lt;='RDG Weekly Sales'!$F$1,TRUE,FALSE)</f>
        <v>1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101</v>
      </c>
      <c r="C40" t="s">
        <v>171</v>
      </c>
      <c r="D40">
        <f>VLOOKUP(B40,Dates!$B$2:$E$53,4,FALSE)</f>
        <v>36</v>
      </c>
      <c r="E40" s="168" t="b">
        <f>IF(D40&lt;='RDG Weekly Sales'!$F$1,TRUE,FALSE)</f>
        <v>1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173</v>
      </c>
      <c r="C41" t="s">
        <v>171</v>
      </c>
      <c r="D41">
        <f>VLOOKUP(B41,Dates!$B$2:$E$53,4,FALSE)</f>
        <v>37</v>
      </c>
      <c r="E41" s="168" t="b">
        <f>IF(D41&lt;='RDG Weekly Sales'!$F$1,TRUE,FALSE)</f>
        <v>0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174</v>
      </c>
      <c r="C42" t="s">
        <v>171</v>
      </c>
      <c r="D42">
        <f>VLOOKUP(B42,Dates!$B$2:$E$53,4,FALSE)</f>
        <v>38</v>
      </c>
      <c r="E42" s="168" t="b">
        <f>IF(D42&lt;='RDG Weekly Sales'!$F$1,TRUE,FALSE)</f>
        <v>0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175</v>
      </c>
      <c r="C43" t="s">
        <v>171</v>
      </c>
      <c r="D43">
        <f>VLOOKUP(B43,Dates!$B$2:$E$53,4,FALSE)</f>
        <v>39</v>
      </c>
      <c r="E43" s="168" t="b">
        <f>IF(D43&lt;='RDG Weekly Sales'!$F$1,TRUE,FALSE)</f>
        <v>0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177</v>
      </c>
      <c r="C44" t="s">
        <v>76</v>
      </c>
      <c r="D44">
        <f>VLOOKUP(B44,Dates!$B$2:$E$53,4,FALSE)</f>
        <v>40</v>
      </c>
      <c r="E44" s="168" t="b">
        <f>IF(D44&lt;='RDG Weekly Sales'!$F$1,TRUE,FALSE)</f>
        <v>0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178</v>
      </c>
      <c r="C45" t="s">
        <v>76</v>
      </c>
      <c r="D45">
        <f>VLOOKUP(B45,Dates!$B$2:$E$53,4,FALSE)</f>
        <v>41</v>
      </c>
      <c r="E45" s="168" t="b">
        <f>IF(D45&lt;='RDG Weekly Sales'!$F$1,TRUE,FALSE)</f>
        <v>0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179</v>
      </c>
      <c r="C46" t="s">
        <v>76</v>
      </c>
      <c r="D46">
        <f>VLOOKUP(B46,Dates!$B$2:$E$53,4,FALSE)</f>
        <v>42</v>
      </c>
      <c r="E46" s="168" t="b">
        <f>IF(D46&lt;='RDG Weekly Sales'!$F$1,TRUE,FALSE)</f>
        <v>0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CL2:CN2"/>
    <mergeCell ref="CO2:CQ2"/>
    <mergeCell ref="CR2:CT2"/>
    <mergeCell ref="CL3:CN3"/>
    <mergeCell ref="CO3:CQ3"/>
    <mergeCell ref="CR3:CT3"/>
    <mergeCell ref="CC2:CE2"/>
    <mergeCell ref="CF2:CH2"/>
    <mergeCell ref="CI2:CK2"/>
    <mergeCell ref="CC3:CE3"/>
    <mergeCell ref="CF3:CH3"/>
    <mergeCell ref="CI3:CK3"/>
    <mergeCell ref="CU2:CW2"/>
    <mergeCell ref="CX2:CZ2"/>
    <mergeCell ref="DA2:DC2"/>
    <mergeCell ref="CU3:CW3"/>
    <mergeCell ref="CX3:CZ3"/>
    <mergeCell ref="DA3:DC3"/>
    <mergeCell ref="BT2:BV2"/>
    <mergeCell ref="BW2:BY2"/>
    <mergeCell ref="BZ2:CB2"/>
    <mergeCell ref="BT3:BV3"/>
    <mergeCell ref="BW3:BY3"/>
    <mergeCell ref="BZ3:CB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BQ2:BS2"/>
    <mergeCell ref="BH3:BJ3"/>
    <mergeCell ref="BK3:BM3"/>
    <mergeCell ref="BN3:BP3"/>
    <mergeCell ref="BQ3:BS3"/>
    <mergeCell ref="DD2:DF2"/>
    <mergeCell ref="DG2:DI2"/>
    <mergeCell ref="DJ2:DL2"/>
    <mergeCell ref="DM2:DO2"/>
    <mergeCell ref="DD3:DF3"/>
    <mergeCell ref="DG3:DI3"/>
    <mergeCell ref="DJ3:DL3"/>
    <mergeCell ref="DM3:DO3"/>
    <mergeCell ref="DP2:DR2"/>
    <mergeCell ref="DS2:DU2"/>
    <mergeCell ref="DV2:DX2"/>
    <mergeCell ref="DP3:DR3"/>
    <mergeCell ref="DS3:DU3"/>
    <mergeCell ref="DV3:DX3"/>
    <mergeCell ref="DY2:EA2"/>
    <mergeCell ref="EB2:ED2"/>
    <mergeCell ref="EE2:EG2"/>
    <mergeCell ref="EH2:EJ2"/>
    <mergeCell ref="DY3:EA3"/>
    <mergeCell ref="EB3:ED3"/>
    <mergeCell ref="EE3:EG3"/>
    <mergeCell ref="EH3:EJ3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214</v>
      </c>
      <c r="N1" t="s">
        <v>215</v>
      </c>
    </row>
    <row r="3" spans="2:28">
      <c r="B3" s="426" t="s">
        <v>216</v>
      </c>
      <c r="C3" s="426"/>
      <c r="D3" s="426"/>
      <c r="E3" s="426"/>
      <c r="F3" s="426"/>
      <c r="G3" s="426"/>
      <c r="H3" s="426"/>
      <c r="I3" s="426"/>
      <c r="J3" s="426"/>
      <c r="K3" s="266"/>
      <c r="L3" s="426" t="s">
        <v>217</v>
      </c>
      <c r="M3" s="426"/>
      <c r="N3" s="426"/>
      <c r="O3" s="426"/>
      <c r="P3" s="426"/>
      <c r="Q3" s="426"/>
      <c r="R3" s="426"/>
      <c r="S3" s="426"/>
      <c r="T3" s="426"/>
      <c r="U3" s="426"/>
      <c r="V3" s="426"/>
      <c r="W3" s="426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4" t="s">
        <v>8</v>
      </c>
      <c r="C5" s="424"/>
      <c r="D5" s="424"/>
      <c r="E5" s="424"/>
      <c r="F5" s="424"/>
      <c r="G5" s="424"/>
      <c r="H5" s="424"/>
      <c r="I5" s="424"/>
      <c r="J5" s="424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95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5" t="s">
        <v>71</v>
      </c>
      <c r="M8" s="425"/>
      <c r="N8" s="425"/>
      <c r="O8" s="425" t="s">
        <v>63</v>
      </c>
      <c r="P8" s="425"/>
      <c r="Q8" s="425"/>
      <c r="R8" s="425" t="s">
        <v>71</v>
      </c>
      <c r="S8" s="425"/>
      <c r="T8" s="425"/>
      <c r="U8" s="425" t="s">
        <v>63</v>
      </c>
      <c r="V8" s="425"/>
      <c r="W8" s="425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537706</v>
      </c>
      <c r="D17" s="277">
        <f>SUMIFS('Actual - 2026'!$L:$L,'Actual - 2026'!$C:$C,'Summary - Avg Ck'!B17)</f>
        <v>4050</v>
      </c>
      <c r="E17" s="290">
        <f t="shared" si="1"/>
        <v>132.76691358024692</v>
      </c>
      <c r="F17" s="260">
        <f t="shared" si="4"/>
        <v>135.07548645678455</v>
      </c>
      <c r="G17" s="200">
        <f t="shared" si="2"/>
        <v>1.7388164071030228E-2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506455.26</v>
      </c>
      <c r="D18" s="277">
        <f>SUMIFS('Actual - 2026'!$L:$L,'Actual - 2026'!$C:$C,'Summary - Avg Ck'!B18)</f>
        <v>3666</v>
      </c>
      <c r="E18" s="290">
        <f t="shared" si="1"/>
        <v>138.1492798690671</v>
      </c>
      <c r="F18" s="260">
        <f t="shared" si="4"/>
        <v>135.20466073271413</v>
      </c>
      <c r="G18" s="200">
        <f t="shared" si="2"/>
        <v>-2.131476283585244E-2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523299.35</v>
      </c>
      <c r="D19" s="277">
        <f>SUMIFS('Actual - 2026'!$L:$L,'Actual - 2026'!$C:$C,'Summary - Avg Ck'!B19)</f>
        <v>3613</v>
      </c>
      <c r="E19" s="290">
        <f t="shared" si="1"/>
        <v>144.83790478826458</v>
      </c>
      <c r="F19" s="260">
        <f t="shared" si="4"/>
        <v>137.0839333202332</v>
      </c>
      <c r="G19" s="200">
        <f t="shared" si="2"/>
        <v>-5.3535512539806103E-2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0</v>
      </c>
      <c r="D20" s="277">
        <f>SUMIFS('Actual - 2026'!$L:$L,'Actual - 2026'!$C:$C,'Summary - Avg Ck'!B20)</f>
        <v>0</v>
      </c>
      <c r="E20" s="290">
        <f t="shared" si="1"/>
        <v>0</v>
      </c>
      <c r="F20" s="260">
        <f t="shared" si="4"/>
        <v>138.35824962485654</v>
      </c>
      <c r="G20" s="200" t="e">
        <f t="shared" si="2"/>
        <v>#DIV/0!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0</v>
      </c>
      <c r="D21" s="277">
        <f>SUMIFS('Actual - 2026'!$L:$L,'Actual - 2026'!$C:$C,'Summary - Avg Ck'!B21)</f>
        <v>0</v>
      </c>
      <c r="E21" s="290">
        <f t="shared" si="1"/>
        <v>0</v>
      </c>
      <c r="F21" s="260">
        <f t="shared" si="4"/>
        <v>141.46924165407336</v>
      </c>
      <c r="G21" s="200" t="e">
        <f t="shared" si="2"/>
        <v>#DIV/0!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0</v>
      </c>
      <c r="D22" s="277">
        <f>SUMIFS('Actual - 2026'!$L:$L,'Actual - 2026'!$C:$C,'Summary - Avg Ck'!B22)</f>
        <v>0</v>
      </c>
      <c r="E22" s="290">
        <f t="shared" si="1"/>
        <v>0</v>
      </c>
      <c r="F22" s="260">
        <f t="shared" si="4"/>
        <v>144.83790478826458</v>
      </c>
      <c r="G22" s="200" t="e">
        <f t="shared" si="2"/>
        <v>#DIV/0!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0</v>
      </c>
      <c r="D23" s="277">
        <f>SUMIFS('Actual - 2026'!$L:$L,'Actual - 2026'!$C:$C,'Summary - Avg Ck'!B23)</f>
        <v>0</v>
      </c>
      <c r="E23" s="290">
        <f t="shared" si="1"/>
        <v>0</v>
      </c>
      <c r="F23" s="260" t="e">
        <f t="shared" si="4"/>
        <v>#DIV/0!</v>
      </c>
      <c r="G23" s="200" t="e">
        <f t="shared" si="2"/>
        <v>#DIV/0!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0</v>
      </c>
      <c r="D24" s="277">
        <f>SUMIFS('Actual - 2026'!$L:$L,'Actual - 2026'!$C:$C,'Summary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0</v>
      </c>
      <c r="D25" s="277">
        <f>SUMIFS('Actual - 2026'!$L:$L,'Actual - 2026'!$C:$C,'Summary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4" t="s">
        <v>9</v>
      </c>
      <c r="C27" s="424"/>
      <c r="D27" s="424"/>
      <c r="E27" s="424"/>
      <c r="F27" s="424"/>
      <c r="G27" s="424"/>
      <c r="H27" s="424"/>
      <c r="I27" s="424"/>
      <c r="J27" s="424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223</v>
      </c>
      <c r="M29" s="295" t="s">
        <v>224</v>
      </c>
      <c r="N29" s="295" t="s">
        <v>225</v>
      </c>
      <c r="O29" s="295" t="s">
        <v>223</v>
      </c>
      <c r="P29" s="295" t="s">
        <v>224</v>
      </c>
      <c r="Q29" s="295" t="s">
        <v>225</v>
      </c>
      <c r="R29" s="295" t="s">
        <v>226</v>
      </c>
      <c r="S29" s="295" t="s">
        <v>227</v>
      </c>
      <c r="T29" s="295" t="s">
        <v>228</v>
      </c>
      <c r="U29" s="295" t="s">
        <v>226</v>
      </c>
      <c r="V29" s="295" t="s">
        <v>227</v>
      </c>
      <c r="W29" s="295" t="s">
        <v>228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5" t="s">
        <v>71</v>
      </c>
      <c r="M30" s="425"/>
      <c r="N30" s="425"/>
      <c r="O30" s="425" t="s">
        <v>63</v>
      </c>
      <c r="P30" s="425"/>
      <c r="Q30" s="425"/>
      <c r="R30" s="425" t="s">
        <v>71</v>
      </c>
      <c r="S30" s="425"/>
      <c r="T30" s="425"/>
      <c r="U30" s="425" t="s">
        <v>63</v>
      </c>
      <c r="V30" s="425"/>
      <c r="W30" s="425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856</v>
      </c>
      <c r="E37" s="290">
        <f t="shared" si="15"/>
        <v>206.5625</v>
      </c>
      <c r="F37" s="260">
        <f t="shared" si="12"/>
        <v>229.28834072022161</v>
      </c>
      <c r="G37" s="200">
        <f t="shared" si="13"/>
        <v>0.11001919864555092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133033</v>
      </c>
      <c r="D38" s="278">
        <f>SUMIFS('Actual - 2026'!$X:$X,'Actual - 2026'!$C:$C,'Summary - Avg Ck'!B16)</f>
        <v>816</v>
      </c>
      <c r="E38" s="290">
        <f t="shared" si="15"/>
        <v>163.03063725490196</v>
      </c>
      <c r="F38" s="260">
        <f t="shared" si="12"/>
        <v>212.53151285046729</v>
      </c>
      <c r="G38" s="200">
        <f t="shared" si="13"/>
        <v>0.30362928360618274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191603</v>
      </c>
      <c r="D39" s="278">
        <f>SUMIFS('Actual - 2026'!$X:$X,'Actual - 2026'!$C:$C,'Summary - Avg Ck'!B17)</f>
        <v>920</v>
      </c>
      <c r="E39" s="290">
        <f t="shared" si="15"/>
        <v>208.2641304347826</v>
      </c>
      <c r="F39" s="260">
        <f t="shared" si="12"/>
        <v>200.88596491228071</v>
      </c>
      <c r="G39" s="200">
        <f t="shared" si="13"/>
        <v>-3.5426962420743606E-2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233886.51</v>
      </c>
      <c r="D40" s="278">
        <f>SUMIFS('Actual - 2026'!$X:$X,'Actual - 2026'!$C:$C,'Summary - Avg Ck'!B18)</f>
        <v>942</v>
      </c>
      <c r="E40" s="290">
        <f t="shared" si="15"/>
        <v>248.28716560509554</v>
      </c>
      <c r="F40" s="260">
        <f t="shared" si="12"/>
        <v>208.07583757781552</v>
      </c>
      <c r="G40" s="200">
        <f>(F40-E40)/E40</f>
        <v>-0.16195491993829733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289553.25</v>
      </c>
      <c r="D41" s="278">
        <f>SUMIFS('Actual - 2026'!$X:$X,'Actual - 2026'!$C:$C,'Summary - Avg Ck'!B19)</f>
        <v>923</v>
      </c>
      <c r="E41" s="290">
        <f t="shared" si="15"/>
        <v>313.70882990249186</v>
      </c>
      <c r="F41" s="260">
        <f t="shared" si="12"/>
        <v>235.51118022771453</v>
      </c>
      <c r="G41" s="200">
        <f t="shared" si="13"/>
        <v>-0.24926824565021968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0</v>
      </c>
      <c r="D42" s="278">
        <f>SUMIFS('Actual - 2026'!$X:$X,'Actual - 2026'!$C:$C,'Summary - Avg Ck'!B20)</f>
        <v>0</v>
      </c>
      <c r="E42" s="290">
        <f t="shared" si="15"/>
        <v>0</v>
      </c>
      <c r="F42" s="260">
        <f t="shared" si="12"/>
        <v>256.74784919210055</v>
      </c>
      <c r="G42" s="200" t="e">
        <f t="shared" si="13"/>
        <v>#DIV/0!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0</v>
      </c>
      <c r="D43" s="278">
        <f>SUMIFS('Actual - 2026'!$X:$X,'Actual - 2026'!$C:$C,'Summary - Avg Ck'!B21)</f>
        <v>0</v>
      </c>
      <c r="E43" s="290">
        <f t="shared" si="15"/>
        <v>0</v>
      </c>
      <c r="F43" s="260">
        <f t="shared" si="12"/>
        <v>280.66475067024129</v>
      </c>
      <c r="G43" s="200" t="e">
        <f t="shared" si="13"/>
        <v>#DIV/0!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0</v>
      </c>
      <c r="D44" s="278">
        <f>SUMIFS('Actual - 2026'!$X:$X,'Actual - 2026'!$C:$C,'Summary - Avg Ck'!B22)</f>
        <v>0</v>
      </c>
      <c r="E44" s="290">
        <f t="shared" si="15"/>
        <v>0</v>
      </c>
      <c r="F44" s="260">
        <f t="shared" si="12"/>
        <v>313.70882990249186</v>
      </c>
      <c r="G44" s="200" t="e">
        <f t="shared" si="13"/>
        <v>#DIV/0!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0</v>
      </c>
      <c r="D45" s="278">
        <f>SUMIFS('Actual - 2026'!$X:$X,'Actual - 2026'!$C:$C,'Summary - Avg Ck'!B23)</f>
        <v>0</v>
      </c>
      <c r="E45" s="290">
        <f t="shared" si="15"/>
        <v>0</v>
      </c>
      <c r="F45" s="260" t="e">
        <f t="shared" si="12"/>
        <v>#DIV/0!</v>
      </c>
      <c r="G45" s="200" t="e">
        <f t="shared" si="13"/>
        <v>#DIV/0!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0</v>
      </c>
      <c r="D46" s="278">
        <f>SUMIFS('Actual - 2026'!$X:$X,'Actual - 2026'!$C:$C,'Summary - Avg Ck'!B24)</f>
        <v>0</v>
      </c>
      <c r="E46" s="290">
        <f t="shared" si="15"/>
        <v>0</v>
      </c>
      <c r="F46" s="260" t="e">
        <f t="shared" si="12"/>
        <v>#DIV/0!</v>
      </c>
      <c r="G46" s="200" t="e">
        <f t="shared" si="13"/>
        <v>#DIV/0!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0</v>
      </c>
      <c r="D47" s="278">
        <f>SUMIFS('Actual - 2026'!$X:$X,'Actual - 2026'!$C:$C,'Summary - Avg Ck'!B25)</f>
        <v>0</v>
      </c>
      <c r="E47" s="290">
        <f t="shared" si="15"/>
        <v>0</v>
      </c>
      <c r="F47" s="260" t="e">
        <f t="shared" si="12"/>
        <v>#DIV/0!</v>
      </c>
      <c r="G47" s="200" t="e">
        <f t="shared" si="13"/>
        <v>#DIV/0!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4" t="s">
        <v>11</v>
      </c>
      <c r="C49" s="424"/>
      <c r="D49" s="424"/>
      <c r="E49" s="424"/>
      <c r="F49" s="424"/>
      <c r="G49" s="424"/>
      <c r="H49" s="424"/>
      <c r="I49" s="424"/>
      <c r="J49" s="424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223</v>
      </c>
      <c r="M51" s="295" t="s">
        <v>224</v>
      </c>
      <c r="N51" s="295" t="s">
        <v>225</v>
      </c>
      <c r="O51" s="295" t="s">
        <v>223</v>
      </c>
      <c r="P51" s="295" t="s">
        <v>224</v>
      </c>
      <c r="Q51" s="295" t="s">
        <v>225</v>
      </c>
      <c r="R51" s="295" t="s">
        <v>226</v>
      </c>
      <c r="S51" s="295" t="s">
        <v>227</v>
      </c>
      <c r="T51" s="295" t="s">
        <v>228</v>
      </c>
      <c r="U51" s="295" t="s">
        <v>226</v>
      </c>
      <c r="V51" s="295" t="s">
        <v>227</v>
      </c>
      <c r="W51" s="295" t="s">
        <v>228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5" t="s">
        <v>71</v>
      </c>
      <c r="M52" s="425"/>
      <c r="N52" s="425"/>
      <c r="O52" s="425" t="s">
        <v>63</v>
      </c>
      <c r="P52" s="425"/>
      <c r="Q52" s="425"/>
      <c r="R52" s="425" t="s">
        <v>71</v>
      </c>
      <c r="S52" s="425"/>
      <c r="T52" s="425"/>
      <c r="U52" s="425" t="s">
        <v>63</v>
      </c>
      <c r="V52" s="425"/>
      <c r="W52" s="425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2721</v>
      </c>
      <c r="E59" s="290">
        <f t="shared" si="20"/>
        <v>161.60466372657112</v>
      </c>
      <c r="F59" s="260">
        <f t="shared" si="18"/>
        <v>161.2623899264768</v>
      </c>
      <c r="G59" s="200">
        <f t="shared" si="19"/>
        <v>-2.1179698172166151E-3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2581</v>
      </c>
      <c r="E60" s="290">
        <f t="shared" si="20"/>
        <v>144.50099186361874</v>
      </c>
      <c r="F60" s="260">
        <f t="shared" si="18"/>
        <v>155.02192256695835</v>
      </c>
      <c r="G60" s="200">
        <f t="shared" si="19"/>
        <v>7.2808709252801251E-2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386565.86</v>
      </c>
      <c r="D61" s="278">
        <f>SUMIFS('Actual - 2026'!$AS:$AS,'Actual - 2026'!$C:$C,'Summary - Avg Ck'!B39)</f>
        <v>2677</v>
      </c>
      <c r="E61" s="290">
        <f t="shared" si="20"/>
        <v>144.4026372805379</v>
      </c>
      <c r="F61" s="260">
        <f t="shared" si="18"/>
        <v>152.06580224223489</v>
      </c>
      <c r="G61" s="200">
        <f t="shared" si="19"/>
        <v>5.3068040210438788E-2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409660.66000000003</v>
      </c>
      <c r="D62" s="278">
        <f>SUMIFS('Actual - 2026'!$AS:$AS,'Actual - 2026'!$C:$C,'Summary - Avg Ck'!B40)</f>
        <v>2624</v>
      </c>
      <c r="E62" s="290">
        <f t="shared" si="20"/>
        <v>156.12067835365855</v>
      </c>
      <c r="F62" s="260">
        <f t="shared" si="18"/>
        <v>151.74100443270774</v>
      </c>
      <c r="G62" s="200">
        <f t="shared" si="19"/>
        <v>-2.8053131507855596E-2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379674.08999999997</v>
      </c>
      <c r="D63" s="278">
        <f>SUMIFS('Actual - 2026'!$AS:$AS,'Actual - 2026'!$C:$C,'Summary - Avg Ck'!B41)</f>
        <v>2568</v>
      </c>
      <c r="E63" s="290">
        <f t="shared" si="20"/>
        <v>147.84816588785046</v>
      </c>
      <c r="F63" s="260">
        <f t="shared" si="18"/>
        <v>148.21604497607655</v>
      </c>
      <c r="G63" s="200">
        <f t="shared" si="19"/>
        <v>2.4882221975289355E-3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0</v>
      </c>
      <c r="D64" s="278">
        <f>SUMIFS('Actual - 2026'!$AS:$AS,'Actual - 2026'!$C:$C,'Summary - Avg Ck'!B42)</f>
        <v>0</v>
      </c>
      <c r="E64" s="290">
        <f t="shared" si="20"/>
        <v>0</v>
      </c>
      <c r="F64" s="260">
        <f t="shared" si="18"/>
        <v>149.43456728936332</v>
      </c>
      <c r="G64" s="200" t="e">
        <f t="shared" si="19"/>
        <v>#DIV/0!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0</v>
      </c>
      <c r="D65" s="278">
        <f>SUMIFS('Actual - 2026'!$AS:$AS,'Actual - 2026'!$C:$C,'Summary - Avg Ck'!B43)</f>
        <v>0</v>
      </c>
      <c r="E65" s="290">
        <f t="shared" si="20"/>
        <v>0</v>
      </c>
      <c r="F65" s="260">
        <f t="shared" si="18"/>
        <v>152.02903505392914</v>
      </c>
      <c r="G65" s="200" t="e">
        <f t="shared" si="19"/>
        <v>#DIV/0!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0</v>
      </c>
      <c r="D66" s="278">
        <f>SUMIFS('Actual - 2026'!$AS:$AS,'Actual - 2026'!$C:$C,'Summary - Avg Ck'!B44)</f>
        <v>0</v>
      </c>
      <c r="E66" s="290">
        <f t="shared" si="20"/>
        <v>0</v>
      </c>
      <c r="F66" s="260">
        <f t="shared" si="18"/>
        <v>147.84816588785046</v>
      </c>
      <c r="G66" s="200" t="e">
        <f t="shared" si="19"/>
        <v>#DIV/0!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0</v>
      </c>
      <c r="D67" s="278">
        <f>SUMIFS('Actual - 2026'!$AS:$AS,'Actual - 2026'!$C:$C,'Summary - Avg Ck'!B45)</f>
        <v>0</v>
      </c>
      <c r="E67" s="290">
        <f t="shared" si="20"/>
        <v>0</v>
      </c>
      <c r="F67" s="260" t="e">
        <f t="shared" si="18"/>
        <v>#DIV/0!</v>
      </c>
      <c r="G67" s="200" t="e">
        <f t="shared" si="19"/>
        <v>#DIV/0!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0</v>
      </c>
      <c r="D68" s="278">
        <f>SUMIFS('Actual - 2026'!$AS:$AS,'Actual - 2026'!$C:$C,'Summary - Avg Ck'!B46)</f>
        <v>0</v>
      </c>
      <c r="E68" s="290">
        <f t="shared" si="20"/>
        <v>0</v>
      </c>
      <c r="F68" s="260" t="e">
        <f t="shared" si="18"/>
        <v>#DIV/0!</v>
      </c>
      <c r="G68" s="200" t="e">
        <f t="shared" si="19"/>
        <v>#DIV/0!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0</v>
      </c>
      <c r="D69" s="278">
        <f>SUMIFS('Actual - 2026'!$AS:$AS,'Actual - 2026'!$C:$C,'Summary - Avg Ck'!B47)</f>
        <v>0</v>
      </c>
      <c r="E69" s="290">
        <f t="shared" si="20"/>
        <v>0</v>
      </c>
      <c r="F69" s="260" t="e">
        <f t="shared" si="18"/>
        <v>#DIV/0!</v>
      </c>
      <c r="G69" s="200" t="e">
        <f t="shared" si="19"/>
        <v>#DIV/0!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4" t="s">
        <v>229</v>
      </c>
      <c r="C71" s="424"/>
      <c r="D71" s="424"/>
      <c r="E71" s="424"/>
      <c r="F71" s="424"/>
      <c r="G71" s="424"/>
      <c r="H71" s="424"/>
      <c r="I71" s="424"/>
      <c r="J71" s="424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223</v>
      </c>
      <c r="M73" s="295" t="s">
        <v>224</v>
      </c>
      <c r="N73" s="295" t="s">
        <v>225</v>
      </c>
      <c r="O73" s="295" t="s">
        <v>223</v>
      </c>
      <c r="P73" s="295" t="s">
        <v>224</v>
      </c>
      <c r="Q73" s="295" t="s">
        <v>225</v>
      </c>
      <c r="R73" s="295" t="s">
        <v>226</v>
      </c>
      <c r="S73" s="295" t="s">
        <v>227</v>
      </c>
      <c r="T73" s="295" t="s">
        <v>228</v>
      </c>
      <c r="U73" s="295" t="s">
        <v>226</v>
      </c>
      <c r="V73" s="295" t="s">
        <v>227</v>
      </c>
      <c r="W73" s="295" t="s">
        <v>228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5" t="s">
        <v>71</v>
      </c>
      <c r="M74" s="425"/>
      <c r="N74" s="425"/>
      <c r="O74" s="425" t="s">
        <v>63</v>
      </c>
      <c r="P74" s="425"/>
      <c r="Q74" s="425"/>
      <c r="R74" s="425" t="s">
        <v>71</v>
      </c>
      <c r="S74" s="425"/>
      <c r="T74" s="425"/>
      <c r="U74" s="425" t="s">
        <v>63</v>
      </c>
      <c r="V74" s="425"/>
      <c r="W74" s="425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282014.92000000004</v>
      </c>
      <c r="D83" s="278">
        <f>SUMIFS('Actual - 2026'!$BB:$BB,'Actual - 2026'!$C:$C,'Summary - Avg Ck'!B61)</f>
        <v>2336</v>
      </c>
      <c r="E83" s="290">
        <f t="shared" si="30"/>
        <v>120.72556506849317</v>
      </c>
      <c r="F83" s="260">
        <f t="shared" si="28"/>
        <v>122.99557154557154</v>
      </c>
      <c r="G83" s="200">
        <f t="shared" si="29"/>
        <v>1.8803030458300105E-2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269952.15000000002</v>
      </c>
      <c r="D84" s="278">
        <f>SUMIFS('Actual - 2026'!$BB:$BB,'Actual - 2026'!$C:$C,'Summary - Avg Ck'!B62)</f>
        <v>2031</v>
      </c>
      <c r="E84" s="290">
        <f t="shared" si="30"/>
        <v>132.9158788774003</v>
      </c>
      <c r="F84" s="260">
        <f t="shared" si="28"/>
        <v>125.13773114977825</v>
      </c>
      <c r="G84" s="200">
        <f t="shared" si="29"/>
        <v>-5.8519326609550594E-2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259768.75</v>
      </c>
      <c r="D85" s="278">
        <f>SUMIFS('Actual - 2026'!$BB:$BB,'Actual - 2026'!$C:$C,'Summary - Avg Ck'!B63)</f>
        <v>1993</v>
      </c>
      <c r="E85" s="290">
        <f t="shared" si="30"/>
        <v>130.34056698444556</v>
      </c>
      <c r="F85" s="260">
        <f t="shared" si="28"/>
        <v>126.50765524379025</v>
      </c>
      <c r="G85" s="200">
        <f t="shared" si="29"/>
        <v>-2.9406897862525896E-2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0</v>
      </c>
      <c r="D86" s="278">
        <f>SUMIFS('Actual - 2026'!$BB:$BB,'Actual - 2026'!$C:$C,'Summary - Avg Ck'!B64)</f>
        <v>0</v>
      </c>
      <c r="E86" s="290">
        <f t="shared" si="30"/>
        <v>0</v>
      </c>
      <c r="F86" s="260">
        <f t="shared" si="28"/>
        <v>127.63141823899372</v>
      </c>
      <c r="G86" s="200" t="e">
        <f t="shared" si="29"/>
        <v>#DIV/0!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0</v>
      </c>
      <c r="D87" s="278">
        <f>SUMIFS('Actual - 2026'!$BB:$BB,'Actual - 2026'!$C:$C,'Summary - Avg Ck'!B65)</f>
        <v>0</v>
      </c>
      <c r="E87" s="290">
        <f t="shared" si="30"/>
        <v>0</v>
      </c>
      <c r="F87" s="260">
        <f t="shared" si="28"/>
        <v>131.64038270377733</v>
      </c>
      <c r="G87" s="200" t="e">
        <f t="shared" si="29"/>
        <v>#DIV/0!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0</v>
      </c>
      <c r="D88" s="278">
        <f>SUMIFS('Actual - 2026'!$BB:$BB,'Actual - 2026'!$C:$C,'Summary - Avg Ck'!B66)</f>
        <v>0</v>
      </c>
      <c r="E88" s="290">
        <f t="shared" si="30"/>
        <v>0</v>
      </c>
      <c r="F88" s="260">
        <f t="shared" si="28"/>
        <v>130.34056698444556</v>
      </c>
      <c r="G88" s="200" t="e">
        <f t="shared" si="29"/>
        <v>#DIV/0!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0</v>
      </c>
      <c r="D89" s="278">
        <f>SUMIFS('Actual - 2026'!$BB:$BB,'Actual - 2026'!$C:$C,'Summary - Avg Ck'!B67)</f>
        <v>0</v>
      </c>
      <c r="E89" s="290">
        <f t="shared" si="30"/>
        <v>0</v>
      </c>
      <c r="F89" s="260" t="e">
        <f t="shared" si="28"/>
        <v>#DIV/0!</v>
      </c>
      <c r="G89" s="200" t="e">
        <f t="shared" si="29"/>
        <v>#DIV/0!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0</v>
      </c>
      <c r="D90" s="278">
        <f>SUMIFS('Actual - 2026'!$BB:$BB,'Actual - 2026'!$C:$C,'Summary - Avg Ck'!B68)</f>
        <v>0</v>
      </c>
      <c r="E90" s="290">
        <f t="shared" si="30"/>
        <v>0</v>
      </c>
      <c r="F90" s="260" t="e">
        <f t="shared" si="28"/>
        <v>#DIV/0!</v>
      </c>
      <c r="G90" s="200" t="e">
        <f t="shared" si="29"/>
        <v>#DIV/0!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0</v>
      </c>
      <c r="D91" s="278">
        <f>SUMIFS('Actual - 2026'!$BB:$BB,'Actual - 2026'!$C:$C,'Summary - Avg Ck'!B69)</f>
        <v>0</v>
      </c>
      <c r="E91" s="290">
        <f t="shared" si="30"/>
        <v>0</v>
      </c>
      <c r="F91" s="260" t="e">
        <f t="shared" si="28"/>
        <v>#DIV/0!</v>
      </c>
      <c r="G91" s="200" t="e">
        <f t="shared" si="29"/>
        <v>#DIV/0!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4" t="s">
        <v>79</v>
      </c>
      <c r="C93" s="424"/>
      <c r="D93" s="424"/>
      <c r="E93" s="424"/>
      <c r="F93" s="424"/>
      <c r="G93" s="424"/>
      <c r="H93" s="424"/>
      <c r="I93" s="424"/>
      <c r="J93" s="424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218</v>
      </c>
      <c r="F95" s="271" t="s">
        <v>219</v>
      </c>
      <c r="G95" s="267" t="s">
        <v>220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223</v>
      </c>
      <c r="M95" s="295" t="s">
        <v>224</v>
      </c>
      <c r="N95" s="295" t="s">
        <v>225</v>
      </c>
      <c r="O95" s="295" t="s">
        <v>223</v>
      </c>
      <c r="P95" s="295" t="s">
        <v>224</v>
      </c>
      <c r="Q95" s="295" t="s">
        <v>225</v>
      </c>
      <c r="R95" s="295" t="s">
        <v>226</v>
      </c>
      <c r="S95" s="295" t="s">
        <v>227</v>
      </c>
      <c r="T95" s="295" t="s">
        <v>228</v>
      </c>
      <c r="U95" s="295" t="s">
        <v>226</v>
      </c>
      <c r="V95" s="295" t="s">
        <v>227</v>
      </c>
      <c r="W95" s="295" t="s">
        <v>228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5" t="s">
        <v>71</v>
      </c>
      <c r="M96" s="425"/>
      <c r="N96" s="425"/>
      <c r="O96" s="425" t="s">
        <v>63</v>
      </c>
      <c r="P96" s="425"/>
      <c r="Q96" s="425"/>
      <c r="R96" s="425" t="s">
        <v>71</v>
      </c>
      <c r="S96" s="425"/>
      <c r="T96" s="425"/>
      <c r="U96" s="425" t="s">
        <v>63</v>
      </c>
      <c r="V96" s="425"/>
      <c r="W96" s="425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2112</v>
      </c>
      <c r="E103" s="290">
        <f t="shared" si="35"/>
        <v>104.08099905303033</v>
      </c>
      <c r="F103" s="260">
        <f t="shared" si="37"/>
        <v>109.42129992737836</v>
      </c>
      <c r="G103" s="200">
        <f t="shared" si="34"/>
        <v>5.13090854520631E-2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207885.03999999998</v>
      </c>
      <c r="D104" s="278">
        <f>SUMIFS('Actual - 2026'!$AJ:$AJ,'Actual - 2026'!$C:$C,'Summary - Avg Ck'!B82)</f>
        <v>2095</v>
      </c>
      <c r="E104" s="290">
        <f t="shared" si="35"/>
        <v>99.229136038186141</v>
      </c>
      <c r="F104" s="260">
        <f t="shared" si="37"/>
        <v>105.67940093828943</v>
      </c>
      <c r="G104" s="200">
        <f t="shared" si="34"/>
        <v>6.5003739401913674E-2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263385.28999999998</v>
      </c>
      <c r="D105" s="278">
        <f>SUMIFS('Actual - 2026'!$AJ:$AJ,'Actual - 2026'!$C:$C,'Summary - Avg Ck'!B83)</f>
        <v>2573</v>
      </c>
      <c r="E105" s="290">
        <f t="shared" si="35"/>
        <v>102.36505635445005</v>
      </c>
      <c r="F105" s="260">
        <f t="shared" si="37"/>
        <v>103.55854762440892</v>
      </c>
      <c r="G105" s="200">
        <f t="shared" si="34"/>
        <v>1.1659166833516674E-2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244630.62</v>
      </c>
      <c r="D106" s="278">
        <f>SUMIFS('Actual - 2026'!$AJ:$AJ,'Actual - 2026'!$C:$C,'Summary - Avg Ck'!B84)</f>
        <v>2415</v>
      </c>
      <c r="E106" s="290">
        <f t="shared" si="35"/>
        <v>101.29632298136646</v>
      </c>
      <c r="F106" s="260">
        <f t="shared" si="37"/>
        <v>101.76400435019031</v>
      </c>
      <c r="G106" s="200">
        <f t="shared" si="34"/>
        <v>4.6169629366495085E-3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244866.30000000005</v>
      </c>
      <c r="D107" s="278">
        <f>SUMIFS('Actual - 2026'!$AJ:$AJ,'Actual - 2026'!$C:$C,'Summary - Avg Ck'!B85)</f>
        <v>2545</v>
      </c>
      <c r="E107" s="290">
        <f t="shared" si="35"/>
        <v>96.214656188605133</v>
      </c>
      <c r="F107" s="260">
        <f t="shared" si="37"/>
        <v>99.788871001246363</v>
      </c>
      <c r="G107" s="200">
        <f t="shared" si="34"/>
        <v>3.7148340535924827E-2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0</v>
      </c>
      <c r="D108" s="278">
        <f>SUMIFS('Actual - 2026'!$AJ:$AJ,'Actual - 2026'!$C:$C,'Summary - Avg Ck'!B86)</f>
        <v>0</v>
      </c>
      <c r="E108" s="290">
        <f t="shared" si="35"/>
        <v>0</v>
      </c>
      <c r="F108" s="260">
        <f t="shared" si="37"/>
        <v>99.944538696402489</v>
      </c>
      <c r="G108" s="200" t="e">
        <f t="shared" si="34"/>
        <v>#DIV/0!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0</v>
      </c>
      <c r="D109" s="278">
        <f>SUMIFS('Actual - 2026'!$AJ:$AJ,'Actual - 2026'!$C:$C,'Summary - Avg Ck'!B87)</f>
        <v>0</v>
      </c>
      <c r="E109" s="290">
        <f t="shared" si="35"/>
        <v>0</v>
      </c>
      <c r="F109" s="260">
        <f t="shared" si="37"/>
        <v>98.688895161290333</v>
      </c>
      <c r="G109" s="200" t="e">
        <f t="shared" si="34"/>
        <v>#DIV/0!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0</v>
      </c>
      <c r="D110" s="278">
        <f>SUMIFS('Actual - 2026'!$AJ:$AJ,'Actual - 2026'!$C:$C,'Summary - Avg Ck'!B88)</f>
        <v>0</v>
      </c>
      <c r="E110" s="290">
        <f t="shared" si="35"/>
        <v>0</v>
      </c>
      <c r="F110" s="260">
        <f t="shared" si="37"/>
        <v>96.214656188605133</v>
      </c>
      <c r="G110" s="200" t="e">
        <f t="shared" si="34"/>
        <v>#DIV/0!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0</v>
      </c>
      <c r="D111" s="278">
        <f>SUMIFS('Actual - 2026'!$AJ:$AJ,'Actual - 2026'!$C:$C,'Summary - Avg Ck'!B89)</f>
        <v>0</v>
      </c>
      <c r="E111" s="290">
        <f t="shared" si="35"/>
        <v>0</v>
      </c>
      <c r="F111" s="260">
        <f t="shared" si="37"/>
        <v>0</v>
      </c>
      <c r="G111" s="200" t="e">
        <f t="shared" si="34"/>
        <v>#DIV/0!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0</v>
      </c>
      <c r="D112" s="278">
        <f>SUMIFS('Actual - 2026'!$AJ:$AJ,'Actual - 2026'!$C:$C,'Summary - Avg Ck'!B90)</f>
        <v>0</v>
      </c>
      <c r="E112" s="290">
        <f t="shared" si="35"/>
        <v>0</v>
      </c>
      <c r="F112" s="260">
        <f t="shared" si="37"/>
        <v>0</v>
      </c>
      <c r="G112" s="200" t="e">
        <f t="shared" si="34"/>
        <v>#DIV/0!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0</v>
      </c>
      <c r="D113" s="278">
        <f>SUMIFS('Actual - 2026'!$AJ:$AJ,'Actual - 2026'!$C:$C,'Summary - Avg Ck'!B91)</f>
        <v>0</v>
      </c>
      <c r="E113" s="290">
        <f t="shared" si="35"/>
        <v>0</v>
      </c>
      <c r="F113" s="260">
        <f t="shared" si="37"/>
        <v>0</v>
      </c>
      <c r="G113" s="200" t="e">
        <f t="shared" si="34"/>
        <v>#DIV/0!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L96:N96"/>
    <mergeCell ref="O96:Q96"/>
    <mergeCell ref="R96:T96"/>
    <mergeCell ref="U96:W96"/>
    <mergeCell ref="R52:T52"/>
    <mergeCell ref="U52:W52"/>
    <mergeCell ref="L30:N30"/>
    <mergeCell ref="L74:N74"/>
    <mergeCell ref="O74:Q74"/>
    <mergeCell ref="R74:T74"/>
    <mergeCell ref="U74:W74"/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6" t="s">
        <v>216</v>
      </c>
      <c r="C3" s="426"/>
      <c r="D3" s="426"/>
      <c r="E3" s="426"/>
      <c r="F3" s="426"/>
      <c r="G3" s="426"/>
      <c r="H3" s="426"/>
      <c r="I3" s="426"/>
      <c r="J3" s="426"/>
      <c r="K3" s="266"/>
      <c r="L3" s="426" t="s">
        <v>217</v>
      </c>
      <c r="M3" s="426"/>
      <c r="N3" s="426"/>
      <c r="O3" s="426"/>
      <c r="P3" s="426"/>
      <c r="Q3" s="426"/>
      <c r="R3" s="426"/>
      <c r="S3" s="426"/>
      <c r="T3" s="426"/>
      <c r="U3" s="426"/>
      <c r="V3" s="426"/>
      <c r="W3" s="426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4" t="s">
        <v>230</v>
      </c>
      <c r="C5" s="424"/>
      <c r="D5" s="424"/>
      <c r="E5" s="424"/>
      <c r="F5" s="424"/>
      <c r="G5" s="424"/>
      <c r="H5" s="424"/>
      <c r="I5" s="424"/>
      <c r="J5" s="424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7" t="s">
        <v>71</v>
      </c>
      <c r="M8" s="427"/>
      <c r="N8" s="427"/>
      <c r="O8" s="427" t="s">
        <v>63</v>
      </c>
      <c r="P8" s="427"/>
      <c r="Q8" s="427"/>
      <c r="R8" s="427" t="s">
        <v>71</v>
      </c>
      <c r="S8" s="427"/>
      <c r="T8" s="427"/>
      <c r="U8" s="427" t="s">
        <v>63</v>
      </c>
      <c r="V8" s="427"/>
      <c r="W8" s="427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537706</v>
      </c>
      <c r="D18" s="277">
        <f>SUMIFS('Actual - 2026'!$L:$L,'Actual - 2026'!$C:$C,'MILA 2F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506455.26</v>
      </c>
      <c r="D19" s="277">
        <f>SUMIFS('Actual - 2026'!$L:$L,'Actual - 2026'!$C:$C,'MILA 2F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523299.35</v>
      </c>
      <c r="D20" s="277">
        <f>SUMIFS('Actual - 2026'!$L:$L,'Actual - 2026'!$C:$C,'MILA 2F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0</v>
      </c>
      <c r="D21" s="277">
        <f>SUMIFS('Actual - 2026'!$L:$L,'Actual - 2026'!$C:$C,'MILA 2F - Avg Ck'!B21)</f>
        <v>0</v>
      </c>
      <c r="E21" s="290">
        <f t="shared" si="1"/>
        <v>0</v>
      </c>
      <c r="F21" s="260">
        <f t="shared" si="4"/>
        <v>138.35824962485654</v>
      </c>
      <c r="G21" s="200" t="e">
        <f t="shared" si="2"/>
        <v>#DIV/0!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0</v>
      </c>
      <c r="D22" s="277">
        <f>SUMIFS('Actual - 2026'!$L:$L,'Actual - 2026'!$C:$C,'MILA 2F - Avg Ck'!B22)</f>
        <v>0</v>
      </c>
      <c r="E22" s="290">
        <f t="shared" si="1"/>
        <v>0</v>
      </c>
      <c r="F22" s="260">
        <f t="shared" si="4"/>
        <v>141.46924165407336</v>
      </c>
      <c r="G22" s="200" t="e">
        <f t="shared" si="2"/>
        <v>#DIV/0!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0</v>
      </c>
      <c r="D23" s="277">
        <f>SUMIFS('Actual - 2026'!$L:$L,'Actual - 2026'!$C:$C,'MILA 2F - Avg Ck'!B23)</f>
        <v>0</v>
      </c>
      <c r="E23" s="290">
        <f t="shared" si="1"/>
        <v>0</v>
      </c>
      <c r="F23" s="260">
        <f t="shared" si="4"/>
        <v>144.83790478826458</v>
      </c>
      <c r="G23" s="200" t="e">
        <f t="shared" si="2"/>
        <v>#DIV/0!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0</v>
      </c>
      <c r="D24" s="277">
        <f>SUMIFS('Actual - 2026'!$L:$L,'Actual - 2026'!$C:$C,'MILA 2F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0</v>
      </c>
      <c r="D25" s="277">
        <f>SUMIFS('Actual - 2026'!$L:$L,'Actual - 2026'!$C:$C,'MILA 2F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4" t="s">
        <v>207</v>
      </c>
      <c r="C27" s="424"/>
      <c r="D27" s="424"/>
      <c r="E27" s="424"/>
      <c r="F27" s="424"/>
      <c r="G27" s="424"/>
      <c r="H27" s="424"/>
      <c r="I27" s="424"/>
      <c r="J27" s="424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7" t="s">
        <v>71</v>
      </c>
      <c r="M30" s="427"/>
      <c r="N30" s="427"/>
      <c r="O30" s="427" t="s">
        <v>63</v>
      </c>
      <c r="P30" s="427"/>
      <c r="Q30" s="427"/>
      <c r="R30" s="427" t="s">
        <v>71</v>
      </c>
      <c r="S30" s="427"/>
      <c r="T30" s="427"/>
      <c r="U30" s="427" t="s">
        <v>63</v>
      </c>
      <c r="V30" s="427"/>
      <c r="W30" s="427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133033</v>
      </c>
      <c r="D39" s="278">
        <f>SUMIFS('Actual - 2026'!$X:$X,'Actual - 2026'!$C:$C,'MILA 2F - Avg Ck'!B17)</f>
        <v>816</v>
      </c>
      <c r="E39" s="290">
        <f t="shared" si="7"/>
        <v>163.03063725490196</v>
      </c>
      <c r="F39" s="260">
        <f t="shared" si="8"/>
        <v>212.53151285046729</v>
      </c>
      <c r="G39" s="200">
        <f t="shared" si="9"/>
        <v>0.30362928360618274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191603</v>
      </c>
      <c r="D40" s="278">
        <f>SUMIFS('Actual - 2026'!$X:$X,'Actual - 2026'!$C:$C,'MILA 2F - Avg Ck'!B18)</f>
        <v>920</v>
      </c>
      <c r="E40" s="290">
        <f t="shared" si="7"/>
        <v>208.2641304347826</v>
      </c>
      <c r="F40" s="260">
        <f t="shared" si="8"/>
        <v>200.88596491228071</v>
      </c>
      <c r="G40" s="200">
        <f t="shared" si="9"/>
        <v>-3.5426962420743606E-2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233886.51</v>
      </c>
      <c r="D41" s="278">
        <f>SUMIFS('Actual - 2026'!$X:$X,'Actual - 2026'!$C:$C,'MILA 2F - Avg Ck'!B19)</f>
        <v>942</v>
      </c>
      <c r="E41" s="290">
        <f t="shared" si="7"/>
        <v>248.28716560509554</v>
      </c>
      <c r="F41" s="260">
        <f t="shared" si="8"/>
        <v>208.07583757781552</v>
      </c>
      <c r="G41" s="200">
        <f t="shared" si="9"/>
        <v>-0.16195491993829733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289553.25</v>
      </c>
      <c r="D42" s="278">
        <f>SUMIFS('Actual - 2026'!$X:$X,'Actual - 2026'!$C:$C,'MILA 2F - Avg Ck'!B20)</f>
        <v>923</v>
      </c>
      <c r="E42" s="290">
        <f t="shared" si="7"/>
        <v>313.70882990249186</v>
      </c>
      <c r="F42" s="260">
        <f t="shared" si="8"/>
        <v>235.51118022771453</v>
      </c>
      <c r="G42" s="200">
        <f t="shared" si="9"/>
        <v>-0.24926824565021968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0</v>
      </c>
      <c r="D43" s="278">
        <f>SUMIFS('Actual - 2026'!$X:$X,'Actual - 2026'!$C:$C,'MILA 2F - Avg Ck'!B21)</f>
        <v>0</v>
      </c>
      <c r="E43" s="290">
        <f t="shared" si="7"/>
        <v>0</v>
      </c>
      <c r="F43" s="260">
        <f t="shared" si="8"/>
        <v>256.74784919210055</v>
      </c>
      <c r="G43" s="200" t="e">
        <f t="shared" si="9"/>
        <v>#DIV/0!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0</v>
      </c>
      <c r="D44" s="278">
        <f>SUMIFS('Actual - 2026'!$X:$X,'Actual - 2026'!$C:$C,'MILA 2F - Avg Ck'!B22)</f>
        <v>0</v>
      </c>
      <c r="E44" s="290">
        <f t="shared" si="7"/>
        <v>0</v>
      </c>
      <c r="F44" s="260">
        <f t="shared" si="8"/>
        <v>280.66475067024129</v>
      </c>
      <c r="G44" s="200" t="e">
        <f t="shared" si="9"/>
        <v>#DIV/0!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0</v>
      </c>
      <c r="D45" s="278">
        <f>SUMIFS('Actual - 2026'!$X:$X,'Actual - 2026'!$C:$C,'MILA 2F - Avg Ck'!B23)</f>
        <v>0</v>
      </c>
      <c r="E45" s="290">
        <f t="shared" si="7"/>
        <v>0</v>
      </c>
      <c r="F45" s="260">
        <f t="shared" si="8"/>
        <v>313.70882990249186</v>
      </c>
      <c r="G45" s="200" t="e">
        <f t="shared" si="9"/>
        <v>#DIV/0!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0</v>
      </c>
      <c r="D46" s="278">
        <f>SUMIFS('Actual - 2026'!$X:$X,'Actual - 2026'!$C:$C,'MILA 2F - Avg Ck'!B24)</f>
        <v>0</v>
      </c>
      <c r="E46" s="290">
        <f t="shared" si="7"/>
        <v>0</v>
      </c>
      <c r="F46" s="260" t="e">
        <f t="shared" si="8"/>
        <v>#DIV/0!</v>
      </c>
      <c r="G46" s="200" t="e">
        <f t="shared" si="9"/>
        <v>#DIV/0!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0</v>
      </c>
      <c r="D47" s="278">
        <f>SUMIFS('Actual - 2026'!$X:$X,'Actual - 2026'!$C:$C,'MILA 2F - Avg Ck'!B25)</f>
        <v>0</v>
      </c>
      <c r="E47" s="290">
        <f t="shared" si="7"/>
        <v>0</v>
      </c>
      <c r="F47" s="260" t="e">
        <f t="shared" si="8"/>
        <v>#DIV/0!</v>
      </c>
      <c r="G47" s="200" t="e">
        <f t="shared" si="9"/>
        <v>#DIV/0!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4" t="s">
        <v>11</v>
      </c>
      <c r="C49" s="424"/>
      <c r="D49" s="424"/>
      <c r="E49" s="424"/>
      <c r="F49" s="424"/>
      <c r="G49" s="424"/>
      <c r="H49" s="424"/>
      <c r="I49" s="424"/>
      <c r="J49" s="424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223</v>
      </c>
      <c r="M51" s="284" t="s">
        <v>224</v>
      </c>
      <c r="N51" s="284" t="s">
        <v>225</v>
      </c>
      <c r="O51" s="284" t="s">
        <v>223</v>
      </c>
      <c r="P51" s="284" t="s">
        <v>224</v>
      </c>
      <c r="Q51" s="284" t="s">
        <v>225</v>
      </c>
      <c r="R51" s="284" t="s">
        <v>226</v>
      </c>
      <c r="S51" s="284" t="s">
        <v>227</v>
      </c>
      <c r="T51" s="284" t="s">
        <v>228</v>
      </c>
      <c r="U51" s="284" t="s">
        <v>226</v>
      </c>
      <c r="V51" s="284" t="s">
        <v>227</v>
      </c>
      <c r="W51" s="284" t="s">
        <v>228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7" t="s">
        <v>71</v>
      </c>
      <c r="M52" s="427"/>
      <c r="N52" s="427"/>
      <c r="O52" s="427" t="s">
        <v>63</v>
      </c>
      <c r="P52" s="427"/>
      <c r="Q52" s="427"/>
      <c r="R52" s="427" t="s">
        <v>71</v>
      </c>
      <c r="S52" s="427"/>
      <c r="T52" s="427"/>
      <c r="U52" s="427" t="s">
        <v>63</v>
      </c>
      <c r="V52" s="427"/>
      <c r="W52" s="427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2721</v>
      </c>
      <c r="E60" s="290">
        <f t="shared" si="12"/>
        <v>161.60466372657112</v>
      </c>
      <c r="F60" s="260">
        <f t="shared" si="13"/>
        <v>161.2623899264768</v>
      </c>
      <c r="G60" s="200">
        <f t="shared" si="14"/>
        <v>-2.1179698172166151E-3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2581</v>
      </c>
      <c r="E61" s="290">
        <f t="shared" si="12"/>
        <v>144.50099186361874</v>
      </c>
      <c r="F61" s="260">
        <f t="shared" si="13"/>
        <v>155.02192256695835</v>
      </c>
      <c r="G61" s="200">
        <f t="shared" si="14"/>
        <v>7.2808709252801251E-2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386565.86</v>
      </c>
      <c r="D62" s="278">
        <f>SUMIFS('Actual - 2026'!$AS:$AS,'Actual - 2026'!$C:$C,'MILA 2F - Avg Ck'!B40)</f>
        <v>2677</v>
      </c>
      <c r="E62" s="290">
        <f t="shared" si="12"/>
        <v>144.4026372805379</v>
      </c>
      <c r="F62" s="260">
        <f t="shared" si="13"/>
        <v>152.06580224223489</v>
      </c>
      <c r="G62" s="200">
        <f t="shared" si="14"/>
        <v>5.3068040210438788E-2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409660.66000000003</v>
      </c>
      <c r="D63" s="278">
        <f>SUMIFS('Actual - 2026'!$AS:$AS,'Actual - 2026'!$C:$C,'MILA 2F - Avg Ck'!B41)</f>
        <v>2624</v>
      </c>
      <c r="E63" s="290">
        <f t="shared" si="12"/>
        <v>156.12067835365855</v>
      </c>
      <c r="F63" s="260">
        <f t="shared" si="13"/>
        <v>151.74100443270774</v>
      </c>
      <c r="G63" s="200">
        <f t="shared" si="14"/>
        <v>-2.8053131507855596E-2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379674.08999999997</v>
      </c>
      <c r="D64" s="278">
        <f>SUMIFS('Actual - 2026'!$AS:$AS,'Actual - 2026'!$C:$C,'MILA 2F - Avg Ck'!B42)</f>
        <v>2568</v>
      </c>
      <c r="E64" s="290">
        <f t="shared" si="12"/>
        <v>147.84816588785046</v>
      </c>
      <c r="F64" s="260">
        <f t="shared" si="13"/>
        <v>148.21604497607655</v>
      </c>
      <c r="G64" s="200">
        <f t="shared" si="14"/>
        <v>2.4882221975289355E-3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0</v>
      </c>
      <c r="D65" s="278">
        <f>SUMIFS('Actual - 2026'!$AS:$AS,'Actual - 2026'!$C:$C,'MILA 2F - Avg Ck'!B43)</f>
        <v>0</v>
      </c>
      <c r="E65" s="290">
        <f t="shared" si="12"/>
        <v>0</v>
      </c>
      <c r="F65" s="260">
        <f t="shared" si="13"/>
        <v>149.43456728936332</v>
      </c>
      <c r="G65" s="200" t="e">
        <f t="shared" si="14"/>
        <v>#DIV/0!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0</v>
      </c>
      <c r="D66" s="278">
        <f>SUMIFS('Actual - 2026'!$AS:$AS,'Actual - 2026'!$C:$C,'MILA 2F - Avg Ck'!B44)</f>
        <v>0</v>
      </c>
      <c r="E66" s="290">
        <f t="shared" si="12"/>
        <v>0</v>
      </c>
      <c r="F66" s="260">
        <f t="shared" si="13"/>
        <v>152.02903505392914</v>
      </c>
      <c r="G66" s="200" t="e">
        <f t="shared" si="14"/>
        <v>#DIV/0!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0</v>
      </c>
      <c r="D67" s="278">
        <f>SUMIFS('Actual - 2026'!$AS:$AS,'Actual - 2026'!$C:$C,'MILA 2F - Avg Ck'!B45)</f>
        <v>0</v>
      </c>
      <c r="E67" s="290">
        <f t="shared" si="12"/>
        <v>0</v>
      </c>
      <c r="F67" s="260">
        <f t="shared" si="13"/>
        <v>147.84816588785046</v>
      </c>
      <c r="G67" s="200" t="e">
        <f t="shared" si="14"/>
        <v>#DIV/0!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0</v>
      </c>
      <c r="D68" s="278">
        <f>SUMIFS('Actual - 2026'!$AS:$AS,'Actual - 2026'!$C:$C,'MILA 2F - Avg Ck'!B46)</f>
        <v>0</v>
      </c>
      <c r="E68" s="290">
        <f t="shared" si="12"/>
        <v>0</v>
      </c>
      <c r="F68" s="260" t="e">
        <f t="shared" si="13"/>
        <v>#DIV/0!</v>
      </c>
      <c r="G68" s="200" t="e">
        <f t="shared" si="14"/>
        <v>#DIV/0!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0</v>
      </c>
      <c r="D69" s="278">
        <f>SUMIFS('Actual - 2026'!$AS:$AS,'Actual - 2026'!$C:$C,'MILA 2F - Avg Ck'!B47)</f>
        <v>0</v>
      </c>
      <c r="E69" s="290">
        <f t="shared" si="12"/>
        <v>0</v>
      </c>
      <c r="F69" s="260" t="e">
        <f t="shared" si="13"/>
        <v>#DIV/0!</v>
      </c>
      <c r="G69" s="200" t="e">
        <f t="shared" si="14"/>
        <v>#DIV/0!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4" t="s">
        <v>231</v>
      </c>
      <c r="C71" s="424"/>
      <c r="D71" s="424"/>
      <c r="E71" s="424"/>
      <c r="F71" s="424"/>
      <c r="G71" s="424"/>
      <c r="H71" s="424"/>
      <c r="I71" s="424"/>
      <c r="J71" s="424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223</v>
      </c>
      <c r="M73" s="284" t="s">
        <v>224</v>
      </c>
      <c r="N73" s="284" t="s">
        <v>225</v>
      </c>
      <c r="O73" s="284" t="s">
        <v>223</v>
      </c>
      <c r="P73" s="284" t="s">
        <v>224</v>
      </c>
      <c r="Q73" s="284" t="s">
        <v>225</v>
      </c>
      <c r="R73" s="284" t="s">
        <v>226</v>
      </c>
      <c r="S73" s="284" t="s">
        <v>227</v>
      </c>
      <c r="T73" s="284" t="s">
        <v>228</v>
      </c>
      <c r="U73" s="284" t="s">
        <v>226</v>
      </c>
      <c r="V73" s="284" t="s">
        <v>227</v>
      </c>
      <c r="W73" s="284" t="s">
        <v>228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7" t="s">
        <v>71</v>
      </c>
      <c r="M74" s="427"/>
      <c r="N74" s="427"/>
      <c r="O74" s="427" t="s">
        <v>63</v>
      </c>
      <c r="P74" s="427"/>
      <c r="Q74" s="427"/>
      <c r="R74" s="427" t="s">
        <v>71</v>
      </c>
      <c r="S74" s="427"/>
      <c r="T74" s="427"/>
      <c r="U74" s="427" t="s">
        <v>63</v>
      </c>
      <c r="V74" s="427"/>
      <c r="W74" s="427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282014.92000000004</v>
      </c>
      <c r="D84" s="278">
        <f>SUMIFS('Actual - 2026'!$BB:$BB,'Actual - 2026'!$C:$C,'MILA 2F - Avg Ck'!B62)</f>
        <v>2336</v>
      </c>
      <c r="E84" s="290">
        <f t="shared" si="18"/>
        <v>120.72556506849317</v>
      </c>
      <c r="F84" s="260">
        <f t="shared" si="19"/>
        <v>122.99557154557154</v>
      </c>
      <c r="G84" s="200">
        <f t="shared" si="20"/>
        <v>1.8803030458300105E-2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269952.15000000002</v>
      </c>
      <c r="D85" s="278">
        <f>SUMIFS('Actual - 2026'!$BB:$BB,'Actual - 2026'!$C:$C,'MILA 2F - Avg Ck'!B63)</f>
        <v>2031</v>
      </c>
      <c r="E85" s="290">
        <f t="shared" si="18"/>
        <v>132.9158788774003</v>
      </c>
      <c r="F85" s="260">
        <f t="shared" si="19"/>
        <v>125.13773114977825</v>
      </c>
      <c r="G85" s="200">
        <f t="shared" si="20"/>
        <v>-5.8519326609550594E-2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259768.75</v>
      </c>
      <c r="D86" s="278">
        <f>SUMIFS('Actual - 2026'!$BB:$BB,'Actual - 2026'!$C:$C,'MILA 2F - Avg Ck'!B64)</f>
        <v>1993</v>
      </c>
      <c r="E86" s="290">
        <f t="shared" si="18"/>
        <v>130.34056698444556</v>
      </c>
      <c r="F86" s="260">
        <f t="shared" si="19"/>
        <v>126.50765524379025</v>
      </c>
      <c r="G86" s="200">
        <f t="shared" si="20"/>
        <v>-2.9406897862525896E-2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0</v>
      </c>
      <c r="D87" s="278">
        <f>SUMIFS('Actual - 2026'!$BB:$BB,'Actual - 2026'!$C:$C,'MILA 2F - Avg Ck'!B65)</f>
        <v>0</v>
      </c>
      <c r="E87" s="290">
        <f t="shared" si="18"/>
        <v>0</v>
      </c>
      <c r="F87" s="260">
        <f t="shared" si="19"/>
        <v>127.63141823899372</v>
      </c>
      <c r="G87" s="200" t="e">
        <f t="shared" si="20"/>
        <v>#DIV/0!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0</v>
      </c>
      <c r="D88" s="278">
        <f>SUMIFS('Actual - 2026'!$BB:$BB,'Actual - 2026'!$C:$C,'MILA 2F - Avg Ck'!B66)</f>
        <v>0</v>
      </c>
      <c r="E88" s="290">
        <f t="shared" si="18"/>
        <v>0</v>
      </c>
      <c r="F88" s="260">
        <f t="shared" si="19"/>
        <v>131.64038270377733</v>
      </c>
      <c r="G88" s="200" t="e">
        <f t="shared" si="20"/>
        <v>#DIV/0!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0</v>
      </c>
      <c r="D89" s="278">
        <f>SUMIFS('Actual - 2026'!$BB:$BB,'Actual - 2026'!$C:$C,'MILA 2F - Avg Ck'!B67)</f>
        <v>0</v>
      </c>
      <c r="E89" s="290">
        <f t="shared" si="18"/>
        <v>0</v>
      </c>
      <c r="F89" s="260">
        <f t="shared" si="19"/>
        <v>130.34056698444556</v>
      </c>
      <c r="G89" s="200" t="e">
        <f t="shared" si="20"/>
        <v>#DIV/0!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0</v>
      </c>
      <c r="D90" s="278">
        <f>SUMIFS('Actual - 2026'!$BB:$BB,'Actual - 2026'!$C:$C,'MILA 2F - Avg Ck'!B68)</f>
        <v>0</v>
      </c>
      <c r="E90" s="290">
        <f t="shared" si="18"/>
        <v>0</v>
      </c>
      <c r="F90" s="260" t="e">
        <f t="shared" si="19"/>
        <v>#DIV/0!</v>
      </c>
      <c r="G90" s="200" t="e">
        <f t="shared" si="20"/>
        <v>#DIV/0!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0</v>
      </c>
      <c r="D91" s="278">
        <f>SUMIFS('Actual - 2026'!$BB:$BB,'Actual - 2026'!$C:$C,'MILA 2F - Avg Ck'!B69)</f>
        <v>0</v>
      </c>
      <c r="E91" s="290">
        <f t="shared" si="18"/>
        <v>0</v>
      </c>
      <c r="F91" s="260" t="e">
        <f t="shared" si="19"/>
        <v>#DIV/0!</v>
      </c>
      <c r="G91" s="200" t="e">
        <f t="shared" si="20"/>
        <v>#DIV/0!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168</v>
      </c>
      <c r="C34" s="90" t="s">
        <v>165</v>
      </c>
      <c r="D34" s="90">
        <v>4</v>
      </c>
      <c r="E34" s="90">
        <v>33</v>
      </c>
    </row>
    <row r="35" spans="2:5">
      <c r="B35" s="90" t="s">
        <v>169</v>
      </c>
      <c r="C35" s="90" t="s">
        <v>165</v>
      </c>
      <c r="D35" s="90">
        <v>4</v>
      </c>
      <c r="E35" s="90">
        <v>34</v>
      </c>
    </row>
    <row r="36" spans="2:5">
      <c r="B36" s="90" t="s">
        <v>172</v>
      </c>
      <c r="C36" s="90" t="s">
        <v>171</v>
      </c>
      <c r="D36" s="90">
        <v>5</v>
      </c>
      <c r="E36" s="90">
        <v>35</v>
      </c>
    </row>
    <row r="37" spans="2:5">
      <c r="B37" s="90" t="s">
        <v>101</v>
      </c>
      <c r="C37" s="90" t="s">
        <v>171</v>
      </c>
      <c r="D37" s="90">
        <v>5</v>
      </c>
      <c r="E37" s="90">
        <v>36</v>
      </c>
    </row>
    <row r="38" spans="2:5">
      <c r="B38" s="90" t="s">
        <v>173</v>
      </c>
      <c r="C38" s="90" t="s">
        <v>171</v>
      </c>
      <c r="D38" s="90">
        <v>5</v>
      </c>
      <c r="E38" s="90">
        <v>37</v>
      </c>
    </row>
    <row r="39" spans="2:5">
      <c r="B39" s="90" t="s">
        <v>174</v>
      </c>
      <c r="C39" s="90" t="s">
        <v>171</v>
      </c>
      <c r="D39" s="90">
        <v>5</v>
      </c>
      <c r="E39" s="90">
        <v>38</v>
      </c>
    </row>
    <row r="40" spans="2:5">
      <c r="B40" s="90" t="s">
        <v>175</v>
      </c>
      <c r="C40" s="90" t="s">
        <v>171</v>
      </c>
      <c r="D40" s="90">
        <v>5</v>
      </c>
      <c r="E40" s="90">
        <v>39</v>
      </c>
    </row>
    <row r="41" spans="2:5">
      <c r="B41" s="90" t="s">
        <v>177</v>
      </c>
      <c r="C41" s="90" t="s">
        <v>76</v>
      </c>
      <c r="D41" s="90">
        <v>4</v>
      </c>
      <c r="E41" s="90">
        <v>40</v>
      </c>
    </row>
    <row r="42" spans="2:5">
      <c r="B42" s="90" t="s">
        <v>178</v>
      </c>
      <c r="C42" s="90" t="s">
        <v>76</v>
      </c>
      <c r="D42" s="90">
        <v>4</v>
      </c>
      <c r="E42" s="90">
        <v>41</v>
      </c>
    </row>
    <row r="43" spans="2:5">
      <c r="B43" s="90" t="s">
        <v>179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tabSelected="1" topLeftCell="A33" zoomScale="70" zoomScaleNormal="70" workbookViewId="0">
      <selection activeCell="AO46" sqref="AO4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21.85546875" style="5" customWidth="1" outlineLevel="1"/>
    <col min="11" max="11" width="17.5703125" style="5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8.570312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36</v>
      </c>
      <c r="F1" s="5">
        <f>VLOOKUP(D1,Dates!$B$2:$E$53,4,FALSE)</f>
        <v>36</v>
      </c>
      <c r="G1" s="5" t="b">
        <v>1</v>
      </c>
    </row>
    <row r="2" spans="3:52" ht="28.5">
      <c r="D2" s="392" t="str">
        <f>CONCATENATE("Riviera Dining Group - SALES",)</f>
        <v>Riviera Dining Group - SALES</v>
      </c>
      <c r="E2" s="393"/>
      <c r="F2" s="393"/>
      <c r="G2" s="393"/>
      <c r="H2" s="393"/>
      <c r="I2" s="393"/>
      <c r="J2" s="393"/>
      <c r="K2" s="393"/>
      <c r="L2" s="393"/>
      <c r="M2" s="393"/>
      <c r="N2" s="393"/>
      <c r="O2" s="393"/>
      <c r="P2" s="394"/>
      <c r="T2" s="5" t="s">
        <v>232</v>
      </c>
      <c r="U2" s="5" t="s">
        <v>233</v>
      </c>
      <c r="V2" s="5" t="s">
        <v>234</v>
      </c>
      <c r="W2" s="5" t="s">
        <v>235</v>
      </c>
      <c r="X2" s="5" t="s">
        <v>236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6" spans="3:52" ht="27" customHeight="1">
      <c r="D6" s="91"/>
      <c r="F6" s="231" t="s">
        <v>77</v>
      </c>
      <c r="G6" s="231" t="s">
        <v>81</v>
      </c>
      <c r="H6" s="231" t="s">
        <v>237</v>
      </c>
      <c r="J6" s="231" t="s">
        <v>77</v>
      </c>
      <c r="K6" s="231" t="s">
        <v>81</v>
      </c>
      <c r="L6" s="231" t="s">
        <v>237</v>
      </c>
      <c r="M6" s="141"/>
      <c r="N6" s="231" t="s">
        <v>77</v>
      </c>
      <c r="O6" s="231" t="s">
        <v>81</v>
      </c>
      <c r="P6" s="231" t="s">
        <v>237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523299.35</v>
      </c>
      <c r="G7" s="196">
        <f>SUMIFS('Actual - 2026'!L:L,'Actual - 2026'!A:A,'RDG Weekly Sales'!D1)</f>
        <v>3613</v>
      </c>
      <c r="H7" s="197">
        <f>F7/G7</f>
        <v>144.83790478826458</v>
      </c>
      <c r="I7" s="194"/>
      <c r="J7" s="195">
        <f>SUMIFS('Actual - 2026'!K:K,'Actual - 2026'!B:B,'RDG Weekly Sales'!D4)</f>
        <v>1029754.61</v>
      </c>
      <c r="K7" s="196">
        <f>SUMIFS('Actual - 2026'!L:L,'Actual - 2026'!B:B,'RDG Weekly Sales'!D4)</f>
        <v>7279</v>
      </c>
      <c r="L7" s="197">
        <f>J7/K7</f>
        <v>141.46924165407336</v>
      </c>
      <c r="M7" s="194"/>
      <c r="N7" s="195">
        <f>SUMIFS('Actual - 2026'!K:K,'Actual - 2026'!D:D,G1)</f>
        <v>26282784.220000003</v>
      </c>
      <c r="O7" s="196">
        <f>SUMIFS('Actual - 2026'!L:L,'Actual - 2026'!D:D,'RDG Weekly Sales'!G1)</f>
        <v>161265</v>
      </c>
      <c r="P7" s="197">
        <f>N7/O7</f>
        <v>162.97884984342542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435252</v>
      </c>
      <c r="G8" s="205">
        <f>SUMIFS('Budget - 2026'!S:S,'Budget - 2026'!B:B,'RDG Weekly Sales'!D1)</f>
        <v>2940</v>
      </c>
      <c r="H8" s="206">
        <f>IFERROR(F8/G8,0)</f>
        <v>148.04489795918369</v>
      </c>
      <c r="I8" s="194"/>
      <c r="J8" s="204">
        <f>SUMIFS('Budget - 2026'!$R:$R,'Budget - 2026'!$C:$C,'RDG Weekly Sales'!D4,'Budget - 2026'!$E:$E,G1)</f>
        <v>987409</v>
      </c>
      <c r="K8" s="205">
        <f>SUMIFS('Budget - 2026'!S:S,'Budget - 2026'!C:C,'RDG Weekly Sales'!D4,'Budget - 2026'!$E:$E,G1)</f>
        <v>6730</v>
      </c>
      <c r="L8" s="206">
        <f>IFERROR(J8/K8,0)</f>
        <v>146.71753343239229</v>
      </c>
      <c r="M8" s="194"/>
      <c r="N8" s="204">
        <f>SUMIFS('Budget - 2026'!R:R,'Budget - 2026'!E:E,'RDG Weekly Sales'!G1)</f>
        <v>24575342</v>
      </c>
      <c r="O8" s="205">
        <f>SUMIFS('Budget - 2026'!S:S,'Budget - 2026'!E:E,'RDG Weekly Sales'!G1)</f>
        <v>154824</v>
      </c>
      <c r="P8" s="206">
        <f>IFERROR(N8/O8,0)</f>
        <v>158.730829845502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0.2022905121630687</v>
      </c>
      <c r="G9" s="179">
        <f>(G7-G8)/G8</f>
        <v>0.22891156462585033</v>
      </c>
      <c r="H9" s="179">
        <f>(H7-H8)/H8</f>
        <v>-2.1662301201377982E-2</v>
      </c>
      <c r="I9" s="194"/>
      <c r="J9" s="179">
        <f>(J7-J8)/J8</f>
        <v>4.2885582367590318E-2</v>
      </c>
      <c r="K9" s="179">
        <f>(K7-K8)/K8</f>
        <v>8.1575037147102528E-2</v>
      </c>
      <c r="L9" s="179">
        <f>(L7-L8)/L8</f>
        <v>-3.5771401382898464E-2</v>
      </c>
      <c r="M9" s="107"/>
      <c r="N9" s="179">
        <f>(N7-N8)/N8</f>
        <v>6.9477861996793469E-2</v>
      </c>
      <c r="O9" s="179">
        <f>(O7-O8)/O8</f>
        <v>4.1602077197333748E-2</v>
      </c>
      <c r="P9" s="179">
        <f>(P7-P8)/P8</f>
        <v>2.6762412834722533E-2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405782.51</v>
      </c>
      <c r="G10" s="196">
        <f>SUMIFS('Budget - 2026'!V:V,'Budget - 2026'!B:B,'RDG Weekly Sales'!D1)</f>
        <v>2940</v>
      </c>
      <c r="H10" s="197">
        <f>IFERROR(F10/G10,0)</f>
        <v>138.0212619047619</v>
      </c>
      <c r="I10" s="194"/>
      <c r="J10" s="195">
        <f>SUMIFS('Budget - 2026'!U:U,'Budget - 2026'!C:C,'RDG Weekly Sales'!D4,'Budget - 2026'!$E:$E,G1)</f>
        <v>936870.29</v>
      </c>
      <c r="K10" s="196">
        <f>SUMIFS('Budget - 2026'!V:V,'Budget - 2026'!C:C,'RDG Weekly Sales'!D4,'Budget - 2026'!$E:$E,G1)</f>
        <v>6730</v>
      </c>
      <c r="L10" s="197">
        <f>IFERROR(J10/K10,0)</f>
        <v>139.20806686478454</v>
      </c>
      <c r="M10" s="194"/>
      <c r="N10" s="195">
        <f>SUMIFS('Budget - 2026'!U:U,'Budget - 2026'!E:E,'RDG Weekly Sales'!G1)</f>
        <v>24059497.600000001</v>
      </c>
      <c r="O10" s="196">
        <f>SUMIFS('Budget - 2026'!V:V,'Budget - 2026'!E:E,'RDG Weekly Sales'!G1)</f>
        <v>149029</v>
      </c>
      <c r="P10" s="197">
        <f>IFERROR(N10/O10,0)</f>
        <v>161.44171671285454</v>
      </c>
    </row>
    <row r="11" spans="3:52" s="54" customFormat="1" ht="28.9" customHeight="1" thickBot="1">
      <c r="D11" s="199" t="s">
        <v>105</v>
      </c>
      <c r="E11" s="194"/>
      <c r="F11" s="200">
        <f>(F7-F10)/F10</f>
        <v>0.28960548348917248</v>
      </c>
      <c r="G11" s="200">
        <f>(G7-G10)/G10</f>
        <v>0.22891156462585033</v>
      </c>
      <c r="H11" s="200">
        <f>(H7-H10)/H10</f>
        <v>4.9388353572700515E-2</v>
      </c>
      <c r="I11" s="194"/>
      <c r="J11" s="200">
        <f>(J7-J10)/J10</f>
        <v>9.9143201563153358E-2</v>
      </c>
      <c r="K11" s="200">
        <f>(K7-K10)/K10</f>
        <v>8.1575037147102528E-2</v>
      </c>
      <c r="L11" s="200">
        <f>(L7-L10)/L10</f>
        <v>1.6243130446493007E-2</v>
      </c>
      <c r="M11" s="107"/>
      <c r="N11" s="200">
        <f>(N7-N10)/N10</f>
        <v>9.2407857261325388E-2</v>
      </c>
      <c r="O11" s="200">
        <f>(O7-O10)/O10</f>
        <v>8.2104825235356879E-2</v>
      </c>
      <c r="P11" s="200">
        <f>(P7-P10)/P10</f>
        <v>9.5212883130131355E-3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289553.25</v>
      </c>
      <c r="G13" s="196">
        <f>SUMIFS('Actual - 2026'!X:X,'Actual - 2026'!A:A,'RDG Weekly Sales'!D1)</f>
        <v>923</v>
      </c>
      <c r="H13" s="197">
        <f>F13/G13</f>
        <v>313.70882990249186</v>
      </c>
      <c r="I13" s="194"/>
      <c r="J13" s="195">
        <f>SUMIFS('Actual - 2026'!W:W,'Actual - 2026'!B:B,'RDG Weekly Sales'!D4)</f>
        <v>523439.76</v>
      </c>
      <c r="K13" s="196">
        <f>SUMIFS('Actual - 2026'!X:X,'Actual - 2026'!B:B,'RDG Weekly Sales'!D4)</f>
        <v>1865</v>
      </c>
      <c r="L13" s="197">
        <f>J13/K13</f>
        <v>280.66475067024129</v>
      </c>
      <c r="M13" s="194"/>
      <c r="N13" s="195">
        <f>SUMIFS('Actual - 2026'!W:W,'Actual - 2026'!D:D,'RDG Weekly Sales'!G1)</f>
        <v>13134441.159999998</v>
      </c>
      <c r="O13" s="196">
        <f>SUMIFS('Actual - 2026'!X:X,'Actual - 2026'!D:D,'RDG Weekly Sales'!G1)</f>
        <v>45964</v>
      </c>
      <c r="P13" s="197">
        <f>N13/O13</f>
        <v>285.75496388477933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196240.61006845554</v>
      </c>
      <c r="G14" s="205">
        <f>SUMIFS('Budget - 2026'!AQ:AQ,'Budget - 2026'!B:B,'RDG Weekly Sales'!D1)</f>
        <v>769.35</v>
      </c>
      <c r="H14" s="206">
        <f>IFERROR(F14/G14,0)</f>
        <v>255.0732567341984</v>
      </c>
      <c r="I14" s="194"/>
      <c r="J14" s="204">
        <f>SUMIFS('Budget - 2026'!AP:AP,'Budget - 2026'!C:C,'RDG Weekly Sales'!D4,'Budget - 2026'!$E:$E,G1)</f>
        <v>461563.62313494598</v>
      </c>
      <c r="K14" s="205">
        <f>SUMIFS('Budget - 2026'!AQ:AQ,'Budget - 2026'!C:C,'RDG Weekly Sales'!D4,'Budget - 2026'!$E:$E,G1)</f>
        <v>1940.5500000000002</v>
      </c>
      <c r="L14" s="206">
        <f>IFERROR(J14/K14,0)</f>
        <v>237.85196111151268</v>
      </c>
      <c r="M14" s="194"/>
      <c r="N14" s="204">
        <f>SUMIFS('Budget - 2026'!AP:AP,'Budget - 2026'!E:E,'RDG Weekly Sales'!G1)</f>
        <v>12734274.928993423</v>
      </c>
      <c r="O14" s="205">
        <f>SUMIFS('Budget - 2026'!AQ:AQ,'Budget - 2026'!E:E,'RDG Weekly Sales'!G1)</f>
        <v>44263.199999999997</v>
      </c>
      <c r="P14" s="206">
        <f>IFERROR(N14/O14,0)</f>
        <v>287.69440368056138</v>
      </c>
      <c r="S14" s="390"/>
      <c r="T14" s="390"/>
      <c r="U14" s="390"/>
      <c r="V14" s="390"/>
      <c r="W14" s="390"/>
      <c r="X14" s="390"/>
    </row>
    <row r="15" spans="3:52" s="54" customFormat="1" ht="28.9" customHeight="1">
      <c r="D15" s="207" t="s">
        <v>105</v>
      </c>
      <c r="E15" s="203"/>
      <c r="F15" s="179">
        <f>(F13-F14)/F14</f>
        <v>0.47550117123562635</v>
      </c>
      <c r="G15" s="179">
        <f>(G13-G14)/G14</f>
        <v>0.19971404432312989</v>
      </c>
      <c r="H15" s="179">
        <f>(H13-H14)/H14</f>
        <v>0.22987738471303262</v>
      </c>
      <c r="I15" s="194"/>
      <c r="J15" s="179">
        <f>(J13-J14)/J14</f>
        <v>0.1340576548142822</v>
      </c>
      <c r="K15" s="179">
        <f>(K13-K14)/K14</f>
        <v>-3.8932261472263106E-2</v>
      </c>
      <c r="L15" s="179">
        <f>(L13-L14)/L14</f>
        <v>0.17999763112592793</v>
      </c>
      <c r="M15" s="107"/>
      <c r="N15" s="179">
        <f>(N13-N14)/N14</f>
        <v>3.1424343611074115E-2</v>
      </c>
      <c r="O15" s="179">
        <f>(O13-O14)/O14</f>
        <v>3.8424695909920724E-2</v>
      </c>
      <c r="P15" s="179">
        <f>(P13-P14)/P14</f>
        <v>-6.741319160088661E-3</v>
      </c>
      <c r="S15" s="390"/>
      <c r="T15" s="390"/>
      <c r="U15" s="390"/>
      <c r="V15" s="390"/>
      <c r="W15" s="390"/>
      <c r="X15" s="390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193364.36</v>
      </c>
      <c r="G16" s="196">
        <f>SUMIFS('Budget - 2026'!AT:AT,'Budget - 2026'!B:B,'RDG Weekly Sales'!D1)</f>
        <v>796</v>
      </c>
      <c r="H16" s="197">
        <f>IFERROR(F16/G16,0)</f>
        <v>242.92005025125627</v>
      </c>
      <c r="I16" s="194"/>
      <c r="J16" s="195">
        <f>SUMIFS('Budget - 2026'!AS:AS,'Budget - 2026'!C:C,'RDG Weekly Sales'!D4,'Budget - 2026'!$E:$E,G1)</f>
        <v>464998</v>
      </c>
      <c r="K16" s="196">
        <f>SUMIFS('Budget - 2026'!AT:AT,'Budget - 2026'!C:C,'RDG Weekly Sales'!D4,'Budget - 2026'!$E:$E,G1)</f>
        <v>2007</v>
      </c>
      <c r="L16" s="197">
        <f>IFERROR(J16/K16,0)</f>
        <v>231.68809167912306</v>
      </c>
      <c r="M16" s="194"/>
      <c r="N16" s="195">
        <f>SUMIFS('Budget - 2026'!AS:AS,'Budget - 2026'!E:E,'RDG Weekly Sales'!G1)</f>
        <v>12299395.380000001</v>
      </c>
      <c r="O16" s="196">
        <f>SUMIFS('Budget - 2026'!AT:AT,'Budget - 2026'!E:E,'RDG Weekly Sales'!G1)</f>
        <v>43081</v>
      </c>
      <c r="P16" s="197">
        <f>IFERROR(N16/O16,0)</f>
        <v>285.49465843411252</v>
      </c>
      <c r="S16" s="390"/>
      <c r="T16" s="390"/>
      <c r="U16" s="390"/>
      <c r="V16" s="390"/>
      <c r="W16" s="390"/>
      <c r="X16" s="390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0.49744890940605613</v>
      </c>
      <c r="G17" s="200">
        <f>(G13-G16)/G16</f>
        <v>0.15954773869346733</v>
      </c>
      <c r="H17" s="200">
        <f>(H13-H16)/H16</f>
        <v>0.29140772685506022</v>
      </c>
      <c r="I17" s="194"/>
      <c r="J17" s="200">
        <f>(J13-J16)/J16</f>
        <v>0.12568174486771988</v>
      </c>
      <c r="K17" s="200">
        <f>(K13-K16)/K16</f>
        <v>-7.0752366716492279E-2</v>
      </c>
      <c r="L17" s="200">
        <f>(L13-L16)/L16</f>
        <v>0.21139048898097257</v>
      </c>
      <c r="M17" s="107"/>
      <c r="N17" s="200">
        <f>(N13-N16)/N16</f>
        <v>6.7893238179647611E-2</v>
      </c>
      <c r="O17" s="200">
        <f>(O13-O16)/O16</f>
        <v>6.692045217149091E-2</v>
      </c>
      <c r="P17" s="200">
        <f>(P13-P16)/P16</f>
        <v>9.1176995077433328E-4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244866.30000000005</v>
      </c>
      <c r="G19" s="196">
        <f>SUMIFS('Actual - 2026'!AJ:AJ,'Actual - 2026'!A:A,'RDG Weekly Sales'!D1)</f>
        <v>2545</v>
      </c>
      <c r="H19" s="197">
        <f>F19/G19</f>
        <v>96.214656188605133</v>
      </c>
      <c r="I19" s="194"/>
      <c r="J19" s="195">
        <f>SUMIFS('Actual - 2026'!AI:AI,'Actual - 2026'!B:B,'RDG Weekly Sales'!D4)</f>
        <v>489496.92000000004</v>
      </c>
      <c r="K19" s="196">
        <f>SUMIFS('Actual - 2026'!AJ:AJ,'Actual - 2026'!B:B,'RDG Weekly Sales'!D4)</f>
        <v>4960</v>
      </c>
      <c r="L19" s="197">
        <f>J19/K19</f>
        <v>98.688895161290333</v>
      </c>
      <c r="M19" s="194"/>
      <c r="N19" s="195">
        <f>SUMIFS('Actual - 2026'!AI:AI,'Actual - 2026'!D:D,'RDG Weekly Sales'!G1)</f>
        <v>8667042.5900000017</v>
      </c>
      <c r="O19" s="196">
        <f>SUMIFS('Actual - 2026'!AJ:AJ,'Actual - 2026'!D:D,'RDG Weekly Sales'!G1)</f>
        <v>78154</v>
      </c>
      <c r="P19" s="197">
        <f>N19/O19</f>
        <v>110.8969801929524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216776.42792837723</v>
      </c>
      <c r="G20" s="205">
        <f>SUMIFS('Budget - 2026'!BF:BF,'Budget - 2026'!B:B,'RDG Weekly Sales'!D1)</f>
        <v>2129</v>
      </c>
      <c r="H20" s="206">
        <f>IFERROR(F20/G20,0)</f>
        <v>101.82077403869292</v>
      </c>
      <c r="I20" s="194"/>
      <c r="J20" s="204">
        <f>SUMIFS('Budget - 2026'!BE:BE,'Budget - 2026'!C:C,'RDG Weekly Sales'!D4,'Budget - 2026'!$E:$E,G1)</f>
        <v>444089.75710351893</v>
      </c>
      <c r="K20" s="205">
        <f>SUMIFS('Budget - 2026'!BF:BF,'Budget - 2026'!C:C,'RDG Weekly Sales'!D4,'Budget - 2026'!$E:$E,G1)</f>
        <v>4375</v>
      </c>
      <c r="L20" s="206">
        <f>IFERROR(J20/K20,0)</f>
        <v>101.50623019509004</v>
      </c>
      <c r="M20" s="194"/>
      <c r="N20" s="204">
        <f>SUMIFS('Budget - 2026'!BE:BE,'Budget - 2026'!E:E,'RDG Weekly Sales'!G1)</f>
        <v>8336353.927825029</v>
      </c>
      <c r="O20" s="205">
        <f>SUMIFS('Budget - 2026'!BF:BF,'Budget - 2026'!E:E,'RDG Weekly Sales'!G1)</f>
        <v>77856</v>
      </c>
      <c r="P20" s="206">
        <f>IFERROR(N20/O20,0)</f>
        <v>107.07400749878018</v>
      </c>
      <c r="S20" s="390"/>
      <c r="T20" s="434"/>
      <c r="U20" s="391"/>
      <c r="V20" s="434"/>
      <c r="W20" s="434"/>
      <c r="X20" s="434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0.12957991945924899</v>
      </c>
      <c r="G21" s="179">
        <f>(G19-G20)/G20</f>
        <v>0.19539689995302958</v>
      </c>
      <c r="H21" s="179">
        <f>(H19-H20)/H20</f>
        <v>-5.5058684271614387E-2</v>
      </c>
      <c r="I21" s="194"/>
      <c r="J21" s="179">
        <f>(J19-J20)/J20</f>
        <v>0.10224771494987789</v>
      </c>
      <c r="K21" s="179">
        <f>(K19-K20)/K20</f>
        <v>0.1337142857142857</v>
      </c>
      <c r="L21" s="179">
        <f>(L19-L20)/L20</f>
        <v>-2.7755291752879867E-2</v>
      </c>
      <c r="M21" s="107"/>
      <c r="N21" s="179">
        <f>(N19-N20)/N20</f>
        <v>3.9668260853369268E-2</v>
      </c>
      <c r="O21" s="179">
        <f>(O19-O20)/O20</f>
        <v>3.827579120427456E-3</v>
      </c>
      <c r="P21" s="179">
        <f>(P19-P20)/P20</f>
        <v>3.5704021764719832E-2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230610.44999999998</v>
      </c>
      <c r="G22" s="196">
        <f>SUMIFS('Budget - 2026'!BR:BR,'Budget - 2026'!B:B,'RDG Weekly Sales'!D1)</f>
        <v>2104</v>
      </c>
      <c r="H22" s="197">
        <f>IFERROR(F22/G22,0)</f>
        <v>109.60572718631178</v>
      </c>
      <c r="I22" s="194"/>
      <c r="J22" s="195">
        <f>SUMIFS('Budget - 2026'!BQ:BQ,'Budget - 2026'!C:C,'RDG Weekly Sales'!D4,'Budget - 2026'!$E:$E,G1)</f>
        <v>458439.74</v>
      </c>
      <c r="K22" s="196">
        <f>SUMIFS('Budget - 2026'!BR:BR,'Budget - 2026'!C:C,'RDG Weekly Sales'!D4,'Budget - 2026'!$E:$E,G1)</f>
        <v>4300</v>
      </c>
      <c r="L22" s="197">
        <f>IFERROR(J22/K22,0)</f>
        <v>106.61389302325581</v>
      </c>
      <c r="M22" s="194"/>
      <c r="N22" s="195">
        <f>SUMIFS('Budget - 2026'!BQ:BQ,'Budget - 2026'!E:E,'RDG Weekly Sales'!G1)</f>
        <v>8583158.3300000001</v>
      </c>
      <c r="O22" s="196">
        <f>SUMIFS('Budget - 2026'!BR:BR,'Budget - 2026'!E:E,'RDG Weekly Sales'!G1)</f>
        <v>77336</v>
      </c>
      <c r="P22" s="197">
        <f>IFERROR(N22/O22,0)</f>
        <v>110.985289257267</v>
      </c>
      <c r="S22" s="128">
        <f>F19</f>
        <v>244866.30000000005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6.1817883794945391E-2</v>
      </c>
      <c r="G23" s="200">
        <f>(G19-G22)/G22</f>
        <v>0.20960076045627377</v>
      </c>
      <c r="H23" s="200">
        <f>(H19-H22)/H22</f>
        <v>-0.12217492043042624</v>
      </c>
      <c r="I23" s="194"/>
      <c r="J23" s="200">
        <f>(J19-J22)/J22</f>
        <v>6.7745392229740062E-2</v>
      </c>
      <c r="K23" s="200">
        <f>(K19-K22)/K22</f>
        <v>0.15348837209302327</v>
      </c>
      <c r="L23" s="200">
        <f>(L19-L22)/L22</f>
        <v>-7.4333631736314049E-2</v>
      </c>
      <c r="M23" s="107"/>
      <c r="N23" s="200">
        <f>(N19-N22)/N22</f>
        <v>9.7731227567838235E-3</v>
      </c>
      <c r="O23" s="200">
        <f>(O19-O22)/O22</f>
        <v>1.0577221475121548E-2</v>
      </c>
      <c r="P23" s="200">
        <f>(P19-P22)/P22</f>
        <v>-7.9568260717776415E-4</v>
      </c>
      <c r="S23" s="321">
        <f>SUM(S21:S22)</f>
        <v>1012866.3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[3]KPI!$C$6</f>
        <v>15093</v>
      </c>
      <c r="AE24" s="5">
        <f>[3]KPI!$C$24</f>
        <v>4408</v>
      </c>
      <c r="AF24" s="5">
        <f>[3]KPI!$C$62</f>
        <v>7402</v>
      </c>
      <c r="AG24" s="5">
        <f>[3]KPI!$C$82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379674.08999999997</v>
      </c>
      <c r="G25" s="196">
        <f>SUMIFS('Actual - 2026'!AS:AS,'Actual - 2026'!A:A,'RDG Weekly Sales'!D1)</f>
        <v>2568</v>
      </c>
      <c r="H25" s="197">
        <f>F25/G25</f>
        <v>147.84816588785046</v>
      </c>
      <c r="I25" s="194"/>
      <c r="J25" s="195">
        <f>SUMIFS('Actual - 2026'!AR:AR,'Actual - 2026'!B:B,'RDG Weekly Sales'!D4)</f>
        <v>789334.75</v>
      </c>
      <c r="K25" s="196">
        <f>SUMIFS('Actual - 2026'!AS:AS,'Actual - 2026'!B:B,'RDG Weekly Sales'!D4)</f>
        <v>5192</v>
      </c>
      <c r="L25" s="197">
        <f>J25/K25</f>
        <v>152.02903505392914</v>
      </c>
      <c r="M25" s="194"/>
      <c r="N25" s="195">
        <f>SUMIFS('Actual - 2026'!AR:AR,'Actual - 2026'!D:D,'RDG Weekly Sales'!G1)</f>
        <v>26356520.149999999</v>
      </c>
      <c r="O25" s="196">
        <f>SUMIFS('Actual - 2026'!AS:AS,'Actual - 2026'!D:D,'RDG Weekly Sales'!G1)</f>
        <v>138582</v>
      </c>
      <c r="P25" s="197">
        <f>N25/O25</f>
        <v>190.18718267884717</v>
      </c>
      <c r="S25" s="324">
        <f>S23-S24</f>
        <v>-15727.699999999953</v>
      </c>
      <c r="AB25" s="5" t="s">
        <v>82</v>
      </c>
      <c r="AD25" s="5">
        <f>[3]KPI!$C$9</f>
        <v>157.8113847478964</v>
      </c>
      <c r="AE25" s="5">
        <f>[3]KPI!$C$28</f>
        <v>276.01779038112528</v>
      </c>
      <c r="AF25" s="5">
        <f>[3]KPI!$C$66</f>
        <v>101.17650770062147</v>
      </c>
      <c r="AG25" s="5">
        <f>[3]KPI!$C$85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423978.93737128301</v>
      </c>
      <c r="G26" s="205">
        <f>SUMIFS('Budget - 2026'!CA:CA,'Budget - 2026'!B:B,'RDG Weekly Sales'!D1)</f>
        <v>2678</v>
      </c>
      <c r="H26" s="206">
        <f>IFERROR(F26/G26,0)</f>
        <v>158.31924472415346</v>
      </c>
      <c r="I26" s="194"/>
      <c r="J26" s="204">
        <f>SUMIFS('Budget - 2026'!BZ:BZ,'Budget - 2026'!C:C,'RDG Weekly Sales'!D4,'Budget - 2026'!$E:$E,G1)</f>
        <v>992251.76527095865</v>
      </c>
      <c r="K26" s="205">
        <f>SUMIFS('Budget - 2026'!CA:CA,'Budget - 2026'!C:C,'RDG Weekly Sales'!D4,'Budget - 2026'!$E:$E,G1)</f>
        <v>6194</v>
      </c>
      <c r="L26" s="206">
        <f>IFERROR(J26/K26,0)</f>
        <v>160.19563533596363</v>
      </c>
      <c r="M26" s="194"/>
      <c r="N26" s="204">
        <f>SUMIFS('Budget - 2026'!BZ:BZ,'Budget - 2026'!E:E,'RDG Weekly Sales'!G1)</f>
        <v>24094301.035131812</v>
      </c>
      <c r="O26" s="205">
        <f>SUMIFS('Budget - 2026'!CA:CA,'Budget - 2026'!E:E,'RDG Weekly Sales'!G1)</f>
        <v>141045.75</v>
      </c>
      <c r="P26" s="206">
        <f>IFERROR(N26/O26,0)</f>
        <v>170.82613999451817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-0.10449775558658189</v>
      </c>
      <c r="G27" s="179">
        <f>(G25-G26)/G26</f>
        <v>-4.1075429424943986E-2</v>
      </c>
      <c r="H27" s="179">
        <f>(H25-H26)/H26</f>
        <v>-6.6139014587564673E-2</v>
      </c>
      <c r="I27" s="194"/>
      <c r="J27" s="179">
        <f>(J25-J26)/J26</f>
        <v>-0.20450154121474121</v>
      </c>
      <c r="K27" s="179">
        <f>(K25-K26)/K26</f>
        <v>-0.16176945431062317</v>
      </c>
      <c r="L27" s="179">
        <f>(L25-L26)/L26</f>
        <v>-5.0978918775829517E-2</v>
      </c>
      <c r="M27" s="107"/>
      <c r="N27" s="179">
        <f>(N25-N26)/N26</f>
        <v>9.3890215431842283E-2</v>
      </c>
      <c r="O27" s="179">
        <f>(O25-O26)/O26</f>
        <v>-1.7467736532295372E-2</v>
      </c>
      <c r="P27" s="179">
        <f>(P25-P26)/P26</f>
        <v>0.11333770513663946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397557.26</v>
      </c>
      <c r="G28" s="196">
        <f>SUMIFS('Budget - 2026'!CJ:CJ,'Budget - 2026'!B:B,'RDG Weekly Sales'!D1)</f>
        <v>2678</v>
      </c>
      <c r="H28" s="197">
        <f>IFERROR(F28/G28,0)</f>
        <v>148.45304705003736</v>
      </c>
      <c r="I28" s="194"/>
      <c r="J28" s="195">
        <f>SUMIFS('Budget - 2026'!CI:CI,'Budget - 2026'!C:C,'RDG Weekly Sales'!D4,'Budget - 2026'!$E:$E,G1)</f>
        <v>952183.8</v>
      </c>
      <c r="K28" s="196">
        <f>SUMIFS('Budget - 2026'!CJ:CJ,'Budget - 2026'!C:C,'RDG Weekly Sales'!D4,'Budget - 2026'!$E:$E,G1)</f>
        <v>6167</v>
      </c>
      <c r="L28" s="197">
        <f>IFERROR(J28/K28,0)</f>
        <v>154.39983784660291</v>
      </c>
      <c r="M28" s="194"/>
      <c r="N28" s="195">
        <f>SUMIFS('Budget - 2026'!CI:CI,'Budget - 2026'!E:E,'RDG Weekly Sales'!G1)</f>
        <v>22067307.350000001</v>
      </c>
      <c r="O28" s="196">
        <f>SUMIFS('Budget - 2026'!CJ:CJ,'Budget - 2026'!E:E,'RDG Weekly Sales'!G1)</f>
        <v>135318</v>
      </c>
      <c r="P28" s="197">
        <f>IFERROR(N28/O28,0)</f>
        <v>163.07739805495206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-4.4982627156651703E-2</v>
      </c>
      <c r="G29" s="200">
        <f>IFERROR((G25-G28)/G28,0)</f>
        <v>-4.1075429424943986E-2</v>
      </c>
      <c r="H29" s="200">
        <f>IFERROR((H25-H28)/H28,0)</f>
        <v>-4.0745621205270305E-3</v>
      </c>
      <c r="I29" s="194"/>
      <c r="J29" s="200">
        <f>IFERROR((J25-J28)/J28,0)</f>
        <v>-0.17102690677997257</v>
      </c>
      <c r="K29" s="200">
        <f>IFERROR((K25-K28)/K28,0)</f>
        <v>-0.1580995621858278</v>
      </c>
      <c r="L29" s="200">
        <f>IFERROR((L25-L28)/L28,0)</f>
        <v>-1.5354956493083737E-2</v>
      </c>
      <c r="M29" s="107"/>
      <c r="N29" s="200">
        <f>IFERROR((N25-N28)/N28,0)</f>
        <v>0.19436955909348844</v>
      </c>
      <c r="O29" s="200">
        <f>IFERROR((O25-O28)/O28,0)</f>
        <v>2.4120959517580809E-2</v>
      </c>
      <c r="P29" s="200">
        <f>IFERROR((P25-P28)/P28,0)</f>
        <v>0.16623876114800376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238</v>
      </c>
      <c r="E31" s="194"/>
      <c r="F31" s="195">
        <f>SUMIFS('Actual - 2026'!BV:BV,'Actual - 2026'!A:A,$D$1)</f>
        <v>153381.9</v>
      </c>
      <c r="G31" s="196">
        <f>SUMIFS('Actual - 2026'!BW:BW,'Actual - 2026'!A:A,$D$1)</f>
        <v>520</v>
      </c>
      <c r="H31" s="197">
        <f>IFERROR(F31/G31,0)</f>
        <v>294.96519230769229</v>
      </c>
      <c r="I31" s="194"/>
      <c r="J31" s="195">
        <f>SUMIFS('Actual - 2026'!BV:BV,'Actual - 2026'!$B:$B,'RDG Weekly Sales'!$D$4)</f>
        <v>247078</v>
      </c>
      <c r="K31" s="196">
        <f>SUMIFS('Actual - 2026'!BW:BW,'Actual - 2026'!$B:$B,'RDG Weekly Sales'!$D$4)</f>
        <v>1064</v>
      </c>
      <c r="L31" s="197">
        <f>IFERROR(J31/K31,0)</f>
        <v>232.21616541353384</v>
      </c>
      <c r="M31" s="194"/>
      <c r="N31" s="195">
        <f>SUMIFS('Actual - 2026'!BV:BV,'Actual - 2026'!$D:$D,'RDG Weekly Sales'!$G$1)</f>
        <v>5995402.2599999998</v>
      </c>
      <c r="O31" s="196">
        <f>SUMIFS('Actual - 2026'!BW:BW,'Actual - 2026'!$D:$D,'RDG Weekly Sales'!$G$1)</f>
        <v>21649</v>
      </c>
      <c r="P31" s="197">
        <f>IFERROR(N31/O31,0)</f>
        <v>276.93668344958195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[3]KPI!$C$9</f>
        <v>157.8113847478964</v>
      </c>
      <c r="AE31" s="5">
        <f>[3]KPI!$C$28</f>
        <v>276.01779038112528</v>
      </c>
      <c r="AF31" s="5">
        <f>[3]KPI!$C$66</f>
        <v>101.17650770062147</v>
      </c>
      <c r="AG31" s="5">
        <f>[3]KPI!$C$85</f>
        <v>144.84053397306917</v>
      </c>
      <c r="AN31" s="186">
        <f>F31/1562</f>
        <v>98.195838668373881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181591.53720233616</v>
      </c>
      <c r="G32" s="205">
        <f>SUMIFS('Budget - 2026'!DW:DW,'Budget - 2026'!$B:$B,'RDG Weekly Sales'!$D$1)</f>
        <v>820</v>
      </c>
      <c r="H32" s="206">
        <f>IFERROR(F32/G32,0)</f>
        <v>221.45309414919043</v>
      </c>
      <c r="I32" s="194"/>
      <c r="J32" s="204">
        <f>SUMIFS('Budget - 2026'!DV:DV,'Budget - 2026'!$C:$C,'RDG Weekly Sales'!$D$4,'Budget - 2026'!$E:$E,$G$1)</f>
        <v>363183.07440467231</v>
      </c>
      <c r="K32" s="205">
        <f>SUMIFS('Budget - 2026'!DW:DW,'Budget - 2026'!$C:$C,'RDG Weekly Sales'!$D$4,'Budget - 2026'!$E:$E,$G$1)</f>
        <v>1640</v>
      </c>
      <c r="L32" s="206">
        <f>IFERROR(J32/K32,0)</f>
        <v>221.45309414919043</v>
      </c>
      <c r="M32" s="194"/>
      <c r="N32" s="204">
        <f>SUMIFS('Budget - 2026'!DV:DV,'Budget - 2026'!$E:$E,'RDG Weekly Sales'!$G$1)</f>
        <v>7408588.5686205104</v>
      </c>
      <c r="O32" s="205">
        <f>SUMIFS('Budget - 2026'!DW:DW,'Budget - 2026'!$E:$E,'RDG Weekly Sales'!$G$1)</f>
        <v>29565</v>
      </c>
      <c r="P32" s="206">
        <f>IFERROR(N32/O32,0)</f>
        <v>250.58645589786946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-0.1553466512643919</v>
      </c>
      <c r="G33" s="179">
        <f>IFERROR((G31-G32)/G32,0)</f>
        <v>-0.36585365853658536</v>
      </c>
      <c r="H33" s="179">
        <f>IFERROR((H31-H32)/H32,0)</f>
        <v>0.33195335762153583</v>
      </c>
      <c r="I33" s="194"/>
      <c r="J33" s="179">
        <f>IFERROR((J31-J32)/J32,0)</f>
        <v>-0.31968745954086958</v>
      </c>
      <c r="K33" s="179">
        <f>IFERROR((K31-K32)/K32,0)</f>
        <v>-0.35121951219512193</v>
      </c>
      <c r="L33" s="179">
        <f>IFERROR((L31-L32)/L32,0)</f>
        <v>4.8602036046028106E-2</v>
      </c>
      <c r="M33" s="107"/>
      <c r="N33" s="179">
        <f>IFERROR((N31-N32)/N32,0)</f>
        <v>-0.19074973532828371</v>
      </c>
      <c r="O33" s="179">
        <f>IFERROR((O31-O32)/O32,0)</f>
        <v>-0.26774902756637914</v>
      </c>
      <c r="P33" s="179">
        <f>IFERROR((P31-P32)/P32,0)</f>
        <v>0.10515423691714589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[3]KPI!$C$6</f>
        <v>15093</v>
      </c>
      <c r="AE36" s="5">
        <f>[3]KPI!$C$24</f>
        <v>4408</v>
      </c>
      <c r="AF36" s="5">
        <f>[3]KPI!$C$62</f>
        <v>7402</v>
      </c>
      <c r="AG36" s="5">
        <f>[3]KPI!$C$82</f>
        <v>6461</v>
      </c>
    </row>
    <row r="37" spans="4:40" ht="28.9" customHeight="1">
      <c r="D37" s="193" t="s">
        <v>229</v>
      </c>
      <c r="E37" s="194"/>
      <c r="F37" s="195">
        <f>SUMIFS('Actual - 2026'!BA:BA,'Actual - 2026'!A:A,'RDG Weekly Sales'!D1)</f>
        <v>259768.75</v>
      </c>
      <c r="G37" s="196">
        <f>SUMIFS('Actual - 2026'!BB:BB,'Actual - 2026'!A:A,'RDG Weekly Sales'!D1)</f>
        <v>1993</v>
      </c>
      <c r="H37" s="197">
        <f>F37/G37</f>
        <v>130.34056698444556</v>
      </c>
      <c r="I37" s="194"/>
      <c r="J37" s="195">
        <f>SUMIFS('Actual - 2026'!BA:BA,'Actual - 2026'!B:B,'RDG Weekly Sales'!D4)</f>
        <v>529720.9</v>
      </c>
      <c r="K37" s="196">
        <f>SUMIFS('Actual - 2026'!BB:BB,'Actual - 2026'!B:B,'RDG Weekly Sales'!D4)</f>
        <v>4024</v>
      </c>
      <c r="L37" s="197">
        <f>J37/K37</f>
        <v>131.64038270377733</v>
      </c>
      <c r="M37" s="194"/>
      <c r="N37" s="195">
        <f>SUMIFS('Actual - 2026'!BA:BA,'Actual - 2026'!D:D,'RDG Weekly Sales'!G1)</f>
        <v>11516558.49</v>
      </c>
      <c r="O37" s="196">
        <f>SUMIFS('Actual - 2026'!BB:BB,'Actual - 2026'!D:D,'RDG Weekly Sales'!G1)</f>
        <v>75758</v>
      </c>
      <c r="P37" s="197">
        <f>N37/O37</f>
        <v>152.0177207687637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[3]KPI!$C$9</f>
        <v>157.8113847478964</v>
      </c>
      <c r="AE37" s="5">
        <f>[3]KPI!$C$28</f>
        <v>276.01779038112528</v>
      </c>
      <c r="AF37" s="5">
        <f>[3]KPI!$C$66</f>
        <v>101.17650770062147</v>
      </c>
      <c r="AG37" s="5">
        <f>[3]KPI!$C$85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278903.18193392036</v>
      </c>
      <c r="G38" s="205">
        <f>SUMIFS('Budget - 2026'!DB:DB,'Budget - 2026'!B:B,'RDG Weekly Sales'!D1)</f>
        <v>1882.25</v>
      </c>
      <c r="H38" s="206">
        <f>IFERROR(F38/G38,0)</f>
        <v>148.17541874560786</v>
      </c>
      <c r="I38" s="194"/>
      <c r="J38" s="204">
        <f>SUMIFS('Budget - 2026'!DA:DA,'Budget - 2026'!C:C,'RDG Weekly Sales'!D4,'Budget - 2026'!$E:$E,G1)</f>
        <v>601913.87386784074</v>
      </c>
      <c r="K38" s="205">
        <f>SUMIFS('Budget - 2026'!DB:DB,'Budget - 2026'!C:C,'RDG Weekly Sales'!D4,'Budget - 2026'!$E:$E,G1)</f>
        <v>4039.5</v>
      </c>
      <c r="L38" s="206">
        <f>IFERROR(J38/K38,0)</f>
        <v>149.00702410393384</v>
      </c>
      <c r="M38" s="194"/>
      <c r="N38" s="204">
        <f>SUMIFS('Budget - 2026'!DA:DA,'Budget - 2026'!E:E,'RDG Weekly Sales'!G1)</f>
        <v>12440776.208603291</v>
      </c>
      <c r="O38" s="205">
        <f>SUMIFS('Budget - 2026'!DB:DB,'Budget - 2026'!E:E,'RDG Weekly Sales'!G1)</f>
        <v>78410.5</v>
      </c>
      <c r="P38" s="206">
        <f>IFERROR(N38/O38,0)</f>
        <v>158.66212061654105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-6.8606000839581044E-2</v>
      </c>
      <c r="G39" s="179">
        <f>(G37-G38)/G38</f>
        <v>5.8839155266303629E-2</v>
      </c>
      <c r="H39" s="179">
        <f>(H37-H38)/H38</f>
        <v>-0.12036309336693506</v>
      </c>
      <c r="I39" s="194"/>
      <c r="J39" s="179">
        <f>(J37-J38)/J38</f>
        <v>-0.11993904278021637</v>
      </c>
      <c r="K39" s="179">
        <f>(K37-K38)/K38</f>
        <v>-3.8371085530387425E-3</v>
      </c>
      <c r="L39" s="179">
        <f>(L37-L38)/L38</f>
        <v>-0.11654914595195935</v>
      </c>
      <c r="M39" s="107"/>
      <c r="N39" s="179">
        <f>(N37-N38)/N38</f>
        <v>-7.4289393451524133E-2</v>
      </c>
      <c r="O39" s="179">
        <f>(O37-O38)/O38</f>
        <v>-3.3828377576982677E-2</v>
      </c>
      <c r="P39" s="179">
        <f>(P37-P38)/P38</f>
        <v>-4.1877669490096615E-2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256608.77</v>
      </c>
      <c r="G40" s="196">
        <f>SUMIFS('Budget - 2026'!CS:CS,'Budget - 2026'!B:B,'RDG Weekly Sales'!D1)</f>
        <v>1625</v>
      </c>
      <c r="H40" s="197">
        <f>IFERROR(F40/G40,0)</f>
        <v>157.91308923076923</v>
      </c>
      <c r="I40" s="194"/>
      <c r="J40" s="195">
        <f>SUMIFS('Budget - 2026'!CR:CR,'Budget - 2026'!C:C,'RDG Weekly Sales'!D4,'Budget - 2026'!$E:$E,G1)</f>
        <v>584529.16999999993</v>
      </c>
      <c r="K40" s="196">
        <f>SUMIFS('Budget - 2026'!CS:CS,'Budget - 2026'!C:C,'RDG Weekly Sales'!D4,'Budget - 2026'!$E:$E,G1)</f>
        <v>3538</v>
      </c>
      <c r="L40" s="197">
        <f>IFERROR(J40/K40,0)</f>
        <v>165.21457603165629</v>
      </c>
      <c r="M40" s="194"/>
      <c r="N40" s="195">
        <f>SUMIFS('Budget - 2026'!CR:CR,'Budget - 2026'!E:E,'RDG Weekly Sales'!G1)</f>
        <v>9393788.0899999999</v>
      </c>
      <c r="O40" s="196">
        <f>SUMIFS('Budget - 2026'!CS:CS,'Budget - 2026'!E:E,'RDG Weekly Sales'!G1)</f>
        <v>56833</v>
      </c>
      <c r="P40" s="197">
        <f>IFERROR(N40/O40,0)</f>
        <v>165.28756338746854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1.231438816374051E-2</v>
      </c>
      <c r="G41" s="200">
        <f>IFERROR((G37-G40)/G40,0)</f>
        <v>0.22646153846153846</v>
      </c>
      <c r="H41" s="200">
        <f>IFERROR((H37-H40)/H40,0)</f>
        <v>-0.17460567949519407</v>
      </c>
      <c r="I41" s="194"/>
      <c r="J41" s="200">
        <f>IFERROR((J37-J40)/J40,0)</f>
        <v>-9.3764815877366584E-2</v>
      </c>
      <c r="K41" s="200">
        <f>IFERROR((K37-K40)/K40,0)</f>
        <v>0.13736574335782928</v>
      </c>
      <c r="L41" s="200">
        <f>IFERROR((L37-L40)/L40,0)</f>
        <v>-0.20321568553034874</v>
      </c>
      <c r="M41" s="107"/>
      <c r="N41" s="200">
        <f>IFERROR((N37-N40)/N40,0)</f>
        <v>0.22597597259616278</v>
      </c>
      <c r="O41" s="200">
        <f>IFERROR((O37-O40)/O40,0)</f>
        <v>0.33299315538507557</v>
      </c>
      <c r="P41" s="200">
        <f>IFERROR((P37-P40)/P40,0)</f>
        <v>-8.0283370065765705E-2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239</v>
      </c>
      <c r="E43" s="194"/>
      <c r="F43" s="195">
        <f>SUMIFS('Actual - 2026'!BM:BM,'Actual - 2026'!A:A,'RDG Weekly Sales'!D1)</f>
        <v>190497.35</v>
      </c>
      <c r="G43" s="196">
        <f>SUMIFS('Actual - 2026'!BN:BN,'Actual - 2026'!A:A,'RDG Weekly Sales'!D1)</f>
        <v>1770</v>
      </c>
      <c r="H43" s="197">
        <f>F43/G43</f>
        <v>107.62562146892655</v>
      </c>
      <c r="I43" s="194"/>
      <c r="J43" s="195">
        <f>SUMIFS('Actual - 2026'!BM:BM,'Actual - 2026'!B:B,'RDG Weekly Sales'!D4)</f>
        <v>385503.33999999997</v>
      </c>
      <c r="K43" s="196">
        <f>SUMIFS('Actual - 2026'!BN:BN,'Actual - 2026'!B:B,'RDG Weekly Sales'!D4)</f>
        <v>3633</v>
      </c>
      <c r="L43" s="197">
        <f>J43/K43</f>
        <v>106.11157170382603</v>
      </c>
      <c r="M43" s="194"/>
      <c r="N43" s="195">
        <f>SUMIFS('Actual - 2026'!BM:BM,'Actual - 2026'!D:D,'RDG Weekly Sales'!G1)</f>
        <v>7767875.7899999991</v>
      </c>
      <c r="O43" s="196">
        <f>SUMIFS('Actual - 2026'!BN:BN,'Actual - 2026'!D:D,'RDG Weekly Sales'!G1)</f>
        <v>69691</v>
      </c>
      <c r="P43" s="197">
        <f>N43/O43</f>
        <v>111.46167783501456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[3]KPI!$C$9</f>
        <v>157.8113847478964</v>
      </c>
      <c r="AE43" s="5">
        <f>[3]KPI!$C$28</f>
        <v>276.01779038112528</v>
      </c>
      <c r="AF43" s="5">
        <f>[3]KPI!$C$66</f>
        <v>101.17650770062147</v>
      </c>
      <c r="AG43" s="5">
        <f>[3]KPI!$C$85</f>
        <v>144.84053397306917</v>
      </c>
      <c r="AN43" s="186">
        <f>F43/1562</f>
        <v>121.95733034571063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230673.492</v>
      </c>
      <c r="G44" s="205">
        <f>SUMIFS('Budget - 2026'!DN:DN,'Budget - 2026'!B:B,'RDG Weekly Sales'!D1)</f>
        <v>2278.9169999999999</v>
      </c>
      <c r="H44" s="206">
        <f>IFERROR(F44/G44,0)</f>
        <v>101.22066402593865</v>
      </c>
      <c r="I44" s="194"/>
      <c r="J44" s="204">
        <f>SUMIFS('Budget - 2026'!DM:DM,'Budget - 2026'!C:C,'RDG Weekly Sales'!D4,'Budget - 2026'!$E:$E,G1)</f>
        <v>461346.984</v>
      </c>
      <c r="K44" s="205">
        <f>SUMIFS('Budget - 2026'!DN:DN,'Budget - 2026'!C:C,'RDG Weekly Sales'!D4,'Budget - 2026'!$E:$E,G1)</f>
        <v>4557.8339999999998</v>
      </c>
      <c r="L44" s="206">
        <f>IFERROR(J44/K44,0)</f>
        <v>101.22066402593865</v>
      </c>
      <c r="M44" s="194"/>
      <c r="N44" s="204">
        <f>SUMIFS('Budget - 2026'!DM:DM,'Budget - 2026'!E:E,'RDG Weekly Sales'!G1)</f>
        <v>8554954.034</v>
      </c>
      <c r="O44" s="205">
        <f>SUMIFS('Budget - 2026'!DN:DN,'Budget - 2026'!E:E,'RDG Weekly Sales'!G1)</f>
        <v>78479.009000000005</v>
      </c>
      <c r="P44" s="206">
        <f>IFERROR(N44/O44,0)</f>
        <v>109.00945543285339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-0.17416887242509857</v>
      </c>
      <c r="G45" s="179">
        <f>IFERROR((G43-G44)/G44,0)</f>
        <v>-0.22331528528682701</v>
      </c>
      <c r="H45" s="179">
        <f>IFERROR((H43-H44)/H44,0)</f>
        <v>6.3277172745543175E-2</v>
      </c>
      <c r="I45" s="194"/>
      <c r="J45" s="179">
        <f>IFERROR((J43-J44)/J44,0)</f>
        <v>-0.16439609801372415</v>
      </c>
      <c r="K45" s="179">
        <f>IFERROR((K43-K44)/K44,0)</f>
        <v>-0.20291085634097245</v>
      </c>
      <c r="L45" s="179">
        <f>IFERROR((L43-L44)/L44,0)</f>
        <v>4.8319260942943899E-2</v>
      </c>
      <c r="M45" s="107"/>
      <c r="N45" s="179">
        <f>IFERROR((N43-N44)/N44,0)</f>
        <v>-9.200262688401499E-2</v>
      </c>
      <c r="O45" s="179">
        <f>IFERROR((O43-O44)/O44,0)</f>
        <v>-0.11197910259035004</v>
      </c>
      <c r="P45" s="179">
        <f>IFERROR((P43-P44)/P44,0)</f>
        <v>2.2495501811507224E-2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2041040.9899999998</v>
      </c>
      <c r="G49" s="304">
        <f>IFERROR(SUM(G7,G13,G19,G25,G31,G37,G43),0)</f>
        <v>13932</v>
      </c>
      <c r="H49" s="218">
        <f>IFERROR(F49/G49,0)</f>
        <v>146.50021461383864</v>
      </c>
      <c r="J49" s="218">
        <f>IFERROR(SUM(J7,J13,J19,J25,J31,J37,J43),0)</f>
        <v>3994328.28</v>
      </c>
      <c r="K49" s="304">
        <f>IFERROR(SUM(K7,K13,K19,K25,K31,K37,K43),0)</f>
        <v>28017</v>
      </c>
      <c r="L49" s="218">
        <f>IFERROR(J49/K49,0)</f>
        <v>142.56802227219188</v>
      </c>
      <c r="N49" s="218">
        <f>IFERROR(SUM(N7,N13,N19,N25,N31,N37,N43),0)</f>
        <v>99720624.659999996</v>
      </c>
      <c r="O49" s="304">
        <f>IFERROR(SUM(O7,O13,O19,O25,O31,O37,O43),0)</f>
        <v>591063</v>
      </c>
      <c r="P49" s="218">
        <f>IFERROR(N49/O49,0)</f>
        <v>168.71403667629338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1963416.1865043724</v>
      </c>
      <c r="G50" s="212">
        <f>IFERROR(SUM(G8,G14,G20,G26,G38,G44,G32),0)</f>
        <v>13497.517</v>
      </c>
      <c r="H50" s="213">
        <f>IFERROR(F50/G50,0)</f>
        <v>145.46499082048737</v>
      </c>
      <c r="I50" s="194"/>
      <c r="J50" s="211">
        <f>IFERROR(SUM(J8,J14,J20,J26,J38,J44,J32),0)</f>
        <v>4311758.0777819371</v>
      </c>
      <c r="K50" s="212">
        <f>IFERROR(SUM(K8,K14,K20,K26,K38,K44,K32),0)</f>
        <v>29476.883999999998</v>
      </c>
      <c r="L50" s="213">
        <f>IFERROR(J50/K50,0)</f>
        <v>146.27591158488588</v>
      </c>
      <c r="M50" s="194"/>
      <c r="N50" s="211">
        <f>IFERROR(SUM(N8,N14,N20,N26,N38,N44,N32),0)</f>
        <v>98144590.703174055</v>
      </c>
      <c r="O50" s="212">
        <f>IFERROR(SUM(O8,O14,O20,O26,O38,O44,O32),0)</f>
        <v>604443.45900000003</v>
      </c>
      <c r="P50" s="213">
        <f>IFERROR(N50/O50,0)</f>
        <v>162.37183022138396</v>
      </c>
      <c r="S50" s="139"/>
    </row>
    <row r="51" spans="2:24" ht="28.9" customHeight="1">
      <c r="D51" s="214" t="s">
        <v>105</v>
      </c>
      <c r="E51" s="210"/>
      <c r="F51" s="215">
        <f>(F49-F50)/F50</f>
        <v>3.9535582944250365E-2</v>
      </c>
      <c r="G51" s="215">
        <f>(G49-G50)/G50</f>
        <v>3.2189846473243945E-2</v>
      </c>
      <c r="H51" s="215">
        <f>(H49-H50)/H50</f>
        <v>7.1166525190160222E-3</v>
      </c>
      <c r="I51" s="194"/>
      <c r="J51" s="215">
        <f>(J49-J50)/J50</f>
        <v>-7.3619575137487805E-2</v>
      </c>
      <c r="K51" s="215">
        <f>(K49-K50)/K50</f>
        <v>-4.9526401772996026E-2</v>
      </c>
      <c r="L51" s="215">
        <f>(L49-L50)/L50</f>
        <v>-2.5348598224542631E-2</v>
      </c>
      <c r="M51" s="107"/>
      <c r="N51" s="215">
        <f>(N49-N50)/N50</f>
        <v>1.6058286509059452E-2</v>
      </c>
      <c r="O51" s="215">
        <f>(O49-O50)/O50</f>
        <v>-2.2136824877113992E-2</v>
      </c>
      <c r="P51" s="215">
        <f>(P49-P50)/P50</f>
        <v>3.9059770689670793E-2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1483923.35</v>
      </c>
      <c r="G52" s="196">
        <f>IFERROR(SUM(G10,G16,G22,G28,G40,G46,G34),0)</f>
        <v>10143</v>
      </c>
      <c r="H52" s="197">
        <f>IFERROR(F52/G52,0)</f>
        <v>146.30024154589373</v>
      </c>
      <c r="I52" s="194"/>
      <c r="J52" s="195">
        <f>IFERROR(SUM(J10,J16,J22,J28,J40,J46,J34),0)</f>
        <v>3397021</v>
      </c>
      <c r="K52" s="196">
        <f>IFERROR(SUM(K10,K16,K22,K28,K40,K46,K34),0)</f>
        <v>22742</v>
      </c>
      <c r="L52" s="197">
        <f>IFERROR(J52/K52,0)</f>
        <v>149.37213085920322</v>
      </c>
      <c r="M52" s="194"/>
      <c r="N52" s="195">
        <f>IFERROR(SUM(N10,N16,N22,N28,N40,N46,N34),0)</f>
        <v>76403146.75</v>
      </c>
      <c r="O52" s="196">
        <f>IFERROR(SUM(O10,O16,O22,O28,O40,O46,O34),0)</f>
        <v>461597</v>
      </c>
      <c r="P52" s="197">
        <f>IFERROR(N52/O52,0)</f>
        <v>165.51915794513397</v>
      </c>
      <c r="S52" s="139"/>
    </row>
    <row r="53" spans="2:24" ht="28.9" customHeight="1">
      <c r="D53" s="199" t="s">
        <v>105</v>
      </c>
      <c r="E53" s="194"/>
      <c r="F53" s="200">
        <f>IFERROR((F49-F52)/F52,0)</f>
        <v>0.37543559106337915</v>
      </c>
      <c r="G53" s="200">
        <f>IFERROR((G49-G52)/G52,0)</f>
        <v>0.37355811889973378</v>
      </c>
      <c r="H53" s="200">
        <f>IFERROR((H49-H52)/H52,0)</f>
        <v>1.3668676540235201E-3</v>
      </c>
      <c r="I53" s="194"/>
      <c r="J53" s="200">
        <f>IFERROR((J49-J52)/J52,0)</f>
        <v>0.17583267221486112</v>
      </c>
      <c r="K53" s="200">
        <f>IFERROR((K49-K52)/K52,0)</f>
        <v>0.23194969659660539</v>
      </c>
      <c r="L53" s="200">
        <f>IFERROR((L49-L52)/L52,0)</f>
        <v>-4.5551392671935781E-2</v>
      </c>
      <c r="M53" s="107"/>
      <c r="N53" s="200">
        <f>IFERROR((N49-N52)/N52,0)</f>
        <v>0.30519002033119791</v>
      </c>
      <c r="O53" s="200">
        <f>IFERROR((O49-O52)/O52,0)</f>
        <v>0.28047409320251215</v>
      </c>
      <c r="P53" s="200">
        <f>IFERROR((P49-P52)/P52,0)</f>
        <v>1.9302168829413931E-2</v>
      </c>
      <c r="S53" s="138"/>
      <c r="T53" s="125"/>
      <c r="U53" s="129"/>
      <c r="V53" s="129"/>
      <c r="W53" s="129"/>
      <c r="X53" s="129"/>
    </row>
    <row r="54" spans="2:24" ht="21">
      <c r="F54" s="91"/>
      <c r="S54" s="138" t="s">
        <v>81</v>
      </c>
      <c r="T54" s="125"/>
      <c r="U54" s="140">
        <f>[3]KPI!$C$6</f>
        <v>15093</v>
      </c>
      <c r="V54" s="140">
        <f>[3]KPI!$C$24</f>
        <v>4408</v>
      </c>
      <c r="W54" s="140">
        <f>[3]KPI!$C$62</f>
        <v>7402</v>
      </c>
      <c r="X54" s="140">
        <f>[3]KPI!$C$82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2955134.63</v>
      </c>
      <c r="G56" s="114">
        <f t="shared" si="0"/>
        <v>19968</v>
      </c>
      <c r="H56" s="114">
        <f t="shared" si="0"/>
        <v>704.27186659278618</v>
      </c>
      <c r="J56" s="153">
        <f t="shared" ref="J56:L57" si="1">SUM(J13,J19,J25,J49)</f>
        <v>5796599.71</v>
      </c>
      <c r="K56" s="114">
        <f t="shared" si="1"/>
        <v>40034</v>
      </c>
      <c r="L56" s="114">
        <f t="shared" si="1"/>
        <v>673.9507031576527</v>
      </c>
      <c r="N56" s="149">
        <f>SUM(N13,N19,N25,N49)</f>
        <v>147878628.56</v>
      </c>
      <c r="O56" s="113">
        <f>SUM(O13,O19,O25,O49)</f>
        <v>853763</v>
      </c>
      <c r="P56" s="113">
        <f>SUM(P13,P19,P25,P49)</f>
        <v>755.55316343287234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2800412.1618724884</v>
      </c>
      <c r="G57" s="119">
        <f t="shared" si="0"/>
        <v>19073.866999999998</v>
      </c>
      <c r="H57" s="119">
        <f t="shared" si="0"/>
        <v>660.67826631753223</v>
      </c>
      <c r="J57" s="154">
        <f t="shared" si="1"/>
        <v>6209663.2232913608</v>
      </c>
      <c r="K57" s="119">
        <f t="shared" si="1"/>
        <v>41986.433999999994</v>
      </c>
      <c r="L57" s="119">
        <f t="shared" si="1"/>
        <v>645.82973822745225</v>
      </c>
      <c r="N57" s="150">
        <f>N14+N20+N26+N50</f>
        <v>143309520.5951243</v>
      </c>
      <c r="O57" s="116">
        <f>O14+O20+O26+O50</f>
        <v>867608.40899999999</v>
      </c>
      <c r="P57" s="116">
        <f>P14+P20+P26+P50</f>
        <v>727.96638139524362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5620716.0099999998</v>
      </c>
      <c r="G59" s="114">
        <f t="shared" si="2"/>
        <v>39013</v>
      </c>
      <c r="H59" s="114">
        <f t="shared" si="2"/>
        <v>1094.8349032830804</v>
      </c>
      <c r="J59" s="153">
        <f t="shared" ref="J59:L60" si="3">SUM(J19,J25,J49,J56)</f>
        <v>11069759.66</v>
      </c>
      <c r="K59" s="114">
        <f t="shared" si="3"/>
        <v>78203</v>
      </c>
      <c r="L59" s="114">
        <f t="shared" si="3"/>
        <v>1067.236655645064</v>
      </c>
      <c r="N59" s="149">
        <f>SUM(N19,N25,N49,N56)</f>
        <v>282622815.96000004</v>
      </c>
      <c r="O59" s="113">
        <f>SUM(O19,O25,O49,O56)</f>
        <v>1661562</v>
      </c>
      <c r="P59" s="113">
        <f>SUM(P19,P25,P49,P56)</f>
        <v>1225.3513629809654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5404583.7136765216</v>
      </c>
      <c r="G60" s="119">
        <f t="shared" si="2"/>
        <v>37378.383999999998</v>
      </c>
      <c r="H60" s="119">
        <f t="shared" si="2"/>
        <v>1066.2832759008661</v>
      </c>
      <c r="J60" s="154">
        <f t="shared" si="3"/>
        <v>11957762.823447775</v>
      </c>
      <c r="K60" s="119">
        <f t="shared" si="3"/>
        <v>82032.317999999999</v>
      </c>
      <c r="L60" s="119">
        <f t="shared" si="3"/>
        <v>1053.8075153433917</v>
      </c>
      <c r="N60" s="150">
        <f>N20+N26+N50+N57</f>
        <v>273884766.2612552</v>
      </c>
      <c r="O60" s="116">
        <f>O20+O26+O50+O57</f>
        <v>1690953.618</v>
      </c>
      <c r="P60" s="116">
        <f>P20+P26+P50+P57</f>
        <v>1168.238359109926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10996565.719999999</v>
      </c>
      <c r="G62" s="156">
        <f>SUM(G25,G49,G56,G59)</f>
        <v>75481</v>
      </c>
      <c r="H62" s="156">
        <f>SUM(H25,H49,H56,H59)</f>
        <v>2093.4551503775556</v>
      </c>
      <c r="J62" s="155">
        <f>SUM(J25,J49,J56,J59)</f>
        <v>21650022.399999999</v>
      </c>
      <c r="K62" s="156">
        <f>SUM(K25,K49,K56,K59)</f>
        <v>151446</v>
      </c>
      <c r="L62" s="156">
        <f>SUM(L25,L49,L56,L59)</f>
        <v>2035.7844161288376</v>
      </c>
      <c r="N62" s="158">
        <f>SUM(N25,N49,N56,N59)</f>
        <v>556578589.33000004</v>
      </c>
      <c r="O62" s="159">
        <f>SUM(O25,O49,O56,O59)</f>
        <v>3244970</v>
      </c>
      <c r="P62" s="159">
        <f>SUM(P25,P49,P56,P59)</f>
        <v>2339.8057457689783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8204995.87554901</v>
      </c>
      <c r="G63" s="119">
        <f>SUM(G26,G50,G57,G60)</f>
        <v>72627.767999999996</v>
      </c>
      <c r="H63" s="119">
        <f>SUM(H26,H50,H57,H60)</f>
        <v>2030.7457777630393</v>
      </c>
      <c r="J63" s="154">
        <f>SUM(J57,J60)</f>
        <v>18167426.046739135</v>
      </c>
      <c r="K63" s="119">
        <f>SUM(K26,K50,K57,K60)</f>
        <v>159689.636</v>
      </c>
      <c r="L63" s="119">
        <f>SUM(L26,L50,L57,L60)</f>
        <v>2006.1088004916935</v>
      </c>
      <c r="N63" s="150">
        <f>N26+N50+N57+N60</f>
        <v>539433178.59468532</v>
      </c>
      <c r="O63" s="116">
        <f>O26+O50+O57+O60</f>
        <v>3304051.236</v>
      </c>
      <c r="P63" s="116">
        <f>P26+P50+P57+P60</f>
        <v>2229.4027107210718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21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21613457.349999998</v>
      </c>
      <c r="G66" s="156">
        <f>SUM(G49,G56,G59,G62)</f>
        <v>148394</v>
      </c>
      <c r="H66" s="156">
        <f>SUM(H49,H56,H59,H62)</f>
        <v>4039.0621348672607</v>
      </c>
      <c r="J66" s="155">
        <f t="shared" ref="J66:L66" si="4">SUM(J49,J56,J59,J62)</f>
        <v>42510710.049999997</v>
      </c>
      <c r="K66" s="156">
        <f t="shared" si="4"/>
        <v>297700</v>
      </c>
      <c r="L66" s="156">
        <f t="shared" si="4"/>
        <v>3919.5397972037463</v>
      </c>
      <c r="N66" s="158">
        <f t="shared" ref="N66:P66" si="5">SUM(N49,N56,N59,N62)</f>
        <v>1086800658.5100002</v>
      </c>
      <c r="O66" s="159">
        <f t="shared" si="5"/>
        <v>6351358</v>
      </c>
      <c r="P66" s="159">
        <f t="shared" si="5"/>
        <v>4489.4243088591093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18373407.937602393</v>
      </c>
      <c r="G67" s="119">
        <f t="shared" ref="G67:P67" si="6">SUM(G50,G57,G60,G63)</f>
        <v>142577.53599999999</v>
      </c>
      <c r="H67" s="119">
        <f t="shared" si="6"/>
        <v>3903.1723108019251</v>
      </c>
      <c r="J67" s="154">
        <f t="shared" si="6"/>
        <v>40646610.171260208</v>
      </c>
      <c r="K67" s="119">
        <f t="shared" si="6"/>
        <v>313185.272</v>
      </c>
      <c r="L67" s="119">
        <f t="shared" si="6"/>
        <v>3852.0219656474237</v>
      </c>
      <c r="N67" s="150">
        <f t="shared" si="6"/>
        <v>1054772056.1542389</v>
      </c>
      <c r="O67" s="116">
        <f t="shared" si="6"/>
        <v>6467056.7220000001</v>
      </c>
      <c r="P67" s="116">
        <f t="shared" si="6"/>
        <v>4287.9792814476259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[3]KPI!$E$6</f>
        <v>170664</v>
      </c>
      <c r="V68" s="140">
        <f>[3]KPI!$E$24</f>
        <v>49008</v>
      </c>
      <c r="W68" s="140">
        <f>[3]KPI!$E$62</f>
        <v>93765</v>
      </c>
      <c r="X68" s="140">
        <f>[3]KPI!$E$82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[3]KPI!$E$9</f>
        <v>152.7354468429194</v>
      </c>
      <c r="V69" s="132">
        <f>[3]KPI!$E$28</f>
        <v>284.11783388089265</v>
      </c>
      <c r="W69" s="132">
        <f>[3]KPI!$E$66</f>
        <v>102.49201237135391</v>
      </c>
      <c r="X69" s="132">
        <f>[3]KPI!$E$85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[3]KPI!$C$24</f>
        <v>4408</v>
      </c>
      <c r="J78" s="54" t="s">
        <v>81</v>
      </c>
      <c r="L78" s="76">
        <f>[3]KPI!$C$24</f>
        <v>4408</v>
      </c>
    </row>
    <row r="79" spans="2:24">
      <c r="F79" s="54" t="s">
        <v>82</v>
      </c>
      <c r="H79" s="123">
        <f>[3]KPI!$C$28</f>
        <v>276.01779038112528</v>
      </c>
      <c r="J79" s="54" t="s">
        <v>82</v>
      </c>
      <c r="L79" s="123">
        <f>[3]KPI!$C$28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6" t="s">
        <v>216</v>
      </c>
      <c r="C3" s="426"/>
      <c r="D3" s="426"/>
      <c r="E3" s="426"/>
      <c r="F3" s="426"/>
      <c r="G3" s="426"/>
      <c r="H3" s="426"/>
      <c r="I3" s="426"/>
      <c r="J3" s="426"/>
      <c r="K3" s="266"/>
      <c r="L3" s="426" t="s">
        <v>217</v>
      </c>
      <c r="M3" s="426"/>
      <c r="N3" s="426"/>
      <c r="O3" s="426"/>
      <c r="P3" s="426"/>
      <c r="Q3" s="426"/>
      <c r="R3" s="426"/>
      <c r="S3" s="426"/>
      <c r="T3" s="426"/>
      <c r="U3" s="426"/>
      <c r="V3" s="426"/>
      <c r="W3" s="426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4" t="s">
        <v>240</v>
      </c>
      <c r="C5" s="424"/>
      <c r="D5" s="424"/>
      <c r="E5" s="424"/>
      <c r="F5" s="424"/>
      <c r="G5" s="424"/>
      <c r="H5" s="424"/>
      <c r="I5" s="424"/>
      <c r="J5" s="424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7" t="s">
        <v>71</v>
      </c>
      <c r="M8" s="427"/>
      <c r="N8" s="427"/>
      <c r="O8" s="427" t="s">
        <v>63</v>
      </c>
      <c r="P8" s="427"/>
      <c r="Q8" s="427"/>
      <c r="R8" s="427" t="s">
        <v>71</v>
      </c>
      <c r="S8" s="427"/>
      <c r="T8" s="427"/>
      <c r="U8" s="427" t="s">
        <v>63</v>
      </c>
      <c r="V8" s="427"/>
      <c r="W8" s="427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537706</v>
      </c>
      <c r="D18" s="277">
        <f>SUMIFS('Actual - 2026'!$L:$L,'Actual - 2026'!$C:$C,'MILA 3F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506455.26</v>
      </c>
      <c r="D19" s="277">
        <f>SUMIFS('Actual - 2026'!$L:$L,'Actual - 2026'!$C:$C,'MILA 3F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523299.35</v>
      </c>
      <c r="D20" s="277">
        <f>SUMIFS('Actual - 2026'!$L:$L,'Actual - 2026'!$C:$C,'MILA 3F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0</v>
      </c>
      <c r="D21" s="277">
        <f>SUMIFS('Actual - 2026'!$L:$L,'Actual - 2026'!$C:$C,'MILA 3F - Avg Ck'!B21)</f>
        <v>0</v>
      </c>
      <c r="E21" s="290">
        <f t="shared" si="1"/>
        <v>0</v>
      </c>
      <c r="F21" s="260">
        <f t="shared" si="4"/>
        <v>138.35824962485654</v>
      </c>
      <c r="G21" s="200" t="e">
        <f t="shared" si="2"/>
        <v>#DIV/0!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0</v>
      </c>
      <c r="D22" s="277">
        <f>SUMIFS('Actual - 2026'!$L:$L,'Actual - 2026'!$C:$C,'MILA 3F - Avg Ck'!B22)</f>
        <v>0</v>
      </c>
      <c r="E22" s="290">
        <f t="shared" si="1"/>
        <v>0</v>
      </c>
      <c r="F22" s="260">
        <f t="shared" si="4"/>
        <v>141.46924165407336</v>
      </c>
      <c r="G22" s="200" t="e">
        <f t="shared" si="2"/>
        <v>#DIV/0!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0</v>
      </c>
      <c r="D23" s="277">
        <f>SUMIFS('Actual - 2026'!$L:$L,'Actual - 2026'!$C:$C,'MILA 3F - Avg Ck'!B23)</f>
        <v>0</v>
      </c>
      <c r="E23" s="290">
        <f t="shared" si="1"/>
        <v>0</v>
      </c>
      <c r="F23" s="260">
        <f t="shared" si="4"/>
        <v>144.83790478826458</v>
      </c>
      <c r="G23" s="200" t="e">
        <f t="shared" si="2"/>
        <v>#DIV/0!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0</v>
      </c>
      <c r="D24" s="277">
        <f>SUMIFS('Actual - 2026'!$L:$L,'Actual - 2026'!$C:$C,'MILA 3F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0</v>
      </c>
      <c r="D25" s="277">
        <f>SUMIFS('Actual - 2026'!$L:$L,'Actual - 2026'!$C:$C,'MILA 3F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4" t="s">
        <v>241</v>
      </c>
      <c r="C27" s="424"/>
      <c r="D27" s="424"/>
      <c r="E27" s="424"/>
      <c r="F27" s="424"/>
      <c r="G27" s="424"/>
      <c r="H27" s="424"/>
      <c r="I27" s="424"/>
      <c r="J27" s="424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7" t="s">
        <v>71</v>
      </c>
      <c r="M30" s="427"/>
      <c r="N30" s="427"/>
      <c r="O30" s="427" t="s">
        <v>63</v>
      </c>
      <c r="P30" s="427"/>
      <c r="Q30" s="427"/>
      <c r="R30" s="427" t="s">
        <v>71</v>
      </c>
      <c r="S30" s="427"/>
      <c r="T30" s="427"/>
      <c r="U30" s="427" t="s">
        <v>63</v>
      </c>
      <c r="V30" s="427"/>
      <c r="W30" s="427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133033</v>
      </c>
      <c r="D39" s="278">
        <f>SUMIFS('Actual - 2026'!$X:$X,'Actual - 2026'!$C:$C,'MILA 3F - Avg Ck'!B17)</f>
        <v>816</v>
      </c>
      <c r="E39" s="290">
        <f t="shared" si="7"/>
        <v>163.03063725490196</v>
      </c>
      <c r="F39" s="260">
        <f t="shared" si="8"/>
        <v>212.53151285046729</v>
      </c>
      <c r="G39" s="200">
        <f t="shared" si="9"/>
        <v>0.30362928360618274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191603</v>
      </c>
      <c r="D40" s="278">
        <f>SUMIFS('Actual - 2026'!$X:$X,'Actual - 2026'!$C:$C,'MILA 3F - Avg Ck'!B18)</f>
        <v>920</v>
      </c>
      <c r="E40" s="290">
        <f t="shared" si="7"/>
        <v>208.2641304347826</v>
      </c>
      <c r="F40" s="260">
        <f t="shared" si="8"/>
        <v>200.88596491228071</v>
      </c>
      <c r="G40" s="200">
        <f t="shared" si="9"/>
        <v>-3.5426962420743606E-2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233886.51</v>
      </c>
      <c r="D41" s="278">
        <f>SUMIFS('Actual - 2026'!$X:$X,'Actual - 2026'!$C:$C,'MILA 3F - Avg Ck'!B19)</f>
        <v>942</v>
      </c>
      <c r="E41" s="290">
        <f t="shared" si="7"/>
        <v>248.28716560509554</v>
      </c>
      <c r="F41" s="260">
        <f t="shared" si="8"/>
        <v>208.07583757781552</v>
      </c>
      <c r="G41" s="200">
        <f t="shared" si="9"/>
        <v>-0.16195491993829733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289553.25</v>
      </c>
      <c r="D42" s="278">
        <f>SUMIFS('Actual - 2026'!$X:$X,'Actual - 2026'!$C:$C,'MILA 3F - Avg Ck'!B20)</f>
        <v>923</v>
      </c>
      <c r="E42" s="290">
        <f t="shared" si="7"/>
        <v>313.70882990249186</v>
      </c>
      <c r="F42" s="260">
        <f t="shared" si="8"/>
        <v>235.51118022771453</v>
      </c>
      <c r="G42" s="200">
        <f t="shared" si="9"/>
        <v>-0.24926824565021968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0</v>
      </c>
      <c r="D43" s="278">
        <f>SUMIFS('Actual - 2026'!$X:$X,'Actual - 2026'!$C:$C,'MILA 3F - Avg Ck'!B21)</f>
        <v>0</v>
      </c>
      <c r="E43" s="290">
        <f t="shared" si="7"/>
        <v>0</v>
      </c>
      <c r="F43" s="260">
        <f t="shared" si="8"/>
        <v>256.74784919210055</v>
      </c>
      <c r="G43" s="200" t="e">
        <f t="shared" si="9"/>
        <v>#DIV/0!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0</v>
      </c>
      <c r="D44" s="278">
        <f>SUMIFS('Actual - 2026'!$X:$X,'Actual - 2026'!$C:$C,'MILA 3F - Avg Ck'!B22)</f>
        <v>0</v>
      </c>
      <c r="E44" s="290">
        <f t="shared" si="7"/>
        <v>0</v>
      </c>
      <c r="F44" s="260">
        <f t="shared" si="8"/>
        <v>280.66475067024129</v>
      </c>
      <c r="G44" s="200" t="e">
        <f t="shared" si="9"/>
        <v>#DIV/0!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0</v>
      </c>
      <c r="D45" s="278">
        <f>SUMIFS('Actual - 2026'!$X:$X,'Actual - 2026'!$C:$C,'MILA 3F - Avg Ck'!B23)</f>
        <v>0</v>
      </c>
      <c r="E45" s="290">
        <f t="shared" si="7"/>
        <v>0</v>
      </c>
      <c r="F45" s="260">
        <f t="shared" si="8"/>
        <v>313.70882990249186</v>
      </c>
      <c r="G45" s="200" t="e">
        <f t="shared" si="9"/>
        <v>#DIV/0!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0</v>
      </c>
      <c r="D46" s="278">
        <f>SUMIFS('Actual - 2026'!$X:$X,'Actual - 2026'!$C:$C,'MILA 3F - Avg Ck'!B24)</f>
        <v>0</v>
      </c>
      <c r="E46" s="290">
        <f t="shared" si="7"/>
        <v>0</v>
      </c>
      <c r="F46" s="260" t="e">
        <f t="shared" si="8"/>
        <v>#DIV/0!</v>
      </c>
      <c r="G46" s="200" t="e">
        <f t="shared" si="9"/>
        <v>#DIV/0!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0</v>
      </c>
      <c r="D47" s="278">
        <f>SUMIFS('Actual - 2026'!$X:$X,'Actual - 2026'!$C:$C,'MILA 3F - Avg Ck'!B25)</f>
        <v>0</v>
      </c>
      <c r="E47" s="290">
        <f t="shared" si="7"/>
        <v>0</v>
      </c>
      <c r="F47" s="260" t="e">
        <f t="shared" si="8"/>
        <v>#DIV/0!</v>
      </c>
      <c r="G47" s="200" t="e">
        <f t="shared" si="9"/>
        <v>#DIV/0!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27:J27"/>
    <mergeCell ref="L30:N30"/>
    <mergeCell ref="O30:Q30"/>
    <mergeCell ref="R30:T30"/>
    <mergeCell ref="U30:W30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36</v>
      </c>
      <c r="F1" s="5">
        <f>VLOOKUP(D1,Dates!$B$2:$E$53,4,FALSE)</f>
        <v>36</v>
      </c>
      <c r="G1" s="5" t="b">
        <v>1</v>
      </c>
    </row>
    <row r="2" spans="3:21" ht="28.5">
      <c r="D2" s="398" t="str">
        <f>CONCATENATE("MILA 3F",)</f>
        <v>MILA 3F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485648.35</v>
      </c>
      <c r="G7" s="196">
        <f>SUMIFS('Actual - 2026'!F:F,'Actual - 2026'!A:A,D1)</f>
        <v>3306</v>
      </c>
      <c r="H7" s="197">
        <f>F7/G7</f>
        <v>146.89907743496673</v>
      </c>
      <c r="I7" s="194"/>
      <c r="J7" s="195">
        <f>SUMIFS('Actual - 2026'!E:E,'Actual - 2026'!B:B,D4)</f>
        <v>949134.96</v>
      </c>
      <c r="K7" s="196">
        <f>SUMIFS('Actual - 2026'!F:F,'Actual - 2026'!B:B,D4)</f>
        <v>6648</v>
      </c>
      <c r="L7" s="197">
        <f>J7/K7</f>
        <v>142.76999999999998</v>
      </c>
      <c r="M7" s="194"/>
      <c r="N7" s="195">
        <f>SUMIFS('Actual - 2026'!E:E,'Actual - 2026'!D:D,G1)</f>
        <v>24586751.740000002</v>
      </c>
      <c r="O7" s="196">
        <f>SUMIFS('Actual - 2026'!F:F,'Actual - 2026'!D:D,G1)</f>
        <v>147597</v>
      </c>
      <c r="P7" s="197">
        <f>N7/O7</f>
        <v>166.58029458593333</v>
      </c>
    </row>
    <row r="8" spans="3:21" ht="28.9" customHeight="1">
      <c r="D8" s="202" t="s">
        <v>78</v>
      </c>
      <c r="E8" s="203"/>
      <c r="F8" s="204">
        <f>SUMIFS('Budget - 2026'!F:F,'Budget - 2026'!B:B,D1)</f>
        <v>410628</v>
      </c>
      <c r="G8" s="205">
        <f>SUMIFS('Budget - 2026'!G:G,'Budget - 2026'!B:B,D1,'Budget - 2026'!$E:$E,G1)</f>
        <v>2733</v>
      </c>
      <c r="H8" s="206">
        <f>F8/G8</f>
        <v>150.24807903402854</v>
      </c>
      <c r="I8" s="194"/>
      <c r="J8" s="204">
        <f>SUMIFS('Budget - 2026'!F:F,'Budget - 2026'!C:C,D4,'Budget - 2026'!$E:$E,G1)</f>
        <v>923767</v>
      </c>
      <c r="K8" s="205">
        <f>SUMIFS('Budget - 2026'!G:G,'Budget - 2026'!C:C,D4,'Budget - 2026'!$E:$E,G1)</f>
        <v>6195</v>
      </c>
      <c r="L8" s="206">
        <f>J8/K8</f>
        <v>149.11493139628732</v>
      </c>
      <c r="M8" s="194"/>
      <c r="N8" s="204">
        <f>SUMIFS('Budget - 2026'!F:F,'Budget - 2026'!E:E,G1)</f>
        <v>23133333</v>
      </c>
      <c r="O8" s="205">
        <f>SUMIFS('Budget - 2026'!G:G,'Budget - 2026'!E:E,G1)</f>
        <v>143775</v>
      </c>
      <c r="P8" s="206">
        <f>N8/O8</f>
        <v>160.89955138236829</v>
      </c>
    </row>
    <row r="9" spans="3:21" s="54" customFormat="1" ht="28.9" customHeight="1">
      <c r="D9" s="207" t="s">
        <v>105</v>
      </c>
      <c r="E9" s="203"/>
      <c r="F9" s="179">
        <f>(F7-F8)/F8</f>
        <v>0.18269662565631173</v>
      </c>
      <c r="G9" s="179">
        <f>(G7-G8)/G8</f>
        <v>0.20965971459934138</v>
      </c>
      <c r="H9" s="179">
        <f>(H7-H8)/H8</f>
        <v>-2.228981309174221E-2</v>
      </c>
      <c r="I9" s="194"/>
      <c r="J9" s="179">
        <f>(J7-J8)/J8</f>
        <v>2.7461426961560613E-2</v>
      </c>
      <c r="K9" s="179">
        <f>(K7-K8)/K8</f>
        <v>7.3123486682808714E-2</v>
      </c>
      <c r="L9" s="179">
        <f>(L7-L8)/L8</f>
        <v>-4.2550610705946471E-2</v>
      </c>
      <c r="M9" s="107"/>
      <c r="N9" s="179">
        <f>(N7-N8)/N8</f>
        <v>6.2827900328932373E-2</v>
      </c>
      <c r="O9" s="179">
        <f>(O7-O8)/O8</f>
        <v>2.6583202921231092E-2</v>
      </c>
      <c r="P9" s="179">
        <f>(P7-P8)/P8</f>
        <v>3.5306146939248405E-2</v>
      </c>
      <c r="Q9" s="187">
        <f>L8*K8</f>
        <v>923766.99999999988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382745.51</v>
      </c>
      <c r="G10" s="196">
        <f>SUMIFS('Budget - 2026'!J:J,'Budget - 2026'!B:B,D1,'Budget - 2026'!$E:$E,G1)</f>
        <v>2748</v>
      </c>
      <c r="H10" s="197">
        <f>F10/G10</f>
        <v>139.28148107714702</v>
      </c>
      <c r="I10" s="194"/>
      <c r="J10" s="195">
        <f>SUMIFS('Budget - 2026'!I:I,'Budget - 2026'!C:C,D4,'Budget - 2026'!$E:$E,G1)</f>
        <v>873622.19</v>
      </c>
      <c r="K10" s="196">
        <f>SUMIFS('Budget - 2026'!J:J,'Budget - 2026'!C:C,D4,'Budget - 2026'!$E:$E,G1)</f>
        <v>6220</v>
      </c>
      <c r="L10" s="197">
        <f>J10/K10</f>
        <v>140.45372829581993</v>
      </c>
      <c r="M10" s="194"/>
      <c r="N10" s="195">
        <f>SUMIFS('Budget - 2026'!I:I,'Budget - 2026'!E:E,'RDG Weekly Sales'!G1)</f>
        <v>22610730.800000001</v>
      </c>
      <c r="O10" s="196">
        <f>SUMIFS('Budget - 2026'!J:J,'Budget - 2026'!E:E,'RDG Weekly Sales'!G1)</f>
        <v>138164</v>
      </c>
      <c r="P10" s="197">
        <f>N10/O10</f>
        <v>163.65139110043137</v>
      </c>
      <c r="Q10" s="91"/>
    </row>
    <row r="11" spans="3:21" ht="28.15" customHeight="1" thickBot="1">
      <c r="D11" s="199" t="s">
        <v>105</v>
      </c>
      <c r="E11" s="194"/>
      <c r="F11" s="200">
        <f>(F7-F10)/F10</f>
        <v>0.26885446677088376</v>
      </c>
      <c r="G11" s="200">
        <f>(G7-G10)/G10</f>
        <v>0.20305676855895197</v>
      </c>
      <c r="H11" s="200">
        <f>(H7-H10)/H10</f>
        <v>5.4692097606288195E-2</v>
      </c>
      <c r="I11" s="194"/>
      <c r="J11" s="200">
        <f>(J7-J10)/J10</f>
        <v>8.6436414807641304E-2</v>
      </c>
      <c r="K11" s="200">
        <f>(K7-K10)/K10</f>
        <v>6.8810289389067525E-2</v>
      </c>
      <c r="L11" s="200">
        <f>(L7-L10)/L10</f>
        <v>1.6491350797762969E-2</v>
      </c>
      <c r="M11" s="107"/>
      <c r="N11" s="200">
        <f>(N7-N10)/N10</f>
        <v>8.7393059405227236E-2</v>
      </c>
      <c r="O11" s="200">
        <f>(O7-O10)/O10</f>
        <v>6.8273935323239054E-2</v>
      </c>
      <c r="P11" s="200">
        <f>(P7-P10)/P10</f>
        <v>1.7897211052147553E-2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37651</v>
      </c>
      <c r="G13" s="196">
        <f>SUMIFS('Actual - 2026'!I:I,'Actual - 2026'!A:A,D1)</f>
        <v>307</v>
      </c>
      <c r="H13" s="197">
        <f>F13/G13</f>
        <v>122.64169381107492</v>
      </c>
      <c r="I13" s="194"/>
      <c r="J13" s="195">
        <f>SUMIFS('Actual - 2026'!H:H,'Actual - 2026'!B:B,D4)</f>
        <v>80619.649999999994</v>
      </c>
      <c r="K13" s="196">
        <f>SUMIFS('Actual - 2026'!I:I,'Actual - 2026'!B:B,D4)</f>
        <v>631</v>
      </c>
      <c r="L13" s="197">
        <f>J13/K13</f>
        <v>127.76489698890649</v>
      </c>
      <c r="M13" s="194"/>
      <c r="N13" s="195">
        <f>SUMIFS('Actual - 2026'!H:H,'Actual - 2026'!D:D,G1)</f>
        <v>1696032.48</v>
      </c>
      <c r="O13" s="196">
        <f>SUMIFS('Actual - 2026'!I:I,'Actual - 2026'!D:D,G1)</f>
        <v>13668</v>
      </c>
      <c r="P13" s="197">
        <f>N13/O13</f>
        <v>124.08783143107989</v>
      </c>
    </row>
    <row r="14" spans="3:21" ht="27.6" customHeight="1">
      <c r="D14" s="202" t="s">
        <v>78</v>
      </c>
      <c r="E14" s="203"/>
      <c r="F14" s="204">
        <f>SUMIFS('Budget - 2026'!L:L,'Budget - 2026'!B:B,D1)</f>
        <v>24624</v>
      </c>
      <c r="G14" s="205">
        <f>SUMIFS('Budget - 2026'!M:M,'Budget - 2026'!B:B,D1,'Budget - 2026'!$E:$E,G1)</f>
        <v>207</v>
      </c>
      <c r="H14" s="206">
        <f>F14/G14</f>
        <v>118.95652173913044</v>
      </c>
      <c r="I14" s="194"/>
      <c r="J14" s="204">
        <f>SUMIFS('Budget - 2026'!L:L,'Budget - 2026'!C:C,D4,'Budget - 2026'!$E:$E,G1)</f>
        <v>63642</v>
      </c>
      <c r="K14" s="205">
        <f>SUMIFS('Budget - 2026'!M:M,'Budget - 2026'!C:C,D4,'Budget - 2026'!$E:$E,G1)</f>
        <v>535</v>
      </c>
      <c r="L14" s="206">
        <f>J14/K14</f>
        <v>118.95700934579439</v>
      </c>
      <c r="M14" s="194"/>
      <c r="N14" s="204">
        <f>SUMIFS('Budget - 2026'!L:L,'Budget - 2026'!E:E,G1)</f>
        <v>1442009</v>
      </c>
      <c r="O14" s="205">
        <f>SUMIFS('Budget - 2026'!M:M,'Budget - 2026'!E:E,G1)</f>
        <v>11049</v>
      </c>
      <c r="P14" s="206">
        <f>N14/O14</f>
        <v>130.51036292877183</v>
      </c>
    </row>
    <row r="15" spans="3:21" s="54" customFormat="1" ht="28.9" customHeight="1">
      <c r="D15" s="207" t="s">
        <v>105</v>
      </c>
      <c r="E15" s="203"/>
      <c r="F15" s="179">
        <f>(F13-F14)/F14</f>
        <v>0.52903671215074721</v>
      </c>
      <c r="G15" s="179">
        <f>(G13-G14)/G14</f>
        <v>0.48309178743961351</v>
      </c>
      <c r="H15" s="179">
        <f>(H13-H14)/H14</f>
        <v>3.0979151189591742E-2</v>
      </c>
      <c r="I15" s="194"/>
      <c r="J15" s="179">
        <f>(J13-J14)/J14</f>
        <v>0.26676801483297186</v>
      </c>
      <c r="K15" s="179">
        <f>(K13-K14)/K14</f>
        <v>0.17943925233644858</v>
      </c>
      <c r="L15" s="179">
        <f>(L13-L14)/L14</f>
        <v>7.4042611625419877E-2</v>
      </c>
      <c r="M15" s="107"/>
      <c r="N15" s="179">
        <f>(N13-N14)/N14</f>
        <v>0.17615942757638819</v>
      </c>
      <c r="O15" s="179">
        <f>(O13-O14)/O14</f>
        <v>0.23703502579418953</v>
      </c>
      <c r="P15" s="179">
        <f>(P13-P14)/P14</f>
        <v>-4.9210892940334074E-2</v>
      </c>
      <c r="Q15" s="187">
        <f>L14*K14</f>
        <v>63642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23037</v>
      </c>
      <c r="G16" s="196">
        <f>SUMIFS('Budget - 2026'!P:P,'Budget - 2026'!B:B,D1,'Budget - 2026'!$E:$E,G1)</f>
        <v>192</v>
      </c>
      <c r="H16" s="197">
        <f>F16/G16</f>
        <v>119.984375</v>
      </c>
      <c r="I16" s="194"/>
      <c r="J16" s="195">
        <f>SUMIFS('Budget - 2026'!O:O,'Budget - 2026'!C:C,D4,'Budget - 2026'!$E:$E,G1)</f>
        <v>63248.1</v>
      </c>
      <c r="K16" s="196">
        <f>SUMIFS('Budget - 2026'!P:P,'Budget - 2026'!C:C,D4,'Budget - 2026'!$E:$E,G1)</f>
        <v>510</v>
      </c>
      <c r="L16" s="197">
        <f>J16/K16</f>
        <v>124.01588235294118</v>
      </c>
      <c r="M16" s="194"/>
      <c r="N16" s="195">
        <f>SUMIFS('Budget - 2026'!O:O,'Budget - 2026'!E:E,'RDG Weekly Sales'!G1)</f>
        <v>1448766.8</v>
      </c>
      <c r="O16" s="196">
        <f>SUMIFS('Budget - 2026'!P:P,'Budget - 2026'!E:E,'RDG Weekly Sales'!G1)</f>
        <v>10865</v>
      </c>
      <c r="P16" s="197">
        <f>N16/O16</f>
        <v>133.34254947077773</v>
      </c>
    </row>
    <row r="17" spans="2:28" s="54" customFormat="1" ht="28.15" customHeight="1" thickBot="1">
      <c r="D17" s="199" t="s">
        <v>105</v>
      </c>
      <c r="E17" s="194"/>
      <c r="F17" s="200">
        <f>(F13-F16)/F16</f>
        <v>0.63437079480835179</v>
      </c>
      <c r="G17" s="200">
        <f>(G13-G16)/G16</f>
        <v>0.59895833333333337</v>
      </c>
      <c r="H17" s="200">
        <f>(H13-H16)/H16</f>
        <v>2.2147207176558745E-2</v>
      </c>
      <c r="I17" s="194"/>
      <c r="J17" s="200">
        <f>(J13-J16)/J16</f>
        <v>0.27465726243159866</v>
      </c>
      <c r="K17" s="200">
        <f>(K13-K16)/K16</f>
        <v>0.2372549019607843</v>
      </c>
      <c r="L17" s="200">
        <f>(L13-L16)/L16</f>
        <v>3.0230117020784941E-2</v>
      </c>
      <c r="M17" s="107"/>
      <c r="N17" s="200">
        <f>(N13-N16)/N16</f>
        <v>0.1706732097947026</v>
      </c>
      <c r="O17" s="200">
        <f>(O13-O16)/O16</f>
        <v>0.25798435342843995</v>
      </c>
      <c r="P17" s="200">
        <f>(P13-P16)/P16</f>
        <v>-6.9405587911951713E-2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242</v>
      </c>
      <c r="E19" s="220"/>
      <c r="F19" s="218">
        <f>SUM(F7,F13)</f>
        <v>523299.35</v>
      </c>
      <c r="G19" s="219">
        <f t="shared" ref="G19" si="0">SUM(G7,G13)</f>
        <v>3613</v>
      </c>
      <c r="H19" s="218">
        <f>F19/G19</f>
        <v>144.83790478826458</v>
      </c>
      <c r="J19" s="218">
        <f>SUM(J7,J13)</f>
        <v>1029754.61</v>
      </c>
      <c r="K19" s="219">
        <f t="shared" ref="K19:O19" si="1">SUM(K7,K13)</f>
        <v>7279</v>
      </c>
      <c r="L19" s="218">
        <f>J19/K19</f>
        <v>141.46924165407336</v>
      </c>
      <c r="N19" s="218">
        <f>SUM(N7,N13)</f>
        <v>26282784.220000003</v>
      </c>
      <c r="O19" s="219">
        <f t="shared" si="1"/>
        <v>161265</v>
      </c>
      <c r="P19" s="218">
        <f>N19/O19</f>
        <v>162.97884984342542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435252</v>
      </c>
      <c r="G20" s="212">
        <f>SUM(G8,G14)</f>
        <v>2940</v>
      </c>
      <c r="H20" s="213">
        <f>F20/G20</f>
        <v>148.04489795918369</v>
      </c>
      <c r="I20" s="194"/>
      <c r="J20" s="211">
        <f>SUM(J8,J14)</f>
        <v>987409</v>
      </c>
      <c r="K20" s="212">
        <f>SUM(K8,K14)</f>
        <v>6730</v>
      </c>
      <c r="L20" s="213">
        <f>J20/K20</f>
        <v>146.71753343239229</v>
      </c>
      <c r="M20" s="194"/>
      <c r="N20" s="211">
        <f>SUM(N8,N14)</f>
        <v>24575342</v>
      </c>
      <c r="O20" s="212">
        <f>SUM(O8,O14)</f>
        <v>154824</v>
      </c>
      <c r="P20" s="213">
        <f>N20/O20</f>
        <v>158.730829845502</v>
      </c>
    </row>
    <row r="21" spans="2:28" s="54" customFormat="1" ht="28.9" customHeight="1">
      <c r="D21" s="214" t="s">
        <v>105</v>
      </c>
      <c r="E21" s="210"/>
      <c r="F21" s="215">
        <f>(F19-F20)/F20</f>
        <v>0.2022905121630687</v>
      </c>
      <c r="G21" s="215">
        <f>(G19-G20)/G20</f>
        <v>0.22891156462585033</v>
      </c>
      <c r="H21" s="215">
        <f>(H19-H20)/H20</f>
        <v>-2.1662301201377982E-2</v>
      </c>
      <c r="I21" s="194"/>
      <c r="J21" s="215">
        <f>(J19-J20)/J20</f>
        <v>4.2885582367590318E-2</v>
      </c>
      <c r="K21" s="215">
        <f>(K19-K20)/K20</f>
        <v>8.1575037147102528E-2</v>
      </c>
      <c r="L21" s="215">
        <f>(L19-L20)/L20</f>
        <v>-3.5771401382898464E-2</v>
      </c>
      <c r="M21" s="107"/>
      <c r="N21" s="215">
        <f>(N19-N20)/N20</f>
        <v>6.9477861996793469E-2</v>
      </c>
      <c r="O21" s="215">
        <f>(O19-O20)/O20</f>
        <v>4.1602077197333748E-2</v>
      </c>
      <c r="P21" s="215">
        <f>(P19-P20)/P20</f>
        <v>2.6762412834722533E-2</v>
      </c>
      <c r="Q21" s="187">
        <f>L20*K20</f>
        <v>987409.00000000012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405782.51</v>
      </c>
      <c r="G22" s="196">
        <f>SUM(G10,G16)</f>
        <v>2940</v>
      </c>
      <c r="H22" s="197">
        <f>F22/G22</f>
        <v>138.0212619047619</v>
      </c>
      <c r="I22" s="194"/>
      <c r="J22" s="195">
        <f>SUM(J10,J16)</f>
        <v>936870.28999999992</v>
      </c>
      <c r="K22" s="196">
        <f>SUM(K10,K16)</f>
        <v>6730</v>
      </c>
      <c r="L22" s="197">
        <f>J22/K22</f>
        <v>139.20806686478454</v>
      </c>
      <c r="M22" s="194"/>
      <c r="N22" s="195">
        <f>SUM(N10,N16)</f>
        <v>24059497.600000001</v>
      </c>
      <c r="O22" s="196">
        <f>SUM(O10,O16)</f>
        <v>149029</v>
      </c>
      <c r="P22" s="197">
        <f>N22/O22</f>
        <v>161.44171671285454</v>
      </c>
      <c r="S22" s="98">
        <f>F19</f>
        <v>523299.35</v>
      </c>
    </row>
    <row r="23" spans="2:28" s="54" customFormat="1" ht="28.9" customHeight="1">
      <c r="D23" s="199" t="s">
        <v>105</v>
      </c>
      <c r="E23" s="194"/>
      <c r="F23" s="200">
        <f>(F19-F22)/F22</f>
        <v>0.28960548348917248</v>
      </c>
      <c r="G23" s="200">
        <f>(G19-G22)/G22</f>
        <v>0.22891156462585033</v>
      </c>
      <c r="H23" s="200">
        <f>(H19-H22)/H22</f>
        <v>4.9388353572700515E-2</v>
      </c>
      <c r="I23" s="194"/>
      <c r="J23" s="200">
        <f>(J19-J22)/J22</f>
        <v>9.9143201563153496E-2</v>
      </c>
      <c r="K23" s="200">
        <f>(K19-K22)/K22</f>
        <v>8.1575037147102528E-2</v>
      </c>
      <c r="L23" s="200">
        <f>(L19-L22)/L22</f>
        <v>1.6243130446493007E-2</v>
      </c>
      <c r="M23" s="107"/>
      <c r="N23" s="200">
        <f>(N19-N22)/N22</f>
        <v>9.2407857261325388E-2</v>
      </c>
      <c r="O23" s="200">
        <f>(O19-O22)/O22</f>
        <v>8.2104825235356879E-2</v>
      </c>
      <c r="P23" s="200">
        <f>(P19-P22)/P22</f>
        <v>9.5212883130131355E-3</v>
      </c>
      <c r="S23" s="321">
        <f>SUM(S21:S22)</f>
        <v>1291299.3500000001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262705.35000000009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100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36</v>
      </c>
      <c r="F1" s="5">
        <f>VLOOKUP(D1,Dates!$B$2:$E$53,4,FALSE)</f>
        <v>36</v>
      </c>
      <c r="G1" s="5" t="b">
        <v>1</v>
      </c>
      <c r="S1" s="337" t="s">
        <v>243</v>
      </c>
      <c r="T1" s="325" t="s">
        <v>232</v>
      </c>
      <c r="U1" s="325" t="s">
        <v>233</v>
      </c>
      <c r="V1" s="325" t="s">
        <v>234</v>
      </c>
      <c r="W1" s="325" t="s">
        <v>235</v>
      </c>
      <c r="X1" s="325" t="s">
        <v>236</v>
      </c>
      <c r="Y1" s="325" t="s">
        <v>244</v>
      </c>
      <c r="Z1" s="325" t="s">
        <v>245</v>
      </c>
      <c r="AA1" s="325" t="s">
        <v>107</v>
      </c>
    </row>
    <row r="2" spans="3:27" ht="28.5">
      <c r="D2" s="398" t="str">
        <f>CONCATENATE("MILA 2F",)</f>
        <v>MILA 2F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S2" s="329" t="s">
        <v>246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247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248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22472.5</v>
      </c>
      <c r="G7" s="196">
        <f>SUMIFS('Actual - 2026'!O:O,'Actual - 2026'!A:A,D1)</f>
        <v>63</v>
      </c>
      <c r="H7" s="197">
        <f>F7/G7</f>
        <v>356.70634920634922</v>
      </c>
      <c r="I7" s="194"/>
      <c r="J7" s="195">
        <f>SUMIFS('Actual - 2026'!N:N,'Actual - 2026'!B:B,D4)</f>
        <v>46498.51</v>
      </c>
      <c r="K7" s="196">
        <f>SUMIFS('Actual - 2026'!O:O,'Actual - 2026'!B:B,D4)</f>
        <v>146</v>
      </c>
      <c r="L7" s="197">
        <f>J7/K7</f>
        <v>318.48294520547944</v>
      </c>
      <c r="M7" s="194"/>
      <c r="N7" s="195">
        <f>SUMIFS('Actual - 2026'!N:N,'Actual - 2026'!D:D,G1)</f>
        <v>853430.32</v>
      </c>
      <c r="O7" s="196">
        <f>SUMIFS('Actual - 2026'!O:O,'Actual - 2026'!D:D,G1)</f>
        <v>2673</v>
      </c>
      <c r="P7" s="197">
        <f>N7/O7</f>
        <v>319.27808454919563</v>
      </c>
      <c r="S7" s="91">
        <f>J7-J8</f>
        <v>4168.1947404250313</v>
      </c>
      <c r="T7" s="51">
        <f>K7-K8</f>
        <v>-8</v>
      </c>
      <c r="U7" s="91">
        <f>L7-L8</f>
        <v>43.610768195252376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20647.320978725911</v>
      </c>
      <c r="G8" s="205">
        <f>SUMIFS('Budget - 2026'!Y:Y,'Budget - 2026'!B:B,D1)</f>
        <v>73</v>
      </c>
      <c r="H8" s="206">
        <f>F8/G8</f>
        <v>282.84001340720425</v>
      </c>
      <c r="I8" s="194"/>
      <c r="J8" s="204">
        <f>SUMIFS('Budget - 2026'!X:X,'Budget - 2026'!C:C,D4,'Budget - 2026'!$E:$E,G1)</f>
        <v>42330.315259574971</v>
      </c>
      <c r="K8" s="205">
        <f>SUMIFS('Budget - 2026'!Y:Y,'Budget - 2026'!C:C,D4,'Budget - 2026'!$E:$E,G1)</f>
        <v>154</v>
      </c>
      <c r="L8" s="206">
        <f>J8/K8</f>
        <v>274.87217701022706</v>
      </c>
      <c r="M8" s="194"/>
      <c r="N8" s="204">
        <f>SUMIFS('Budget - 2026'!X:X,'Budget - 2026'!E:E,G1)</f>
        <v>886187.20825677377</v>
      </c>
      <c r="O8" s="205">
        <f>SUMIFS('Budget - 2026'!Y:Y,'Budget - 2026'!E:E,G1)</f>
        <v>2993</v>
      </c>
      <c r="P8" s="206">
        <f>N8/O8</f>
        <v>296.08660483019503</v>
      </c>
      <c r="Q8" s="187">
        <f>L7*K7</f>
        <v>46498.509999999995</v>
      </c>
      <c r="S8" s="254">
        <f>S7/J7</f>
        <v>8.9641468950833719E-2</v>
      </c>
      <c r="T8" s="186">
        <f>T7*L7</f>
        <v>-2547.8635616438355</v>
      </c>
      <c r="U8" s="186">
        <f>U7*K8</f>
        <v>6716.0583020688664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8.8397861550884638E-2</v>
      </c>
      <c r="G9" s="179">
        <f>(G7-G8)/G8</f>
        <v>-0.13698630136986301</v>
      </c>
      <c r="H9" s="179">
        <f>(H7-H8)/H8</f>
        <v>0.26115942687642196</v>
      </c>
      <c r="I9" s="194"/>
      <c r="J9" s="179">
        <f>(J7-J8)/J8</f>
        <v>9.846831319032523E-2</v>
      </c>
      <c r="K9" s="179">
        <f>(K7-K8)/K8</f>
        <v>-5.1948051948051951E-2</v>
      </c>
      <c r="L9" s="179">
        <f>(L7-L8)/L8</f>
        <v>0.15865835774869919</v>
      </c>
      <c r="M9" s="107"/>
      <c r="N9" s="179">
        <f>(N7-N8)/N8</f>
        <v>-3.6963846861669515E-2</v>
      </c>
      <c r="O9" s="179">
        <f>(O7-O8)/O8</f>
        <v>-0.10691613765452723</v>
      </c>
      <c r="P9" s="179">
        <f>(P7-P8)/P8</f>
        <v>7.8326676521894179E-2</v>
      </c>
      <c r="Q9" s="187">
        <f>L8*K8</f>
        <v>42330.315259574971</v>
      </c>
      <c r="U9" s="187">
        <f>SUM(T8:U8)</f>
        <v>4168.1947404250313</v>
      </c>
    </row>
    <row r="10" spans="3:27" ht="28.9" customHeight="1">
      <c r="D10" s="198">
        <v>2025</v>
      </c>
      <c r="E10" s="194"/>
      <c r="F10" s="195">
        <f>SUMIFS('Budget - 2026'!AA:AA,'Budget - 2026'!B:B,D1)</f>
        <v>20494.75</v>
      </c>
      <c r="G10" s="196">
        <f>SUMIFS('Budget - 2026'!AB:AB,'Budget - 2026'!B:B,D1)</f>
        <v>73</v>
      </c>
      <c r="H10" s="197">
        <f>F10/G10</f>
        <v>280.75</v>
      </c>
      <c r="I10" s="194"/>
      <c r="J10" s="195">
        <f>SUMIFS('Budget - 2026'!AA:AA,'Budget - 2026'!C:C,D4,'Budget - 2026'!$E:$E,G1)</f>
        <v>42461.759999999995</v>
      </c>
      <c r="K10" s="196">
        <f>SUMIFS('Budget - 2026'!AB:AB,'Budget - 2026'!C:C,D4,'Budget - 2026'!$E:$E,G1)</f>
        <v>154</v>
      </c>
      <c r="L10" s="197">
        <f>J10/K10</f>
        <v>275.72571428571428</v>
      </c>
      <c r="M10" s="194"/>
      <c r="N10" s="195">
        <f>SUMIFS('Budget - 2026'!AA:AA,'Budget - 2026'!E:E,'RDG Weekly Sales'!G1)</f>
        <v>883345.47</v>
      </c>
      <c r="O10" s="196">
        <f>SUMIFS('Budget - 2026'!AB:AB,'Budget - 2026'!E:E,'RDG Weekly Sales'!G1)</f>
        <v>2992</v>
      </c>
      <c r="P10" s="197">
        <f>N10/O10</f>
        <v>295.23578542780746</v>
      </c>
      <c r="R10" s="186">
        <f>J7*0.35</f>
        <v>16274.478499999999</v>
      </c>
    </row>
    <row r="11" spans="3:27" s="54" customFormat="1" ht="28.9" customHeight="1" thickBot="1">
      <c r="D11" s="199" t="s">
        <v>105</v>
      </c>
      <c r="E11" s="194"/>
      <c r="F11" s="200">
        <f>(F7-F10)/F10</f>
        <v>9.6500323253516138E-2</v>
      </c>
      <c r="G11" s="200">
        <f>(G7-G10)/G10</f>
        <v>-0.13698630136986301</v>
      </c>
      <c r="H11" s="200">
        <f>(H7-H10)/H10</f>
        <v>0.27054799361121717</v>
      </c>
      <c r="I11" s="194"/>
      <c r="J11" s="200">
        <f>(J7-J10)/J10</f>
        <v>9.5067891674768257E-2</v>
      </c>
      <c r="K11" s="200">
        <f>(K7-K10)/K10</f>
        <v>-5.1948051948051951E-2</v>
      </c>
      <c r="L11" s="200">
        <f>(L7-L10)/L10</f>
        <v>0.15507161176653619</v>
      </c>
      <c r="M11" s="107"/>
      <c r="N11" s="200">
        <f>(N7-N10)/N10</f>
        <v>-3.3865742244650922E-2</v>
      </c>
      <c r="O11" s="200">
        <f>(O7-O10)/O10</f>
        <v>-0.10661764705882353</v>
      </c>
      <c r="P11" s="200">
        <f>(P7-P10)/P10</f>
        <v>8.1434230903106808E-2</v>
      </c>
      <c r="R11" s="187">
        <f>R10/K7</f>
        <v>111.4690308219178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56655.199999999997</v>
      </c>
      <c r="G13" s="196">
        <f>SUMIFS('Actual - 2026'!R:R,'Actual - 2026'!A:A,D1)</f>
        <v>249</v>
      </c>
      <c r="H13" s="197">
        <f>F13/G13</f>
        <v>227.53092369477909</v>
      </c>
      <c r="I13" s="194"/>
      <c r="J13" s="195">
        <f>SUMIFS('Actual - 2026'!Q:Q,'Actual - 2026'!B:B,D4)</f>
        <v>97462.2</v>
      </c>
      <c r="K13" s="196">
        <f>SUMIFS('Actual - 2026'!R:R,'Actual - 2026'!B:B,D4)</f>
        <v>476</v>
      </c>
      <c r="L13" s="197">
        <f>J13/K13</f>
        <v>204.75252100840336</v>
      </c>
      <c r="M13" s="194"/>
      <c r="N13" s="195">
        <f>SUMIFS('Actual - 2026'!Q:Q,'Actual - 2026'!D:D,G1)</f>
        <v>2917356.83</v>
      </c>
      <c r="O13" s="196">
        <f>SUMIFS('Actual - 2026'!R:R,'Actual - 2026'!D:D,G1)</f>
        <v>13403</v>
      </c>
      <c r="P13" s="197">
        <f>N13/O13</f>
        <v>217.66446541818996</v>
      </c>
      <c r="S13" s="188">
        <f>K9-L9</f>
        <v>-0.21060640969675115</v>
      </c>
    </row>
    <row r="14" spans="3:27" ht="27.6" customHeight="1">
      <c r="D14" s="202" t="s">
        <v>78</v>
      </c>
      <c r="E14" s="203"/>
      <c r="F14" s="204">
        <f>SUMIFS('Budget - 2026'!AD:AD,'Budget - 2026'!B:B,D1)</f>
        <v>34563.207543668912</v>
      </c>
      <c r="G14" s="205">
        <f>SUMIFS('Budget - 2026'!AE:AE,'Budget - 2026'!B:B,D1)</f>
        <v>190</v>
      </c>
      <c r="H14" s="206">
        <f>F14/G14</f>
        <v>181.91161865088901</v>
      </c>
      <c r="I14" s="194"/>
      <c r="J14" s="204">
        <f>SUMIFS('Budget - 2026'!AD:AD,'Budget - 2026'!C:C,D4,'Budget - 2026'!$E:$E,G1)</f>
        <v>92534.694904986274</v>
      </c>
      <c r="K14" s="205">
        <f>SUMIFS('Budget - 2026'!AE:AE,'Budget - 2026'!C:C,D4,'Budget - 2026'!$E:$E,G1)</f>
        <v>524</v>
      </c>
      <c r="L14" s="206">
        <f>J14/K14</f>
        <v>176.59292920798907</v>
      </c>
      <c r="M14" s="194"/>
      <c r="N14" s="204">
        <f>SUMIFS('Budget - 2026'!AD:AD,'Budget - 2026'!E:E,G1)</f>
        <v>2376254.5637573893</v>
      </c>
      <c r="O14" s="205">
        <f>SUMIFS('Budget - 2026'!AE:AE,'Budget - 2026'!E:E,G1)</f>
        <v>10678</v>
      </c>
      <c r="P14" s="206">
        <f>N14/O14</f>
        <v>222.53741934420202</v>
      </c>
    </row>
    <row r="15" spans="3:27" s="54" customFormat="1" ht="28.9" customHeight="1">
      <c r="D15" s="207" t="s">
        <v>105</v>
      </c>
      <c r="E15" s="203"/>
      <c r="F15" s="179">
        <f>(F13-F14)/F14</f>
        <v>0.63917657030004926</v>
      </c>
      <c r="G15" s="179">
        <f>(G13-G14)/G14</f>
        <v>0.31052631578947371</v>
      </c>
      <c r="H15" s="179">
        <f>(H13-H14)/H14</f>
        <v>0.25077730263859171</v>
      </c>
      <c r="I15" s="194"/>
      <c r="J15" s="179">
        <f>(J13-J14)/J14</f>
        <v>5.3250352206523591E-2</v>
      </c>
      <c r="K15" s="179">
        <f>(K13-K14)/K14</f>
        <v>-9.1603053435114504E-2</v>
      </c>
      <c r="L15" s="179">
        <f>(L13-L14)/L14</f>
        <v>0.15946047175676131</v>
      </c>
      <c r="M15" s="107"/>
      <c r="N15" s="179">
        <f>(N13-N14)/N14</f>
        <v>0.22771224703594348</v>
      </c>
      <c r="O15" s="179">
        <f>(O13-O14)/O14</f>
        <v>0.25519760254729351</v>
      </c>
      <c r="P15" s="179">
        <f>(P13-P14)/P14</f>
        <v>-2.1897233914063625E-2</v>
      </c>
    </row>
    <row r="16" spans="3:27" ht="28.9" customHeight="1">
      <c r="D16" s="198">
        <v>2025</v>
      </c>
      <c r="E16" s="194"/>
      <c r="F16" s="195">
        <f>SUMIFS('Budget - 2026'!AG:AG,'Budget - 2026'!B:B,D1)</f>
        <v>36996.86</v>
      </c>
      <c r="G16" s="196">
        <f>SUMIFS('Budget - 2026'!AH:AH,'Budget - 2026'!B:B,D1)</f>
        <v>190</v>
      </c>
      <c r="H16" s="197">
        <f>F16/G16</f>
        <v>194.72031578947369</v>
      </c>
      <c r="I16" s="194"/>
      <c r="J16" s="195">
        <f>SUMIFS('Budget - 2026'!AG:AG,'Budget - 2026'!C:C,D4,'Budget - 2026'!$E:$E,G1)</f>
        <v>96364.790000000008</v>
      </c>
      <c r="K16" s="196">
        <f>SUMIFS('Budget - 2026'!AH:AH,'Budget - 2026'!C:C,D4,'Budget - 2026'!$E:$E,G1)</f>
        <v>524</v>
      </c>
      <c r="L16" s="197">
        <f>J16/K16</f>
        <v>183.90227099236643</v>
      </c>
      <c r="M16" s="194"/>
      <c r="N16" s="195">
        <f>SUMIFS('Budget - 2026'!AG:AG,'Budget - 2026'!E:E,'RDG Weekly Sales'!G1)</f>
        <v>2255976.1599999997</v>
      </c>
      <c r="O16" s="196">
        <f>SUMIFS('Budget - 2026'!AH:AH,'Budget - 2026'!E:E,'RDG Weekly Sales'!G1)</f>
        <v>10387</v>
      </c>
      <c r="P16" s="197">
        <f>N16/O16</f>
        <v>217.19227495908345</v>
      </c>
    </row>
    <row r="17" spans="2:19" s="54" customFormat="1" ht="28.9" customHeight="1" thickBot="1">
      <c r="D17" s="199" t="s">
        <v>105</v>
      </c>
      <c r="E17" s="194"/>
      <c r="F17" s="200">
        <f>(F13-F16)/F16</f>
        <v>0.53135157956648205</v>
      </c>
      <c r="G17" s="200">
        <f>(G13-G16)/G16</f>
        <v>0.31052631578947371</v>
      </c>
      <c r="H17" s="200">
        <f>(H13-H16)/H16</f>
        <v>0.16850120529169305</v>
      </c>
      <c r="I17" s="194"/>
      <c r="J17" s="200">
        <f>(J13-J16)/J16</f>
        <v>1.1388080646468372E-2</v>
      </c>
      <c r="K17" s="200">
        <f>(K13-K16)/K16</f>
        <v>-9.1603053435114504E-2</v>
      </c>
      <c r="L17" s="200">
        <f>(L13-L16)/L16</f>
        <v>0.11337679466123834</v>
      </c>
      <c r="M17" s="107"/>
      <c r="N17" s="200">
        <f>(N13-N16)/N16</f>
        <v>0.29316828862234096</v>
      </c>
      <c r="O17" s="200">
        <f>(O13-O16)/O16</f>
        <v>0.29036295369211512</v>
      </c>
      <c r="P17" s="200">
        <f>(P13-P16)/P16</f>
        <v>2.174066546314639E-3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210425.55000000002</v>
      </c>
      <c r="G19" s="196">
        <f>SUMIFS('Actual - 2026'!U:U,'Actual - 2026'!A:A,D1)</f>
        <v>611</v>
      </c>
      <c r="H19" s="197">
        <f>F19/G19</f>
        <v>344.39533551554831</v>
      </c>
      <c r="I19" s="194"/>
      <c r="J19" s="195">
        <f>SUMIFS('Actual - 2026'!T:T,'Actual - 2026'!B:B,D4)</f>
        <v>379479.05000000005</v>
      </c>
      <c r="K19" s="196">
        <f>SUMIFS('Actual - 2026'!U:U,'Actual - 2026'!B:B,D4)</f>
        <v>1243</v>
      </c>
      <c r="L19" s="197">
        <f>J19/K19</f>
        <v>305.29288012872087</v>
      </c>
      <c r="M19" s="194"/>
      <c r="N19" s="195">
        <f>SUMIFS('Actual - 2026'!T:T,'Actual - 2026'!D:D,G1)</f>
        <v>9363654.0100000016</v>
      </c>
      <c r="O19" s="196">
        <f>SUMIFS('Actual - 2026'!U:U,'Actual - 2026'!D:D,G1)</f>
        <v>29888</v>
      </c>
      <c r="P19" s="197">
        <f>N19/O19</f>
        <v>313.29142164079235</v>
      </c>
      <c r="Q19" s="91">
        <f>J19-J22</f>
        <v>53307.600000000035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141030.08154606071</v>
      </c>
      <c r="G20" s="205">
        <f>SUMIFS('Budget - 2026'!AK:AK,'Budget - 2026'!B:B,D1)</f>
        <v>506.35</v>
      </c>
      <c r="H20" s="206">
        <f>F20/G20</f>
        <v>278.5229219829381</v>
      </c>
      <c r="I20" s="194"/>
      <c r="J20" s="204">
        <f>SUMIFS('Budget - 2026'!AJ:AJ,'Budget - 2026'!C:C,D4,'Budget - 2026'!$E:$E,G1)</f>
        <v>326698.61297038471</v>
      </c>
      <c r="K20" s="205">
        <f>SUMIFS('Budget - 2026'!AK:AK,'Budget - 2026'!C:C,D4,'Budget - 2026'!$E:$E,G1)</f>
        <v>1262.5500000000002</v>
      </c>
      <c r="L20" s="206">
        <f>J20/K20</f>
        <v>258.76093063275488</v>
      </c>
      <c r="M20" s="194"/>
      <c r="N20" s="204">
        <f>SUMIFS('Budget - 2026'!AJ:AJ,'Budget - 2026'!E:E,G1)</f>
        <v>9471833.1569792554</v>
      </c>
      <c r="O20" s="205">
        <f>SUMIFS('Budget - 2026'!AK:AK,'Budget - 2026'!E:E,G1)</f>
        <v>30592.199999999993</v>
      </c>
      <c r="P20" s="206">
        <f>N20/O20</f>
        <v>309.61595298733852</v>
      </c>
      <c r="Q20" s="189">
        <f>G20-G22</f>
        <v>-26.649999999999977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0.49206146442788951</v>
      </c>
      <c r="G21" s="179">
        <f>(G19-G20)/G20</f>
        <v>0.20667522464698326</v>
      </c>
      <c r="H21" s="179">
        <f>(H19-H20)/H20</f>
        <v>0.2365062561588574</v>
      </c>
      <c r="I21" s="194"/>
      <c r="J21" s="179">
        <f>(J19-J20)/J20</f>
        <v>0.16155696698473554</v>
      </c>
      <c r="K21" s="179">
        <f>(K19-K20)/K20</f>
        <v>-1.5484535265930204E-2</v>
      </c>
      <c r="L21" s="179">
        <f>(L19-L20)/L20</f>
        <v>0.17982602467142236</v>
      </c>
      <c r="M21" s="107"/>
      <c r="N21" s="179">
        <f>(N19-N20)/N20</f>
        <v>-1.1421141524177152E-2</v>
      </c>
      <c r="O21" s="179">
        <f>(O19-O20)/O20</f>
        <v>-2.3018939468230255E-2</v>
      </c>
      <c r="P21" s="179">
        <f>(P19-P20)/P20</f>
        <v>1.1871057088599498E-2</v>
      </c>
      <c r="Q21" s="54">
        <f>Q20/G22</f>
        <v>-4.9999999999999954E-2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135872.75</v>
      </c>
      <c r="G22" s="196">
        <f>SUMIFS('Budget - 2026'!AN:AN,'Budget - 2026'!B:B,D1)</f>
        <v>533</v>
      </c>
      <c r="H22" s="197">
        <f>F22/G22</f>
        <v>254.92073170731706</v>
      </c>
      <c r="I22" s="194"/>
      <c r="J22" s="195">
        <f>SUMIFS('Budget - 2026'!AM:AM,'Budget - 2026'!C:C,D4,'Budget - 2026'!$E:$E,G1)</f>
        <v>326171.45</v>
      </c>
      <c r="K22" s="196">
        <f>SUMIFS('Budget - 2026'!AN:AN,'Budget - 2026'!C:C,D4,'Budget - 2026'!$E:$E,G1)</f>
        <v>1329</v>
      </c>
      <c r="L22" s="197">
        <f>J22/K22</f>
        <v>245.42622272385253</v>
      </c>
      <c r="M22" s="194"/>
      <c r="N22" s="195">
        <f>SUMIFS('Budget - 2026'!AM:AM,'Budget - 2026'!E:E,'RDG Weekly Sales'!G1)</f>
        <v>9160073.7499999981</v>
      </c>
      <c r="O22" s="196">
        <f>SUMIFS('Budget - 2026'!AN:AN,'Budget - 2026'!E:E,'RDG Weekly Sales'!G1)</f>
        <v>29702</v>
      </c>
      <c r="P22" s="197">
        <f>N22/O22</f>
        <v>308.39922395798254</v>
      </c>
      <c r="S22" s="98">
        <f>F19</f>
        <v>210425.55000000002</v>
      </c>
    </row>
    <row r="23" spans="2:19" s="54" customFormat="1" ht="28.9" customHeight="1" thickBot="1">
      <c r="D23" s="199" t="s">
        <v>105</v>
      </c>
      <c r="E23" s="194"/>
      <c r="F23" s="200">
        <f>(F19-F22)/F22</f>
        <v>0.5486957465717005</v>
      </c>
      <c r="G23" s="200">
        <f>(G19-G22)/G22</f>
        <v>0.14634146341463414</v>
      </c>
      <c r="H23" s="200">
        <f>(H19-H22)/H22</f>
        <v>0.3509899065838239</v>
      </c>
      <c r="I23" s="194"/>
      <c r="J23" s="200">
        <f>(J19-J22)/J22</f>
        <v>0.1634342919958201</v>
      </c>
      <c r="K23" s="200">
        <f>(K19-K22)/K22</f>
        <v>-6.4710308502633554E-2</v>
      </c>
      <c r="L23" s="200">
        <f>(L19-L22)/L22</f>
        <v>0.24392934357397011</v>
      </c>
      <c r="M23" s="107"/>
      <c r="N23" s="200">
        <f>(N19-N22)/N22</f>
        <v>2.2224740275699588E-2</v>
      </c>
      <c r="O23" s="200">
        <f>(O19-O22)/O22</f>
        <v>6.2622045653491351E-3</v>
      </c>
      <c r="P23" s="200">
        <f>(P19-P22)/P22</f>
        <v>1.5863197124893997E-2</v>
      </c>
      <c r="S23" s="321">
        <f>SUM(S21:S22)</f>
        <v>978425.55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SUM(F7,F13,F19)</f>
        <v>289553.25</v>
      </c>
      <c r="G25" s="224">
        <f>SUM(G7,G13,G19)</f>
        <v>923</v>
      </c>
      <c r="H25" s="223">
        <f>F25/G25</f>
        <v>313.70882990249186</v>
      </c>
      <c r="I25" s="76"/>
      <c r="J25" s="223">
        <f>SUM(J7,J13,J19)</f>
        <v>523439.76</v>
      </c>
      <c r="K25" s="224">
        <f>SUM(K7,K13,K19)</f>
        <v>1865</v>
      </c>
      <c r="L25" s="223">
        <f>J25/K25</f>
        <v>280.66475067024129</v>
      </c>
      <c r="N25" s="223">
        <f>SUM(N7,N13,N19)</f>
        <v>13134441.160000002</v>
      </c>
      <c r="O25" s="224">
        <f>SUM(O7,O13,O19)</f>
        <v>45964</v>
      </c>
      <c r="P25" s="223">
        <f>N25/O25</f>
        <v>285.75496388477944</v>
      </c>
      <c r="S25" s="324">
        <f>S23-S24</f>
        <v>-50168.449999999953</v>
      </c>
    </row>
    <row r="26" spans="2:19" ht="28.9" customHeight="1">
      <c r="D26" s="209" t="s">
        <v>78</v>
      </c>
      <c r="E26" s="210"/>
      <c r="F26" s="211">
        <f>SUM(F8,F14,F20)</f>
        <v>196240.61006845554</v>
      </c>
      <c r="G26" s="212">
        <f>SUM(G8,G14,G20)</f>
        <v>769.35</v>
      </c>
      <c r="H26" s="213">
        <f>F26/G26</f>
        <v>255.0732567341984</v>
      </c>
      <c r="I26" s="194"/>
      <c r="J26" s="211">
        <f>SUM(J8,J14,J20)</f>
        <v>461563.62313494598</v>
      </c>
      <c r="K26" s="212">
        <f>SUM(K8,K14,K20)</f>
        <v>1940.5500000000002</v>
      </c>
      <c r="L26" s="213">
        <f>J26/K26</f>
        <v>237.85196111151268</v>
      </c>
      <c r="M26" s="194"/>
      <c r="N26" s="211">
        <f>SUM(N8,N14,N20)</f>
        <v>12734274.928993419</v>
      </c>
      <c r="O26" s="212">
        <f>SUM(O8,O14,O20)</f>
        <v>44263.199999999997</v>
      </c>
      <c r="P26" s="213">
        <f>N26/O26</f>
        <v>287.69440368056127</v>
      </c>
    </row>
    <row r="27" spans="2:19" s="54" customFormat="1" ht="28.9" customHeight="1">
      <c r="D27" s="214" t="s">
        <v>105</v>
      </c>
      <c r="E27" s="210"/>
      <c r="F27" s="215">
        <f>(F25-F26)/F26</f>
        <v>0.47550117123562635</v>
      </c>
      <c r="G27" s="215">
        <f>(G25-G26)/G26</f>
        <v>0.19971404432312989</v>
      </c>
      <c r="H27" s="215">
        <f>(H25-H26)/H26</f>
        <v>0.22987738471303262</v>
      </c>
      <c r="I27" s="194"/>
      <c r="J27" s="215">
        <f>(J25-J26)/J26</f>
        <v>0.1340576548142822</v>
      </c>
      <c r="K27" s="215">
        <f>(K25-K26)/K26</f>
        <v>-3.8932261472263106E-2</v>
      </c>
      <c r="L27" s="215">
        <f>(L25-L26)/L26</f>
        <v>0.17999763112592793</v>
      </c>
      <c r="M27" s="107"/>
      <c r="N27" s="215">
        <f>(N25-N26)/N26</f>
        <v>3.1424343611074712E-2</v>
      </c>
      <c r="O27" s="215">
        <f>(O25-O26)/O26</f>
        <v>3.8424695909920724E-2</v>
      </c>
      <c r="P27" s="215">
        <f>(P25-P26)/P26</f>
        <v>-6.7413191600878735E-3</v>
      </c>
    </row>
    <row r="28" spans="2:19" ht="28.9" customHeight="1">
      <c r="D28" s="198">
        <v>2025</v>
      </c>
      <c r="E28" s="194"/>
      <c r="F28" s="195">
        <f t="shared" ref="F28:G28" si="2">SUM(F10,F16,F22)</f>
        <v>193364.36</v>
      </c>
      <c r="G28" s="196">
        <f t="shared" si="2"/>
        <v>796</v>
      </c>
      <c r="H28" s="197">
        <f>F28/G28</f>
        <v>242.92005025125627</v>
      </c>
      <c r="I28" s="194"/>
      <c r="J28" s="195">
        <f t="shared" ref="J28" si="3">SUM(J10,J16,J22)</f>
        <v>464998</v>
      </c>
      <c r="K28" s="196">
        <f>SUM(K10,K16,K22)</f>
        <v>2007</v>
      </c>
      <c r="L28" s="197">
        <f>J28/K28</f>
        <v>231.68809167912306</v>
      </c>
      <c r="M28" s="194"/>
      <c r="N28" s="195">
        <f t="shared" ref="N28:O28" si="4">SUM(N10,N16,N22)</f>
        <v>12299395.379999999</v>
      </c>
      <c r="O28" s="196">
        <f t="shared" si="4"/>
        <v>43081</v>
      </c>
      <c r="P28" s="197">
        <f>N28/O28</f>
        <v>285.49465843411247</v>
      </c>
    </row>
    <row r="29" spans="2:19" s="54" customFormat="1" ht="28.9" customHeight="1">
      <c r="D29" s="199" t="s">
        <v>105</v>
      </c>
      <c r="E29" s="194"/>
      <c r="F29" s="200">
        <f>(F25-F28)/F28</f>
        <v>0.49744890940605613</v>
      </c>
      <c r="G29" s="200">
        <f>(G25-G28)/G28</f>
        <v>0.15954773869346733</v>
      </c>
      <c r="H29" s="200">
        <f>(H25-H28)/H28</f>
        <v>0.29140772685506022</v>
      </c>
      <c r="I29" s="194"/>
      <c r="J29" s="200">
        <f>(J25-J28)/J28</f>
        <v>0.12568174486771988</v>
      </c>
      <c r="K29" s="200">
        <f>(K25-K28)/K28</f>
        <v>-7.0752366716492279E-2</v>
      </c>
      <c r="L29" s="200">
        <f>(L25-L28)/L28</f>
        <v>0.21139048898097257</v>
      </c>
      <c r="M29" s="107"/>
      <c r="N29" s="200">
        <f>(N25-N28)/N28</f>
        <v>6.7893238179648069E-2</v>
      </c>
      <c r="O29" s="200">
        <f>(O25-O28)/O28</f>
        <v>6.692045217149091E-2</v>
      </c>
      <c r="P29" s="200">
        <f>(P25-P28)/P28</f>
        <v>9.1176995077493078E-4</v>
      </c>
    </row>
    <row r="30" spans="2:19" ht="15.75">
      <c r="B30" s="46" t="s">
        <v>96</v>
      </c>
      <c r="F30" s="91">
        <f>F25-F26</f>
        <v>93312.639931544458</v>
      </c>
      <c r="J30" s="91"/>
      <c r="M30" s="99"/>
    </row>
    <row r="31" spans="2:19" ht="15.75">
      <c r="B31" s="46" t="s">
        <v>97</v>
      </c>
      <c r="F31" s="91">
        <f>F19-F20</f>
        <v>69395.468453939306</v>
      </c>
      <c r="J31" s="91">
        <v>-203516.69000000006</v>
      </c>
      <c r="M31" s="99"/>
    </row>
    <row r="32" spans="2:19">
      <c r="F32" s="91">
        <f>F13-F14</f>
        <v>22091.992456331085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379479.05000000005</v>
      </c>
    </row>
    <row r="41" spans="7:15">
      <c r="J41" s="91">
        <f>SUM(J39:J40)</f>
        <v>1351846.8</v>
      </c>
    </row>
    <row r="42" spans="7:15">
      <c r="J42" s="91">
        <f>J37-J41</f>
        <v>212221.19999999995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36</v>
      </c>
      <c r="F1" s="5">
        <f>VLOOKUP(D1,Dates!$B$2:$E$53,4,FALSE)</f>
        <v>36</v>
      </c>
      <c r="G1" s="5" t="b">
        <v>1</v>
      </c>
    </row>
    <row r="2" spans="3:19" ht="28.5">
      <c r="D2" s="398" t="str">
        <f>CONCATENATE("AVA WP",)</f>
        <v>AVA WP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</row>
    <row r="4" spans="3:19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6" spans="3:19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9" ht="28.9" customHeight="1">
      <c r="D7" s="193" t="s">
        <v>204</v>
      </c>
      <c r="E7" s="194"/>
      <c r="F7" s="195">
        <f>SUMIFS('Actual - 2026'!Z:Z,'Actual - 2026'!A:A,D1)</f>
        <v>193991.09000000003</v>
      </c>
      <c r="G7" s="196">
        <f>SUMIFS('Actual - 2026'!AA:AA,'Actual - 2026'!A:A,D1)</f>
        <v>1985</v>
      </c>
      <c r="H7" s="197">
        <f>F7/G7</f>
        <v>97.728508816120922</v>
      </c>
      <c r="I7" s="194"/>
      <c r="J7" s="195">
        <f>SUMIFS('Actual - 2026'!Z:Z,'Actual - 2026'!B:B,D4)</f>
        <v>384614.14</v>
      </c>
      <c r="K7" s="196">
        <f>SUMIFS('Actual - 2026'!AA:AA,'Actual - 2026'!B:B,D4)</f>
        <v>3854</v>
      </c>
      <c r="L7" s="197">
        <f>J7/K7</f>
        <v>99.796092371562011</v>
      </c>
      <c r="M7" s="194"/>
      <c r="N7" s="195">
        <f>SUMIFS('Actual - 2026'!Z:Z,'Actual - 2026'!D:D,G1)</f>
        <v>6609811.9099999992</v>
      </c>
      <c r="O7" s="196">
        <f>SUMIFS('Actual - 2026'!AA:AA,'Actual - 2026'!D:D,G1)</f>
        <v>59851.853000000003</v>
      </c>
      <c r="P7" s="197">
        <f>N7/O7</f>
        <v>110.43621172430532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169908.80704221129</v>
      </c>
      <c r="G8" s="205">
        <f>SUMIFS('Budget - 2026'!AW:AW,'Budget - 2026'!B:B,D1)</f>
        <v>1596</v>
      </c>
      <c r="H8" s="206">
        <f>F8/G8</f>
        <v>106.45915228208727</v>
      </c>
      <c r="I8" s="194"/>
      <c r="J8" s="204">
        <f>SUMIFS('Budget - 2026'!AV:AV,'Budget - 2026'!C:C,D4,'Budget - 2026'!$E:$E,G1)</f>
        <v>353380.13143942389</v>
      </c>
      <c r="K8" s="205">
        <f>SUMIFS('Budget - 2026'!AW:AW,'Budget - 2026'!C:C,D4,'Budget - 2026'!$E:$E,G1)</f>
        <v>3324</v>
      </c>
      <c r="L8" s="206">
        <f>J8/K8</f>
        <v>106.31171222606014</v>
      </c>
      <c r="M8" s="194"/>
      <c r="N8" s="204">
        <f>SUMIFS('Budget - 2026'!AV:AV,'Budget - 2026'!E:E,G1)</f>
        <v>6447370.8346952396</v>
      </c>
      <c r="O8" s="205">
        <f>SUMIFS('Budget - 2026'!AW:AW,'Budget - 2026'!E:E,G1)</f>
        <v>58153</v>
      </c>
      <c r="P8" s="206">
        <f>N8/O8</f>
        <v>110.86910107294962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0.14173651958962816</v>
      </c>
      <c r="G9" s="179">
        <f>(G7-G8)/G8</f>
        <v>0.243734335839599</v>
      </c>
      <c r="H9" s="179">
        <f>(H7-H8)/H8</f>
        <v>-8.2009327322394646E-2</v>
      </c>
      <c r="I9" s="194"/>
      <c r="J9" s="179">
        <f>(J7-J8)/J8</f>
        <v>8.8386430876434927E-2</v>
      </c>
      <c r="K9" s="179">
        <f>(K7-K8)/K8</f>
        <v>0.15944645006016847</v>
      </c>
      <c r="L9" s="179">
        <f>(L7-L8)/L8</f>
        <v>-6.1287883696608883E-2</v>
      </c>
      <c r="M9" s="107"/>
      <c r="N9" s="179">
        <f>(N7-N8)/N8</f>
        <v>2.5194932860169206E-2</v>
      </c>
      <c r="O9" s="179">
        <f>(O7-O8)/O8</f>
        <v>2.9213505752067871E-2</v>
      </c>
      <c r="P9" s="179">
        <f>(P7-P8)/P8</f>
        <v>-3.9045085100803934E-3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171995.74</v>
      </c>
      <c r="G10" s="196">
        <f>SUMIFS('Budget - 2026'!BI:BI,'Budget - 2026'!B:B,D1)</f>
        <v>1596</v>
      </c>
      <c r="H10" s="197">
        <f>F10/G10</f>
        <v>107.7667543859649</v>
      </c>
      <c r="I10" s="194"/>
      <c r="J10" s="195">
        <f>SUMIFS('Budget - 2026'!BH:BH,'Budget - 2026'!C:C,D4,'Budget - 2026'!$E:$E,G1)</f>
        <v>354168.43</v>
      </c>
      <c r="K10" s="196">
        <f>SUMIFS('Budget - 2026'!BI:BI,'Budget - 2026'!C:C,D4,'Budget - 2026'!$E:$E,G1)</f>
        <v>3324</v>
      </c>
      <c r="L10" s="197">
        <f>J10/K10</f>
        <v>106.54886582430807</v>
      </c>
      <c r="M10" s="194"/>
      <c r="N10" s="195">
        <f>SUMIFS('Budget - 2026'!BH:BH,'Budget - 2026'!E:E,G1)</f>
        <v>6405286.6600000001</v>
      </c>
      <c r="O10" s="196">
        <f>SUMIFS('Budget - 2026'!BI:BI,'Budget - 2026'!E:E,G1)</f>
        <v>57818</v>
      </c>
      <c r="P10" s="197">
        <f>N10/O10</f>
        <v>110.78360821889378</v>
      </c>
    </row>
    <row r="11" spans="3:19" s="54" customFormat="1" ht="28.9" customHeight="1" thickBot="1">
      <c r="D11" s="199" t="s">
        <v>105</v>
      </c>
      <c r="E11" s="194"/>
      <c r="F11" s="200">
        <f>(F7-F10)/F10</f>
        <v>0.12788310919793733</v>
      </c>
      <c r="G11" s="200">
        <f>(G7-G10)/G10</f>
        <v>0.243734335839599</v>
      </c>
      <c r="H11" s="200">
        <f>(H7-H10)/H10</f>
        <v>-9.3147888020197439E-2</v>
      </c>
      <c r="I11" s="194"/>
      <c r="J11" s="200">
        <f>(J7-J10)/J10</f>
        <v>8.5963929647823276E-2</v>
      </c>
      <c r="K11" s="200">
        <f>(K7-K10)/K10</f>
        <v>0.15944645006016847</v>
      </c>
      <c r="L11" s="200">
        <f>(L7-L10)/L10</f>
        <v>-6.3377243863683402E-2</v>
      </c>
      <c r="M11" s="107"/>
      <c r="N11" s="200">
        <f>(N7-N10)/N10</f>
        <v>3.193069426185511E-2</v>
      </c>
      <c r="O11" s="200">
        <f>(O7-O10)/O10</f>
        <v>3.5176813449098947E-2</v>
      </c>
      <c r="P11" s="200">
        <f>(P7-P10)/P10</f>
        <v>-3.1358113368364225E-3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20257.419999999998</v>
      </c>
      <c r="G13" s="196">
        <f>SUMIFS('Actual - 2026'!AD:AD,'Actual - 2026'!A:A,D1)</f>
        <v>325</v>
      </c>
      <c r="H13" s="197">
        <f>F13/G13</f>
        <v>62.330523076923072</v>
      </c>
      <c r="I13" s="194"/>
      <c r="J13" s="195">
        <f>SUMIFS('Actual - 2026'!AC:AC,'Actual - 2026'!B:B,D4)</f>
        <v>44344.45</v>
      </c>
      <c r="K13" s="196">
        <f>SUMIFS('Actual - 2026'!AD:AD,'Actual - 2026'!B:B,D4)</f>
        <v>660</v>
      </c>
      <c r="L13" s="197">
        <f>J13/K13</f>
        <v>67.188560606060605</v>
      </c>
      <c r="M13" s="194"/>
      <c r="N13" s="195">
        <f>SUMIFS('Actual - 2026'!AC:AC,'Actual - 2026'!D:D,G1)</f>
        <v>811889.31000000017</v>
      </c>
      <c r="O13" s="196">
        <f>SUMIFS('Actual - 2026'!AD:AD,'Actual - 2026'!D:D,G1)</f>
        <v>11615.147000000001</v>
      </c>
      <c r="P13" s="197">
        <f>N13/O13</f>
        <v>69.899185089951956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16416.534216792628</v>
      </c>
      <c r="G14" s="205">
        <f>SUMIFS('Budget - 2026'!AZ:AZ,'Budget - 2026'!B:B,D1)</f>
        <v>266</v>
      </c>
      <c r="H14" s="206">
        <f>F14/G14</f>
        <v>61.716294048092585</v>
      </c>
      <c r="I14" s="194"/>
      <c r="J14" s="204">
        <f>SUMIFS('Budget - 2026'!AY:AY,'Budget - 2026'!C:C,D4,'Budget - 2026'!$E:$E,G1)</f>
        <v>31516.515995444664</v>
      </c>
      <c r="K14" s="205">
        <f>SUMIFS('Budget - 2026'!AZ:AZ,'Budget - 2026'!C:C,D4,'Budget - 2026'!$E:$E,G1)</f>
        <v>512</v>
      </c>
      <c r="L14" s="206">
        <f>J14/K14</f>
        <v>61.55569530360286</v>
      </c>
      <c r="M14" s="194"/>
      <c r="N14" s="204">
        <f>SUMIFS('Budget - 2026'!AY:AY,'Budget - 2026'!E:E,G1)</f>
        <v>769203.98346114159</v>
      </c>
      <c r="O14" s="205">
        <f>SUMIFS('Budget - 2026'!AZ:AZ,'Budget - 2026'!E:E,G1)</f>
        <v>11776</v>
      </c>
      <c r="P14" s="206">
        <f>N14/O14</f>
        <v>65.319631747719228</v>
      </c>
    </row>
    <row r="15" spans="3:19" s="54" customFormat="1" ht="28.9" customHeight="1">
      <c r="D15" s="207" t="s">
        <v>105</v>
      </c>
      <c r="E15" s="203"/>
      <c r="F15" s="179">
        <f>(F13-F14)/F14</f>
        <v>0.23396447340745596</v>
      </c>
      <c r="G15" s="179">
        <f>(G13-G14)/G14</f>
        <v>0.22180451127819548</v>
      </c>
      <c r="H15" s="179">
        <f>(H13-H14)/H14</f>
        <v>9.9524613119486207E-3</v>
      </c>
      <c r="I15" s="194"/>
      <c r="J15" s="179">
        <f>(J13-J14)/J14</f>
        <v>0.40702259115219008</v>
      </c>
      <c r="K15" s="179">
        <f>(K13-K14)/K14</f>
        <v>0.2890625</v>
      </c>
      <c r="L15" s="179">
        <f>(L13-L14)/L14</f>
        <v>9.1508434348365697E-2</v>
      </c>
      <c r="M15" s="107"/>
      <c r="N15" s="179">
        <f>(N13-N14)/N14</f>
        <v>5.5492856845059425E-2</v>
      </c>
      <c r="O15" s="179">
        <f>(O13-O14)/O14</f>
        <v>-1.365939198369558E-2</v>
      </c>
      <c r="P15" s="179">
        <f>(P13-P14)/P14</f>
        <v>7.0109907537753882E-2</v>
      </c>
    </row>
    <row r="16" spans="3:19" ht="28.9" customHeight="1">
      <c r="D16" s="198">
        <v>2025</v>
      </c>
      <c r="E16" s="194"/>
      <c r="F16" s="195">
        <f>SUMIFS('Budget - 2026'!BK:BK,'Budget - 2026'!B:B,D1)</f>
        <v>17067</v>
      </c>
      <c r="G16" s="196">
        <f>SUMIFS('Budget - 2026'!BL:BL,'Budget - 2026'!B:B,D1)</f>
        <v>266</v>
      </c>
      <c r="H16" s="197">
        <f>F16/G16</f>
        <v>64.161654135338352</v>
      </c>
      <c r="I16" s="194"/>
      <c r="J16" s="195">
        <f>SUMIFS('Budget - 2026'!BK:BK,'Budget - 2026'!C:C,D4,'Budget - 2026'!$E:$E,G1)</f>
        <v>35852</v>
      </c>
      <c r="K16" s="196">
        <f>SUMIFS('Budget - 2026'!BL:BL,'Budget - 2026'!C:C,D4,'Budget - 2026'!$E:$E,G1)</f>
        <v>512</v>
      </c>
      <c r="L16" s="197">
        <f>J16/K16</f>
        <v>70.0234375</v>
      </c>
      <c r="M16" s="194"/>
      <c r="N16" s="195">
        <f>SUMIFS('Budget - 2026'!BK:BK,'Budget - 2026'!E:E,G1)</f>
        <v>1003639</v>
      </c>
      <c r="O16" s="196">
        <f>SUMIFS('Budget - 2026'!BL:BL,'Budget - 2026'!E:E,G1)</f>
        <v>11635</v>
      </c>
      <c r="P16" s="197">
        <f>N16/O16</f>
        <v>86.260335195530729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0.18693502080037488</v>
      </c>
      <c r="G17" s="200">
        <f>(G13-G16)/G16</f>
        <v>0.22180451127819548</v>
      </c>
      <c r="H17" s="200">
        <f>(H13-H16)/H16</f>
        <v>-2.853933682184711E-2</v>
      </c>
      <c r="I17" s="194"/>
      <c r="J17" s="200">
        <f>(J13-J16)/J16</f>
        <v>0.23687520919335037</v>
      </c>
      <c r="K17" s="200">
        <f>(K13-K16)/K16</f>
        <v>0.2890625</v>
      </c>
      <c r="L17" s="200">
        <f>(L13-L16)/L16</f>
        <v>-4.0484686201522097E-2</v>
      </c>
      <c r="M17" s="107"/>
      <c r="N17" s="200">
        <f>(N13-N16)/N16</f>
        <v>-0.19105444288235096</v>
      </c>
      <c r="O17" s="200">
        <f>(O13-O16)/O16</f>
        <v>-1.7063171465405377E-3</v>
      </c>
      <c r="P17" s="200">
        <f>(P13-P16)/P16</f>
        <v>-0.18967176592221807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30617.79</v>
      </c>
      <c r="G19" s="196">
        <f>SUMIFS('Actual - 2026'!AG:AG,'Actual - 2026'!A:A,D1)</f>
        <v>235</v>
      </c>
      <c r="H19" s="197">
        <f>F19/G19</f>
        <v>130.28846808510639</v>
      </c>
      <c r="I19" s="194"/>
      <c r="J19" s="195">
        <f>SUMIFS('Actual - 2026'!AF:AF,'Actual - 2026'!B:B,D4)</f>
        <v>60538.33</v>
      </c>
      <c r="K19" s="196">
        <f>SUMIFS('Actual - 2026'!AG:AG,'Actual - 2026'!B:B,D4)</f>
        <v>446</v>
      </c>
      <c r="L19" s="197">
        <f>J19/K19</f>
        <v>135.73616591928251</v>
      </c>
      <c r="M19" s="194"/>
      <c r="N19" s="195">
        <f>SUMIFS('Actual - 2026'!AF:AF,'Actual - 2026'!D:D,G1)</f>
        <v>1245341.3700000003</v>
      </c>
      <c r="O19" s="196">
        <f>SUMIFS('Actual - 2026'!AG:AG,'Actual - 2026'!D:D,G1)</f>
        <v>6687</v>
      </c>
      <c r="P19" s="197">
        <f>N19/O19</f>
        <v>186.23319425751464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30451.086669373322</v>
      </c>
      <c r="G20" s="205">
        <f>SUMIFS('Budget - 2026'!BC:BC,'Budget - 2026'!B:B,D1)</f>
        <v>267</v>
      </c>
      <c r="H20" s="206">
        <f>F20/G20</f>
        <v>114.04901374297124</v>
      </c>
      <c r="I20" s="194"/>
      <c r="J20" s="204">
        <f>SUMIFS('Budget - 2026'!BB:BB,'Budget - 2026'!C:C,D4,'Budget - 2026'!$E:$E,G1)</f>
        <v>59193.109668650402</v>
      </c>
      <c r="K20" s="205">
        <f>SUMIFS('Budget - 2026'!BC:BC,'Budget - 2026'!C:C,D4,'Budget - 2026'!$E:$E,G1)</f>
        <v>539</v>
      </c>
      <c r="L20" s="206">
        <f>J20/K20</f>
        <v>109.82024057263526</v>
      </c>
      <c r="M20" s="194"/>
      <c r="N20" s="204">
        <f>SUMIFS('Budget - 2026'!BB:BB,'Budget - 2026'!E:E,G1)</f>
        <v>1119779.1096686504</v>
      </c>
      <c r="O20" s="205">
        <f>SUMIFS('Budget - 2026'!BC:BC,'Budget - 2026'!E:E,G1)</f>
        <v>7927</v>
      </c>
      <c r="P20" s="206">
        <f>N20/O20</f>
        <v>141.26139897422107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5.4744624530704547E-3</v>
      </c>
      <c r="G21" s="179">
        <f>(G19-G20)/G20</f>
        <v>-0.1198501872659176</v>
      </c>
      <c r="H21" s="179">
        <f>(H19-H20)/H20</f>
        <v>0.1423901339360418</v>
      </c>
      <c r="I21" s="194"/>
      <c r="J21" s="179">
        <f>(J19-J20)/J20</f>
        <v>2.2725961499232554E-2</v>
      </c>
      <c r="K21" s="179">
        <f>(K19-K20)/K20</f>
        <v>-0.17254174397031541</v>
      </c>
      <c r="L21" s="179">
        <f>(L19-L20)/L20</f>
        <v>0.23598496243965544</v>
      </c>
      <c r="M21" s="107"/>
      <c r="N21" s="179">
        <f>(N19-N20)/N20</f>
        <v>0.11213127593396931</v>
      </c>
      <c r="O21" s="179">
        <f>(O19-O20)/O20</f>
        <v>-0.15642740002523023</v>
      </c>
      <c r="P21" s="179">
        <f>(P19-P20)/P20</f>
        <v>0.31835869961545915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41547.71</v>
      </c>
      <c r="G22" s="196">
        <f>SUMIFS('Budget - 2026'!BO:BO,'Budget - 2026'!B:B,D1)</f>
        <v>242</v>
      </c>
      <c r="H22" s="197">
        <f>F22/G22</f>
        <v>171.68475206611569</v>
      </c>
      <c r="I22" s="194"/>
      <c r="J22" s="195">
        <f>SUMIFS('Budget - 2026'!BN:BN,'Budget - 2026'!C:C,D4,'Budget - 2026'!$E:$E,G1)</f>
        <v>68419.31</v>
      </c>
      <c r="K22" s="196">
        <f>SUMIFS('Budget - 2026'!BO:BO,'Budget - 2026'!C:C,D4,'Budget - 2026'!$E:$E,G1)</f>
        <v>464</v>
      </c>
      <c r="L22" s="197">
        <f>J22/K22</f>
        <v>147.45540948275863</v>
      </c>
      <c r="M22" s="194"/>
      <c r="N22" s="195">
        <f>SUMIFS('Budget - 2026'!BN:BN,'Budget - 2026'!E:E,G1)</f>
        <v>1174232.6700000002</v>
      </c>
      <c r="O22" s="196">
        <f>SUMIFS('Budget - 2026'!BO:BO,'Budget - 2026'!E:E,G1)</f>
        <v>7883</v>
      </c>
      <c r="P22" s="197">
        <f>N22/O22</f>
        <v>148.95758848154259</v>
      </c>
      <c r="S22" s="98">
        <f>F19</f>
        <v>30617.79</v>
      </c>
    </row>
    <row r="23" spans="2:19" s="54" customFormat="1" ht="28.9" customHeight="1" thickBot="1">
      <c r="D23" s="199" t="s">
        <v>105</v>
      </c>
      <c r="E23" s="194"/>
      <c r="F23" s="200">
        <f>(F19-F22)/F22</f>
        <v>-0.2630691318486626</v>
      </c>
      <c r="G23" s="200">
        <f>(G19-G22)/G22</f>
        <v>-2.8925619834710745E-2</v>
      </c>
      <c r="H23" s="200">
        <f>(H19-H22)/H22</f>
        <v>-0.24111799960585678</v>
      </c>
      <c r="I23" s="194"/>
      <c r="J23" s="200">
        <f>(J19-J22)/J22</f>
        <v>-0.11518648755738689</v>
      </c>
      <c r="K23" s="200">
        <f>(K19-K22)/K22</f>
        <v>-3.8793103448275863E-2</v>
      </c>
      <c r="L23" s="200">
        <f>(L19-L22)/L22</f>
        <v>-7.9476525171810655E-2</v>
      </c>
      <c r="M23" s="107"/>
      <c r="N23" s="200">
        <f>(N19-N22)/N22</f>
        <v>6.0557589493741626E-2</v>
      </c>
      <c r="O23" s="200">
        <f>(O19-O22)/O22</f>
        <v>-0.1517188887479386</v>
      </c>
      <c r="P23" s="200">
        <f>(P19-P22)/P22</f>
        <v>0.2502430803019538</v>
      </c>
      <c r="S23" s="321">
        <f>SUM(S21:S22)</f>
        <v>798617.79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SUM(F19,F13,F7)</f>
        <v>244866.30000000002</v>
      </c>
      <c r="G25" s="224">
        <f t="shared" ref="G25" si="0">SUM(G19,G13,G7)</f>
        <v>2545</v>
      </c>
      <c r="H25" s="223">
        <f>F25/G25</f>
        <v>96.214656188605119</v>
      </c>
      <c r="I25" s="76"/>
      <c r="J25" s="223">
        <f>SUM(J19,J13,J7)</f>
        <v>489496.92000000004</v>
      </c>
      <c r="K25" s="224">
        <f t="shared" ref="K25" si="1">SUM(K19,K13,K7)</f>
        <v>4960</v>
      </c>
      <c r="L25" s="223">
        <f>J25/K25</f>
        <v>98.688895161290333</v>
      </c>
      <c r="N25" s="223">
        <f>SUM(N19,N13,N7)</f>
        <v>8667042.5899999999</v>
      </c>
      <c r="O25" s="224">
        <f t="shared" ref="O25" si="2">SUM(O19,O13,O7)</f>
        <v>78154</v>
      </c>
      <c r="P25" s="223">
        <f>N25/O25</f>
        <v>110.89698019295237</v>
      </c>
      <c r="S25" s="324">
        <f>S23-S24</f>
        <v>-229976.20999999996</v>
      </c>
    </row>
    <row r="26" spans="2:19" ht="28.9" customHeight="1">
      <c r="D26" s="209" t="s">
        <v>78</v>
      </c>
      <c r="E26" s="210"/>
      <c r="F26" s="211">
        <f>SUM(F20,F14,F8)</f>
        <v>216776.42792837723</v>
      </c>
      <c r="G26" s="212">
        <f>SUM(G20,G14,G8)</f>
        <v>2129</v>
      </c>
      <c r="H26" s="338">
        <f>F26/G26</f>
        <v>101.82077403869292</v>
      </c>
      <c r="I26" s="194"/>
      <c r="J26" s="211">
        <f>SUM(J20,J14,J8)</f>
        <v>444089.75710351893</v>
      </c>
      <c r="K26" s="212">
        <f>SUM(K20,K14,K8)</f>
        <v>4375</v>
      </c>
      <c r="L26" s="213">
        <f>J26/K26</f>
        <v>101.50623019509004</v>
      </c>
      <c r="M26" s="194"/>
      <c r="N26" s="211">
        <f>SUM(N20,N14,N8)</f>
        <v>8336353.9278250318</v>
      </c>
      <c r="O26" s="212">
        <f>SUM(O20,O14,O8)</f>
        <v>77856</v>
      </c>
      <c r="P26" s="213">
        <f>N26/O26</f>
        <v>107.0740074987802</v>
      </c>
    </row>
    <row r="27" spans="2:19" s="54" customFormat="1" ht="28.9" customHeight="1">
      <c r="D27" s="214" t="s">
        <v>105</v>
      </c>
      <c r="E27" s="210"/>
      <c r="F27" s="215">
        <f>(F25-F26)/F26</f>
        <v>0.12957991945924885</v>
      </c>
      <c r="G27" s="215">
        <f>(G25-G26)/G26</f>
        <v>0.19539689995302958</v>
      </c>
      <c r="H27" s="215">
        <f>(H25-H26)/H26</f>
        <v>-5.5058684271614526E-2</v>
      </c>
      <c r="I27" s="194"/>
      <c r="J27" s="215">
        <f>(J25-J26)/J26</f>
        <v>0.10224771494987789</v>
      </c>
      <c r="K27" s="215">
        <f>(K25-K26)/K26</f>
        <v>0.1337142857142857</v>
      </c>
      <c r="L27" s="215">
        <f>(L25-L26)/L26</f>
        <v>-2.7755291752879867E-2</v>
      </c>
      <c r="M27" s="107"/>
      <c r="N27" s="215">
        <f>(N25-N26)/N26</f>
        <v>3.9668260853368692E-2</v>
      </c>
      <c r="O27" s="215">
        <f>(O25-O26)/O26</f>
        <v>3.827579120427456E-3</v>
      </c>
      <c r="P27" s="215">
        <f>(P25-P26)/P26</f>
        <v>3.570402176471929E-2</v>
      </c>
    </row>
    <row r="28" spans="2:19" ht="28.9" customHeight="1">
      <c r="D28" s="198">
        <v>2025</v>
      </c>
      <c r="E28" s="194"/>
      <c r="F28" s="195">
        <f>SUM(F10,F16,F22)</f>
        <v>230610.44999999998</v>
      </c>
      <c r="G28" s="196">
        <f>SUM(G10,G16,G22)</f>
        <v>2104</v>
      </c>
      <c r="H28" s="197">
        <f>F28/G28</f>
        <v>109.60572718631178</v>
      </c>
      <c r="I28" s="194"/>
      <c r="J28" s="195">
        <f>SUM(J10,J16,J22)</f>
        <v>458439.74</v>
      </c>
      <c r="K28" s="196">
        <f>SUM(K10,K16,K22)</f>
        <v>4300</v>
      </c>
      <c r="L28" s="197">
        <f>J28/K28</f>
        <v>106.61389302325581</v>
      </c>
      <c r="M28" s="194"/>
      <c r="N28" s="195">
        <f>SUM(N10,N16,N22)</f>
        <v>8583158.3300000001</v>
      </c>
      <c r="O28" s="196">
        <f>SUM(O10,O16,O22)</f>
        <v>77336</v>
      </c>
      <c r="P28" s="197">
        <f>N28/O28</f>
        <v>110.985289257267</v>
      </c>
    </row>
    <row r="29" spans="2:19" s="54" customFormat="1" ht="28.9" customHeight="1">
      <c r="D29" s="199" t="s">
        <v>105</v>
      </c>
      <c r="E29" s="194"/>
      <c r="F29" s="200">
        <f>(F25-F28)/F28</f>
        <v>6.1817883794945266E-2</v>
      </c>
      <c r="G29" s="200">
        <f>(G25-G28)/G28</f>
        <v>0.20960076045627377</v>
      </c>
      <c r="H29" s="200">
        <f>(H25-H28)/H28</f>
        <v>-0.12217492043042638</v>
      </c>
      <c r="I29" s="194"/>
      <c r="J29" s="200">
        <f>(J25-J28)/J28</f>
        <v>6.7745392229740062E-2</v>
      </c>
      <c r="K29" s="200">
        <f>(K25-K28)/K28</f>
        <v>0.15348837209302327</v>
      </c>
      <c r="L29" s="200">
        <f>(L25-L28)/L28</f>
        <v>-7.4333631736314049E-2</v>
      </c>
      <c r="M29" s="107"/>
      <c r="N29" s="200">
        <f>(N25-N28)/N28</f>
        <v>9.7731227567836067E-3</v>
      </c>
      <c r="O29" s="200">
        <f>(O25-O28)/O28</f>
        <v>1.0577221475121548E-2</v>
      </c>
      <c r="P29" s="200">
        <f>(P25-P28)/P28</f>
        <v>-7.9568260717802024E-4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G25" sqref="G25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36</v>
      </c>
      <c r="F1" s="5">
        <f>VLOOKUP(D1,Dates!$B$2:$E$53,4,FALSE)</f>
        <v>36</v>
      </c>
      <c r="G1" s="5" t="b">
        <v>1</v>
      </c>
    </row>
    <row r="2" spans="3:16" ht="28.5">
      <c r="D2" s="398" t="str">
        <f>CONCATENATE("CASA NEOS",)</f>
        <v>CASA NEOS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301658.69</v>
      </c>
      <c r="G7" s="196">
        <f>SUMIFS('Actual - 2026'!AP:AP,'Actual - 2026'!A:A,D1)</f>
        <v>1820</v>
      </c>
      <c r="H7" s="197">
        <f>F7/G7</f>
        <v>165.74653296703298</v>
      </c>
      <c r="I7" s="194"/>
      <c r="J7" s="195">
        <f>SUMIFS('Actual - 2026'!AO:AO,'Actual - 2026'!B:B,D4)</f>
        <v>646008.28</v>
      </c>
      <c r="K7" s="196">
        <f>SUMIFS('Actual - 2026'!AP:AP,'Actual - 2026'!B:B,D4)</f>
        <v>3717</v>
      </c>
      <c r="L7" s="197">
        <f>J7/K7</f>
        <v>173.79829970406243</v>
      </c>
      <c r="M7" s="194"/>
      <c r="N7" s="195">
        <f>SUMIFS('Actual - 2026'!AO:AO,'Actual - 2026'!D:D,G1)</f>
        <v>20935931.399999995</v>
      </c>
      <c r="O7" s="196">
        <f>SUMIFS('Actual - 2026'!AP:AP,'Actual - 2026'!D:D,G1)</f>
        <v>103308.40299999999</v>
      </c>
      <c r="P7" s="197">
        <f>N7/O7</f>
        <v>202.65468047163594</v>
      </c>
    </row>
    <row r="8" spans="3:16" ht="28.9" customHeight="1">
      <c r="D8" s="202" t="s">
        <v>78</v>
      </c>
      <c r="E8" s="203"/>
      <c r="F8" s="204">
        <f>SUMIFS('Budget - 2026'!BW:BW,'Budget - 2026'!B:B,D1)</f>
        <v>264554.46443969611</v>
      </c>
      <c r="G8" s="205">
        <f>SUMIFS('Budget - 2026'!BX:BX,'Budget - 2026'!B:B,D1)</f>
        <v>1879</v>
      </c>
      <c r="H8" s="206">
        <f>F8/G8</f>
        <v>140.79535095247266</v>
      </c>
      <c r="I8" s="194"/>
      <c r="J8" s="204">
        <f>SUMIFS('Budget - 2026'!BW:BW,'Budget - 2026'!C:C,D4,'Budget - 2026'!$E:$E,G1)</f>
        <v>655923.83033755445</v>
      </c>
      <c r="K8" s="205">
        <f>SUMIFS('Budget - 2026'!BX:BX,'Budget - 2026'!C:C,D4,'Budget - 2026'!$E:$E,G1)</f>
        <v>4532</v>
      </c>
      <c r="L8" s="206">
        <f>J8/K8</f>
        <v>144.73164835338801</v>
      </c>
      <c r="M8" s="194"/>
      <c r="N8" s="204">
        <f>SUMIFS('Budget - 2026'!BW:BW,'Budget - 2026'!E:E,G1)</f>
        <v>16623627.967350965</v>
      </c>
      <c r="O8" s="205">
        <f>SUMIFS('Budget - 2026'!BX:BX,'Budget - 2026'!E:E,G1)</f>
        <v>101322</v>
      </c>
      <c r="P8" s="206">
        <f>N8/O8</f>
        <v>164.06730983745845</v>
      </c>
    </row>
    <row r="9" spans="3:16" s="54" customFormat="1" ht="28.9" customHeight="1">
      <c r="D9" s="207" t="s">
        <v>105</v>
      </c>
      <c r="E9" s="203"/>
      <c r="F9" s="179">
        <f>(F7-F8)/F8</f>
        <v>0.14025174603984664</v>
      </c>
      <c r="G9" s="179">
        <f>(G7-G8)/G8</f>
        <v>-3.1399680681213411E-2</v>
      </c>
      <c r="H9" s="179">
        <f>(H7-H8)/H8</f>
        <v>0.1772159509938856</v>
      </c>
      <c r="I9" s="194"/>
      <c r="J9" s="179">
        <f>(J7-J8)/J8</f>
        <v>-1.5116923458096707E-2</v>
      </c>
      <c r="K9" s="179">
        <f>(K7-K8)/K8</f>
        <v>-0.17983230361871139</v>
      </c>
      <c r="L9" s="179">
        <f>(L7-L8)/L8</f>
        <v>0.20083134325744034</v>
      </c>
      <c r="M9" s="107"/>
      <c r="N9" s="179">
        <f>(N7-N8)/N8</f>
        <v>0.2594080811432049</v>
      </c>
      <c r="O9" s="179">
        <f>(O7-O8)/O8</f>
        <v>1.9604853832336424E-2</v>
      </c>
      <c r="P9" s="179">
        <f>(P7-P8)/P8</f>
        <v>0.23519231632679302</v>
      </c>
    </row>
    <row r="10" spans="3:16" ht="28.9" customHeight="1">
      <c r="D10" s="198">
        <v>2025</v>
      </c>
      <c r="E10" s="194"/>
      <c r="F10" s="195">
        <f>SUMIFS('Budget - 2026'!CF:CF,'Budget - 2026'!B:B,D1)</f>
        <v>292768.96000000002</v>
      </c>
      <c r="G10" s="196">
        <f>SUMIFS('Budget - 2026'!CG:CG,'Budget - 2026'!B:B,D1)</f>
        <v>2064</v>
      </c>
      <c r="H10" s="197">
        <f>F10/G10</f>
        <v>141.84542635658914</v>
      </c>
      <c r="I10" s="194"/>
      <c r="J10" s="195">
        <f>SUMIFS('Budget - 2026'!CF:CF,'Budget - 2026'!C:C,D4,'Budget - 2026'!$E:$E,G1)</f>
        <v>738703.41000000015</v>
      </c>
      <c r="K10" s="196">
        <f>SUMIFS('Budget - 2026'!CG:CG,'Budget - 2026'!C:C,D4,'Budget - 2026'!$E:$E,G1)</f>
        <v>5011</v>
      </c>
      <c r="L10" s="197">
        <f>J10/K10</f>
        <v>147.41636599481146</v>
      </c>
      <c r="M10" s="194"/>
      <c r="N10" s="195">
        <f>SUMIFS('Budget - 2026'!CF:CF,'Budget - 2026'!E:E,G1)</f>
        <v>16586031.440000003</v>
      </c>
      <c r="O10" s="196">
        <f>SUMIFS('Budget - 2026'!CG:CG,'Budget - 2026'!E:E,G1)</f>
        <v>101916</v>
      </c>
      <c r="P10" s="197">
        <f>N10/O10</f>
        <v>162.74217433965228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3.0364318676406068E-2</v>
      </c>
      <c r="G11" s="200">
        <f>IFERROR((G7-G10)/G10,0)</f>
        <v>-0.11821705426356589</v>
      </c>
      <c r="H11" s="200">
        <f>IFERROR((H7-H10)/H10,0)</f>
        <v>0.16850107348796836</v>
      </c>
      <c r="I11" s="194"/>
      <c r="J11" s="200">
        <f>IFERROR((J7-J10)/J10,0)</f>
        <v>-0.12548355503056377</v>
      </c>
      <c r="K11" s="200">
        <f>IFERROR((K7-K10)/K10,0)</f>
        <v>-0.25823188984234685</v>
      </c>
      <c r="L11" s="200">
        <f>IFERROR((L7-L10)/L10,0)</f>
        <v>0.17896204082374087</v>
      </c>
      <c r="M11" s="107"/>
      <c r="N11" s="200">
        <f>IFERROR((N7-N10)/N10,0)</f>
        <v>0.2622628550859657</v>
      </c>
      <c r="O11" s="200">
        <f>IFERROR((O7-O10)/O10,0)</f>
        <v>1.3662261077750218E-2</v>
      </c>
      <c r="P11" s="200">
        <f>IFERROR((P7-P10)/P10,0)</f>
        <v>0.24524992549677974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78015.399999999994</v>
      </c>
      <c r="G13" s="196">
        <f>SUMIFS('Actual - 2026'!AM:AM,'Actual - 2026'!A:A,D1)</f>
        <v>748</v>
      </c>
      <c r="H13" s="197">
        <f>F13/G13</f>
        <v>104.29866310160428</v>
      </c>
      <c r="I13" s="194"/>
      <c r="J13" s="195">
        <f>SUMIFS('Actual - 2026'!AL:AL,'Actual - 2026'!B:B,D4)</f>
        <v>143326.47</v>
      </c>
      <c r="K13" s="196">
        <f>SUMIFS('Actual - 2026'!AM:AM,'Actual - 2026'!B:B,D4)</f>
        <v>1475</v>
      </c>
      <c r="L13" s="197">
        <f>J13/K13</f>
        <v>97.170488135593217</v>
      </c>
      <c r="M13" s="194"/>
      <c r="N13" s="195">
        <f>SUMIFS('Actual - 2026'!AL:AL,'Actual - 2026'!D:D,G1)</f>
        <v>5420588.7500000009</v>
      </c>
      <c r="O13" s="196">
        <f>SUMIFS('Actual - 2026'!AM:AM,'Actual - 2026'!D:D,G1)</f>
        <v>35273.597000000002</v>
      </c>
      <c r="P13" s="197">
        <f>N13/O13</f>
        <v>153.67269603947679</v>
      </c>
    </row>
    <row r="14" spans="3:16" ht="27.6" customHeight="1">
      <c r="D14" s="202" t="s">
        <v>78</v>
      </c>
      <c r="E14" s="203"/>
      <c r="F14" s="204">
        <f>SUMIFS('Budget - 2026'!BT:BT,'Budget - 2026'!B:B,D1)</f>
        <v>159424.4729315869</v>
      </c>
      <c r="G14" s="205">
        <f>SUMIFS('Budget - 2026'!BU:BU,'Budget - 2026'!B:B,D1)</f>
        <v>799</v>
      </c>
      <c r="H14" s="206">
        <f>F14/G14</f>
        <v>199.53000366906997</v>
      </c>
      <c r="I14" s="194"/>
      <c r="J14" s="204">
        <f>SUMIFS('Budget - 2026'!BT:BT,'Budget - 2026'!C:C,D4,'Budget - 2026'!$E:$E,G1)</f>
        <v>336327.93493340409</v>
      </c>
      <c r="K14" s="205">
        <f>SUMIFS('Budget - 2026'!BU:BU,'Budget - 2026'!C:C,D4,'Budget - 2026'!$E:$E,G1)</f>
        <v>1662</v>
      </c>
      <c r="L14" s="206">
        <f>J14/K14</f>
        <v>202.36337841961739</v>
      </c>
      <c r="M14" s="194"/>
      <c r="N14" s="204">
        <f>SUMIFS('Budget - 2026'!BT:BT,'Budget - 2026'!E:E,G1)</f>
        <v>7470673.0677808542</v>
      </c>
      <c r="O14" s="205">
        <f>SUMIFS('Budget - 2026'!BU:BU,'Budget - 2026'!E:E,G1)</f>
        <v>39723.75</v>
      </c>
      <c r="P14" s="206">
        <f>N14/O14</f>
        <v>188.06565512522997</v>
      </c>
    </row>
    <row r="15" spans="3:16" s="54" customFormat="1" ht="28.9" customHeight="1">
      <c r="D15" s="207" t="s">
        <v>105</v>
      </c>
      <c r="E15" s="203"/>
      <c r="F15" s="179">
        <f>(F13-F14)/F14</f>
        <v>-0.51064351309802736</v>
      </c>
      <c r="G15" s="179">
        <f>(G13-G14)/G14</f>
        <v>-6.3829787234042548E-2</v>
      </c>
      <c r="H15" s="179">
        <f>(H13-H14)/H14</f>
        <v>-0.4772782980819838</v>
      </c>
      <c r="I15" s="194"/>
      <c r="J15" s="179">
        <f>(J13-J14)/J14</f>
        <v>-0.5738490469773796</v>
      </c>
      <c r="K15" s="179">
        <f>(K13-K14)/K14</f>
        <v>-0.1125150421179302</v>
      </c>
      <c r="L15" s="179">
        <f>(L13-L14)/L14</f>
        <v>-0.51982177361112203</v>
      </c>
      <c r="M15" s="107"/>
      <c r="N15" s="179">
        <f>(N13-N14)/N14</f>
        <v>-0.27441761929354858</v>
      </c>
      <c r="O15" s="179">
        <f>(O13-O14)/O14</f>
        <v>-0.11202751502564583</v>
      </c>
      <c r="P15" s="179">
        <f>(P13-P14)/P14</f>
        <v>-0.18287740556802592</v>
      </c>
    </row>
    <row r="16" spans="3:16" ht="28.9" customHeight="1">
      <c r="D16" s="198">
        <v>2025</v>
      </c>
      <c r="E16" s="194"/>
      <c r="F16" s="195">
        <f>SUMIFS('Budget - 2026'!CC:CC,'Budget - 2026'!B:B,D1)</f>
        <v>104788.3</v>
      </c>
      <c r="G16" s="196">
        <f>SUMIFS('Budget - 2026'!CD:CD,'Budget - 2026'!B:B,D1)</f>
        <v>614</v>
      </c>
      <c r="H16" s="197">
        <f>F16/G16</f>
        <v>170.66498371335504</v>
      </c>
      <c r="I16" s="194"/>
      <c r="J16" s="195">
        <f>SUMIFS('Budget - 2026'!CC:CC,'Budget - 2026'!C:C,D4,'Budget - 2026'!$E:$E,G1)</f>
        <v>213480.39</v>
      </c>
      <c r="K16" s="196">
        <f>SUMIFS('Budget - 2026'!CD:CD,'Budget - 2026'!C:C,D4,'Budget - 2026'!$E:$E,G1)</f>
        <v>1156</v>
      </c>
      <c r="L16" s="197">
        <f>J16/K16</f>
        <v>184.67161764705884</v>
      </c>
      <c r="M16" s="194"/>
      <c r="N16" s="195">
        <f>SUMIFS('Budget - 2026'!CC:CC,'Budget - 2026'!E:E,G1)</f>
        <v>5481275.9099999983</v>
      </c>
      <c r="O16" s="196">
        <f>SUMIFS('Budget - 2026'!CD:CD,'Budget - 2026'!E:E,G1)</f>
        <v>33402</v>
      </c>
      <c r="P16" s="197">
        <f>N16/O16</f>
        <v>164.10023082450147</v>
      </c>
    </row>
    <row r="17" spans="4:19" ht="28.9" customHeight="1" thickBot="1">
      <c r="D17" s="199" t="s">
        <v>105</v>
      </c>
      <c r="E17" s="194"/>
      <c r="F17" s="200">
        <f>IFERROR((F13-F16)/F16,0)</f>
        <v>-0.25549512684145087</v>
      </c>
      <c r="G17" s="200">
        <f>IFERROR((G13-G16)/G16,0)</f>
        <v>0.21824104234527689</v>
      </c>
      <c r="H17" s="200">
        <f>IFERROR((H13-H16)/H16,0)</f>
        <v>-0.38886899449284862</v>
      </c>
      <c r="I17" s="194"/>
      <c r="J17" s="200">
        <f>IFERROR((J13-J16)/J16,0)</f>
        <v>-0.32861997301016738</v>
      </c>
      <c r="K17" s="200">
        <f>IFERROR((K13-K16)/K16,0)</f>
        <v>0.27595155709342561</v>
      </c>
      <c r="L17" s="200">
        <f>IFERROR((L13-L16)/L16,0)</f>
        <v>-0.47382012799983292</v>
      </c>
      <c r="M17" s="107"/>
      <c r="N17" s="200">
        <f>IFERROR((N13-N16)/N16,0)</f>
        <v>-1.1071721437937498E-2</v>
      </c>
      <c r="O17" s="200">
        <f>IFERROR((O13-O16)/O16,0)</f>
        <v>5.6032483084845264E-2</v>
      </c>
      <c r="P17" s="200">
        <f>IFERROR((P13-P16)/P16,0)</f>
        <v>-6.3543693586735422E-2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242</v>
      </c>
      <c r="E31" s="222"/>
      <c r="F31" s="223">
        <f>SUM(F7,F13,F19,F25)</f>
        <v>379674.08999999997</v>
      </c>
      <c r="G31" s="224">
        <f>SUM(G7,G13,G19,G25)</f>
        <v>2568</v>
      </c>
      <c r="H31" s="225">
        <f>F31/G31</f>
        <v>147.84816588785046</v>
      </c>
      <c r="I31" s="76"/>
      <c r="J31" s="223">
        <f>SUM(J7,J13,J19,J25)</f>
        <v>789334.75</v>
      </c>
      <c r="K31" s="224">
        <f>SUM(K7,K13,K19,K25)</f>
        <v>5192</v>
      </c>
      <c r="L31" s="225">
        <f>J31/K31</f>
        <v>152.02903505392914</v>
      </c>
      <c r="N31" s="223">
        <f>SUM(N7,N13,N19,N25)</f>
        <v>26356520.149999995</v>
      </c>
      <c r="O31" s="224">
        <f>SUM(O7,O13,O19,O25)</f>
        <v>138582</v>
      </c>
      <c r="P31" s="225">
        <f>N31/O31</f>
        <v>190.18718267884714</v>
      </c>
    </row>
    <row r="32" spans="4:19" ht="28.9" customHeight="1">
      <c r="D32" s="209" t="s">
        <v>78</v>
      </c>
      <c r="E32" s="210"/>
      <c r="F32" s="211">
        <f>SUM(F8,F14,F20,F26)</f>
        <v>423978.93737128301</v>
      </c>
      <c r="G32" s="212">
        <f>SUM(G8,G14,G20,G26)</f>
        <v>2678</v>
      </c>
      <c r="H32" s="213">
        <f>F32/G32</f>
        <v>158.31924472415346</v>
      </c>
      <c r="I32" s="194"/>
      <c r="J32" s="211">
        <f>SUM(J8,J14,J20,J26)</f>
        <v>992251.76527095854</v>
      </c>
      <c r="K32" s="212">
        <f>SUM(K8,K14,K20,K26)</f>
        <v>6194</v>
      </c>
      <c r="L32" s="213">
        <f>J32/K32</f>
        <v>160.1956353359636</v>
      </c>
      <c r="M32" s="194"/>
      <c r="N32" s="211">
        <f>SUM(N8,N14,N20,N26)</f>
        <v>24094301.03513182</v>
      </c>
      <c r="O32" s="212">
        <f>SUM(O8,O14,O20,O26)</f>
        <v>141045.75</v>
      </c>
      <c r="P32" s="213">
        <f>N32/O32</f>
        <v>170.82613999451823</v>
      </c>
    </row>
    <row r="33" spans="4:16" s="54" customFormat="1" ht="28.9" customHeight="1">
      <c r="D33" s="214" t="s">
        <v>105</v>
      </c>
      <c r="E33" s="210"/>
      <c r="F33" s="215">
        <f>(F31-F32)/F32</f>
        <v>-0.10449775558658189</v>
      </c>
      <c r="G33" s="215">
        <f>(G31-G32)/G32</f>
        <v>-4.1075429424943986E-2</v>
      </c>
      <c r="H33" s="215">
        <f>(H31-H32)/H32</f>
        <v>-6.6139014587564673E-2</v>
      </c>
      <c r="I33" s="194"/>
      <c r="J33" s="215">
        <f>(J31-J32)/J32</f>
        <v>-0.20450154121474109</v>
      </c>
      <c r="K33" s="215">
        <f>(K31-K32)/K32</f>
        <v>-0.16176945431062317</v>
      </c>
      <c r="L33" s="215">
        <f>(L31-L32)/L32</f>
        <v>-5.0978918775829343E-2</v>
      </c>
      <c r="M33" s="107"/>
      <c r="N33" s="215">
        <f>(N31-N32)/N32</f>
        <v>9.3890215431841798E-2</v>
      </c>
      <c r="O33" s="215">
        <f>(O31-O32)/O32</f>
        <v>-1.7467736532295372E-2</v>
      </c>
      <c r="P33" s="215">
        <f>(P31-P32)/P32</f>
        <v>0.11333770513663892</v>
      </c>
    </row>
    <row r="34" spans="4:16" ht="28.9" customHeight="1">
      <c r="D34" s="198">
        <v>2025</v>
      </c>
      <c r="E34" s="194"/>
      <c r="F34" s="195">
        <f>SUM(F10,F16,F22,F28)</f>
        <v>397557.26</v>
      </c>
      <c r="G34" s="253">
        <f>SUM(G10,G16,G22,G28)</f>
        <v>2678</v>
      </c>
      <c r="H34" s="197">
        <f>F34/G34</f>
        <v>148.45304705003736</v>
      </c>
      <c r="I34" s="194"/>
      <c r="J34" s="195">
        <f>SUM(J10,J16,J22,J28)</f>
        <v>952183.80000000016</v>
      </c>
      <c r="K34" s="253">
        <f>SUM(K10,K16,K22,K28)</f>
        <v>6167</v>
      </c>
      <c r="L34" s="197">
        <f>J34/K34</f>
        <v>154.39983784660291</v>
      </c>
      <c r="M34" s="194"/>
      <c r="N34" s="195">
        <f>SUM(N10,N16,N22,N28)</f>
        <v>22067307.350000001</v>
      </c>
      <c r="O34" s="253">
        <f>SUM(O10,O16,O22,O28)</f>
        <v>135318</v>
      </c>
      <c r="P34" s="197">
        <f>N34/O34</f>
        <v>163.07739805495206</v>
      </c>
    </row>
    <row r="35" spans="4:16" ht="28.9" customHeight="1">
      <c r="D35" s="199" t="s">
        <v>105</v>
      </c>
      <c r="E35" s="194"/>
      <c r="F35" s="200">
        <f>IFERROR((F31-F34)/F34,0)</f>
        <v>-4.4982627156651703E-2</v>
      </c>
      <c r="G35" s="200">
        <f>IFERROR((G31-G34)/G34,0)</f>
        <v>-4.1075429424943986E-2</v>
      </c>
      <c r="H35" s="200">
        <f>IFERROR((H31-H34)/H34,0)</f>
        <v>-4.0745621205270305E-3</v>
      </c>
      <c r="I35" s="194"/>
      <c r="J35" s="200">
        <f>IFERROR((J31-J34)/J34,0)</f>
        <v>-0.17102690677997268</v>
      </c>
      <c r="K35" s="200">
        <f>IFERROR((K31-K34)/K34,0)</f>
        <v>-0.1580995621858278</v>
      </c>
      <c r="L35" s="200">
        <f>IFERROR((L31-L34)/L34,0)</f>
        <v>-1.5354956493083737E-2</v>
      </c>
      <c r="M35" s="107"/>
      <c r="N35" s="200">
        <f>IFERROR((N31-N34)/N34,0)</f>
        <v>0.19436955909348827</v>
      </c>
      <c r="O35" s="200">
        <f>IFERROR((O31-O34)/O34,0)</f>
        <v>2.4120959517580809E-2</v>
      </c>
      <c r="P35" s="200">
        <f>IFERROR((P31-P34)/P34,0)</f>
        <v>0.16623876114800359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36</v>
      </c>
      <c r="F1" s="5">
        <f>VLOOKUP(D1,Dates!$B$2:$E$53,4,FALSE)</f>
        <v>36</v>
      </c>
      <c r="G1" s="5" t="b">
        <v>1</v>
      </c>
    </row>
    <row r="2" spans="3:24" ht="28.5">
      <c r="D2" s="398" t="s">
        <v>238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111917.9</v>
      </c>
      <c r="G7" s="196">
        <f>SUMIFS('Actual - 2026'!BQ:BQ,'Actual - 2026'!$A:$A,$D$1)</f>
        <v>303</v>
      </c>
      <c r="H7" s="197">
        <f>IFERROR(F7/G7,0)</f>
        <v>369.36600660066006</v>
      </c>
      <c r="I7" s="194"/>
      <c r="J7" s="195">
        <f>SUMIFS('Actual - 2026'!BP:BP,'Actual - 2026'!$B:$B,$D$4)</f>
        <v>181421</v>
      </c>
      <c r="K7" s="196">
        <f>SUMIFS('Actual - 2026'!BQ:BQ,'Actual - 2026'!$B:$B,$D$4)</f>
        <v>610</v>
      </c>
      <c r="L7" s="197">
        <f>IFERROR(J7/K7,0)</f>
        <v>297.41147540983604</v>
      </c>
      <c r="M7" s="194"/>
      <c r="N7" s="195">
        <f>SUMIFS('Actual - 2026'!BP:BP,'Actual - 2026'!$D:$D,$G$1)</f>
        <v>4790014.129999999</v>
      </c>
      <c r="O7" s="196">
        <f>SUMIFS('Actual - 2026'!BQ:BQ,'Actual - 2026'!$D:$D,$G$1)</f>
        <v>14084</v>
      </c>
      <c r="P7" s="197">
        <f>IFERROR(N7/O7,0)</f>
        <v>340.10324694689001</v>
      </c>
    </row>
    <row r="8" spans="3:24" ht="28.9" customHeight="1">
      <c r="D8" s="202" t="s">
        <v>78</v>
      </c>
      <c r="E8" s="203"/>
      <c r="F8" s="204">
        <f>SUMIFS('Budget - 2026'!DP:DP,'Budget - 2026'!$B:$B,$D$1)</f>
        <v>158791.53720233616</v>
      </c>
      <c r="G8" s="205">
        <f>SUMIFS('Budget - 2026'!DQ:DQ,'Budget - 2026'!$B:$B,$D$1)</f>
        <v>700</v>
      </c>
      <c r="H8" s="206">
        <f>IFERROR(F8/G8,0)</f>
        <v>226.84505314619452</v>
      </c>
      <c r="I8" s="194"/>
      <c r="J8" s="204">
        <f>SUMIFS('Budget - 2026'!DP:DP,'Budget - 2026'!$C:$C,$D$4,'Budget - 2026'!$E:$E,$G$1)</f>
        <v>317583.07440467231</v>
      </c>
      <c r="K8" s="205">
        <f>SUMIFS('Budget - 2026'!DQ:DQ,'Budget - 2026'!$C:$C,$D$4,'Budget - 2026'!$E:$E,$G$1)</f>
        <v>1400</v>
      </c>
      <c r="L8" s="206">
        <f>IFERROR(J8/K8,0)</f>
        <v>226.84505314619452</v>
      </c>
      <c r="M8" s="194"/>
      <c r="N8" s="204">
        <f>SUMIFS('Budget - 2026'!DP:DP,'Budget - 2026'!$E:$E,$G$1)</f>
        <v>5984488.5686205123</v>
      </c>
      <c r="O8" s="205">
        <f>SUMIFS('Budget - 2026'!DQ:DQ,'Budget - 2026'!$E:$E,$G$1)</f>
        <v>22335</v>
      </c>
      <c r="P8" s="206">
        <f>IFERROR(N8/O8,0)</f>
        <v>267.94217902934912</v>
      </c>
    </row>
    <row r="9" spans="3:24" s="54" customFormat="1" ht="28.9" customHeight="1">
      <c r="D9" s="207" t="s">
        <v>105</v>
      </c>
      <c r="E9" s="203"/>
      <c r="F9" s="179">
        <f>IFERROR((F7-F8)/F8,0)</f>
        <v>-0.29518976910342898</v>
      </c>
      <c r="G9" s="179">
        <f>IFERROR((G7-G8)/G8,0)</f>
        <v>-0.56714285714285717</v>
      </c>
      <c r="H9" s="179">
        <f>IFERROR((H7-H8)/H8,0)</f>
        <v>0.62827446081716076</v>
      </c>
      <c r="I9" s="194"/>
      <c r="J9" s="179">
        <f>IFERROR((J7-J8)/J8,0)</f>
        <v>-0.42874474548089797</v>
      </c>
      <c r="K9" s="179">
        <f>IFERROR((K7-K8)/K8,0)</f>
        <v>-0.56428571428571428</v>
      </c>
      <c r="L9" s="179">
        <f>IFERROR((L7-L8)/L8,0)</f>
        <v>0.31107763332252913</v>
      </c>
      <c r="M9" s="107"/>
      <c r="N9" s="179">
        <f>IFERROR((N7-N8)/N8,0)</f>
        <v>-0.1995950739857211</v>
      </c>
      <c r="O9" s="179">
        <f>IFERROR((O7-O8)/O8,0)</f>
        <v>-0.36942019252294606</v>
      </c>
      <c r="P9" s="179">
        <f>IFERROR((P7-P8)/P8,0)</f>
        <v>0.26931582096910806</v>
      </c>
      <c r="Q9" s="187">
        <f>L8*K8</f>
        <v>317583.07440467231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41464</v>
      </c>
      <c r="G13" s="196">
        <f>SUMIFS('Actual - 2026'!BT:BT,'Actual - 2026'!$A:$A,$D$1)</f>
        <v>217</v>
      </c>
      <c r="H13" s="197">
        <f>IFERROR(F13/G13,0)</f>
        <v>191.07834101382488</v>
      </c>
      <c r="I13" s="194"/>
      <c r="J13" s="195">
        <f>SUMIFS('Actual - 2026'!BS:BS,'Actual - 2026'!$B:$B,$D$4)</f>
        <v>65657</v>
      </c>
      <c r="K13" s="196">
        <f>SUMIFS('Actual - 2026'!BT:BT,'Actual - 2026'!$B:$B,$D$4)</f>
        <v>454</v>
      </c>
      <c r="L13" s="197">
        <f>IFERROR(J13/K13,0)</f>
        <v>144.61894273127754</v>
      </c>
      <c r="M13" s="194"/>
      <c r="N13" s="195">
        <f>SUMIFS('Actual - 2026'!BS:BS,'Actual - 2026'!$D:$D,$G$1)</f>
        <v>1205388.1299999999</v>
      </c>
      <c r="O13" s="196">
        <f>SUMIFS('Actual - 2026'!BT:BT,'Actual - 2026'!$D:$D,$G$1)</f>
        <v>7565</v>
      </c>
      <c r="P13" s="197">
        <f>IFERROR(N13/O13,0)</f>
        <v>159.33749239920687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22800</v>
      </c>
      <c r="G14" s="205">
        <f>SUMIFS('Budget - 2026'!DT:DT,'Budget - 2026'!$B:$B,$D$1)</f>
        <v>120</v>
      </c>
      <c r="H14" s="206">
        <f>IFERROR(F14/G14,0)</f>
        <v>190</v>
      </c>
      <c r="I14" s="194"/>
      <c r="J14" s="204">
        <f>SUMIFS('Budget - 2026'!DS:DS,'Budget - 2026'!$C:$C,D4,'Budget - 2026'!$E:$E,$G$1)</f>
        <v>45600</v>
      </c>
      <c r="K14" s="205">
        <f>SUMIFS('Budget - 2026'!DT:DT,'Budget - 2026'!$C:$C,D4,'Budget - 2026'!$E:$E,$G$1)</f>
        <v>240</v>
      </c>
      <c r="L14" s="206">
        <f>IFERROR(J14/K14,0)</f>
        <v>190</v>
      </c>
      <c r="M14" s="194"/>
      <c r="N14" s="204">
        <f>SUMIFS('Budget - 2026'!DS:DS,'Budget - 2026'!$E:$E,$G$1)</f>
        <v>1424100</v>
      </c>
      <c r="O14" s="205">
        <f>SUMIFS('Budget - 2026'!DT:DT,'Budget - 2026'!$E:$E,$G$1)</f>
        <v>7230</v>
      </c>
      <c r="P14" s="206">
        <f>IFERROR(N14/O14,0)</f>
        <v>196.97095435684648</v>
      </c>
    </row>
    <row r="15" spans="3:24" s="54" customFormat="1" ht="28.9" customHeight="1">
      <c r="D15" s="207" t="s">
        <v>105</v>
      </c>
      <c r="E15" s="203"/>
      <c r="F15" s="179">
        <f>IFERROR((F13-F14)/F14,0)</f>
        <v>0.81859649122807021</v>
      </c>
      <c r="G15" s="179">
        <f>IFERROR((G13-G14)/G14,0)</f>
        <v>0.80833333333333335</v>
      </c>
      <c r="H15" s="179">
        <f>IFERROR((H13-H14)/H14,0)</f>
        <v>5.6754790201309609E-3</v>
      </c>
      <c r="I15" s="194"/>
      <c r="J15" s="179">
        <f>IFERROR((J13-J14)/J14,0)</f>
        <v>0.43984649122807018</v>
      </c>
      <c r="K15" s="179">
        <f>IFERROR((K13-K14)/K14,0)</f>
        <v>0.89166666666666672</v>
      </c>
      <c r="L15" s="179">
        <f>IFERROR((L13-L14)/L14,0)</f>
        <v>-0.23884766983538136</v>
      </c>
      <c r="M15" s="107"/>
      <c r="N15" s="179">
        <f>IFERROR((N13-N14)/N14,0)</f>
        <v>-0.15357901130538593</v>
      </c>
      <c r="O15" s="179">
        <f>IFERROR((O13-O14)/O14,0)</f>
        <v>4.6334716459197789E-2</v>
      </c>
      <c r="P15" s="179">
        <f>IFERROR((P13-P14)/P14,0)</f>
        <v>-0.19106097180937742</v>
      </c>
      <c r="Q15" s="187">
        <f>L14*K14</f>
        <v>45600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242</v>
      </c>
      <c r="E19" s="220"/>
      <c r="F19" s="218">
        <f>SUM(F7,F13)</f>
        <v>153381.9</v>
      </c>
      <c r="G19" s="219">
        <f t="shared" ref="G19" si="0">SUM(G7,G13)</f>
        <v>520</v>
      </c>
      <c r="H19" s="218">
        <f>IFERROR(F19/G19,0)</f>
        <v>294.96519230769229</v>
      </c>
      <c r="J19" s="218">
        <f>SUM(J7,J13)</f>
        <v>247078</v>
      </c>
      <c r="K19" s="219">
        <f t="shared" ref="K19:O19" si="1">SUM(K7,K13)</f>
        <v>1064</v>
      </c>
      <c r="L19" s="218">
        <f>IFERROR(J19/K19,0)</f>
        <v>232.21616541353384</v>
      </c>
      <c r="N19" s="218">
        <f>SUM(N7,N13)</f>
        <v>5995402.2599999988</v>
      </c>
      <c r="O19" s="219">
        <f t="shared" si="1"/>
        <v>21649</v>
      </c>
      <c r="P19" s="218">
        <f>IFERROR(N19/O19,0)</f>
        <v>276.93668344958189</v>
      </c>
      <c r="Q19" s="49"/>
    </row>
    <row r="20" spans="2:21" ht="28.9" customHeight="1">
      <c r="D20" s="209" t="s">
        <v>78</v>
      </c>
      <c r="E20" s="210"/>
      <c r="F20" s="211">
        <f>SUM(F8,F14)</f>
        <v>181591.53720233616</v>
      </c>
      <c r="G20" s="212">
        <f>SUM(G8,G14)</f>
        <v>820</v>
      </c>
      <c r="H20" s="213">
        <f>IFERROR(F20/G20,0)</f>
        <v>221.45309414919043</v>
      </c>
      <c r="I20" s="194"/>
      <c r="J20" s="211">
        <f>SUM(J8,J14)</f>
        <v>363183.07440467231</v>
      </c>
      <c r="K20" s="212">
        <f>SUM(K8,K14)</f>
        <v>1640</v>
      </c>
      <c r="L20" s="213">
        <f>IFERROR(J20/K20,0)</f>
        <v>221.45309414919043</v>
      </c>
      <c r="M20" s="194"/>
      <c r="N20" s="211">
        <f>SUM(N8,N14)</f>
        <v>7408588.5686205123</v>
      </c>
      <c r="O20" s="212">
        <f>SUM(O8,O14)</f>
        <v>29565</v>
      </c>
      <c r="P20" s="213">
        <f>IFERROR(N20/O20,0)</f>
        <v>250.58645589786951</v>
      </c>
    </row>
    <row r="21" spans="2:21" s="54" customFormat="1" ht="28.9" customHeight="1">
      <c r="D21" s="214" t="s">
        <v>105</v>
      </c>
      <c r="E21" s="210"/>
      <c r="F21" s="215">
        <f>IFERROR((F19-F20)/F20,0)</f>
        <v>-0.1553466512643919</v>
      </c>
      <c r="G21" s="215">
        <f>IFERROR((G19-G20)/G20,0)</f>
        <v>-0.36585365853658536</v>
      </c>
      <c r="H21" s="215">
        <f>IFERROR((H19-H20)/H20,0)</f>
        <v>0.33195335762153583</v>
      </c>
      <c r="I21" s="194"/>
      <c r="J21" s="215">
        <f>IFERROR((J19-J20)/J20,0)</f>
        <v>-0.31968745954086958</v>
      </c>
      <c r="K21" s="215">
        <f>IFERROR((K19-K20)/K20,0)</f>
        <v>-0.35121951219512193</v>
      </c>
      <c r="L21" s="215">
        <f>IFERROR((L19-L20)/L20,0)</f>
        <v>4.8602036046028106E-2</v>
      </c>
      <c r="M21" s="107"/>
      <c r="N21" s="215">
        <f>IFERROR((N19-N20)/N20,0)</f>
        <v>-0.19074973532828404</v>
      </c>
      <c r="O21" s="215">
        <f>IFERROR((O19-O20)/O20,0)</f>
        <v>-0.26774902756637914</v>
      </c>
      <c r="P21" s="215">
        <f>IFERROR((P19-P20)/P20,0)</f>
        <v>0.1051542369171454</v>
      </c>
      <c r="Q21" s="187">
        <f>L20*K20</f>
        <v>363183.07440467231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153381.9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921381.9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-107212.09999999998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36</v>
      </c>
      <c r="F1" s="5">
        <f>VLOOKUP(D1,Dates!$B$2:$E$53,4,FALSE)</f>
        <v>36</v>
      </c>
      <c r="G1" s="5" t="b">
        <v>1</v>
      </c>
    </row>
    <row r="2" spans="3:16" ht="28.5">
      <c r="D2" s="398" t="str">
        <f>CONCATENATE("CLAUDIE",)</f>
        <v>CLAUDIE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6" spans="3:16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230160.95</v>
      </c>
      <c r="G7" s="196">
        <f>SUMIFS('Actual - 2026'!AY:AY,'Actual - 2026'!A:A,D1)</f>
        <v>1677</v>
      </c>
      <c r="H7" s="197">
        <f>F7/G7</f>
        <v>137.24564698867025</v>
      </c>
      <c r="I7" s="194"/>
      <c r="J7" s="195">
        <f>SUMIFS('Actual - 2026'!AX:AX,'Actual - 2026'!B:B,D4)</f>
        <v>466313.25</v>
      </c>
      <c r="K7" s="196">
        <f>SUMIFS('Actual - 2026'!AY:AY,'Actual - 2026'!B:B,D4)</f>
        <v>3391</v>
      </c>
      <c r="L7" s="197">
        <f>J7/K7</f>
        <v>137.5149660867001</v>
      </c>
      <c r="M7" s="194"/>
      <c r="N7" s="195">
        <f>SUMIFS('Actual - 2026'!AX:AX,'Actual - 2026'!D:D,G1)</f>
        <v>10428507.210000001</v>
      </c>
      <c r="O7" s="196">
        <f>SUMIFS('Actual - 2026'!AY:AY,'Actual - 2026'!D:D,G1)</f>
        <v>66514</v>
      </c>
      <c r="P7" s="197">
        <f>N7/O7</f>
        <v>156.78664957753256</v>
      </c>
    </row>
    <row r="8" spans="3:16" ht="28.9" customHeight="1">
      <c r="D8" s="202" t="s">
        <v>78</v>
      </c>
      <c r="E8" s="203"/>
      <c r="F8" s="204">
        <f>SUMIFS('Budget - 2026'!CX:CX,'Budget - 2026'!B:B,D1)</f>
        <v>248692</v>
      </c>
      <c r="G8" s="205">
        <f>SUMIFS('Budget - 2026'!CY:CY,'Budget - 2026'!B:B,D1)</f>
        <v>1538</v>
      </c>
      <c r="H8" s="206">
        <f>F8/G8</f>
        <v>161.69830949284784</v>
      </c>
      <c r="I8" s="194"/>
      <c r="J8" s="204">
        <f>SUMIFS('Budget - 2026'!CX:CX,'Budget - 2026'!C:C,D4,'Budget - 2026'!$E:$E,G1)</f>
        <v>541491.51</v>
      </c>
      <c r="K8" s="205">
        <f>SUMIFS('Budget - 2026'!CY:CY,'Budget - 2026'!C:C,D4,'Budget - 2026'!$E:$E,G1)</f>
        <v>3351</v>
      </c>
      <c r="L8" s="206">
        <f>J8/K8</f>
        <v>161.5910205908684</v>
      </c>
      <c r="M8" s="194"/>
      <c r="N8" s="204">
        <f>SUMIFS('Budget - 2026'!CX:CX,'Budget - 2026'!E:E,G1)</f>
        <v>11503728.612283526</v>
      </c>
      <c r="O8" s="205">
        <f>SUMIFS('Budget - 2026'!CY:CY,'Budget - 2026'!E:E,G1)</f>
        <v>68131</v>
      </c>
      <c r="P8" s="206">
        <f>N8/O8</f>
        <v>168.84720042687655</v>
      </c>
    </row>
    <row r="9" spans="3:16" s="54" customFormat="1" ht="28.9" customHeight="1">
      <c r="D9" s="207" t="s">
        <v>105</v>
      </c>
      <c r="E9" s="203"/>
      <c r="F9" s="179">
        <f>(F7-F8)/F8</f>
        <v>-7.4514057549096832E-2</v>
      </c>
      <c r="G9" s="179">
        <f>(G7-G8)/G8</f>
        <v>9.0377113133940187E-2</v>
      </c>
      <c r="H9" s="179">
        <f>(H7-H8)/H8</f>
        <v>-0.15122398360793732</v>
      </c>
      <c r="I9" s="194"/>
      <c r="J9" s="179">
        <f>(J7-J8)/J8</f>
        <v>-0.13883552855704054</v>
      </c>
      <c r="K9" s="179">
        <f>(K7-K8)/K8</f>
        <v>1.1936735302894658E-2</v>
      </c>
      <c r="L9" s="179">
        <f>(L7-L8)/L8</f>
        <v>-0.14899376472858819</v>
      </c>
      <c r="M9" s="107"/>
      <c r="N9" s="179">
        <f>(N7-N8)/N8</f>
        <v>-9.346720863489584E-2</v>
      </c>
      <c r="O9" s="179">
        <f>(O7-O8)/O8</f>
        <v>-2.3733689509914724E-2</v>
      </c>
      <c r="P9" s="179">
        <f>(P7-P8)/P8</f>
        <v>-7.1428787796615656E-2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256608.77</v>
      </c>
      <c r="G10" s="196">
        <f>SUMIFS('Budget - 2026'!CP:CP,'Budget - 2026'!$B:$B,$D$1)</f>
        <v>1625</v>
      </c>
      <c r="H10" s="197">
        <f>F10/G10</f>
        <v>157.91308923076923</v>
      </c>
      <c r="I10" s="194"/>
      <c r="J10" s="195">
        <f>SUMIFS('Budget - 2026'!CO:CO,'Budget - 2026'!$C:$C,$D$4,'Budget - 2026'!$E:$E,$G$1)</f>
        <v>584529.16999999993</v>
      </c>
      <c r="K10" s="196">
        <f>SUMIFS('Budget - 2026'!CP:CP,'Budget - 2026'!$C:$C,$D$4,'Budget - 2026'!$E:$E,$G$1)</f>
        <v>3538</v>
      </c>
      <c r="L10" s="197">
        <f>J10/K10</f>
        <v>165.21457603165629</v>
      </c>
      <c r="M10" s="194"/>
      <c r="N10" s="195">
        <f>SUMIFS('Budget - 2026'!CO:CO,'Budget - 2026'!$E:$E,$G$1)</f>
        <v>9393788.0899999999</v>
      </c>
      <c r="O10" s="196">
        <f>SUMIFS('Budget - 2026'!CP:CP,'Budget - 2026'!$E:$E,$G$1)</f>
        <v>56833</v>
      </c>
      <c r="P10" s="197">
        <f>N10/O10</f>
        <v>165.28756338746854</v>
      </c>
    </row>
    <row r="11" spans="3:16" ht="28.9" customHeight="1" thickBot="1">
      <c r="D11" s="199" t="s">
        <v>105</v>
      </c>
      <c r="E11" s="194"/>
      <c r="F11" s="200">
        <f>IFERROR((F7-F10)/F10,0)</f>
        <v>-0.10306670344898961</v>
      </c>
      <c r="G11" s="200">
        <f>IFERROR((G7-G10)/G10,0)</f>
        <v>3.2000000000000001E-2</v>
      </c>
      <c r="H11" s="200">
        <f>IFERROR((H7-H10)/H10,0)</f>
        <v>-0.1308785886133621</v>
      </c>
      <c r="I11" s="194"/>
      <c r="J11" s="200">
        <f>IFERROR((J7-J10)/J10,0)</f>
        <v>-0.20224126710391535</v>
      </c>
      <c r="K11" s="200">
        <f>IFERROR((K7-K10)/K10,0)</f>
        <v>-4.1548897682306386E-2</v>
      </c>
      <c r="L11" s="200">
        <f>IFERROR((L7-L10)/L10,0)</f>
        <v>-0.16765839074422073</v>
      </c>
      <c r="M11" s="107"/>
      <c r="N11" s="200">
        <f>IFERROR((N7-N10)/N10,0)</f>
        <v>0.11014929335072972</v>
      </c>
      <c r="O11" s="200">
        <f>IFERROR((O7-O10)/O10,0)</f>
        <v>0.17034117502155438</v>
      </c>
      <c r="P11" s="200">
        <f>IFERROR((P7-P10)/P10,0)</f>
        <v>-5.1431055281564435E-2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29607.8</v>
      </c>
      <c r="G13" s="196">
        <f>SUMIFS('Actual - 2026'!AV:AV,'Actual - 2026'!A:A,D1)</f>
        <v>316</v>
      </c>
      <c r="H13" s="197">
        <f>IFERROR(F13/G13,0)</f>
        <v>93.695569620253167</v>
      </c>
      <c r="I13" s="194"/>
      <c r="J13" s="195">
        <f>SUMIFS('Actual - 2026'!AU:AU,'Actual - 2026'!B:B,D4)</f>
        <v>63407.649999999994</v>
      </c>
      <c r="K13" s="196">
        <f>SUMIFS('Actual - 2026'!AV:AV,'Actual - 2026'!B:B,D4)</f>
        <v>633</v>
      </c>
      <c r="L13" s="197">
        <f>IFERROR(J13/K13,0)</f>
        <v>100.17006319115323</v>
      </c>
      <c r="M13" s="194"/>
      <c r="N13" s="195">
        <f>SUMIFS('Actual - 2026'!AU:AU,'Actual - 2026'!D:D,G1)</f>
        <v>1088051.28</v>
      </c>
      <c r="O13" s="196">
        <f>SUMIFS('Actual - 2026'!AV:AV,'Actual - 2026'!D:D,G1)</f>
        <v>9244</v>
      </c>
      <c r="P13" s="197">
        <f>IFERROR(N13/O13,0)</f>
        <v>117.70351363046301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60422.363867840715</v>
      </c>
      <c r="K14" s="205">
        <f>SUMIFS('Budget - 2026'!CV:CV,'Budget - 2026'!C:C,D4,'Budget - 2026'!$E:$E,G1)</f>
        <v>688.5</v>
      </c>
      <c r="L14" s="206">
        <f>IFERROR(J14/K14,0)</f>
        <v>87.759424644648817</v>
      </c>
      <c r="M14" s="194"/>
      <c r="N14" s="204">
        <f>SUMIFS('Budget - 2026'!CU:CU,'Budget - 2026'!E:E,G1)</f>
        <v>937047.59631976392</v>
      </c>
      <c r="O14" s="205">
        <f>SUMIFS('Budget - 2026'!CV:CV,'Budget - 2026'!E:E,G1)</f>
        <v>10279.5</v>
      </c>
      <c r="P14" s="206">
        <f>IFERROR(N14/O14,0)</f>
        <v>91.15692361688447</v>
      </c>
    </row>
    <row r="15" spans="3:16" ht="27.6" customHeight="1">
      <c r="D15" s="207" t="s">
        <v>105</v>
      </c>
      <c r="E15" s="203"/>
      <c r="F15" s="179">
        <f>(F13-F14)/F14</f>
        <v>-1.9972139297300916E-2</v>
      </c>
      <c r="G15" s="179">
        <f>(G13-G14)/G14</f>
        <v>-8.2062454611474225E-2</v>
      </c>
      <c r="H15" s="179">
        <f>(H13-H14)/H14</f>
        <v>6.7641110907924684E-2</v>
      </c>
      <c r="I15" s="194"/>
      <c r="J15" s="179">
        <f>(J13-J14)/J14</f>
        <v>4.940697352868996E-2</v>
      </c>
      <c r="K15" s="179">
        <f>(K13-K14)/K14</f>
        <v>-8.0610021786492375E-2</v>
      </c>
      <c r="L15" s="179">
        <f>(L13-L14)/L14</f>
        <v>0.14141658969115817</v>
      </c>
      <c r="M15" s="107"/>
      <c r="N15" s="179">
        <f>(N13-N14)/N14</f>
        <v>0.16114836031093843</v>
      </c>
      <c r="O15" s="179">
        <f>(O13-O14)/O14</f>
        <v>-0.10073447152098837</v>
      </c>
      <c r="P15" s="179">
        <f>(P13-P14)/P14</f>
        <v>0.29121858176290483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242</v>
      </c>
      <c r="E19" s="226"/>
      <c r="F19" s="223">
        <f>SUM(F13,F7)</f>
        <v>259768.75</v>
      </c>
      <c r="G19" s="224">
        <f>SUM(G13,G7)</f>
        <v>1993</v>
      </c>
      <c r="H19" s="225">
        <f>F19/G19</f>
        <v>130.34056698444556</v>
      </c>
      <c r="J19" s="223">
        <f>SUM(J13,J7)</f>
        <v>529720.9</v>
      </c>
      <c r="K19" s="224">
        <f>SUM(K13,K7)</f>
        <v>4024</v>
      </c>
      <c r="L19" s="225">
        <f>J19/K19</f>
        <v>131.64038270377733</v>
      </c>
      <c r="N19" s="223">
        <f>SUM(N13,N7)</f>
        <v>11516558.49</v>
      </c>
      <c r="O19" s="224">
        <f>SUM(O13,O7)</f>
        <v>75758</v>
      </c>
      <c r="P19" s="225">
        <f>N19/O19</f>
        <v>152.0177207687637</v>
      </c>
      <c r="R19" s="91"/>
    </row>
    <row r="20" spans="2:19" ht="28.9" customHeight="1">
      <c r="D20" s="209" t="s">
        <v>78</v>
      </c>
      <c r="E20" s="210"/>
      <c r="F20" s="211">
        <f>SUM(F8,F14)</f>
        <v>278903.18193392036</v>
      </c>
      <c r="G20" s="212">
        <f>SUM(G8,G14)</f>
        <v>1882.25</v>
      </c>
      <c r="H20" s="213">
        <f>F20/G20</f>
        <v>148.17541874560786</v>
      </c>
      <c r="I20" s="194"/>
      <c r="J20" s="211">
        <f>SUM(J8,J14)</f>
        <v>601913.87386784074</v>
      </c>
      <c r="K20" s="212">
        <f>SUM(K8,K14)</f>
        <v>4039.5</v>
      </c>
      <c r="L20" s="213">
        <f>J20/K20</f>
        <v>149.00702410393384</v>
      </c>
      <c r="M20" s="194"/>
      <c r="N20" s="211">
        <f>SUM(N8,N14)</f>
        <v>12440776.208603289</v>
      </c>
      <c r="O20" s="212">
        <f>SUM(O8,O14)</f>
        <v>78410.5</v>
      </c>
      <c r="P20" s="213">
        <f>N20/O20</f>
        <v>158.66212061654102</v>
      </c>
    </row>
    <row r="21" spans="2:19" ht="28.9" customHeight="1">
      <c r="D21" s="214" t="s">
        <v>105</v>
      </c>
      <c r="E21" s="210"/>
      <c r="F21" s="215">
        <f>(F19-F20)/F20</f>
        <v>-6.8606000839581044E-2</v>
      </c>
      <c r="G21" s="215">
        <f>(G19-G20)/G20</f>
        <v>5.8839155266303629E-2</v>
      </c>
      <c r="H21" s="215">
        <f>(H19-H20)/H20</f>
        <v>-0.12036309336693506</v>
      </c>
      <c r="I21" s="194"/>
      <c r="J21" s="215">
        <f>(J19-J20)/J20</f>
        <v>-0.11993904278021637</v>
      </c>
      <c r="K21" s="215">
        <f>(K19-K20)/K20</f>
        <v>-3.8371085530387425E-3</v>
      </c>
      <c r="L21" s="215">
        <f>(L19-L20)/L20</f>
        <v>-0.11654914595195935</v>
      </c>
      <c r="M21" s="107"/>
      <c r="N21" s="215">
        <f>(N19-N20)/N20</f>
        <v>-7.4289393451523994E-2</v>
      </c>
      <c r="O21" s="215">
        <f>(O19-O20)/O20</f>
        <v>-3.3828377576982677E-2</v>
      </c>
      <c r="P21" s="215">
        <f>(P19-P20)/P20</f>
        <v>-4.1877669490096449E-2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- 2026'!CR:CR,'Budget - 2026'!$B:$B,$D$1)</f>
        <v>256608.77</v>
      </c>
      <c r="G22" s="196">
        <f>SUMIFS('Budget - 2026'!CS:CS,'Budget - 2026'!B:B,$D$1)</f>
        <v>1625</v>
      </c>
      <c r="H22" s="197">
        <f>IFERROR(F22/G22,0)</f>
        <v>157.91308923076923</v>
      </c>
      <c r="I22" s="194"/>
      <c r="J22" s="195">
        <f>SUMIFS('Budget - 2026'!CR:CR,'Budget - 2026'!C:C,D4,'Budget - 2026'!$E:$E,G1)</f>
        <v>584529.16999999993</v>
      </c>
      <c r="K22" s="196">
        <f>SUMIFS('Budget - 2026'!CS:CS,'Budget - 2026'!C:C,D4,'Budget - 2026'!$E:$E,G1)</f>
        <v>3538</v>
      </c>
      <c r="L22" s="197">
        <f>IFERROR(J22/K22,0)</f>
        <v>165.21457603165629</v>
      </c>
      <c r="M22" s="194"/>
      <c r="N22" s="195">
        <f>SUMIFS('Budget - 2026'!CR:CR,'Budget - 2026'!E:E,G1)</f>
        <v>9393788.0899999999</v>
      </c>
      <c r="O22" s="196">
        <f>SUMIFS('Budget - 2026'!CS:CS,'Budget - 2026'!E:E,G1)</f>
        <v>56833</v>
      </c>
      <c r="P22" s="197">
        <f>IFERROR(N22/O22,0)</f>
        <v>165.28756338746854</v>
      </c>
      <c r="S22" s="98">
        <f>F19</f>
        <v>259768.75</v>
      </c>
    </row>
    <row r="23" spans="2:19" ht="28.9" customHeight="1">
      <c r="D23" s="199" t="s">
        <v>105</v>
      </c>
      <c r="E23" s="194"/>
      <c r="F23" s="200">
        <f>IFERROR((F19-F22)/F22,0)</f>
        <v>1.231438816374051E-2</v>
      </c>
      <c r="G23" s="200">
        <f>IFERROR((G19-G22)/G22,0)</f>
        <v>0.22646153846153846</v>
      </c>
      <c r="H23" s="200">
        <f>IFERROR((H19-H22)/H22,0)</f>
        <v>-0.17460567949519407</v>
      </c>
      <c r="I23" s="194"/>
      <c r="J23" s="200">
        <f>IFERROR((J19-J22)/J22,0)</f>
        <v>-9.3764815877366584E-2</v>
      </c>
      <c r="K23" s="200">
        <f>IFERROR((K19-K22)/K22,0)</f>
        <v>0.13736574335782928</v>
      </c>
      <c r="L23" s="200">
        <f>IFERROR((L19-L22)/L22,0)</f>
        <v>-0.20321568553034874</v>
      </c>
      <c r="M23" s="107"/>
      <c r="N23" s="200">
        <f>IFERROR((N19-N22)/N22,0)</f>
        <v>0.22597597259616278</v>
      </c>
      <c r="O23" s="200">
        <f>IFERROR((O19-O22)/O22,0)</f>
        <v>0.33299315538507557</v>
      </c>
      <c r="P23" s="200">
        <f>IFERROR((P19-P22)/P22,0)</f>
        <v>-8.0283370065765705E-2</v>
      </c>
      <c r="S23" s="324">
        <f>SUM(S21:S22)</f>
        <v>1027768.75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-825.25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36</v>
      </c>
      <c r="F1" s="5">
        <f>VLOOKUP(D1,Dates!$B$2:$E$53,4,FALSE)</f>
        <v>36</v>
      </c>
      <c r="G1" s="5" t="b">
        <v>1</v>
      </c>
    </row>
    <row r="2" spans="3:26" ht="28.5">
      <c r="D2" s="398" t="str">
        <f>CONCATENATE("AVA CG",)</f>
        <v>AVA CG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</row>
    <row r="4" spans="3:26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6" spans="3:2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6" ht="28.9" customHeight="1">
      <c r="D7" s="193" t="s">
        <v>204</v>
      </c>
      <c r="E7" s="194"/>
      <c r="F7" s="195">
        <f>SUMIFS('Actual - 2026'!BD:BD,'Actual - 2026'!A:A,D1)</f>
        <v>158924.06</v>
      </c>
      <c r="G7" s="196">
        <f>SUMIFS('Actual - 2026'!BE:BE,'Actual - 2026'!A:A,D1)</f>
        <v>1386</v>
      </c>
      <c r="H7" s="197">
        <f>F7/G7</f>
        <v>114.66382395382395</v>
      </c>
      <c r="I7" s="194"/>
      <c r="J7" s="195">
        <f>SUMIFS('Actual - 2026'!BD:BD,'Actual - 2026'!B:B,D4)</f>
        <v>327811.90999999997</v>
      </c>
      <c r="K7" s="196">
        <f>SUMIFS('Actual - 2026'!BE:BE,'Actual - 2026'!B:B,D4)</f>
        <v>2931</v>
      </c>
      <c r="L7" s="197">
        <f>J7/K7</f>
        <v>111.8430262708973</v>
      </c>
      <c r="M7" s="194"/>
      <c r="N7" s="195">
        <f>SUMIFS('Actual - 2026'!BD:BD,'Actual - 2026'!D:D,G1)</f>
        <v>6303042.3299999991</v>
      </c>
      <c r="O7" s="196">
        <f>SUMIFS('Actual - 2026'!BE:BE,'Actual - 2026'!D:D,G1)</f>
        <v>52221</v>
      </c>
      <c r="P7" s="197">
        <f>N7/O7</f>
        <v>120.69938013442867</v>
      </c>
    </row>
    <row r="8" spans="3:26" ht="28.9" customHeight="1">
      <c r="D8" s="202" t="s">
        <v>78</v>
      </c>
      <c r="E8" s="203"/>
      <c r="F8" s="204">
        <f>SUMIFS('Budget - 2026'!DD:DD,'Budget - 2026'!B:B,D1)</f>
        <v>172521.29199999999</v>
      </c>
      <c r="G8" s="205">
        <f>SUMIFS('Budget - 2026'!DE:DE,'Budget - 2026'!B:B,D1)</f>
        <v>1559.317</v>
      </c>
      <c r="H8" s="206">
        <f>F8/G8</f>
        <v>110.63901182376642</v>
      </c>
      <c r="I8" s="194"/>
      <c r="J8" s="204">
        <f>SUMIFS('Budget - 2026'!DD:DD,'Budget - 2026'!C:C,D4,'Budget - 2026'!$E:$E,G1)</f>
        <v>345042.58399999997</v>
      </c>
      <c r="K8" s="205">
        <f>SUMIFS('Budget - 2026'!DE:DE,'Budget - 2026'!C:C,D4,'Budget - 2026'!$E:$E,G1)</f>
        <v>3118.634</v>
      </c>
      <c r="L8" s="206">
        <f>J8/K8</f>
        <v>110.63901182376642</v>
      </c>
      <c r="M8" s="194"/>
      <c r="N8" s="204">
        <f>SUMIFS('Budget - 2026'!DD:DD,'Budget - 2026'!E:E,G1)</f>
        <v>6932220.8340000035</v>
      </c>
      <c r="O8" s="205">
        <f>SUMIFS('Budget - 2026'!DE:DE,'Budget - 2026'!E:E,G1)</f>
        <v>59141.409000000014</v>
      </c>
      <c r="P8" s="206">
        <f>N8/O8</f>
        <v>117.21433342922218</v>
      </c>
    </row>
    <row r="9" spans="3:26" s="54" customFormat="1" ht="28.9" customHeight="1">
      <c r="D9" s="207" t="s">
        <v>105</v>
      </c>
      <c r="E9" s="203"/>
      <c r="F9" s="179">
        <f>(F7-F8)/F8</f>
        <v>-7.8814805073451399E-2</v>
      </c>
      <c r="G9" s="179">
        <f>(G7-G8)/G8</f>
        <v>-0.11114930447112423</v>
      </c>
      <c r="H9" s="179">
        <f>(H7-H8)/H8</f>
        <v>3.6377874889813089E-2</v>
      </c>
      <c r="I9" s="194"/>
      <c r="J9" s="179">
        <f>(J7-J8)/J8</f>
        <v>-4.9937818689649041E-2</v>
      </c>
      <c r="K9" s="179">
        <f>(K7-K8)/K8</f>
        <v>-6.0165444229749308E-2</v>
      </c>
      <c r="L9" s="179">
        <f>(L7-L8)/L8</f>
        <v>1.0882368047978522E-2</v>
      </c>
      <c r="M9" s="107"/>
      <c r="N9" s="179">
        <f>(N7-N8)/N8</f>
        <v>-9.0761462894273989E-2</v>
      </c>
      <c r="O9" s="179">
        <f>(O7-O8)/O8</f>
        <v>-0.11701461153893057</v>
      </c>
      <c r="P9" s="179">
        <f>(P7-P8)/P8</f>
        <v>2.9732257167259073E-2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31573.29</v>
      </c>
      <c r="G13" s="196">
        <f>SUMIFS('Actual - 2026'!BH:BH,'Actual - 2026'!A:A,D1)</f>
        <v>384</v>
      </c>
      <c r="H13" s="197">
        <f>F13/G13</f>
        <v>82.222109375000002</v>
      </c>
      <c r="I13" s="194"/>
      <c r="J13" s="195">
        <f>SUMIFS('Actual - 2026'!BG:BG,'Actual - 2026'!B:B,D4)</f>
        <v>57691.43</v>
      </c>
      <c r="K13" s="196">
        <f>SUMIFS('Actual - 2026'!BH:BH,'Actual - 2026'!B:B,D4)</f>
        <v>702</v>
      </c>
      <c r="L13" s="197">
        <f>J13/K13</f>
        <v>82.181524216524224</v>
      </c>
      <c r="M13" s="194"/>
      <c r="N13" s="195">
        <f>SUMIFS('Actual - 2026'!BG:BG,'Actual - 2026'!D:D,G1)</f>
        <v>1464833.4600000002</v>
      </c>
      <c r="O13" s="196">
        <f>SUMIFS('Actual - 2026'!BH:BH,'Actual - 2026'!D:D,G1)</f>
        <v>17470</v>
      </c>
      <c r="P13" s="197">
        <f>N13/O13</f>
        <v>83.848509444762456</v>
      </c>
    </row>
    <row r="14" spans="3:26" ht="27.6" customHeight="1">
      <c r="D14" s="202" t="s">
        <v>78</v>
      </c>
      <c r="E14" s="203"/>
      <c r="F14" s="204">
        <f>SUMIFS('Budget - 2026'!DG:DG,'Budget - 2026'!B:B,D1)</f>
        <v>58152.200000000004</v>
      </c>
      <c r="G14" s="205">
        <f>SUMIFS('Budget - 2026'!DH:DH,'Budget - 2026'!B:B,D1)</f>
        <v>719.6</v>
      </c>
      <c r="H14" s="206">
        <f>F14/G14</f>
        <v>80.81183991106171</v>
      </c>
      <c r="I14" s="194"/>
      <c r="J14" s="204">
        <f>SUMIFS('Budget - 2026'!DG:DG,'Budget - 2026'!C:C,D4,'Budget - 2026'!$E:$E,G1)</f>
        <v>116304.40000000001</v>
      </c>
      <c r="K14" s="205">
        <f>SUMIFS('Budget - 2026'!DH:DH,'Budget - 2026'!C:C,D4,'Budget - 2026'!$E:$E,G1)</f>
        <v>1439.2</v>
      </c>
      <c r="L14" s="206">
        <f>J14/K14</f>
        <v>80.81183991106171</v>
      </c>
      <c r="M14" s="194"/>
      <c r="N14" s="204">
        <f>SUMIFS('Budget - 2026'!DG:DG,'Budget - 2026'!E:E,G1)</f>
        <v>1622733.1999999997</v>
      </c>
      <c r="O14" s="205">
        <f>SUMIFS('Budget - 2026'!DH:DH,'Budget - 2026'!E:E,G1)</f>
        <v>19337.599999999995</v>
      </c>
      <c r="P14" s="206">
        <f>N14/O14</f>
        <v>83.915956478570251</v>
      </c>
    </row>
    <row r="15" spans="3:26" s="54" customFormat="1" ht="28.9" customHeight="1">
      <c r="D15" s="207" t="s">
        <v>105</v>
      </c>
      <c r="E15" s="203"/>
      <c r="F15" s="179">
        <f>(F13-F14)/F14</f>
        <v>-0.45705768655356122</v>
      </c>
      <c r="G15" s="179">
        <f>(G13-G14)/G14</f>
        <v>-0.46637020566981657</v>
      </c>
      <c r="H15" s="179">
        <f>(H13-H14)/H14</f>
        <v>1.7451272802232669E-2</v>
      </c>
      <c r="I15" s="194"/>
      <c r="J15" s="179">
        <f>(J13-J14)/J14</f>
        <v>-0.50396175897042594</v>
      </c>
      <c r="K15" s="179">
        <f>(K13-K14)/K14</f>
        <v>-0.51222901612006677</v>
      </c>
      <c r="L15" s="179">
        <f>(L13-L14)/L14</f>
        <v>1.6949054828722294E-2</v>
      </c>
      <c r="M15" s="107"/>
      <c r="N15" s="179">
        <f>(N13-N14)/N14</f>
        <v>-9.7304806483283601E-2</v>
      </c>
      <c r="O15" s="179">
        <f>(O13-O14)/O14</f>
        <v>-9.6578686083071089E-2</v>
      </c>
      <c r="P15" s="179">
        <f>(P13-P14)/P14</f>
        <v>-8.0374504013452225E-4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242</v>
      </c>
      <c r="E25" s="222"/>
      <c r="F25" s="223">
        <f>SUM(F19,F13,F7)</f>
        <v>190497.35</v>
      </c>
      <c r="G25" s="224">
        <f t="shared" ref="G25" si="0">SUM(G19,G13,G7)</f>
        <v>1770</v>
      </c>
      <c r="H25" s="223">
        <f>F25/G25</f>
        <v>107.62562146892655</v>
      </c>
      <c r="I25" s="76"/>
      <c r="J25" s="223">
        <f>SUM(J19,J13,J7)</f>
        <v>385503.33999999997</v>
      </c>
      <c r="K25" s="224">
        <f t="shared" ref="K25" si="1">SUM(K19,K13,K7)</f>
        <v>3633</v>
      </c>
      <c r="L25" s="223">
        <f>J25/K25</f>
        <v>106.11157170382603</v>
      </c>
      <c r="N25" s="223">
        <f>SUM(N19,N13,N7)</f>
        <v>7767875.7899999991</v>
      </c>
      <c r="O25" s="224">
        <f t="shared" ref="O25" si="2">SUM(O19,O13,O7)</f>
        <v>69691</v>
      </c>
      <c r="P25" s="223">
        <f>N25/O25</f>
        <v>111.46167783501456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230673.492</v>
      </c>
      <c r="G26" s="212">
        <f>SUM(G20,G14,G8)</f>
        <v>2278.9169999999999</v>
      </c>
      <c r="H26" s="213">
        <f>F26/G26</f>
        <v>101.22066402593865</v>
      </c>
      <c r="I26" s="194"/>
      <c r="J26" s="211">
        <f>SUM(J20,J14,J8)</f>
        <v>461346.984</v>
      </c>
      <c r="K26" s="212">
        <f>SUM(K20,K14,K8)</f>
        <v>4557.8339999999998</v>
      </c>
      <c r="L26" s="213">
        <f>J26/K26</f>
        <v>101.22066402593865</v>
      </c>
      <c r="M26" s="194"/>
      <c r="N26" s="211">
        <f>SUM(N20,N14,N8)</f>
        <v>8554954.0340000037</v>
      </c>
      <c r="O26" s="212">
        <f>SUM(O20,O14,O8)</f>
        <v>78479.009000000005</v>
      </c>
      <c r="P26" s="213">
        <f>N26/O26</f>
        <v>109.00945543285343</v>
      </c>
    </row>
    <row r="27" spans="2:26" s="54" customFormat="1" ht="28.9" customHeight="1">
      <c r="D27" s="214" t="s">
        <v>105</v>
      </c>
      <c r="E27" s="210"/>
      <c r="F27" s="215">
        <f>(F25-F26)/F26</f>
        <v>-0.17416887242509857</v>
      </c>
      <c r="G27" s="215">
        <f>(G25-G26)/G26</f>
        <v>-0.22331528528682701</v>
      </c>
      <c r="H27" s="215">
        <f>(H25-H26)/H26</f>
        <v>6.3277172745543175E-2</v>
      </c>
      <c r="I27" s="194"/>
      <c r="J27" s="215">
        <f>(J25-J26)/J26</f>
        <v>-0.16439609801372415</v>
      </c>
      <c r="K27" s="215">
        <f>(K25-K26)/K26</f>
        <v>-0.20291085634097245</v>
      </c>
      <c r="L27" s="215">
        <f>(L25-L26)/L26</f>
        <v>4.8319260942943899E-2</v>
      </c>
      <c r="M27" s="107"/>
      <c r="N27" s="215">
        <f>(N25-N26)/N26</f>
        <v>-9.2002626884015379E-2</v>
      </c>
      <c r="O27" s="215">
        <f>(O25-O26)/O26</f>
        <v>-0.11197910259035004</v>
      </c>
      <c r="P27" s="215">
        <f>(P25-P26)/P26</f>
        <v>2.2495501811506821E-2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G25" sqref="G25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36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36</v>
      </c>
      <c r="F1" s="5">
        <f>VLOOKUP(D1,Dates!$B$2:$E$53,4,FALSE)</f>
        <v>36</v>
      </c>
      <c r="G1" s="232" t="b">
        <v>1</v>
      </c>
    </row>
    <row r="2" spans="4:20" ht="28.5" customHeight="1">
      <c r="D2" s="399" t="str">
        <f>CONCATENATE("MILA 3F",)</f>
        <v>MILA 3F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240</v>
      </c>
      <c r="N4" s="429"/>
      <c r="O4" s="429"/>
      <c r="P4" s="428" t="s">
        <v>241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252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253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254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255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711921.33</v>
      </c>
      <c r="G29" s="233">
        <f>SUMIFS('Budget - 2026'!$R$5:$R$56,'Budget - 2026'!$B$5:$B$56,'MILA 3F - Overview'!D29)</f>
        <v>732061</v>
      </c>
      <c r="H29" s="247">
        <f t="shared" si="0"/>
        <v>-2.7510917806029881E-2</v>
      </c>
      <c r="I29" s="194"/>
      <c r="J29" s="239">
        <f>SUMIFS('Budget - 2026'!$U$5:$U$56,'Budget - 2026'!$B$5:$B$56,'MILA 3F - Overview'!D29)</f>
        <v>732196</v>
      </c>
      <c r="K29" s="251">
        <f t="shared" si="1"/>
        <v>-2.7690222290206505E-2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42361.75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733615.49999999988</v>
      </c>
      <c r="G30" s="233">
        <f>SUMIFS('Budget - 2026'!$R$5:$R$56,'Budget - 2026'!$B$5:$B$56,'MILA 3F - Overview'!D30)</f>
        <v>761934</v>
      </c>
      <c r="H30" s="247">
        <f t="shared" si="0"/>
        <v>-3.7166604981533985E-2</v>
      </c>
      <c r="I30" s="194"/>
      <c r="J30" s="239">
        <f>SUMIFS('Budget - 2026'!$U$5:$U$56,'Budget - 2026'!$B$5:$B$56,'MILA 3F - Overview'!D30)</f>
        <v>760955</v>
      </c>
      <c r="K30" s="251">
        <f t="shared" si="1"/>
        <v>-3.592788009803486E-2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44255.6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256</v>
      </c>
      <c r="E31" s="194"/>
      <c r="F31" s="241">
        <f>SUM(F27:F30)</f>
        <v>3430192.79</v>
      </c>
      <c r="G31" s="228">
        <f>SUM(G27:G30)</f>
        <v>3257839</v>
      </c>
      <c r="H31" s="248">
        <f t="shared" ref="H31" si="7">(F31-G31)/G31</f>
        <v>5.2904330140316952E-2</v>
      </c>
      <c r="I31" s="194"/>
      <c r="J31" s="241">
        <f>SUM(J27:J30)</f>
        <v>3245967</v>
      </c>
      <c r="K31" s="248">
        <f>(F31-J31)/J31</f>
        <v>5.6755287407419745E-2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202476.58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707380.64</v>
      </c>
      <c r="G32" s="233">
        <f>SUMIFS('Budget - 2026'!$R$5:$R$56,'Budget - 2026'!$B$5:$B$56,'MILA 3F - Overview'!D32)</f>
        <v>573980</v>
      </c>
      <c r="H32" s="247">
        <f t="shared" si="0"/>
        <v>0.23241339419491971</v>
      </c>
      <c r="I32" s="194"/>
      <c r="J32" s="239">
        <f>SUMIFS('Budget - 2026'!$U$5:$U$56,'Budget - 2026'!$B$5:$B$56,'MILA 3F - Overview'!D32)</f>
        <v>572975</v>
      </c>
      <c r="K32" s="251">
        <f t="shared" si="1"/>
        <v>0.23457505126750733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51670.2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632806.93000000005</v>
      </c>
      <c r="G33" s="233">
        <f>SUMIFS('Budget - 2026'!$R$5:$R$56,'Budget - 2026'!$B$5:$B$56,'MILA 3F - Overview'!D33)</f>
        <v>539971</v>
      </c>
      <c r="H33" s="247">
        <f t="shared" si="0"/>
        <v>0.17192762203896145</v>
      </c>
      <c r="I33" s="194"/>
      <c r="J33" s="239">
        <f>SUMIFS('Budget - 2026'!$U$5:$U$56,'Budget - 2026'!$B$5:$B$56,'MILA 3F - Overview'!D33)</f>
        <v>538577</v>
      </c>
      <c r="K33" s="251">
        <f t="shared" si="1"/>
        <v>0.17496092480740924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39216.93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257</v>
      </c>
      <c r="E37" s="194"/>
      <c r="F37" s="241">
        <f>SUM(F32:F36)</f>
        <v>3204691.16</v>
      </c>
      <c r="G37" s="228">
        <f>SUM(G32:G36)</f>
        <v>3036736</v>
      </c>
      <c r="H37" s="248">
        <f t="shared" ref="H37" si="9">(F37-G37)/G37</f>
        <v>5.5307790996649085E-2</v>
      </c>
      <c r="I37" s="194"/>
      <c r="J37" s="241">
        <f>SUM(J32:J36)</f>
        <v>2864790.8200000003</v>
      </c>
      <c r="K37" s="248">
        <f>(F37-J37)/J37</f>
        <v>0.11864752484790489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227386.83000000002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258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168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169</v>
      </c>
      <c r="E46" s="194"/>
      <c r="F46" s="239">
        <f>SUMIFS('Actual - 2026'!$K$5:$K$56,'Actual - 2026'!$A$5:$A$56,'MILA 3F - Overview'!D46)</f>
        <v>537706</v>
      </c>
      <c r="G46" s="233">
        <f>SUMIFS('Budget - 2026'!$R$5:$R$56,'Budget - 2026'!$B$5:$B$56,'MILA 3F - Overview'!D46)</f>
        <v>471976</v>
      </c>
      <c r="H46" s="247">
        <f t="shared" si="0"/>
        <v>0.13926555587572251</v>
      </c>
      <c r="I46" s="194"/>
      <c r="J46" s="239">
        <f>SUMIFS('Budget - 2026'!$U$5:$U$56,'Budget - 2026'!$B$5:$B$56,'MILA 3F - Overview'!D46)</f>
        <v>458681.79</v>
      </c>
      <c r="K46" s="251">
        <f t="shared" si="1"/>
        <v>0.17228547486046922</v>
      </c>
      <c r="L46" s="194"/>
      <c r="M46" s="239">
        <f>SUMIFS('Actual - 2026'!$E$5:$E$56,'Actual - 2026'!$A$5:$A$56,'MILA 2F - Overview'!D46)</f>
        <v>507489.99999999994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30216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259</v>
      </c>
      <c r="E47" s="194"/>
      <c r="F47" s="241">
        <f>SUM(F43:F46)</f>
        <v>2089482.7000000002</v>
      </c>
      <c r="G47" s="228">
        <f>SUM(G43:G46)</f>
        <v>1934121</v>
      </c>
      <c r="H47" s="248">
        <f t="shared" ref="H47" si="12">(F47-G47)/G47</f>
        <v>8.0326773764412968E-2</v>
      </c>
      <c r="I47" s="194"/>
      <c r="J47" s="241">
        <f>SUM(J43:J46)</f>
        <v>1938120.61</v>
      </c>
      <c r="K47" s="248">
        <f>(F47-J47)/J47</f>
        <v>7.8097353291134999E-2</v>
      </c>
      <c r="L47" s="194"/>
      <c r="M47" s="241">
        <f t="shared" ref="M47:R47" si="13">SUM(M43:M46)</f>
        <v>1950000.6</v>
      </c>
      <c r="N47" s="228">
        <f t="shared" si="13"/>
        <v>1814537</v>
      </c>
      <c r="O47" s="242">
        <f t="shared" si="13"/>
        <v>1818536.36</v>
      </c>
      <c r="P47" s="241">
        <f t="shared" si="13"/>
        <v>139482.1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172</v>
      </c>
      <c r="E48" s="194"/>
      <c r="F48" s="239">
        <f>SUMIFS('Actual - 2026'!$K$5:$K$56,'Actual - 2026'!$A$5:$A$56,'MILA 3F - Overview'!D48)</f>
        <v>506455.26</v>
      </c>
      <c r="G48" s="233">
        <f>SUMIFS('Budget - 2026'!$R$5:$R$56,'Budget - 2026'!$B$5:$B$56,'MILA 3F - Overview'!D48)</f>
        <v>552157</v>
      </c>
      <c r="H48" s="247">
        <f t="shared" si="0"/>
        <v>-8.2769465930885577E-2</v>
      </c>
      <c r="I48" s="194"/>
      <c r="J48" s="239">
        <f>SUMIFS('Budget - 2026'!$U$5:$U$56,'Budget - 2026'!$B$5:$B$56,'MILA 3F - Overview'!D48)</f>
        <v>531087.78</v>
      </c>
      <c r="K48" s="251">
        <f t="shared" si="1"/>
        <v>-4.6381259233643106E-2</v>
      </c>
      <c r="L48" s="194"/>
      <c r="M48" s="239">
        <f>SUMIFS('Actual - 2026'!$E$5:$E$56,'Actual - 2026'!$A$5:$A$56,'MILA 2F - Overview'!D48)</f>
        <v>463486.61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42968.65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101</v>
      </c>
      <c r="E49" s="194"/>
      <c r="F49" s="239">
        <f>SUMIFS('Actual - 2026'!$K$5:$K$56,'Actual - 2026'!$A$5:$A$56,'MILA 3F - Overview'!D49)</f>
        <v>523299.35</v>
      </c>
      <c r="G49" s="233">
        <f>SUMIFS('Budget - 2026'!$R$5:$R$56,'Budget - 2026'!$B$5:$B$56,'MILA 3F - Overview'!D49)</f>
        <v>435252</v>
      </c>
      <c r="H49" s="247">
        <f t="shared" si="0"/>
        <v>0.2022905121630687</v>
      </c>
      <c r="I49" s="194"/>
      <c r="J49" s="239">
        <f>SUMIFS('Budget - 2026'!$U$5:$U$56,'Budget - 2026'!$B$5:$B$56,'MILA 3F - Overview'!D49)</f>
        <v>405782.51</v>
      </c>
      <c r="K49" s="251">
        <f t="shared" si="1"/>
        <v>0.28960548348917248</v>
      </c>
      <c r="L49" s="194"/>
      <c r="M49" s="239">
        <f>SUMIFS('Actual - 2026'!$E$5:$E$56,'Actual - 2026'!$A$5:$A$56,'MILA 2F - Overview'!D49)</f>
        <v>485648.35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37651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173</v>
      </c>
      <c r="E50" s="194"/>
      <c r="F50" s="239">
        <f>SUMIFS('Actual - 2026'!$K$5:$K$56,'Actual - 2026'!$A$5:$A$56,'MILA 3F - Overview'!D50)</f>
        <v>0</v>
      </c>
      <c r="G50" s="233">
        <f>SUMIFS('Budget - 2026'!$R$5:$R$56,'Budget - 2026'!$B$5:$B$56,'MILA 3F - Overview'!D50)</f>
        <v>495911</v>
      </c>
      <c r="H50" s="247">
        <f t="shared" si="0"/>
        <v>-1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-1</v>
      </c>
      <c r="L50" s="194"/>
      <c r="M50" s="239">
        <f>SUMIFS('Actual - 2026'!$E$5:$E$56,'Actual - 2026'!$A$5:$A$56,'MILA 2F - Overview'!D50)</f>
        <v>0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0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174</v>
      </c>
      <c r="E51" s="194"/>
      <c r="F51" s="239">
        <f>SUMIFS('Actual - 2026'!$K$5:$K$56,'Actual - 2026'!$A$5:$A$56,'MILA 3F - Overview'!D51)</f>
        <v>0</v>
      </c>
      <c r="G51" s="233">
        <f>SUMIFS('Budget - 2026'!$R$5:$R$56,'Budget - 2026'!$B$5:$B$56,'MILA 3F - Overview'!D51)</f>
        <v>500317</v>
      </c>
      <c r="H51" s="247">
        <f t="shared" si="0"/>
        <v>-1</v>
      </c>
      <c r="I51" s="194"/>
      <c r="J51" s="239">
        <f>SUMIFS('Budget - 2026'!$U$5:$U$56,'Budget - 2026'!$B$5:$B$56,'MILA 3F - Overview'!D51)</f>
        <v>530741.75</v>
      </c>
      <c r="K51" s="251">
        <f t="shared" si="1"/>
        <v>-1</v>
      </c>
      <c r="L51" s="194"/>
      <c r="M51" s="239">
        <f>SUMIFS('Actual - 2026'!$E$5:$E$56,'Actual - 2026'!$A$5:$A$56,'MILA 2F - Overview'!D51)</f>
        <v>0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0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175</v>
      </c>
      <c r="E52" s="194"/>
      <c r="F52" s="239">
        <f>SUMIFS('Actual - 2026'!$K$5:$K$56,'Actual - 2026'!$A$5:$A$56,'MILA 3F - Overview'!D52)</f>
        <v>0</v>
      </c>
      <c r="G52" s="233">
        <f>SUMIFS('Budget - 2026'!$R$5:$R$56,'Budget - 2026'!$B$5:$B$56,'MILA 3F - Overview'!D52)</f>
        <v>514288</v>
      </c>
      <c r="H52" s="247">
        <f t="shared" si="0"/>
        <v>-1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-1</v>
      </c>
      <c r="L52" s="194"/>
      <c r="M52" s="239">
        <f>SUMIFS('Actual - 2026'!$E$5:$E$56,'Actual - 2026'!$A$5:$A$56,'MILA 2F - Overview'!D52)</f>
        <v>0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0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260</v>
      </c>
      <c r="E53" s="194"/>
      <c r="F53" s="241">
        <f>SUM(F48:F52)</f>
        <v>1029754.61</v>
      </c>
      <c r="G53" s="228">
        <f>SUM(G48:G52)</f>
        <v>2497925</v>
      </c>
      <c r="H53" s="248">
        <f t="shared" si="0"/>
        <v>-0.58775599347458396</v>
      </c>
      <c r="I53" s="194"/>
      <c r="J53" s="241">
        <f>SUM(J48:J52)</f>
        <v>2504555.89</v>
      </c>
      <c r="K53" s="248">
        <f>(F53-J53)/J53</f>
        <v>-0.58884742236676546</v>
      </c>
      <c r="L53" s="194"/>
      <c r="M53" s="241">
        <f t="shared" ref="M53:R53" si="14">SUM(M48:M52)</f>
        <v>949134.96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80619.649999999994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177</v>
      </c>
      <c r="E54" s="194"/>
      <c r="F54" s="239">
        <f>SUMIFS('Actual - 2026'!$K$5:$K$56,'Actual - 2026'!$A$5:$A$56,'MILA 3F - Overview'!D54)</f>
        <v>0</v>
      </c>
      <c r="G54" s="233">
        <f>SUMIFS('Budget - 2026'!$R$5:$R$56,'Budget - 2026'!$B$5:$B$56,'MILA 3F - Overview'!D54)</f>
        <v>459903</v>
      </c>
      <c r="H54" s="247">
        <f t="shared" si="0"/>
        <v>-1</v>
      </c>
      <c r="I54" s="194"/>
      <c r="J54" s="239">
        <f>SUMIFS('Budget - 2026'!$U$5:$U$56,'Budget - 2026'!$B$5:$B$56,'MILA 3F - Overview'!D54)</f>
        <v>488577.75</v>
      </c>
      <c r="K54" s="251">
        <f t="shared" si="1"/>
        <v>-1</v>
      </c>
      <c r="L54" s="194"/>
      <c r="M54" s="239">
        <f>SUMIFS('Actual - 2026'!$E$5:$E$56,'Actual - 2026'!$A$5:$A$56,'MILA 2F - Overview'!D54)</f>
        <v>0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0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178</v>
      </c>
      <c r="E55" s="194"/>
      <c r="F55" s="239">
        <f>SUMIFS('Actual - 2026'!$K$5:$K$56,'Actual - 2026'!$A$5:$A$56,'MILA 3F - Overview'!D55)</f>
        <v>0</v>
      </c>
      <c r="G55" s="233">
        <f>SUMIFS('Budget - 2026'!$R$5:$R$56,'Budget - 2026'!$B$5:$B$56,'MILA 3F - Overview'!D55)</f>
        <v>566071</v>
      </c>
      <c r="H55" s="247">
        <f t="shared" si="0"/>
        <v>-1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-1</v>
      </c>
      <c r="L55" s="194"/>
      <c r="M55" s="239">
        <f>SUMIFS('Actual - 2026'!$E$5:$E$56,'Actual - 2026'!$A$5:$A$56,'MILA 2F - Overview'!D55)</f>
        <v>0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0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179</v>
      </c>
      <c r="E56" s="194"/>
      <c r="F56" s="239">
        <f>SUMIFS('Actual - 2026'!$K$5:$K$56,'Actual - 2026'!$A$5:$A$56,'MILA 3F - Overview'!D56)</f>
        <v>0</v>
      </c>
      <c r="G56" s="233">
        <f>SUMIFS('Budget - 2026'!$R$5:$R$56,'Budget - 2026'!$B$5:$B$56,'MILA 3F - Overview'!D56)</f>
        <v>603868</v>
      </c>
      <c r="H56" s="247">
        <f t="shared" si="0"/>
        <v>-1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-1</v>
      </c>
      <c r="L56" s="194"/>
      <c r="M56" s="239">
        <f>SUMIFS('Actual - 2026'!$E$5:$E$56,'Actual - 2026'!$A$5:$A$56,'MILA 2F - Overview'!D56)</f>
        <v>0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0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2294481</v>
      </c>
      <c r="H58" s="248">
        <f t="shared" si="0"/>
        <v>-1</v>
      </c>
      <c r="I58" s="194"/>
      <c r="J58" s="241">
        <f>SUM(J54:J57)</f>
        <v>2326187.1800000002</v>
      </c>
      <c r="K58" s="248">
        <f>(F58-J58)/J58</f>
        <v>-1</v>
      </c>
      <c r="L58" s="194"/>
      <c r="M58" s="241">
        <f t="shared" ref="M58:R58" si="15">SUM(M54:M57)</f>
        <v>0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0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36</v>
      </c>
      <c r="F1" s="5">
        <f>VLOOKUP(D1,Dates!$B$2:$E$53,4,FALSE)</f>
        <v>36</v>
      </c>
      <c r="G1" s="5" t="b">
        <v>1</v>
      </c>
    </row>
    <row r="2" spans="4:21" ht="28.5">
      <c r="D2" s="398" t="str">
        <f>CONCATENATE("MILA 2F",)</f>
        <v>MILA 2F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  <c r="S2" s="399"/>
      <c r="T2" s="399"/>
      <c r="U2" s="399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230</v>
      </c>
      <c r="N4" s="433"/>
      <c r="O4" s="433"/>
      <c r="P4" s="432" t="s">
        <v>207</v>
      </c>
      <c r="Q4" s="433"/>
      <c r="R4" s="433"/>
      <c r="S4" s="432" t="s">
        <v>231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252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253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254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255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256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257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258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168</v>
      </c>
      <c r="E45" s="194"/>
      <c r="F45" s="239">
        <f>SUMIFS('Actual - 2026'!$W$5:$W$56,'Actual - 2026'!$A$5:$A$56,'MILA 2F - Overview'!D45)</f>
        <v>133033</v>
      </c>
      <c r="G45" s="233">
        <f>SUMIFS('Budget - 2026'!$AP$5:$AP$56,'Budget - 2026'!$B$5:$B$56,'MILA 2F - Overview'!D45)</f>
        <v>259520.4868459733</v>
      </c>
      <c r="H45" s="247">
        <f t="shared" si="3"/>
        <v>-0.48738921687151526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-0.53666259564934493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64932.7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169</v>
      </c>
      <c r="E46" s="194"/>
      <c r="F46" s="239">
        <f>SUMIFS('Actual - 2026'!$W$5:$W$56,'Actual - 2026'!$A$5:$A$56,'MILA 2F - Overview'!D46)</f>
        <v>191603</v>
      </c>
      <c r="G46" s="233">
        <f>SUMIFS('Budget - 2026'!$AP$5:$AP$56,'Budget - 2026'!$B$5:$B$56,'MILA 2F - Overview'!D46)</f>
        <v>226577.17340646678</v>
      </c>
      <c r="H46" s="247">
        <f t="shared" si="3"/>
        <v>-0.15435876827594222</v>
      </c>
      <c r="I46" s="194"/>
      <c r="J46" s="239">
        <f>SUMIFS('Budget - 2026'!$AS$5:$AS$56,'Budget - 2026'!$B$5:$B$56,'MILA 2F - Overview'!D46)</f>
        <v>225616.5</v>
      </c>
      <c r="K46" s="251">
        <f t="shared" si="1"/>
        <v>-0.15075803409768346</v>
      </c>
      <c r="L46" s="194"/>
      <c r="M46" s="239">
        <f>SUMIFS('Actual - 2026'!$N$5:$N$56,'Actual - 2026'!$A$5:$A$56,'MILA 2F - Overview'!D46)</f>
        <v>17523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43187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130893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259</v>
      </c>
      <c r="E47" s="194"/>
      <c r="F47" s="241">
        <f>SUM(F43:F46)</f>
        <v>675579.5</v>
      </c>
      <c r="G47" s="228">
        <f>SUM(G43:G46)</f>
        <v>1068949.7403736382</v>
      </c>
      <c r="H47" s="248">
        <f t="shared" si="3"/>
        <v>-0.3679969464571276</v>
      </c>
      <c r="I47" s="194"/>
      <c r="J47" s="241">
        <f>SUM(J43:J46)</f>
        <v>978624.81</v>
      </c>
      <c r="K47" s="248">
        <f>IFERROR((F47-J47)/J47,0)</f>
        <v>-0.30966444637756529</v>
      </c>
      <c r="L47" s="194"/>
      <c r="M47" s="241">
        <f t="shared" ref="M47:U47" si="10">SUM(M43:M46)</f>
        <v>76841</v>
      </c>
      <c r="N47" s="228">
        <f t="shared" si="10"/>
        <v>70372</v>
      </c>
      <c r="O47" s="242">
        <f t="shared" si="10"/>
        <v>70523.05</v>
      </c>
      <c r="P47" s="241">
        <f t="shared" si="10"/>
        <v>162556.15000000002</v>
      </c>
      <c r="Q47" s="228">
        <f t="shared" si="10"/>
        <v>169238</v>
      </c>
      <c r="R47" s="242">
        <f t="shared" si="10"/>
        <v>169398.97</v>
      </c>
      <c r="S47" s="241">
        <f t="shared" si="10"/>
        <v>436182.35000000003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172</v>
      </c>
      <c r="E48" s="194"/>
      <c r="F48" s="239">
        <f>SUMIFS('Actual - 2026'!$W$5:$W$56,'Actual - 2026'!$A$5:$A$56,'MILA 2F - Overview'!D48)</f>
        <v>233886.51</v>
      </c>
      <c r="G48" s="233">
        <f>SUMIFS('Budget - 2026'!$AP$5:$AP$56,'Budget - 2026'!$B$5:$B$56,'MILA 2F - Overview'!D48)</f>
        <v>265323.01306649041</v>
      </c>
      <c r="H48" s="247">
        <f t="shared" si="3"/>
        <v>-0.11848389140150599</v>
      </c>
      <c r="I48" s="194"/>
      <c r="J48" s="239">
        <f>SUMIFS('Budget - 2026'!$AS$5:$AS$56,'Budget - 2026'!$B$5:$B$56,'MILA 2F - Overview'!D48)</f>
        <v>271633.64</v>
      </c>
      <c r="K48" s="251">
        <f t="shared" si="1"/>
        <v>-0.13896338465294653</v>
      </c>
      <c r="L48" s="194"/>
      <c r="M48" s="239">
        <f>SUMIFS('Actual - 2026'!$N$5:$N$56,'Actual - 2026'!$A$5:$A$56,'MILA 2F - Overview'!D48)</f>
        <v>24026.010000000002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40807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169053.5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101</v>
      </c>
      <c r="E49" s="194"/>
      <c r="F49" s="239">
        <f>SUMIFS('Actual - 2026'!$W$5:$W$56,'Actual - 2026'!$A$5:$A$56,'MILA 2F - Overview'!D49)</f>
        <v>289553.25</v>
      </c>
      <c r="G49" s="233">
        <f>SUMIFS('Budget - 2026'!$AP$5:$AP$56,'Budget - 2026'!$B$5:$B$56,'MILA 2F - Overview'!D49)</f>
        <v>196240.61006845554</v>
      </c>
      <c r="H49" s="247">
        <f t="shared" si="3"/>
        <v>0.47550117123562635</v>
      </c>
      <c r="I49" s="194"/>
      <c r="J49" s="239">
        <f>SUMIFS('Budget - 2026'!$AS$5:$AS$56,'Budget - 2026'!$B$5:$B$56,'MILA 2F - Overview'!D49)</f>
        <v>193364.36</v>
      </c>
      <c r="K49" s="251">
        <f t="shared" si="1"/>
        <v>0.49744890940605613</v>
      </c>
      <c r="L49" s="194"/>
      <c r="M49" s="239">
        <f>SUMIFS('Actual - 2026'!$N$5:$N$56,'Actual - 2026'!$A$5:$A$56,'MILA 2F - Overview'!D49)</f>
        <v>22472.5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56655.199999999997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210425.55000000002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173</v>
      </c>
      <c r="E50" s="194"/>
      <c r="F50" s="239">
        <f>SUMIFS('Actual - 2026'!$W$5:$W$56,'Actual - 2026'!$A$5:$A$56,'MILA 2F - Overview'!D50)</f>
        <v>0</v>
      </c>
      <c r="G50" s="233">
        <f>SUMIFS('Budget - 2026'!$AP$5:$AP$56,'Budget - 2026'!$B$5:$B$56,'MILA 2F - Overview'!D50)</f>
        <v>262152.36600204615</v>
      </c>
      <c r="H50" s="247">
        <f t="shared" si="3"/>
        <v>-1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-1</v>
      </c>
      <c r="L50" s="194"/>
      <c r="M50" s="239">
        <f>SUMIFS('Actual - 2026'!$N$5:$N$56,'Actual - 2026'!$A$5:$A$56,'MILA 2F - Overview'!D50)</f>
        <v>0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0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0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174</v>
      </c>
      <c r="E51" s="194"/>
      <c r="F51" s="239">
        <f>SUMIFS('Actual - 2026'!$W$5:$W$56,'Actual - 2026'!$A$5:$A$56,'MILA 2F - Overview'!D51)</f>
        <v>0</v>
      </c>
      <c r="G51" s="233">
        <f>SUMIFS('Budget - 2026'!$AP$5:$AP$56,'Budget - 2026'!$B$5:$B$56,'MILA 2F - Overview'!D51)</f>
        <v>232982.00763429431</v>
      </c>
      <c r="H51" s="247">
        <f t="shared" si="3"/>
        <v>-1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-1</v>
      </c>
      <c r="L51" s="194"/>
      <c r="M51" s="239">
        <f>SUMIFS('Actual - 2026'!$N$5:$N$56,'Actual - 2026'!$A$5:$A$56,'MILA 2F - Overview'!D51)</f>
        <v>0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0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0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175</v>
      </c>
      <c r="E52" s="194"/>
      <c r="F52" s="239">
        <f>SUMIFS('Actual - 2026'!$W$5:$W$56,'Actual - 2026'!$A$5:$A$56,'MILA 2F - Overview'!D52)</f>
        <v>0</v>
      </c>
      <c r="G52" s="233">
        <f>SUMIFS('Budget - 2026'!$AP$5:$AP$56,'Budget - 2026'!$B$5:$B$56,'MILA 2F - Overview'!D52)</f>
        <v>258042.10322871362</v>
      </c>
      <c r="H52" s="247">
        <f t="shared" si="3"/>
        <v>-1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-1</v>
      </c>
      <c r="L52" s="194"/>
      <c r="M52" s="239">
        <f>SUMIFS('Actual - 2026'!$N$5:$N$56,'Actual - 2026'!$A$5:$A$56,'MILA 2F - Overview'!D52)</f>
        <v>0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0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0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260</v>
      </c>
      <c r="E53" s="194"/>
      <c r="F53" s="241">
        <f>SUM(F48:F52)</f>
        <v>523439.76</v>
      </c>
      <c r="G53" s="228">
        <f>SUM(G48:G52)</f>
        <v>1214740.1000000001</v>
      </c>
      <c r="H53" s="248">
        <f t="shared" si="3"/>
        <v>-0.56909320767462934</v>
      </c>
      <c r="I53" s="194"/>
      <c r="J53" s="241">
        <f>SUM(J48:J52)</f>
        <v>1265240.52</v>
      </c>
      <c r="K53" s="248">
        <f>IFERROR((F53-J53)/J53,0)</f>
        <v>-0.58629228852076287</v>
      </c>
      <c r="L53" s="194"/>
      <c r="M53" s="241">
        <f t="shared" ref="M53:U53" si="11">SUM(M48:M52)</f>
        <v>46498.51</v>
      </c>
      <c r="N53" s="228">
        <f t="shared" si="11"/>
        <v>106523</v>
      </c>
      <c r="O53" s="242">
        <f t="shared" si="11"/>
        <v>106078.60999999999</v>
      </c>
      <c r="P53" s="241">
        <f t="shared" si="11"/>
        <v>97462.2</v>
      </c>
      <c r="Q53" s="228">
        <f t="shared" si="11"/>
        <v>262947</v>
      </c>
      <c r="R53" s="242">
        <f t="shared" si="11"/>
        <v>269714.57</v>
      </c>
      <c r="S53" s="241">
        <f t="shared" si="11"/>
        <v>379479.05000000005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177</v>
      </c>
      <c r="E54" s="194"/>
      <c r="F54" s="239">
        <f>SUMIFS('Actual - 2026'!$W$5:$W$56,'Actual - 2026'!$A$5:$A$56,'MILA 2F - Overview'!D54)</f>
        <v>0</v>
      </c>
      <c r="G54" s="233">
        <f>SUMIFS('Budget - 2026'!$AP$5:$AP$56,'Budget - 2026'!$B$5:$B$56,'MILA 2F - Overview'!D54)</f>
        <v>268247.97058419173</v>
      </c>
      <c r="H54" s="247">
        <f t="shared" si="3"/>
        <v>-1</v>
      </c>
      <c r="I54" s="194"/>
      <c r="J54" s="239">
        <f>SUMIFS('Budget - 2026'!$AS$5:$AS$56,'Budget - 2026'!$B$5:$B$56,'MILA 2F - Overview'!D54)</f>
        <v>269766.25</v>
      </c>
      <c r="K54" s="251">
        <f t="shared" si="1"/>
        <v>-1</v>
      </c>
      <c r="L54" s="194"/>
      <c r="M54" s="239">
        <f>SUMIFS('Actual - 2026'!$N$5:$N$56,'Actual - 2026'!$A$5:$A$56,'MILA 2F - Overview'!D54)</f>
        <v>0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0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0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178</v>
      </c>
      <c r="E55" s="194"/>
      <c r="F55" s="239">
        <f>SUMIFS('Actual - 2026'!$W$5:$W$56,'Actual - 2026'!$A$5:$A$56,'MILA 2F - Overview'!D55)</f>
        <v>0</v>
      </c>
      <c r="G55" s="233">
        <f>SUMIFS('Budget - 2026'!$AP$5:$AP$56,'Budget - 2026'!$B$5:$B$56,'MILA 2F - Overview'!D55)</f>
        <v>304956.98134043213</v>
      </c>
      <c r="H55" s="247">
        <f t="shared" si="3"/>
        <v>-1</v>
      </c>
      <c r="I55" s="194"/>
      <c r="J55" s="239">
        <f>SUMIFS('Budget - 2026'!$AS$5:$AS$56,'Budget - 2026'!$B$5:$B$56,'MILA 2F - Overview'!D55)</f>
        <v>304498.25</v>
      </c>
      <c r="K55" s="251">
        <f t="shared" si="1"/>
        <v>-1</v>
      </c>
      <c r="L55" s="194"/>
      <c r="M55" s="239">
        <f>SUMIFS('Actual - 2026'!$N$5:$N$56,'Actual - 2026'!$A$5:$A$56,'MILA 2F - Overview'!D55)</f>
        <v>0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0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0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179</v>
      </c>
      <c r="E56" s="194"/>
      <c r="F56" s="239">
        <f>SUMIFS('Actual - 2026'!$W$5:$W$56,'Actual - 2026'!$A$5:$A$56,'MILA 2F - Overview'!D56)</f>
        <v>0</v>
      </c>
      <c r="G56" s="233">
        <f>SUMIFS('Budget - 2026'!$AP$5:$AP$56,'Budget - 2026'!$B$5:$B$56,'MILA 2F - Overview'!D56)</f>
        <v>319323.33782905317</v>
      </c>
      <c r="H56" s="247">
        <f t="shared" si="3"/>
        <v>-1</v>
      </c>
      <c r="I56" s="194"/>
      <c r="J56" s="239">
        <f>SUMIFS('Budget - 2026'!$AS$5:$AS$56,'Budget - 2026'!$B$5:$B$56,'MILA 2F - Overview'!D56)</f>
        <v>323936</v>
      </c>
      <c r="K56" s="251">
        <f t="shared" si="1"/>
        <v>-1</v>
      </c>
      <c r="L56" s="194"/>
      <c r="M56" s="239">
        <f>SUMIFS('Actual - 2026'!$N$5:$N$56,'Actual - 2026'!$A$5:$A$56,'MILA 2F - Overview'!D56)</f>
        <v>0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0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0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1236354</v>
      </c>
      <c r="H58" s="248">
        <f t="shared" si="3"/>
        <v>-1</v>
      </c>
      <c r="I58" s="194"/>
      <c r="J58" s="241">
        <f>SUM(J54:J57)</f>
        <v>1310143.78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72925</v>
      </c>
      <c r="O58" s="242">
        <f t="shared" si="12"/>
        <v>72083.95</v>
      </c>
      <c r="P58" s="241">
        <f t="shared" si="12"/>
        <v>0</v>
      </c>
      <c r="Q58" s="228">
        <f t="shared" si="12"/>
        <v>285230</v>
      </c>
      <c r="R58" s="242">
        <f t="shared" si="12"/>
        <v>287741.21000000002</v>
      </c>
      <c r="S58" s="241">
        <f t="shared" si="12"/>
        <v>0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36</v>
      </c>
      <c r="F1" s="5">
        <f>VLOOKUP(D1,Dates!$B$2:$E$53,4,FALSE)</f>
        <v>36</v>
      </c>
      <c r="G1" s="5" t="b">
        <v>1</v>
      </c>
    </row>
    <row r="2" spans="4:21" ht="28.5">
      <c r="D2" s="398" t="str">
        <f>CONCATENATE("AVA - Winter Park",)</f>
        <v>AVA - Winter Park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  <c r="S2" s="399"/>
      <c r="T2" s="399"/>
      <c r="U2" s="399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252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253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254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255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256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257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258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168</v>
      </c>
      <c r="E45" s="194"/>
      <c r="F45" s="239">
        <f>SUMIFS('Actual - 2026'!$AI$5:$AI$56,'Actual - 2026'!$A$5:$A$56,'AVA WP - Overview'!D45)</f>
        <v>207885.03999999998</v>
      </c>
      <c r="G45" s="233">
        <f>SUMIFS('Budget - 2026'!$BE$5:$BE$56,'Budget - 2026'!$B$5:$B$56,'AVA WP - Overview'!D45)</f>
        <v>215228.29491185449</v>
      </c>
      <c r="H45" s="247">
        <f t="shared" si="3"/>
        <v>-3.4118445787352923E-2</v>
      </c>
      <c r="I45" s="194"/>
      <c r="J45" s="239">
        <f>SUMIFS('Budget - 2026'!$BQ$5:$BQ$56,'Budget - 2026'!$B$5:$B$56,'AVA WP - Overview'!D45)</f>
        <v>210230.6</v>
      </c>
      <c r="K45" s="251">
        <f t="shared" si="1"/>
        <v>-1.1157081794943393E-2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160122.23999999999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169</v>
      </c>
      <c r="E46" s="194"/>
      <c r="F46" s="239">
        <f>SUMIFS('Actual - 2026'!$AI$5:$AI$56,'Actual - 2026'!$A$5:$A$56,'AVA WP - Overview'!D46)</f>
        <v>263385.28999999998</v>
      </c>
      <c r="G46" s="233">
        <f>SUMIFS('Budget - 2026'!$BE$5:$BE$56,'Budget - 2026'!$B$5:$B$56,'AVA WP - Overview'!D46)</f>
        <v>243716.3272425773</v>
      </c>
      <c r="H46" s="247">
        <f t="shared" si="3"/>
        <v>8.0704329414276937E-2</v>
      </c>
      <c r="I46" s="194"/>
      <c r="J46" s="239">
        <f>SUMIFS('Budget - 2026'!$BQ$5:$BQ$56,'Budget - 2026'!$B$5:$B$56,'AVA WP - Overview'!D46)</f>
        <v>253094.62</v>
      </c>
      <c r="K46" s="251">
        <f t="shared" si="1"/>
        <v>4.0659378694023536E-2</v>
      </c>
      <c r="L46" s="194"/>
      <c r="M46" s="239">
        <f>SUMIFS('Actual - 2026'!$AC$5:$AC$56,'Actual - 2026'!$A$5:$A$56,'AVA WP - Overview'!D46)</f>
        <v>17786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206338.25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39261.039999999994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259</v>
      </c>
      <c r="E47" s="194"/>
      <c r="F47" s="241">
        <f>SUM(F43:F46)</f>
        <v>919807.02</v>
      </c>
      <c r="G47" s="228">
        <f>SUM(G43:G46)</f>
        <v>885919.24988692277</v>
      </c>
      <c r="H47" s="248">
        <f t="shared" si="3"/>
        <v>3.8251533779633556E-2</v>
      </c>
      <c r="I47" s="194"/>
      <c r="J47" s="241">
        <f>SUM(J43:J46)</f>
        <v>898120.6</v>
      </c>
      <c r="K47" s="248">
        <f>IFERROR((F47-J47)/J47,0)</f>
        <v>2.4146445366023273E-2</v>
      </c>
      <c r="L47" s="194"/>
      <c r="M47" s="241">
        <f t="shared" ref="M47:U47" si="10">SUM(M43:M46)</f>
        <v>74998.44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709735.64</v>
      </c>
      <c r="Q47" s="228">
        <f t="shared" si="10"/>
        <v>704704</v>
      </c>
      <c r="R47" s="242">
        <f t="shared" si="10"/>
        <v>701073.91</v>
      </c>
      <c r="S47" s="241">
        <f t="shared" si="10"/>
        <v>135072.94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172</v>
      </c>
      <c r="E48" s="194"/>
      <c r="F48" s="239">
        <f>SUMIFS('Actual - 2026'!$AI$5:$AI$56,'Actual - 2026'!$A$5:$A$56,'AVA WP - Overview'!D48)</f>
        <v>244630.62</v>
      </c>
      <c r="G48" s="233">
        <f>SUMIFS('Budget - 2026'!$BE$5:$BE$56,'Budget - 2026'!$B$5:$B$56,'AVA WP - Overview'!D48)</f>
        <v>227313.3291751417</v>
      </c>
      <c r="H48" s="247">
        <f t="shared" si="3"/>
        <v>7.6182469755284657E-2</v>
      </c>
      <c r="I48" s="194"/>
      <c r="J48" s="239">
        <f>SUMIFS('Budget - 2026'!$BQ$5:$BQ$56,'Budget - 2026'!$B$5:$B$56,'AVA WP - Overview'!D48)</f>
        <v>227829.29</v>
      </c>
      <c r="K48" s="251">
        <f t="shared" si="1"/>
        <v>7.3745259005108546E-2</v>
      </c>
      <c r="L48" s="194"/>
      <c r="M48" s="239">
        <f>SUMIFS('Actual - 2026'!$AC$5:$AC$56,'Actual - 2026'!$A$5:$A$56,'AVA WP - Overview'!D48)</f>
        <v>24087.03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190623.05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29920.539999999997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101</v>
      </c>
      <c r="E49" s="194"/>
      <c r="F49" s="239">
        <f>SUMIFS('Actual - 2026'!$AI$5:$AI$56,'Actual - 2026'!$A$5:$A$56,'AVA WP - Overview'!D49)</f>
        <v>244866.30000000005</v>
      </c>
      <c r="G49" s="233">
        <f>SUMIFS('Budget - 2026'!$BE$5:$BE$56,'Budget - 2026'!$B$5:$B$56,'AVA WP - Overview'!D49)</f>
        <v>216776.42792837723</v>
      </c>
      <c r="H49" s="247">
        <f t="shared" si="3"/>
        <v>0.12957991945924899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6.1817883794945391E-2</v>
      </c>
      <c r="L49" s="194"/>
      <c r="M49" s="239">
        <f>SUMIFS('Actual - 2026'!$AC$5:$AC$56,'Actual - 2026'!$A$5:$A$56,'AVA WP - Overview'!D49)</f>
        <v>20257.419999999998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193991.09000000003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30617.79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173</v>
      </c>
      <c r="E50" s="194"/>
      <c r="F50" s="239">
        <f>SUMIFS('Actual - 2026'!$AI$5:$AI$56,'Actual - 2026'!$A$5:$A$56,'AVA WP - Overview'!D50)</f>
        <v>0</v>
      </c>
      <c r="G50" s="233">
        <f>SUMIFS('Budget - 2026'!$BE$5:$BE$56,'Budget - 2026'!$B$5:$B$56,'AVA WP - Overview'!D50)</f>
        <v>204209.6904894491</v>
      </c>
      <c r="H50" s="247">
        <f t="shared" si="3"/>
        <v>-1</v>
      </c>
      <c r="I50" s="194"/>
      <c r="J50" s="239">
        <f>SUMIFS('Budget - 2026'!$BQ$5:$BQ$56,'Budget - 2026'!$B$5:$B$56,'AVA WP - Overview'!D50)</f>
        <v>221980.72</v>
      </c>
      <c r="K50" s="251">
        <f t="shared" si="1"/>
        <v>-1</v>
      </c>
      <c r="L50" s="194"/>
      <c r="M50" s="239">
        <f>SUMIFS('Actual - 2026'!$AC$5:$AC$56,'Actual - 2026'!$A$5:$A$56,'AVA WP - Overview'!D50)</f>
        <v>0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0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0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174</v>
      </c>
      <c r="E51" s="194"/>
      <c r="F51" s="239">
        <f>SUMIFS('Actual - 2026'!$AI$5:$AI$56,'Actual - 2026'!$A$5:$A$56,'AVA WP - Overview'!D51)</f>
        <v>0</v>
      </c>
      <c r="G51" s="233">
        <f>SUMIFS('Budget - 2026'!$BE$5:$BE$56,'Budget - 2026'!$B$5:$B$56,'AVA WP - Overview'!D51)</f>
        <v>244406.03558090213</v>
      </c>
      <c r="H51" s="247">
        <f t="shared" si="3"/>
        <v>-1</v>
      </c>
      <c r="I51" s="194"/>
      <c r="J51" s="239">
        <f>SUMIFS('Budget - 2026'!$BQ$5:$BQ$56,'Budget - 2026'!$B$5:$B$56,'AVA WP - Overview'!D51)</f>
        <v>242489.54</v>
      </c>
      <c r="K51" s="251">
        <f t="shared" si="1"/>
        <v>-1</v>
      </c>
      <c r="L51" s="194"/>
      <c r="M51" s="239">
        <f>SUMIFS('Actual - 2026'!$AC$5:$AC$56,'Actual - 2026'!$A$5:$A$56,'AVA WP - Overview'!D51)</f>
        <v>0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0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0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175</v>
      </c>
      <c r="E52" s="194"/>
      <c r="F52" s="239">
        <f>SUMIFS('Actual - 2026'!$AI$5:$AI$56,'Actual - 2026'!$A$5:$A$56,'AVA WP - Overview'!D52)</f>
        <v>0</v>
      </c>
      <c r="G52" s="233">
        <f>SUMIFS('Budget - 2026'!$BE$5:$BE$56,'Budget - 2026'!$B$5:$B$56,'AVA WP - Overview'!D52)</f>
        <v>258333.5513017484</v>
      </c>
      <c r="H52" s="247">
        <f t="shared" si="3"/>
        <v>-1</v>
      </c>
      <c r="I52" s="194"/>
      <c r="J52" s="239">
        <f>SUMIFS('Budget - 2026'!$BQ$5:$BQ$56,'Budget - 2026'!$B$5:$B$56,'AVA WP - Overview'!D52)</f>
        <v>252756.7</v>
      </c>
      <c r="K52" s="251">
        <f t="shared" si="1"/>
        <v>-1</v>
      </c>
      <c r="L52" s="194"/>
      <c r="M52" s="239">
        <f>SUMIFS('Actual - 2026'!$AC$5:$AC$56,'Actual - 2026'!$A$5:$A$56,'AVA WP - Overview'!D52)</f>
        <v>0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0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0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260</v>
      </c>
      <c r="E53" s="194"/>
      <c r="F53" s="241">
        <f>SUM(F48:F52)</f>
        <v>489496.92000000004</v>
      </c>
      <c r="G53" s="228">
        <f>SUM(G48:G52)</f>
        <v>1151039.0344756185</v>
      </c>
      <c r="H53" s="248">
        <f t="shared" si="3"/>
        <v>-0.57473473501878125</v>
      </c>
      <c r="I53" s="194"/>
      <c r="J53" s="241">
        <f>SUM(J48:J52)</f>
        <v>1175666.7</v>
      </c>
      <c r="K53" s="248">
        <f>IFERROR((F53-J53)/J53,0)</f>
        <v>-0.58364311926160695</v>
      </c>
      <c r="L53" s="194"/>
      <c r="M53" s="241">
        <f t="shared" ref="M53:U53" si="11">SUM(M48:M52)</f>
        <v>44344.45</v>
      </c>
      <c r="N53" s="228">
        <f t="shared" si="11"/>
        <v>84435.03447561861</v>
      </c>
      <c r="O53" s="242">
        <f t="shared" si="11"/>
        <v>92203</v>
      </c>
      <c r="P53" s="241">
        <f t="shared" si="11"/>
        <v>384614.14</v>
      </c>
      <c r="Q53" s="228">
        <f t="shared" si="11"/>
        <v>903179</v>
      </c>
      <c r="R53" s="242">
        <f t="shared" si="11"/>
        <v>897472.23</v>
      </c>
      <c r="S53" s="241">
        <f t="shared" si="11"/>
        <v>60538.33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177</v>
      </c>
      <c r="E54" s="194"/>
      <c r="F54" s="239">
        <f>SUMIFS('Actual - 2026'!$AI$5:$AI$56,'Actual - 2026'!$A$5:$A$56,'AVA WP - Overview'!D54)</f>
        <v>0</v>
      </c>
      <c r="G54" s="233">
        <f>SUMIFS('Budget - 2026'!$BE$5:$BE$56,'Budget - 2026'!$B$5:$B$56,'AVA WP - Overview'!D54)</f>
        <v>223823.61923557788</v>
      </c>
      <c r="H54" s="247">
        <f t="shared" si="3"/>
        <v>-1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-1</v>
      </c>
      <c r="L54" s="194"/>
      <c r="M54" s="239">
        <f>SUMIFS('Actual - 2026'!$AC$5:$AC$56,'Actual - 2026'!$A$5:$A$56,'AVA WP - Overview'!D54)</f>
        <v>0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0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0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178</v>
      </c>
      <c r="E55" s="194"/>
      <c r="F55" s="239">
        <f>SUMIFS('Actual - 2026'!$AI$5:$AI$56,'Actual - 2026'!$A$5:$A$56,'AVA WP - Overview'!D55)</f>
        <v>0</v>
      </c>
      <c r="G55" s="233">
        <f>SUMIFS('Budget - 2026'!$BE$5:$BE$56,'Budget - 2026'!$B$5:$B$56,'AVA WP - Overview'!D55)</f>
        <v>232833.6792313492</v>
      </c>
      <c r="H55" s="247">
        <f t="shared" si="3"/>
        <v>-1</v>
      </c>
      <c r="I55" s="194"/>
      <c r="J55" s="239">
        <f>SUMIFS('Budget - 2026'!$BQ$5:$BQ$56,'Budget - 2026'!$B$5:$B$56,'AVA WP - Overview'!D55)</f>
        <v>236246.37</v>
      </c>
      <c r="K55" s="251">
        <f t="shared" si="1"/>
        <v>-1</v>
      </c>
      <c r="L55" s="194"/>
      <c r="M55" s="239">
        <f>SUMIFS('Actual - 2026'!$AC$5:$AC$56,'Actual - 2026'!$A$5:$A$56,'AVA WP - Overview'!D55)</f>
        <v>0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0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0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179</v>
      </c>
      <c r="E56" s="194"/>
      <c r="F56" s="239">
        <f>SUMIFS('Actual - 2026'!$AI$5:$AI$56,'Actual - 2026'!$A$5:$A$56,'AVA WP - Overview'!D56)</f>
        <v>0</v>
      </c>
      <c r="G56" s="233">
        <f>SUMIFS('Budget - 2026'!$BE$5:$BE$56,'Budget - 2026'!$B$5:$B$56,'AVA WP - Overview'!D56)</f>
        <v>237355.62247068359</v>
      </c>
      <c r="H56" s="247">
        <f t="shared" si="3"/>
        <v>-1</v>
      </c>
      <c r="I56" s="194"/>
      <c r="J56" s="239">
        <f>SUMIFS('Budget - 2026'!$BQ$5:$BQ$56,'Budget - 2026'!$B$5:$B$56,'AVA WP - Overview'!D56)</f>
        <v>239202.97</v>
      </c>
      <c r="K56" s="251">
        <f t="shared" si="1"/>
        <v>-1</v>
      </c>
      <c r="L56" s="194"/>
      <c r="M56" s="239">
        <f>SUMIFS('Actual - 2026'!$AC$5:$AC$56,'Actual - 2026'!$A$5:$A$56,'AVA WP - Overview'!D56)</f>
        <v>0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0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0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927301.07843366452</v>
      </c>
      <c r="H58" s="248">
        <f t="shared" si="3"/>
        <v>-1</v>
      </c>
      <c r="I58" s="194"/>
      <c r="J58" s="241">
        <f>SUM(J54:J57)</f>
        <v>944135.04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80503.078433664516</v>
      </c>
      <c r="O58" s="242">
        <f t="shared" si="12"/>
        <v>83520</v>
      </c>
      <c r="P58" s="241">
        <f t="shared" si="12"/>
        <v>0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0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36</v>
      </c>
      <c r="F1" s="5">
        <f>VLOOKUP(D1,Dates!$B$2:$E$53,4,FALSE)</f>
        <v>36</v>
      </c>
      <c r="G1" s="5" t="b">
        <v>1</v>
      </c>
    </row>
    <row r="2" spans="4:20" ht="28.5">
      <c r="D2" s="398" t="str">
        <f>CONCATENATE("CASA NEOS",)</f>
        <v>CASA NEOS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252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253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254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255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256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257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258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168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169</v>
      </c>
      <c r="E46" s="194"/>
      <c r="F46" s="239">
        <f>SUMIFS('Actual - 2026'!$AR$5:$AR$56,'Actual - 2026'!$A$5:$A$56,'CASA NEOS Overview '!D46)</f>
        <v>386565.86</v>
      </c>
      <c r="G46" s="233">
        <f>SUMIFS('Budget - 2026'!$BZ$5:$BZ$56,'Budget - 2026'!$B$5:$B$56,'CASA NEOS Overview '!D46)</f>
        <v>504292.48581203585</v>
      </c>
      <c r="H46" s="247">
        <f t="shared" si="0"/>
        <v>-0.23344909774427203</v>
      </c>
      <c r="I46" s="194"/>
      <c r="J46" s="239">
        <f>SUMIFS('Budget - 2026'!$CI$5:$CI$56,'Budget - 2026'!$B$5:$B$56,'CASA NEOS Overview '!D46)</f>
        <v>493511.75</v>
      </c>
      <c r="K46" s="251">
        <f t="shared" si="7"/>
        <v>-0.21670383734531146</v>
      </c>
      <c r="L46" s="194"/>
      <c r="M46" s="239">
        <f>SUMIFS('Actual - 2026'!$AO$5:$AO$56,'Actual - 2026'!$A$5:$A$56,'MILA 2F - Overview'!D46)</f>
        <v>323010.56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63555.3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259</v>
      </c>
      <c r="E47" s="194"/>
      <c r="F47" s="241">
        <f>SUM(F43:F46)</f>
        <v>1654780.06</v>
      </c>
      <c r="G47" s="228">
        <f>SUM(G43:G46)</f>
        <v>1862023.53</v>
      </c>
      <c r="H47" s="248">
        <f t="shared" si="0"/>
        <v>-0.11130013485919803</v>
      </c>
      <c r="I47" s="194"/>
      <c r="J47" s="241">
        <f>SUM(J43:J46)</f>
        <v>1864831.0699999998</v>
      </c>
      <c r="K47" s="248">
        <f>(F47-J47)/J47</f>
        <v>-0.11263809005498809</v>
      </c>
      <c r="L47" s="194"/>
      <c r="M47" s="241">
        <f t="shared" ref="M47:R47" si="10">SUM(M43:M46)</f>
        <v>1343847.7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310932.36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172</v>
      </c>
      <c r="E48" s="194"/>
      <c r="F48" s="239">
        <f>SUMIFS('Actual - 2026'!$AR$5:$AR$56,'Actual - 2026'!$A$5:$A$56,'CASA NEOS Overview '!D48)</f>
        <v>409660.66000000003</v>
      </c>
      <c r="G48" s="233">
        <f>SUMIFS('Budget - 2026'!$BZ$5:$BZ$56,'Budget - 2026'!$B$5:$B$56,'CASA NEOS Overview '!D48)</f>
        <v>568272.82789967558</v>
      </c>
      <c r="H48" s="247">
        <f t="shared" si="0"/>
        <v>-0.27911270803832516</v>
      </c>
      <c r="I48" s="194"/>
      <c r="J48" s="239">
        <f>SUMIFS('Budget - 2026'!$CI$5:$CI$56,'Budget - 2026'!$B$5:$B$56,'CASA NEOS Overview '!D48)</f>
        <v>554626.54</v>
      </c>
      <c r="K48" s="251">
        <f t="shared" si="7"/>
        <v>-0.26137566370336335</v>
      </c>
      <c r="L48" s="194"/>
      <c r="M48" s="239">
        <f>SUMIFS('Actual - 2026'!$AO$5:$AO$56,'Actual - 2026'!$A$5:$A$56,'MILA 2F - Overview'!D48)</f>
        <v>344349.59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65311.07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101</v>
      </c>
      <c r="E49" s="194"/>
      <c r="F49" s="239">
        <f>SUMIFS('Actual - 2026'!$AR$5:$AR$56,'Actual - 2026'!$A$5:$A$56,'CASA NEOS Overview '!D49)</f>
        <v>379674.08999999997</v>
      </c>
      <c r="G49" s="233">
        <f>SUMIFS('Budget - 2026'!$BZ$5:$BZ$56,'Budget - 2026'!$B$5:$B$56,'CASA NEOS Overview '!D49)</f>
        <v>423978.93737128301</v>
      </c>
      <c r="H49" s="247">
        <f t="shared" si="0"/>
        <v>-0.10449775558658189</v>
      </c>
      <c r="I49" s="194"/>
      <c r="J49" s="239">
        <f>SUMIFS('Budget - 2026'!$CI$5:$CI$56,'Budget - 2026'!$B$5:$B$56,'CASA NEOS Overview '!D49)</f>
        <v>397557.26</v>
      </c>
      <c r="K49" s="251">
        <f t="shared" si="7"/>
        <v>-4.4982627156651703E-2</v>
      </c>
      <c r="L49" s="194"/>
      <c r="M49" s="239">
        <f>SUMIFS('Actual - 2026'!$AO$5:$AO$56,'Actual - 2026'!$A$5:$A$56,'MILA 2F - Overview'!D49)</f>
        <v>301658.69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78015.399999999994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173</v>
      </c>
      <c r="E50" s="194"/>
      <c r="F50" s="239">
        <f>SUMIFS('Actual - 2026'!$AR$5:$AR$56,'Actual - 2026'!$A$5:$A$56,'CASA NEOS Overview '!D50)</f>
        <v>0</v>
      </c>
      <c r="G50" s="233">
        <f>SUMIFS('Budget - 2026'!$BZ$5:$BZ$56,'Budget - 2026'!$B$5:$B$56,'CASA NEOS Overview '!D50)</f>
        <v>516573.18886320991</v>
      </c>
      <c r="H50" s="247">
        <f t="shared" si="0"/>
        <v>-1</v>
      </c>
      <c r="I50" s="194"/>
      <c r="J50" s="239">
        <f>SUMIFS('Budget - 2026'!$CI$5:$CI$56,'Budget - 2026'!$B$5:$B$56,'CASA NEOS Overview '!D50)</f>
        <v>481710.5</v>
      </c>
      <c r="K50" s="251">
        <f t="shared" si="7"/>
        <v>-1</v>
      </c>
      <c r="L50" s="194"/>
      <c r="M50" s="239">
        <f>SUMIFS('Actual - 2026'!$AO$5:$AO$56,'Actual - 2026'!$A$5:$A$56,'MILA 2F - Overview'!D50)</f>
        <v>0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0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174</v>
      </c>
      <c r="E51" s="194"/>
      <c r="F51" s="239">
        <f>SUMIFS('Actual - 2026'!$AR$5:$AR$56,'Actual - 2026'!$A$5:$A$56,'CASA NEOS Overview '!D51)</f>
        <v>0</v>
      </c>
      <c r="G51" s="233">
        <f>SUMIFS('Budget - 2026'!$BZ$5:$BZ$56,'Budget - 2026'!$B$5:$B$56,'CASA NEOS Overview '!D51)</f>
        <v>471579.57080375077</v>
      </c>
      <c r="H51" s="247">
        <f t="shared" si="0"/>
        <v>-1</v>
      </c>
      <c r="I51" s="194"/>
      <c r="J51" s="239">
        <f>SUMIFS('Budget - 2026'!$CI$5:$CI$56,'Budget - 2026'!$B$5:$B$56,'CASA NEOS Overview '!D51)</f>
        <v>502088.24</v>
      </c>
      <c r="K51" s="251">
        <f t="shared" si="7"/>
        <v>-1</v>
      </c>
      <c r="L51" s="194"/>
      <c r="M51" s="239">
        <f>SUMIFS('Actual - 2026'!$AO$5:$AO$56,'Actual - 2026'!$A$5:$A$56,'MILA 2F - Overview'!D51)</f>
        <v>0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0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-471579.57080375077</v>
      </c>
    </row>
    <row r="52" spans="4:21" s="108" customFormat="1" ht="22.15" customHeight="1">
      <c r="D52" s="193" t="s">
        <v>175</v>
      </c>
      <c r="E52" s="194"/>
      <c r="F52" s="239">
        <f>SUMIFS('Actual - 2026'!$AR$5:$AR$56,'Actual - 2026'!$A$5:$A$56,'CASA NEOS Overview '!D52)</f>
        <v>0</v>
      </c>
      <c r="G52" s="233">
        <f>SUMIFS('Budget - 2026'!$BZ$5:$BZ$56,'Budget - 2026'!$B$5:$B$56,'CASA NEOS Overview '!D52)</f>
        <v>520902.52506208071</v>
      </c>
      <c r="H52" s="247">
        <f t="shared" si="0"/>
        <v>-1</v>
      </c>
      <c r="I52" s="194"/>
      <c r="J52" s="239">
        <f>SUMIFS('Budget - 2026'!$CI$5:$CI$56,'Budget - 2026'!$B$5:$B$56,'CASA NEOS Overview '!D52)</f>
        <v>516060.21</v>
      </c>
      <c r="K52" s="251">
        <f t="shared" si="7"/>
        <v>-1</v>
      </c>
      <c r="L52" s="194"/>
      <c r="M52" s="239">
        <f>SUMIFS('Actual - 2026'!$AO$5:$AO$56,'Actual - 2026'!$A$5:$A$56,'MILA 2F - Overview'!D52)</f>
        <v>0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0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260</v>
      </c>
      <c r="E53" s="194"/>
      <c r="F53" s="241">
        <f>SUM(F48:F52)</f>
        <v>789334.75</v>
      </c>
      <c r="G53" s="228">
        <f>SUM(G48:G52)</f>
        <v>2501307.0499999998</v>
      </c>
      <c r="H53" s="248">
        <f t="shared" si="0"/>
        <v>-0.68443108573975353</v>
      </c>
      <c r="I53" s="194"/>
      <c r="J53" s="241">
        <f>SUM(J48:J52)</f>
        <v>2452042.75</v>
      </c>
      <c r="K53" s="248">
        <f>(F53-J53)/J53</f>
        <v>-0.67809095090205906</v>
      </c>
      <c r="L53" s="194"/>
      <c r="M53" s="241">
        <f t="shared" ref="M53:R53" si="11">SUM(M48:M52)</f>
        <v>646008.28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143326.47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177</v>
      </c>
      <c r="E54" s="194"/>
      <c r="F54" s="239">
        <f>SUMIFS('Actual - 2026'!$AR$5:$AR$56,'Actual - 2026'!$A$5:$A$56,'CASA NEOS Overview '!D54)</f>
        <v>0</v>
      </c>
      <c r="G54" s="233">
        <f>SUMIFS('Budget - 2026'!$BZ$5:$BZ$56,'Budget - 2026'!$B$5:$B$56,'CASA NEOS Overview '!D54)</f>
        <v>492025.59830495931</v>
      </c>
      <c r="H54" s="247">
        <f t="shared" si="0"/>
        <v>-1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-1</v>
      </c>
      <c r="L54" s="194"/>
      <c r="M54" s="239">
        <f>SUMIFS('Actual - 2026'!$AO$5:$AO$56,'Actual - 2026'!$A$5:$A$56,'MILA 2F - Overview'!D54)</f>
        <v>0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0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178</v>
      </c>
      <c r="E55" s="194"/>
      <c r="F55" s="239">
        <f>SUMIFS('Actual - 2026'!$AR$5:$AR$56,'Actual - 2026'!$A$5:$A$56,'CASA NEOS Overview '!D55)</f>
        <v>0</v>
      </c>
      <c r="G55" s="233">
        <f>SUMIFS('Budget - 2026'!$BZ$5:$BZ$56,'Budget - 2026'!$B$5:$B$56,'CASA NEOS Overview '!D55)</f>
        <v>513721.50596077408</v>
      </c>
      <c r="H55" s="247">
        <f t="shared" si="0"/>
        <v>-1</v>
      </c>
      <c r="I55" s="194"/>
      <c r="J55" s="239">
        <f>SUMIFS('Budget - 2026'!$CI$5:$CI$56,'Budget - 2026'!$B$5:$B$56,'CASA NEOS Overview '!D55)</f>
        <v>495789.84</v>
      </c>
      <c r="K55" s="251">
        <f t="shared" si="7"/>
        <v>-1</v>
      </c>
      <c r="L55" s="194"/>
      <c r="M55" s="239">
        <f>SUMIFS('Actual - 2026'!$AO$5:$AO$56,'Actual - 2026'!$A$5:$A$56,'MILA 2F - Overview'!D55)</f>
        <v>0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0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179</v>
      </c>
      <c r="E56" s="194"/>
      <c r="F56" s="239">
        <f>SUMIFS('Actual - 2026'!$AR$5:$AR$56,'Actual - 2026'!$A$5:$A$56,'CASA NEOS Overview '!D56)</f>
        <v>0</v>
      </c>
      <c r="G56" s="233">
        <f>SUMIFS('Budget - 2026'!$BZ$5:$BZ$56,'Budget - 2026'!$B$5:$B$56,'CASA NEOS Overview '!D56)</f>
        <v>495067.09928503947</v>
      </c>
      <c r="H56" s="247">
        <f t="shared" si="0"/>
        <v>-1</v>
      </c>
      <c r="I56" s="194"/>
      <c r="J56" s="239">
        <f>SUMIFS('Budget - 2026'!$CI$5:$CI$56,'Budget - 2026'!$B$5:$B$56,'CASA NEOS Overview '!D56)</f>
        <v>481493.53</v>
      </c>
      <c r="K56" s="251">
        <f t="shared" si="7"/>
        <v>-1</v>
      </c>
      <c r="L56" s="194"/>
      <c r="M56" s="239">
        <f>SUMIFS('Actual - 2026'!$AO$5:$AO$56,'Actual - 2026'!$A$5:$A$56,'MILA 2F - Overview'!D56)</f>
        <v>0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0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2017094.2899999998</v>
      </c>
      <c r="H58" s="248">
        <f t="shared" si="0"/>
        <v>-1</v>
      </c>
      <c r="I58" s="194"/>
      <c r="J58" s="241">
        <f>SUM(J54:J57)</f>
        <v>2015397.4500000002</v>
      </c>
      <c r="K58" s="248">
        <f>(F58-J58)/J58</f>
        <v>-1</v>
      </c>
      <c r="L58" s="194"/>
      <c r="M58" s="241">
        <f t="shared" ref="M58:R58" si="12">SUM(M54:M57)</f>
        <v>0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0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36</v>
      </c>
      <c r="F1" s="5">
        <f>VLOOKUP(D1,Dates!$B$2:$E$53,4,FALSE)</f>
        <v>36</v>
      </c>
      <c r="G1" s="232" t="b">
        <v>1</v>
      </c>
    </row>
    <row r="2" spans="4:20" ht="28.5" customHeight="1">
      <c r="D2" s="399" t="s">
        <v>238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231</v>
      </c>
      <c r="N4" s="429"/>
      <c r="O4" s="429"/>
      <c r="P4" s="428" t="s">
        <v>207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252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255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- 2026'!$BV$5:$BV$56,'Actual - 2026'!$A$5:$A$56,$D46)</f>
        <v>117509.75</v>
      </c>
      <c r="G46" s="233">
        <f>SUMIFS('Budget - 2026'!$DV$5:$DV$56,'Budget - 2026'!$B$5:$B$56,$D46)</f>
        <v>242808.39400666943</v>
      </c>
      <c r="H46" s="247">
        <f t="shared" si="5"/>
        <v>-0.51603917780217989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81304.5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36205.25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432279.48</v>
      </c>
      <c r="G47" s="228">
        <f>SUM(G43:G46)</f>
        <v>971233.57602667774</v>
      </c>
      <c r="H47" s="248">
        <f t="shared" si="5"/>
        <v>-0.55491707590211425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353288.23</v>
      </c>
      <c r="N47" s="228">
        <f t="shared" si="11"/>
        <v>724233.57602667774</v>
      </c>
      <c r="O47" s="242">
        <f t="shared" si="11"/>
        <v>0</v>
      </c>
      <c r="P47" s="241">
        <f t="shared" si="11"/>
        <v>78991.25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- 2026'!$BV$5:$BV$56,'Actual - 2026'!$A$5:$A$56,$D48)</f>
        <v>93696.1</v>
      </c>
      <c r="G48" s="233">
        <f>SUMIFS('Budget - 2026'!$DV$5:$DV$56,'Budget - 2026'!$B$5:$B$56,$D48)</f>
        <v>181591.53720233616</v>
      </c>
      <c r="H48" s="247">
        <f t="shared" si="5"/>
        <v>-0.48402826781734731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69503.100000000006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24193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101</v>
      </c>
      <c r="E49" s="194"/>
      <c r="F49" s="239">
        <f>SUMIFS('Actual - 2026'!$BV$5:$BV$56,'Actual - 2026'!$A$5:$A$56,$D49)</f>
        <v>153381.9</v>
      </c>
      <c r="G49" s="233">
        <f>SUMIFS('Budget - 2026'!$DV$5:$DV$56,'Budget - 2026'!$B$5:$B$56,$D49)</f>
        <v>181591.53720233616</v>
      </c>
      <c r="H49" s="247">
        <f t="shared" si="5"/>
        <v>-0.1553466512643919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111917.9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41464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173</v>
      </c>
      <c r="E50" s="194"/>
      <c r="F50" s="239">
        <f>SUMIFS('Actual - 2026'!$BV$5:$BV$56,'Actual - 2026'!$A$5:$A$56,$D50)</f>
        <v>0</v>
      </c>
      <c r="G50" s="233">
        <f>SUMIFS('Budget - 2026'!$DV$5:$DV$56,'Budget - 2026'!$B$5:$B$56,$D50)</f>
        <v>181591.53720233616</v>
      </c>
      <c r="H50" s="247">
        <f t="shared" si="5"/>
        <v>-1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0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174</v>
      </c>
      <c r="E51" s="194"/>
      <c r="F51" s="239">
        <f>SUMIFS('Actual - 2026'!$BV$5:$BV$56,'Actual - 2026'!$A$5:$A$56,$D51)</f>
        <v>0</v>
      </c>
      <c r="G51" s="233">
        <f>SUMIFS('Budget - 2026'!$DV$5:$DV$56,'Budget - 2026'!$B$5:$B$56,$D51)</f>
        <v>181591.53720233616</v>
      </c>
      <c r="H51" s="247">
        <f t="shared" si="5"/>
        <v>-1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0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- 2026'!$BV$5:$BV$56,'Actual - 2026'!$A$5:$A$56,$D52)</f>
        <v>0</v>
      </c>
      <c r="G52" s="233">
        <f>SUMIFS('Budget - 2026'!$DV$5:$DV$56,'Budget - 2026'!$B$5:$B$56,$D52)</f>
        <v>181591.53720233616</v>
      </c>
      <c r="H52" s="247">
        <f t="shared" si="5"/>
        <v>-1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0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0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247078</v>
      </c>
      <c r="G53" s="228">
        <f>SUM(G48:G52)</f>
        <v>907957.68601168075</v>
      </c>
      <c r="H53" s="248">
        <f t="shared" si="5"/>
        <v>-0.72787498381634785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181421</v>
      </c>
      <c r="N53" s="228">
        <f t="shared" si="12"/>
        <v>793957.68601168075</v>
      </c>
      <c r="O53" s="242">
        <f t="shared" si="12"/>
        <v>0</v>
      </c>
      <c r="P53" s="241">
        <f t="shared" si="12"/>
        <v>65657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- 2026'!$BV$5:$BV$56,'Actual - 2026'!$A$5:$A$56,$D54)</f>
        <v>0</v>
      </c>
      <c r="G54" s="233">
        <f>SUMIFS('Budget - 2026'!$DV$5:$DV$56,'Budget - 2026'!$B$5:$B$56,$D54)</f>
        <v>201038.10246097873</v>
      </c>
      <c r="H54" s="247">
        <f t="shared" si="5"/>
        <v>-1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0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0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- 2026'!$BV$5:$BV$56,'Actual - 2026'!$A$5:$A$56,$D55)</f>
        <v>0</v>
      </c>
      <c r="G55" s="233">
        <f>SUMIFS('Budget - 2026'!$DV$5:$DV$56,'Budget - 2026'!$B$5:$B$56,$D55)</f>
        <v>201038.10246097873</v>
      </c>
      <c r="H55" s="247">
        <f t="shared" si="5"/>
        <v>-1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0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0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- 2026'!$BV$5:$BV$56,'Actual - 2026'!$A$5:$A$56,$D56)</f>
        <v>0</v>
      </c>
      <c r="G56" s="233">
        <f>SUMIFS('Budget - 2026'!$DV$5:$DV$56,'Budget - 2026'!$B$5:$B$56,$D56)</f>
        <v>201038.10246097873</v>
      </c>
      <c r="H56" s="247">
        <f t="shared" si="5"/>
        <v>-1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0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0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804152.40984391491</v>
      </c>
      <c r="H58" s="248">
        <f t="shared" si="5"/>
        <v>-1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0</v>
      </c>
      <c r="N58" s="228">
        <f t="shared" si="13"/>
        <v>712952.40984391491</v>
      </c>
      <c r="O58" s="242">
        <f t="shared" si="13"/>
        <v>0</v>
      </c>
      <c r="P58" s="241">
        <f t="shared" si="13"/>
        <v>0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G25" sqref="G25"/>
      <selection pane="bottomLeft" activeCell="G25" sqref="G25"/>
      <selection pane="topRight" activeCell="G25" sqref="G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36</v>
      </c>
      <c r="F1" s="5">
        <f>VLOOKUP(D1,Dates!$B$2:$E$53,4,FALSE)</f>
        <v>36</v>
      </c>
      <c r="G1" s="5" t="b">
        <v>1</v>
      </c>
    </row>
    <row r="2" spans="4:20" ht="28.5">
      <c r="D2" s="398" t="str">
        <f>CONCATENATE("CLAUDIE",)</f>
        <v>CLAUDIE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252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255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227131.25000000003</v>
      </c>
      <c r="G33" s="233">
        <f>SUMIFS('Budget - 2026'!$DA$5:$DA$56,'Budget - 2026'!$B$5:$B$56,'CLAUDIE Overview'!D33)</f>
        <v>323674.67873165454</v>
      </c>
      <c r="H33" s="247">
        <f t="shared" si="3"/>
        <v>-0.29827303485699824</v>
      </c>
      <c r="I33" s="194"/>
      <c r="J33" s="239">
        <f>SUMIFS('Budget - 2026'!$CR$5:$CR$56,'Budget - 2026'!$B$5:$B$56,D33)</f>
        <v>313099</v>
      </c>
      <c r="K33" s="251">
        <f t="shared" si="1"/>
        <v>-0.27457050325935239</v>
      </c>
      <c r="L33" s="194"/>
      <c r="M33" s="239">
        <f>SUMIFS('Actual - 2026'!$AX$5:$AX$56,'Actual - 2026'!$A$5:$A$56,'MILA 2F - Overview'!D33)</f>
        <v>196591.75000000003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- 2026'!$BA$5:$BA$56,'Actual - 2026'!$A$5:$A$56,'CLAUDIE Overview'!D46)</f>
        <v>282014.92000000004</v>
      </c>
      <c r="G46" s="233">
        <f>SUMIFS('Budget - 2026'!$DA$5:$DA$56,'Budget - 2026'!$B$5:$B$56,'CLAUDIE Overview'!D46)</f>
        <v>329876.03193392034</v>
      </c>
      <c r="H46" s="247">
        <f t="shared" si="3"/>
        <v>-0.1450881764683882</v>
      </c>
      <c r="I46" s="194"/>
      <c r="J46" s="239">
        <f>SUMIFS('Budget - 2026'!$CR$5:$CR$56,'Budget - 2026'!$B$5:$B$56,D46)</f>
        <v>304876.25</v>
      </c>
      <c r="K46" s="251">
        <f t="shared" si="1"/>
        <v>-7.4985604815068274E-2</v>
      </c>
      <c r="L46" s="194"/>
      <c r="M46" s="239">
        <f>SUMIFS('Actual - 2026'!$AX$5:$AX$56,'Actual - 2026'!$A$5:$A$56,'MILA 2F - Overview'!D46)</f>
        <v>243338.46000000002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38676.46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1051243.1499999999</v>
      </c>
      <c r="G47" s="228">
        <f>SUM(G43:G46)</f>
        <v>1264700.7185862467</v>
      </c>
      <c r="H47" s="248">
        <f t="shared" si="3"/>
        <v>-0.16878109219773485</v>
      </c>
      <c r="I47" s="194"/>
      <c r="J47" s="241">
        <f>SUM(J43:J46)</f>
        <v>1134063.31</v>
      </c>
      <c r="K47" s="248">
        <f>IFERROR((F47-J47)/J47,0)</f>
        <v>-7.3029573631123071E-2</v>
      </c>
      <c r="L47" s="194"/>
      <c r="M47" s="241">
        <f t="shared" ref="M47:R47" si="11">SUM(M43:M46)</f>
        <v>915803.31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135439.84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- 2026'!$BA$5:$BA$56,'Actual - 2026'!$A$5:$A$56,'CLAUDIE Overview'!D48)</f>
        <v>269952.15000000002</v>
      </c>
      <c r="G48" s="233">
        <f>SUMIFS('Budget - 2026'!$DA$5:$DA$56,'Budget - 2026'!$B$5:$B$56,'CLAUDIE Overview'!D48)</f>
        <v>323010.69193392037</v>
      </c>
      <c r="H48" s="247">
        <f t="shared" si="3"/>
        <v>-0.16426249427302164</v>
      </c>
      <c r="I48" s="194"/>
      <c r="J48" s="239">
        <f>SUMIFS('Budget - 2026'!$CR$5:$CR$56,'Budget - 2026'!$B$5:$B$56,D48)</f>
        <v>327920.39999999997</v>
      </c>
      <c r="K48" s="251">
        <f t="shared" si="1"/>
        <v>-0.17677536987634787</v>
      </c>
      <c r="L48" s="194"/>
      <c r="M48" s="239">
        <f>SUMIFS('Actual - 2026'!$AX$5:$AX$56,'Actual - 2026'!$A$5:$A$56,'MILA 2F - Overview'!D48)</f>
        <v>236152.30000000002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33799.85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101</v>
      </c>
      <c r="E49" s="194"/>
      <c r="F49" s="239">
        <f>SUMIFS('Actual - 2026'!$BA$5:$BA$56,'Actual - 2026'!$A$5:$A$56,'CLAUDIE Overview'!D49)</f>
        <v>259768.75</v>
      </c>
      <c r="G49" s="233">
        <f>SUMIFS('Budget - 2026'!$DA$5:$DA$56,'Budget - 2026'!$B$5:$B$56,'CLAUDIE Overview'!D49)</f>
        <v>278903.18193392036</v>
      </c>
      <c r="H49" s="247">
        <f t="shared" si="3"/>
        <v>-6.8606000839581044E-2</v>
      </c>
      <c r="I49" s="194"/>
      <c r="J49" s="239">
        <f>SUMIFS('Budget - 2026'!$CR$5:$CR$56,'Budget - 2026'!$B$5:$B$56,D49)</f>
        <v>256608.77</v>
      </c>
      <c r="K49" s="251">
        <f t="shared" si="1"/>
        <v>1.231438816374051E-2</v>
      </c>
      <c r="L49" s="194"/>
      <c r="M49" s="239">
        <f>SUMIFS('Actual - 2026'!$AX$5:$AX$56,'Actual - 2026'!$A$5:$A$56,'MILA 2F - Overview'!D49)</f>
        <v>230160.95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29607.8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173</v>
      </c>
      <c r="E50" s="194"/>
      <c r="F50" s="239">
        <f>SUMIFS('Actual - 2026'!$BA$5:$BA$56,'Actual - 2026'!$A$5:$A$56,'CLAUDIE Overview'!D50)</f>
        <v>0</v>
      </c>
      <c r="G50" s="233">
        <f>SUMIFS('Budget - 2026'!$DA$5:$DA$56,'Budget - 2026'!$B$5:$B$56,'CLAUDIE Overview'!D50)</f>
        <v>285509.30193392036</v>
      </c>
      <c r="H50" s="247">
        <f t="shared" si="3"/>
        <v>-1</v>
      </c>
      <c r="I50" s="194"/>
      <c r="J50" s="239">
        <f>SUMIFS('Budget - 2026'!$CR$5:$CR$56,'Budget - 2026'!$B$5:$B$56,D50)</f>
        <v>267323.02</v>
      </c>
      <c r="K50" s="251">
        <f t="shared" si="1"/>
        <v>-1</v>
      </c>
      <c r="L50" s="194"/>
      <c r="M50" s="239">
        <f>SUMIFS('Actual - 2026'!$AX$5:$AX$56,'Actual - 2026'!$A$5:$A$56,'MILA 2F - Overview'!D50)</f>
        <v>0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0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174</v>
      </c>
      <c r="E51" s="194"/>
      <c r="F51" s="239">
        <f>SUMIFS('Actual - 2026'!$BA$5:$BA$56,'Actual - 2026'!$A$5:$A$56,'CLAUDIE Overview'!D51)</f>
        <v>0</v>
      </c>
      <c r="G51" s="233">
        <f>SUMIFS('Budget - 2026'!$DA$5:$DA$56,'Budget - 2026'!$B$5:$B$56,'CLAUDIE Overview'!D51)</f>
        <v>323315.56193392037</v>
      </c>
      <c r="H51" s="247">
        <f t="shared" si="3"/>
        <v>-1</v>
      </c>
      <c r="I51" s="194"/>
      <c r="J51" s="239">
        <f>SUMIFS('Budget - 2026'!$CR$5:$CR$56,'Budget - 2026'!$B$5:$B$56,D51)</f>
        <v>306426</v>
      </c>
      <c r="K51" s="251">
        <f t="shared" si="1"/>
        <v>-1</v>
      </c>
      <c r="L51" s="194"/>
      <c r="M51" s="239">
        <f>SUMIFS('Actual - 2026'!$AX$5:$AX$56,'Actual - 2026'!$A$5:$A$56,'MILA 2F - Overview'!D51)</f>
        <v>0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0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- 2026'!$BA$5:$BA$56,'Actual - 2026'!$A$5:$A$56,'CLAUDIE Overview'!D52)</f>
        <v>0</v>
      </c>
      <c r="G52" s="233">
        <f>SUMIFS('Budget - 2026'!$DA$5:$DA$56,'Budget - 2026'!$B$5:$B$56,'CLAUDIE Overview'!D52)</f>
        <v>337147.7819339204</v>
      </c>
      <c r="H52" s="247">
        <f t="shared" si="3"/>
        <v>-1</v>
      </c>
      <c r="I52" s="194"/>
      <c r="J52" s="239">
        <f>SUMIFS('Budget - 2026'!$CR$5:$CR$56,'Budget - 2026'!$B$5:$B$56,D52)</f>
        <v>308881.95</v>
      </c>
      <c r="K52" s="251">
        <f t="shared" si="1"/>
        <v>-1</v>
      </c>
      <c r="L52" s="194"/>
      <c r="M52" s="239">
        <f>SUMIFS('Actual - 2026'!$AX$5:$AX$56,'Actual - 2026'!$A$5:$A$56,'MILA 2F - Overview'!D52)</f>
        <v>0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0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529720.9</v>
      </c>
      <c r="G53" s="228">
        <f>SUM(G48:G52)</f>
        <v>1547886.5196696019</v>
      </c>
      <c r="H53" s="248">
        <f t="shared" si="3"/>
        <v>-0.65777794866185058</v>
      </c>
      <c r="I53" s="194"/>
      <c r="J53" s="241">
        <f>SUM(J48:J52)</f>
        <v>1467160.14</v>
      </c>
      <c r="K53" s="248">
        <f>IFERROR((F53-J53)/J53,0)</f>
        <v>-0.63894813827207708</v>
      </c>
      <c r="L53" s="194"/>
      <c r="M53" s="241">
        <f t="shared" ref="M53:R53" si="12">SUM(M48:M52)</f>
        <v>466313.25</v>
      </c>
      <c r="N53" s="228">
        <f t="shared" si="12"/>
        <v>1396830.61</v>
      </c>
      <c r="O53" s="242">
        <f t="shared" si="12"/>
        <v>1467160.14</v>
      </c>
      <c r="P53" s="241">
        <f t="shared" si="12"/>
        <v>63407.649999999994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- 2026'!$BA$5:$BA$56,'Actual - 2026'!$A$5:$A$56,'CLAUDIE Overview'!D54)</f>
        <v>0</v>
      </c>
      <c r="G54" s="233">
        <f>SUMIFS('Budget - 2026'!$DA$5:$DA$56,'Budget - 2026'!$B$5:$B$56,'CLAUDIE Overview'!D54)</f>
        <v>288683.14193392039</v>
      </c>
      <c r="H54" s="247">
        <f t="shared" si="3"/>
        <v>-1</v>
      </c>
      <c r="I54" s="194"/>
      <c r="J54" s="239">
        <f>SUMIFS('Budget - 2026'!$CR$5:$CR$56,'Budget - 2026'!$B$5:$B$56,D54)</f>
        <v>281717.33</v>
      </c>
      <c r="K54" s="251">
        <f t="shared" si="1"/>
        <v>-1</v>
      </c>
      <c r="L54" s="194"/>
      <c r="M54" s="239">
        <f>SUMIFS('Actual - 2026'!$AX$5:$AX$56,'Actual - 2026'!$A$5:$A$56,'MILA 2F - Overview'!D54)</f>
        <v>0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0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- 2026'!$BA$5:$BA$56,'Actual - 2026'!$A$5:$A$56,'CLAUDIE Overview'!D55)</f>
        <v>0</v>
      </c>
      <c r="G55" s="233">
        <f>SUMIFS('Budget - 2026'!$DA$5:$DA$56,'Budget - 2026'!$B$5:$B$56,'CLAUDIE Overview'!D55)</f>
        <v>293784.61193392042</v>
      </c>
      <c r="H55" s="247">
        <f t="shared" si="3"/>
        <v>-1</v>
      </c>
      <c r="I55" s="194"/>
      <c r="J55" s="239">
        <f>SUMIFS('Budget - 2026'!$CR$5:$CR$56,'Budget - 2026'!$B$5:$B$56,D55)</f>
        <v>322209.40000000002</v>
      </c>
      <c r="K55" s="251">
        <f t="shared" si="1"/>
        <v>-1</v>
      </c>
      <c r="L55" s="194"/>
      <c r="M55" s="239">
        <f>SUMIFS('Actual - 2026'!$AX$5:$AX$56,'Actual - 2026'!$A$5:$A$56,'MILA 2F - Overview'!D55)</f>
        <v>0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0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- 2026'!$BA$5:$BA$56,'Actual - 2026'!$A$5:$A$56,'CLAUDIE Overview'!D56)</f>
        <v>0</v>
      </c>
      <c r="G56" s="233">
        <f>SUMIFS('Budget - 2026'!$DA$5:$DA$56,'Budget - 2026'!$B$5:$B$56,'CLAUDIE Overview'!D56)</f>
        <v>306347.89193392039</v>
      </c>
      <c r="H56" s="247">
        <f t="shared" si="3"/>
        <v>-1</v>
      </c>
      <c r="I56" s="194"/>
      <c r="J56" s="239">
        <f>SUMIFS('Budget - 2026'!$CR$5:$CR$56,'Budget - 2026'!$B$5:$B$56,D56)</f>
        <v>296641</v>
      </c>
      <c r="K56" s="251">
        <f t="shared" si="1"/>
        <v>-1</v>
      </c>
      <c r="L56" s="194"/>
      <c r="M56" s="239">
        <f>SUMIFS('Actual - 2026'!$AX$5:$AX$56,'Actual - 2026'!$A$5:$A$56,'MILA 2F - Overview'!D56)</f>
        <v>0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0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1233086.2377356817</v>
      </c>
      <c r="H58" s="248">
        <f t="shared" si="3"/>
        <v>-1</v>
      </c>
      <c r="I58" s="194"/>
      <c r="J58" s="241">
        <f>SUM(J54:J57)</f>
        <v>1277439.6200000001</v>
      </c>
      <c r="K58" s="248">
        <f>IFERROR((F58-J58)/J58,0)</f>
        <v>-1</v>
      </c>
      <c r="L58" s="194"/>
      <c r="M58" s="241">
        <f t="shared" ref="M58:R58" si="13">SUM(M54:M57)</f>
        <v>0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0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6" activePane="bottomRight" state="frozen"/>
      <selection pane="bottomRight" activeCell="G25" sqref="G25"/>
      <selection pane="bottomLeft" activeCell="L68" sqref="L68"/>
      <selection pane="topRight" activeCell="L68" sqref="L6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36</v>
      </c>
      <c r="F1" s="5">
        <f>VLOOKUP(D1,Dates!$B$2:$E$53,4,FALSE)</f>
        <v>36</v>
      </c>
      <c r="G1" s="5" t="b">
        <v>1</v>
      </c>
    </row>
    <row r="2" spans="4:25" ht="28.5">
      <c r="D2" s="398" t="str">
        <f>CONCATENATE("AVA - Coconut Grove",)</f>
        <v>AVA - Coconut Grove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  <c r="S2" s="399"/>
      <c r="T2" s="399"/>
      <c r="U2" s="399"/>
    </row>
    <row r="4" spans="4:25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5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252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253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254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255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256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257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258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168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169</v>
      </c>
      <c r="E46" s="194"/>
      <c r="F46" s="239">
        <f>SUMIFS('Actual - 2026'!$BM$5:$BM$56,'Actual - 2026'!$A$5:$A$56,'AVA CG - Overview'!D46)</f>
        <v>216419.62</v>
      </c>
      <c r="G46" s="233">
        <f>SUMIFS('Budget - 2026'!$DM$5:$DM$56,'Budget - 2026'!$B$5:$B$56,'AVA CG - Overview'!D46)</f>
        <v>230673.492</v>
      </c>
      <c r="H46" s="247">
        <f t="shared" si="3"/>
        <v>-6.1792414362028224E-2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31587.200000000001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184832.41999999998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259</v>
      </c>
      <c r="E47" s="194"/>
      <c r="F47" s="241">
        <f>SUM(F43:F46)</f>
        <v>766508.89</v>
      </c>
      <c r="G47" s="228">
        <f>SUM(G43:G46)</f>
        <v>922693.96799999999</v>
      </c>
      <c r="H47" s="248">
        <f t="shared" si="3"/>
        <v>-0.16927072617429312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130779.95</v>
      </c>
      <c r="N47" s="228">
        <f t="shared" si="10"/>
        <v>232608.80000000002</v>
      </c>
      <c r="O47" s="242">
        <f t="shared" si="10"/>
        <v>0</v>
      </c>
      <c r="P47" s="241">
        <f t="shared" si="10"/>
        <v>635728.93999999994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172</v>
      </c>
      <c r="E48" s="194"/>
      <c r="F48" s="239">
        <f>SUMIFS('Actual - 2026'!$BM$5:$BM$56,'Actual - 2026'!$A$5:$A$56,'AVA CG - Overview'!D48)</f>
        <v>195005.99</v>
      </c>
      <c r="G48" s="233">
        <f>SUMIFS('Budget - 2026'!$DM$5:$DM$56,'Budget - 2026'!$B$5:$B$56,'AVA CG - Overview'!D48)</f>
        <v>230673.492</v>
      </c>
      <c r="H48" s="247">
        <f t="shared" si="3"/>
        <v>-0.15462332360234962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26118.14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168887.84999999998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101</v>
      </c>
      <c r="E49" s="194"/>
      <c r="F49" s="239">
        <f>SUMIFS('Actual - 2026'!$BM$5:$BM$56,'Actual - 2026'!$A$5:$A$56,'AVA CG - Overview'!D49)</f>
        <v>190497.35</v>
      </c>
      <c r="G49" s="233">
        <f>SUMIFS('Budget - 2026'!$DM$5:$DM$56,'Budget - 2026'!$B$5:$B$56,'AVA CG - Overview'!D49)</f>
        <v>230673.492</v>
      </c>
      <c r="H49" s="247">
        <f t="shared" si="3"/>
        <v>-0.17416887242509857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31573.29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158924.06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173</v>
      </c>
      <c r="E50" s="194"/>
      <c r="F50" s="239">
        <f>SUMIFS('Actual - 2026'!$BM$5:$BM$56,'Actual - 2026'!$A$5:$A$56,'AVA CG - Overview'!D50)</f>
        <v>0</v>
      </c>
      <c r="G50" s="233">
        <f>SUMIFS('Budget - 2026'!$DM$5:$DM$56,'Budget - 2026'!$B$5:$B$56,'AVA CG - Overview'!D50)</f>
        <v>230673.492</v>
      </c>
      <c r="H50" s="247">
        <f t="shared" si="3"/>
        <v>-1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0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0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174</v>
      </c>
      <c r="E51" s="194"/>
      <c r="F51" s="239">
        <f>SUMIFS('Actual - 2026'!$BM$5:$BM$56,'Actual - 2026'!$A$5:$A$56,'AVA CG - Overview'!D51)</f>
        <v>0</v>
      </c>
      <c r="G51" s="233">
        <f>SUMIFS('Budget - 2026'!$DM$5:$DM$56,'Budget - 2026'!$B$5:$B$56,'AVA CG - Overview'!D51)</f>
        <v>230673.492</v>
      </c>
      <c r="H51" s="247">
        <f t="shared" si="3"/>
        <v>-1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0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0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175</v>
      </c>
      <c r="E52" s="194"/>
      <c r="F52" s="239">
        <f>SUMIFS('Actual - 2026'!$BM$5:$BM$56,'Actual - 2026'!$A$5:$A$56,'AVA CG - Overview'!D52)</f>
        <v>0</v>
      </c>
      <c r="G52" s="233">
        <f>SUMIFS('Budget - 2026'!$DM$5:$DM$56,'Budget - 2026'!$B$5:$B$56,'AVA CG - Overview'!D52)</f>
        <v>230673.492</v>
      </c>
      <c r="H52" s="247">
        <f t="shared" si="3"/>
        <v>-1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0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0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260</v>
      </c>
      <c r="E53" s="194"/>
      <c r="F53" s="241">
        <f>SUM(F48:F52)</f>
        <v>385503.33999999997</v>
      </c>
      <c r="G53" s="228">
        <f>SUM(G48:G52)</f>
        <v>1153367.46</v>
      </c>
      <c r="H53" s="248">
        <f t="shared" si="3"/>
        <v>-0.6657584392054896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57691.43</v>
      </c>
      <c r="N53" s="228">
        <f t="shared" si="11"/>
        <v>290761</v>
      </c>
      <c r="O53" s="242">
        <f t="shared" si="11"/>
        <v>0</v>
      </c>
      <c r="P53" s="241">
        <f t="shared" si="11"/>
        <v>327811.90999999997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177</v>
      </c>
      <c r="E54" s="194"/>
      <c r="F54" s="239">
        <f>SUMIFS('Actual - 2026'!$BM$5:$BM$56,'Actual - 2026'!$A$5:$A$56,'AVA CG - Overview'!D54)</f>
        <v>0</v>
      </c>
      <c r="G54" s="233">
        <f>SUMIFS('Budget - 2026'!$DM$5:$DM$56,'Budget - 2026'!$B$5:$B$56,'AVA CG - Overview'!D54)</f>
        <v>233123.3</v>
      </c>
      <c r="H54" s="247">
        <f t="shared" si="3"/>
        <v>-1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0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0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178</v>
      </c>
      <c r="E55" s="194"/>
      <c r="F55" s="239">
        <f>SUMIFS('Actual - 2026'!$BM$5:$BM$56,'Actual - 2026'!$A$5:$A$56,'AVA CG - Overview'!D55)</f>
        <v>0</v>
      </c>
      <c r="G55" s="233">
        <f>SUMIFS('Budget - 2026'!$DM$5:$DM$56,'Budget - 2026'!$B$5:$B$56,'AVA CG - Overview'!D55)</f>
        <v>233123.3</v>
      </c>
      <c r="H55" s="247">
        <f t="shared" si="3"/>
        <v>-1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0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0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179</v>
      </c>
      <c r="E56" s="194"/>
      <c r="F56" s="239">
        <f>SUMIFS('Actual - 2026'!$BM$5:$BM$56,'Actual - 2026'!$A$5:$A$56,'AVA CG - Overview'!D56)</f>
        <v>0</v>
      </c>
      <c r="G56" s="233">
        <f>SUMIFS('Budget - 2026'!$DM$5:$DM$56,'Budget - 2026'!$B$5:$B$56,'AVA CG - Overview'!D56)</f>
        <v>233123.3</v>
      </c>
      <c r="H56" s="247">
        <f t="shared" si="3"/>
        <v>-1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0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0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932493.2</v>
      </c>
      <c r="H58" s="248">
        <f t="shared" si="3"/>
        <v>-1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0</v>
      </c>
      <c r="N58" s="228">
        <f t="shared" si="12"/>
        <v>181458</v>
      </c>
      <c r="O58" s="242">
        <f t="shared" si="12"/>
        <v>0</v>
      </c>
      <c r="P58" s="241">
        <f t="shared" si="12"/>
        <v>0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workbookViewId="0">
      <selection activeCell="K10" sqref="K10"/>
    </sheetView>
  </sheetViews>
  <sheetFormatPr defaultRowHeight="1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A617"/>
  <sheetViews>
    <sheetView topLeftCell="C308" zoomScaleNormal="100" workbookViewId="0">
      <selection activeCell="S348" sqref="S348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232</v>
      </c>
      <c r="G2" s="343" t="s">
        <v>272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245</v>
      </c>
      <c r="O2" s="343" t="s">
        <v>272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273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</row>
    <row r="3" spans="1:27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233</v>
      </c>
      <c r="G3" s="343" t="s">
        <v>272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245</v>
      </c>
      <c r="O3" s="343" t="s">
        <v>274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275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</row>
    <row r="4" spans="1:27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234</v>
      </c>
      <c r="G4" s="343" t="s">
        <v>272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245</v>
      </c>
      <c r="O4" s="343" t="s">
        <v>276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277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</row>
    <row r="5" spans="1:27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235</v>
      </c>
      <c r="G5" s="343" t="s">
        <v>272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245</v>
      </c>
      <c r="O5" s="343" t="s">
        <v>278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279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</row>
    <row r="6" spans="1:27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236</v>
      </c>
      <c r="G6" s="343" t="s">
        <v>272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245</v>
      </c>
      <c r="O6" s="343" t="s">
        <v>280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281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</row>
    <row r="7" spans="1:27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244</v>
      </c>
      <c r="G7" s="343" t="s">
        <v>272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245</v>
      </c>
      <c r="O7" s="343" t="s">
        <v>282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283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</row>
    <row r="8" spans="1:27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245</v>
      </c>
      <c r="G8" s="343" t="s">
        <v>272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245</v>
      </c>
      <c r="O8" s="343" t="s">
        <v>284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285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</row>
    <row r="9" spans="1:27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232</v>
      </c>
      <c r="G9" s="343" t="s">
        <v>274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245</v>
      </c>
      <c r="O9" s="343" t="s">
        <v>286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287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</row>
    <row r="10" spans="1:27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233</v>
      </c>
      <c r="G10" s="343" t="s">
        <v>274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245</v>
      </c>
      <c r="O10" s="343" t="s">
        <v>288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289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</row>
    <row r="11" spans="1:27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234</v>
      </c>
      <c r="G11" s="343" t="s">
        <v>274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245</v>
      </c>
      <c r="O11" s="343" t="s">
        <v>290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291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</row>
    <row r="12" spans="1:27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235</v>
      </c>
      <c r="G12" s="343" t="s">
        <v>274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245</v>
      </c>
      <c r="O12" s="343" t="s">
        <v>292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293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</row>
    <row r="13" spans="1:27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236</v>
      </c>
      <c r="G13" s="343" t="s">
        <v>274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245</v>
      </c>
      <c r="O13" s="343" t="s">
        <v>294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</row>
    <row r="14" spans="1:27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244</v>
      </c>
      <c r="G14" s="343" t="s">
        <v>274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245</v>
      </c>
      <c r="O14" s="343" t="s">
        <v>295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273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</row>
    <row r="15" spans="1:27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245</v>
      </c>
      <c r="G15" s="343" t="s">
        <v>274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245</v>
      </c>
      <c r="O15" s="343" t="s">
        <v>296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275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</row>
    <row r="16" spans="1:27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232</v>
      </c>
      <c r="G16" s="343" t="s">
        <v>276</v>
      </c>
      <c r="I16" s="343">
        <v>20250410</v>
      </c>
      <c r="J16" s="343">
        <v>-990.3</v>
      </c>
      <c r="M16" s="384">
        <v>45757</v>
      </c>
      <c r="N16" s="343" t="s">
        <v>235</v>
      </c>
      <c r="O16" s="343" t="s">
        <v>297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277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</row>
    <row r="17" spans="1:27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233</v>
      </c>
      <c r="G17" s="343" t="s">
        <v>276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245</v>
      </c>
      <c r="O17" s="343" t="s">
        <v>297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279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</row>
    <row r="18" spans="1:27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234</v>
      </c>
      <c r="G18" s="343" t="s">
        <v>276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245</v>
      </c>
      <c r="O18" s="343" t="s">
        <v>298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281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</row>
    <row r="19" spans="1:27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235</v>
      </c>
      <c r="G19" s="343" t="s">
        <v>276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245</v>
      </c>
      <c r="O19" s="343" t="s">
        <v>299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283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</row>
    <row r="20" spans="1:27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236</v>
      </c>
      <c r="G20" s="343" t="s">
        <v>276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245</v>
      </c>
      <c r="O20" s="343" t="s">
        <v>300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285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</row>
    <row r="21" spans="1:27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244</v>
      </c>
      <c r="G21" s="343" t="s">
        <v>276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245</v>
      </c>
      <c r="O21" s="343" t="s">
        <v>301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287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</row>
    <row r="22" spans="1:27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245</v>
      </c>
      <c r="G22" s="343" t="s">
        <v>276</v>
      </c>
      <c r="I22" s="343">
        <v>20250516</v>
      </c>
      <c r="J22" s="343">
        <v>-315</v>
      </c>
      <c r="M22" s="384">
        <v>45793</v>
      </c>
      <c r="N22" s="343" t="s">
        <v>236</v>
      </c>
      <c r="O22" s="343" t="s">
        <v>302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289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</row>
    <row r="23" spans="1:27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232</v>
      </c>
      <c r="G23" s="343" t="s">
        <v>278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245</v>
      </c>
      <c r="O23" s="343" t="s">
        <v>302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293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</row>
    <row r="24" spans="1:27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233</v>
      </c>
      <c r="G24" s="343" t="s">
        <v>278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245</v>
      </c>
      <c r="O24" s="343" t="s">
        <v>303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</row>
    <row r="25" spans="1:27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234</v>
      </c>
      <c r="G25" s="343" t="s">
        <v>278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245</v>
      </c>
      <c r="O25" s="343" t="s">
        <v>304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273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</row>
    <row r="26" spans="1:27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235</v>
      </c>
      <c r="G26" s="343" t="s">
        <v>278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245</v>
      </c>
      <c r="O26" s="343" t="s">
        <v>305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275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</row>
    <row r="27" spans="1:27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236</v>
      </c>
      <c r="G27" s="343" t="s">
        <v>278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245</v>
      </c>
      <c r="O27" s="343" t="s">
        <v>306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277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</row>
    <row r="28" spans="1:27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244</v>
      </c>
      <c r="G28" s="343" t="s">
        <v>278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245</v>
      </c>
      <c r="O28" s="343" t="s">
        <v>307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279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</row>
    <row r="29" spans="1:27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245</v>
      </c>
      <c r="G29" s="343" t="s">
        <v>278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245</v>
      </c>
      <c r="O29" s="343" t="s">
        <v>308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281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</row>
    <row r="30" spans="1:27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232</v>
      </c>
      <c r="G30" s="343" t="s">
        <v>280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245</v>
      </c>
      <c r="O30" s="343" t="s">
        <v>309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283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</row>
    <row r="31" spans="1:27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233</v>
      </c>
      <c r="G31" s="343" t="s">
        <v>280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245</v>
      </c>
      <c r="O31" s="343" t="s">
        <v>310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285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</row>
    <row r="32" spans="1:27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234</v>
      </c>
      <c r="G32" s="343" t="s">
        <v>280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245</v>
      </c>
      <c r="O32" s="343" t="s">
        <v>311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287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</row>
    <row r="33" spans="1:27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235</v>
      </c>
      <c r="G33" s="343" t="s">
        <v>280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245</v>
      </c>
      <c r="O33" s="343" t="s">
        <v>312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289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</row>
    <row r="34" spans="1:27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236</v>
      </c>
      <c r="G34" s="343" t="s">
        <v>280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245</v>
      </c>
      <c r="O34" s="343" t="s">
        <v>313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291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</row>
    <row r="35" spans="1:27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244</v>
      </c>
      <c r="G35" s="343" t="s">
        <v>280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245</v>
      </c>
      <c r="O35" s="343" t="s">
        <v>314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293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</row>
    <row r="36" spans="1:27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245</v>
      </c>
      <c r="G36" s="343" t="s">
        <v>280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245</v>
      </c>
      <c r="O36" s="343" t="s">
        <v>315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</row>
    <row r="37" spans="1:27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232</v>
      </c>
      <c r="G37" s="343" t="s">
        <v>282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245</v>
      </c>
      <c r="O37" s="343" t="s">
        <v>316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273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</row>
    <row r="38" spans="1:27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233</v>
      </c>
      <c r="G38" s="343" t="s">
        <v>282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245</v>
      </c>
      <c r="O38" s="343" t="s">
        <v>317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275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</row>
    <row r="39" spans="1:27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234</v>
      </c>
      <c r="G39" s="343" t="s">
        <v>282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245</v>
      </c>
      <c r="O39" s="343" t="s">
        <v>318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277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</row>
    <row r="40" spans="1:27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235</v>
      </c>
      <c r="G40" s="343" t="s">
        <v>282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245</v>
      </c>
      <c r="O40" s="343" t="s">
        <v>319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279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</row>
    <row r="41" spans="1:27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236</v>
      </c>
      <c r="G41" s="343" t="s">
        <v>282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245</v>
      </c>
      <c r="O41" s="343" t="s">
        <v>320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281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</row>
    <row r="42" spans="1:27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244</v>
      </c>
      <c r="G42" s="343" t="s">
        <v>282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245</v>
      </c>
      <c r="O42" s="343" t="s">
        <v>321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283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</row>
    <row r="43" spans="1:27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245</v>
      </c>
      <c r="G43" s="343" t="s">
        <v>282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245</v>
      </c>
      <c r="O43" s="343" t="s">
        <v>322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285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</row>
    <row r="44" spans="1:27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232</v>
      </c>
      <c r="G44" s="343" t="s">
        <v>284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245</v>
      </c>
      <c r="O44" s="343" t="s">
        <v>323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287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</row>
    <row r="45" spans="1:27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233</v>
      </c>
      <c r="G45" s="343" t="s">
        <v>284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245</v>
      </c>
      <c r="O45" s="343" t="s">
        <v>324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289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</row>
    <row r="46" spans="1:27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234</v>
      </c>
      <c r="G46" s="343" t="s">
        <v>284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245</v>
      </c>
      <c r="O46" s="343" t="s">
        <v>325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291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</row>
    <row r="47" spans="1:27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235</v>
      </c>
      <c r="G47" s="343" t="s">
        <v>284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245</v>
      </c>
      <c r="O47" s="343" t="s">
        <v>326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293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</row>
    <row r="48" spans="1:27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236</v>
      </c>
      <c r="G48" s="343" t="s">
        <v>284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245</v>
      </c>
      <c r="O48" s="343" t="s">
        <v>327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</row>
    <row r="49" spans="1:27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244</v>
      </c>
      <c r="G49" s="343" t="s">
        <v>284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245</v>
      </c>
      <c r="O49" s="343" t="s">
        <v>328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273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</row>
    <row r="50" spans="1:27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245</v>
      </c>
      <c r="G50" s="343" t="s">
        <v>284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245</v>
      </c>
      <c r="O50" s="343" t="s">
        <v>329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275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</row>
    <row r="51" spans="1:27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232</v>
      </c>
      <c r="G51" s="343" t="s">
        <v>286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245</v>
      </c>
      <c r="O51" s="343" t="s">
        <v>330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277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</row>
    <row r="52" spans="1:27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233</v>
      </c>
      <c r="G52" s="343" t="s">
        <v>286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245</v>
      </c>
      <c r="O52" s="343" t="s">
        <v>331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279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</row>
    <row r="53" spans="1:27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234</v>
      </c>
      <c r="G53" s="343" t="s">
        <v>286</v>
      </c>
      <c r="I53" s="343">
        <v>20251211</v>
      </c>
      <c r="J53" s="343">
        <v>-660.54</v>
      </c>
      <c r="M53" s="384">
        <v>46002</v>
      </c>
      <c r="N53" s="343" t="s">
        <v>235</v>
      </c>
      <c r="O53" s="343" t="s">
        <v>332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281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</row>
    <row r="54" spans="1:27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235</v>
      </c>
      <c r="G54" s="343" t="s">
        <v>286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245</v>
      </c>
      <c r="O54" s="343" t="s">
        <v>332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283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</row>
    <row r="55" spans="1:27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236</v>
      </c>
      <c r="G55" s="343" t="s">
        <v>286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245</v>
      </c>
      <c r="O55" s="343" t="s">
        <v>333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285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</row>
    <row r="56" spans="1:27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244</v>
      </c>
      <c r="G56" s="343" t="s">
        <v>286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245</v>
      </c>
      <c r="O56" s="343" t="s">
        <v>334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287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</row>
    <row r="57" spans="1:27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245</v>
      </c>
      <c r="G57" s="343" t="s">
        <v>286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245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291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</row>
    <row r="58" spans="1:27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232</v>
      </c>
      <c r="G58" s="343" t="s">
        <v>288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245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293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</row>
    <row r="59" spans="1:27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233</v>
      </c>
      <c r="G59" s="343" t="s">
        <v>288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245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</row>
    <row r="60" spans="1:27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234</v>
      </c>
      <c r="G60" s="343" t="s">
        <v>288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245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273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</row>
    <row r="61" spans="1:27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235</v>
      </c>
      <c r="G61" s="343" t="s">
        <v>288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245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275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</row>
    <row r="62" spans="1:27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236</v>
      </c>
      <c r="G62" s="343" t="s">
        <v>288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245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277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27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244</v>
      </c>
      <c r="G63" s="343" t="s">
        <v>288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245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279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27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245</v>
      </c>
      <c r="G64" s="343" t="s">
        <v>288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245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281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232</v>
      </c>
      <c r="G65" s="343" t="s">
        <v>290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245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283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233</v>
      </c>
      <c r="G66" s="343" t="s">
        <v>290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245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285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234</v>
      </c>
      <c r="G67" s="343" t="s">
        <v>290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245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287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235</v>
      </c>
      <c r="G68" s="343" t="s">
        <v>290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245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293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236</v>
      </c>
      <c r="G69" s="343" t="s">
        <v>290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245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244</v>
      </c>
      <c r="G70" s="343" t="s">
        <v>290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245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335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245</v>
      </c>
      <c r="G71" s="343" t="s">
        <v>290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245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273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232</v>
      </c>
      <c r="G72" s="343" t="s">
        <v>292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245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275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233</v>
      </c>
      <c r="G73" s="343" t="s">
        <v>292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245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277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234</v>
      </c>
      <c r="G74" s="343" t="s">
        <v>292</v>
      </c>
      <c r="I74" s="343">
        <v>20260430</v>
      </c>
      <c r="J74" s="343">
        <v>-248.52</v>
      </c>
      <c r="M74" s="384">
        <v>46142</v>
      </c>
      <c r="N74" s="343" t="s">
        <v>235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279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235</v>
      </c>
      <c r="G75" s="343" t="s">
        <v>292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245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281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236</v>
      </c>
      <c r="G76" s="343" t="s">
        <v>292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245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283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244</v>
      </c>
      <c r="G77" s="343" t="s">
        <v>292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245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285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245</v>
      </c>
      <c r="G78" s="343" t="s">
        <v>292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245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287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232</v>
      </c>
      <c r="G79" s="343" t="s">
        <v>294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245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291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233</v>
      </c>
      <c r="G80" s="343" t="s">
        <v>294</v>
      </c>
      <c r="I80" s="343">
        <v>20260603</v>
      </c>
      <c r="J80" s="343">
        <v>-91.07</v>
      </c>
      <c r="M80" s="384">
        <v>46176</v>
      </c>
      <c r="N80" s="343" t="s">
        <v>234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293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234</v>
      </c>
      <c r="G81" s="343" t="s">
        <v>294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245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235</v>
      </c>
      <c r="G82" s="343" t="s">
        <v>294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245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335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236</v>
      </c>
      <c r="G83" s="343" t="s">
        <v>294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245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273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244</v>
      </c>
      <c r="G84" s="343" t="s">
        <v>294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245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275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245</v>
      </c>
      <c r="G85" s="343" t="s">
        <v>294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245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277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232</v>
      </c>
      <c r="G86" s="343" t="s">
        <v>295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245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279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233</v>
      </c>
      <c r="G87" s="343" t="s">
        <v>295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245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281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234</v>
      </c>
      <c r="G88" s="343" t="s">
        <v>295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245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283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235</v>
      </c>
      <c r="G89" s="343" t="s">
        <v>295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245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285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236</v>
      </c>
      <c r="G90" s="343" t="s">
        <v>295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245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287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244</v>
      </c>
      <c r="G91" s="343" t="s">
        <v>295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245</v>
      </c>
      <c r="O91" s="343" t="s">
        <v>168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293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245</v>
      </c>
      <c r="G92" s="343" t="s">
        <v>295</v>
      </c>
      <c r="I92" s="343">
        <v>20260823</v>
      </c>
      <c r="J92" s="343">
        <v>30216</v>
      </c>
      <c r="K92" s="343">
        <v>101</v>
      </c>
      <c r="L92" s="343">
        <v>280</v>
      </c>
      <c r="M92" s="384">
        <v>46257</v>
      </c>
      <c r="N92" s="343" t="s">
        <v>245</v>
      </c>
      <c r="O92" s="343" t="s">
        <v>169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232</v>
      </c>
      <c r="G93" s="343" t="s">
        <v>296</v>
      </c>
      <c r="I93" s="343">
        <v>20260830</v>
      </c>
      <c r="J93" s="343">
        <v>42968.65</v>
      </c>
      <c r="K93" s="343">
        <v>110</v>
      </c>
      <c r="L93" s="343">
        <v>362</v>
      </c>
      <c r="M93" s="384">
        <v>46264</v>
      </c>
      <c r="N93" s="343" t="s">
        <v>245</v>
      </c>
      <c r="O93" s="343" t="s">
        <v>172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335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233</v>
      </c>
      <c r="G94" s="343" t="s">
        <v>296</v>
      </c>
      <c r="I94" s="343">
        <v>20260906</v>
      </c>
      <c r="J94" s="343">
        <v>37651</v>
      </c>
      <c r="K94" s="343">
        <v>119</v>
      </c>
      <c r="L94" s="343">
        <v>317</v>
      </c>
      <c r="M94" s="384">
        <v>46271</v>
      </c>
      <c r="N94" s="343" t="s">
        <v>245</v>
      </c>
      <c r="O94" s="343" t="s">
        <v>101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273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234</v>
      </c>
      <c r="G95" s="343" t="s">
        <v>296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275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235</v>
      </c>
      <c r="G96" s="343" t="s">
        <v>296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277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236</v>
      </c>
      <c r="G97" s="343" t="s">
        <v>296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279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244</v>
      </c>
      <c r="G98" s="343" t="s">
        <v>296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281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245</v>
      </c>
      <c r="G99" s="343" t="s">
        <v>296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283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232</v>
      </c>
      <c r="G100" s="343" t="s">
        <v>297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285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233</v>
      </c>
      <c r="G101" s="343" t="s">
        <v>297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287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234</v>
      </c>
      <c r="G102" s="343" t="s">
        <v>297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293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235</v>
      </c>
      <c r="G103" s="343" t="s">
        <v>297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236</v>
      </c>
      <c r="G104" s="343" t="s">
        <v>297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273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244</v>
      </c>
      <c r="G105" s="343" t="s">
        <v>297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275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245</v>
      </c>
      <c r="G106" s="343" t="s">
        <v>297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277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232</v>
      </c>
      <c r="G107" s="343" t="s">
        <v>298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279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233</v>
      </c>
      <c r="G108" s="343" t="s">
        <v>298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281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234</v>
      </c>
      <c r="G109" s="343" t="s">
        <v>298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283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235</v>
      </c>
      <c r="G110" s="343" t="s">
        <v>298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285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236</v>
      </c>
      <c r="G111" s="343" t="s">
        <v>298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287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244</v>
      </c>
      <c r="G112" s="343" t="s">
        <v>298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291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245</v>
      </c>
      <c r="G113" s="343" t="s">
        <v>298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293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232</v>
      </c>
      <c r="G114" s="343" t="s">
        <v>299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233</v>
      </c>
      <c r="G115" s="343" t="s">
        <v>299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273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234</v>
      </c>
      <c r="G116" s="343" t="s">
        <v>299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275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235</v>
      </c>
      <c r="G117" s="343" t="s">
        <v>299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277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236</v>
      </c>
      <c r="G118" s="343" t="s">
        <v>299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279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244</v>
      </c>
      <c r="G119" s="343" t="s">
        <v>299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281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245</v>
      </c>
      <c r="G120" s="343" t="s">
        <v>299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283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232</v>
      </c>
      <c r="G121" s="343" t="s">
        <v>300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285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233</v>
      </c>
      <c r="G122" s="343" t="s">
        <v>300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287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234</v>
      </c>
      <c r="G123" s="343" t="s">
        <v>300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293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235</v>
      </c>
      <c r="G124" s="343" t="s">
        <v>300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236</v>
      </c>
      <c r="G125" s="343" t="s">
        <v>300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273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244</v>
      </c>
      <c r="G126" s="343" t="s">
        <v>300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275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245</v>
      </c>
      <c r="G127" s="343" t="s">
        <v>300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277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232</v>
      </c>
      <c r="G128" s="343" t="s">
        <v>301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279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233</v>
      </c>
      <c r="G129" s="343" t="s">
        <v>301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281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234</v>
      </c>
      <c r="G130" s="343" t="s">
        <v>301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283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235</v>
      </c>
      <c r="G131" s="343" t="s">
        <v>301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285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236</v>
      </c>
      <c r="G132" s="343" t="s">
        <v>301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287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244</v>
      </c>
      <c r="G133" s="343" t="s">
        <v>301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293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245</v>
      </c>
      <c r="G134" s="343" t="s">
        <v>301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232</v>
      </c>
      <c r="G135" s="343" t="s">
        <v>302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335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233</v>
      </c>
      <c r="G136" s="343" t="s">
        <v>302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273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234</v>
      </c>
      <c r="G137" s="343" t="s">
        <v>302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275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235</v>
      </c>
      <c r="G138" s="343" t="s">
        <v>302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277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236</v>
      </c>
      <c r="G139" s="343" t="s">
        <v>302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279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244</v>
      </c>
      <c r="G140" s="343" t="s">
        <v>302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281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245</v>
      </c>
      <c r="G141" s="343" t="s">
        <v>302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283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232</v>
      </c>
      <c r="G142" s="343" t="s">
        <v>303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285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233</v>
      </c>
      <c r="G143" s="343" t="s">
        <v>303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287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234</v>
      </c>
      <c r="G144" s="343" t="s">
        <v>303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293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235</v>
      </c>
      <c r="G145" s="343" t="s">
        <v>303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236</v>
      </c>
      <c r="G146" s="343" t="s">
        <v>303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273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244</v>
      </c>
      <c r="G147" s="343" t="s">
        <v>303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275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245</v>
      </c>
      <c r="G148" s="343" t="s">
        <v>303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277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232</v>
      </c>
      <c r="G149" s="343" t="s">
        <v>304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279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233</v>
      </c>
      <c r="G150" s="343" t="s">
        <v>304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281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234</v>
      </c>
      <c r="G151" s="343" t="s">
        <v>304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283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235</v>
      </c>
      <c r="G152" s="343" t="s">
        <v>304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285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236</v>
      </c>
      <c r="G153" s="343" t="s">
        <v>304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287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244</v>
      </c>
      <c r="G154" s="343" t="s">
        <v>304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293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245</v>
      </c>
      <c r="G155" s="343" t="s">
        <v>304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232</v>
      </c>
      <c r="G156" s="343" t="s">
        <v>305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273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233</v>
      </c>
      <c r="G157" s="343" t="s">
        <v>305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275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234</v>
      </c>
      <c r="G158" s="343" t="s">
        <v>305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277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235</v>
      </c>
      <c r="G159" s="343" t="s">
        <v>305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279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236</v>
      </c>
      <c r="G160" s="343" t="s">
        <v>305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281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244</v>
      </c>
      <c r="G161" s="343" t="s">
        <v>305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283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245</v>
      </c>
      <c r="G162" s="343" t="s">
        <v>305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285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232</v>
      </c>
      <c r="G163" s="343" t="s">
        <v>306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287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233</v>
      </c>
      <c r="G164" s="343" t="s">
        <v>306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293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234</v>
      </c>
      <c r="G165" s="343" t="s">
        <v>306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235</v>
      </c>
      <c r="G166" s="343" t="s">
        <v>306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335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236</v>
      </c>
      <c r="G167" s="343" t="s">
        <v>306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273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244</v>
      </c>
      <c r="G168" s="343" t="s">
        <v>306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275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245</v>
      </c>
      <c r="G169" s="343" t="s">
        <v>306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277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232</v>
      </c>
      <c r="G170" s="343" t="s">
        <v>307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279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233</v>
      </c>
      <c r="G171" s="343" t="s">
        <v>307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281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234</v>
      </c>
      <c r="G172" s="343" t="s">
        <v>307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283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235</v>
      </c>
      <c r="G173" s="343" t="s">
        <v>307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285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236</v>
      </c>
      <c r="G174" s="343" t="s">
        <v>307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287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244</v>
      </c>
      <c r="G175" s="343" t="s">
        <v>307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291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245</v>
      </c>
      <c r="G176" s="343" t="s">
        <v>307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293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232</v>
      </c>
      <c r="G177" s="343" t="s">
        <v>308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233</v>
      </c>
      <c r="G178" s="343" t="s">
        <v>308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335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234</v>
      </c>
      <c r="G179" s="343" t="s">
        <v>308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275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235</v>
      </c>
      <c r="G180" s="343" t="s">
        <v>308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277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236</v>
      </c>
      <c r="G181" s="343" t="s">
        <v>308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279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244</v>
      </c>
      <c r="G182" s="343" t="s">
        <v>308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281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245</v>
      </c>
      <c r="G183" s="343" t="s">
        <v>308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283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232</v>
      </c>
      <c r="G184" s="343" t="s">
        <v>309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285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233</v>
      </c>
      <c r="G185" s="343" t="s">
        <v>309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287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234</v>
      </c>
      <c r="G186" s="343" t="s">
        <v>309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291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235</v>
      </c>
      <c r="G187" s="343" t="s">
        <v>309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293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236</v>
      </c>
      <c r="G188" s="343" t="s">
        <v>309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244</v>
      </c>
      <c r="G189" s="343" t="s">
        <v>309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273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245</v>
      </c>
      <c r="G190" s="343" t="s">
        <v>309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336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232</v>
      </c>
      <c r="G191" s="343" t="s">
        <v>310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275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233</v>
      </c>
      <c r="G192" s="343" t="s">
        <v>310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277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234</v>
      </c>
      <c r="G193" s="343" t="s">
        <v>310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279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235</v>
      </c>
      <c r="G194" s="343" t="s">
        <v>310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281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236</v>
      </c>
      <c r="G195" s="343" t="s">
        <v>310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283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244</v>
      </c>
      <c r="G196" s="343" t="s">
        <v>310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285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245</v>
      </c>
      <c r="G197" s="343" t="s">
        <v>310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287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232</v>
      </c>
      <c r="G198" s="343" t="s">
        <v>311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291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233</v>
      </c>
      <c r="G199" s="343" t="s">
        <v>311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293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234</v>
      </c>
      <c r="G200" s="343" t="s">
        <v>311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235</v>
      </c>
      <c r="G201" s="343" t="s">
        <v>311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335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236</v>
      </c>
      <c r="G202" s="343" t="s">
        <v>311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273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244</v>
      </c>
      <c r="G203" s="343" t="s">
        <v>311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336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245</v>
      </c>
      <c r="G204" s="343" t="s">
        <v>311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275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232</v>
      </c>
      <c r="G205" s="343" t="s">
        <v>312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277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233</v>
      </c>
      <c r="G206" s="343" t="s">
        <v>312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279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234</v>
      </c>
      <c r="G207" s="343" t="s">
        <v>312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281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235</v>
      </c>
      <c r="G208" s="343" t="s">
        <v>312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283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236</v>
      </c>
      <c r="G209" s="343" t="s">
        <v>312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285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244</v>
      </c>
      <c r="G210" s="343" t="s">
        <v>312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287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245</v>
      </c>
      <c r="G211" s="343" t="s">
        <v>312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293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232</v>
      </c>
      <c r="G212" s="343" t="s">
        <v>313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233</v>
      </c>
      <c r="G213" s="343" t="s">
        <v>313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335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234</v>
      </c>
      <c r="G214" s="343" t="s">
        <v>313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273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235</v>
      </c>
      <c r="G215" s="343" t="s">
        <v>313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275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236</v>
      </c>
      <c r="G216" s="343" t="s">
        <v>313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277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244</v>
      </c>
      <c r="G217" s="343" t="s">
        <v>313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279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245</v>
      </c>
      <c r="G218" s="343" t="s">
        <v>313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281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232</v>
      </c>
      <c r="G219" s="343" t="s">
        <v>314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283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233</v>
      </c>
      <c r="G220" s="343" t="s">
        <v>314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285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234</v>
      </c>
      <c r="G221" s="343" t="s">
        <v>314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287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235</v>
      </c>
      <c r="G222" s="343" t="s">
        <v>314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293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236</v>
      </c>
      <c r="G223" s="343" t="s">
        <v>314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244</v>
      </c>
      <c r="G224" s="343" t="s">
        <v>314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275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245</v>
      </c>
      <c r="G225" s="343" t="s">
        <v>314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277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232</v>
      </c>
      <c r="G226" s="343" t="s">
        <v>315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279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233</v>
      </c>
      <c r="G227" s="343" t="s">
        <v>315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281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234</v>
      </c>
      <c r="G228" s="343" t="s">
        <v>315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283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235</v>
      </c>
      <c r="G229" s="343" t="s">
        <v>315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285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236</v>
      </c>
      <c r="G230" s="343" t="s">
        <v>315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287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244</v>
      </c>
      <c r="G231" s="343" t="s">
        <v>315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293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245</v>
      </c>
      <c r="G232" s="343" t="s">
        <v>315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232</v>
      </c>
      <c r="G233" s="343" t="s">
        <v>316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275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233</v>
      </c>
      <c r="G234" s="343" t="s">
        <v>316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277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234</v>
      </c>
      <c r="G235" s="343" t="s">
        <v>316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279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235</v>
      </c>
      <c r="G236" s="343" t="s">
        <v>316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281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236</v>
      </c>
      <c r="G237" s="343" t="s">
        <v>316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283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244</v>
      </c>
      <c r="G238" s="343" t="s">
        <v>316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285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245</v>
      </c>
      <c r="G239" s="343" t="s">
        <v>316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287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232</v>
      </c>
      <c r="G240" s="343" t="s">
        <v>317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293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233</v>
      </c>
      <c r="G241" s="343" t="s">
        <v>317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234</v>
      </c>
      <c r="G242" s="343" t="s">
        <v>317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335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235</v>
      </c>
      <c r="G243" s="343" t="s">
        <v>317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275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236</v>
      </c>
      <c r="G244" s="343" t="s">
        <v>317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277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244</v>
      </c>
      <c r="G245" s="343" t="s">
        <v>317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279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245</v>
      </c>
      <c r="G246" s="343" t="s">
        <v>317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281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232</v>
      </c>
      <c r="G247" s="343" t="s">
        <v>318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283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233</v>
      </c>
      <c r="G248" s="343" t="s">
        <v>318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285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234</v>
      </c>
      <c r="G249" s="343" t="s">
        <v>318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287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235</v>
      </c>
      <c r="G250" s="343" t="s">
        <v>318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291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236</v>
      </c>
      <c r="G251" s="343" t="s">
        <v>318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293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244</v>
      </c>
      <c r="G252" s="343" t="s">
        <v>318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245</v>
      </c>
      <c r="G253" s="343" t="s">
        <v>318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335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232</v>
      </c>
      <c r="G254" s="343" t="s">
        <v>319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279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233</v>
      </c>
      <c r="G255" s="343" t="s">
        <v>319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285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234</v>
      </c>
      <c r="G256" s="343" t="s">
        <v>319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275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235</v>
      </c>
      <c r="G257" s="343" t="s">
        <v>319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281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236</v>
      </c>
      <c r="G258" s="343" t="s">
        <v>319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283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244</v>
      </c>
      <c r="G259" s="343" t="s">
        <v>319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293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245</v>
      </c>
      <c r="G260" s="343" t="s">
        <v>319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232</v>
      </c>
      <c r="G261" s="343" t="s">
        <v>320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277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233</v>
      </c>
      <c r="G262" s="343" t="s">
        <v>320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287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234</v>
      </c>
      <c r="G263" s="343" t="s">
        <v>320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279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235</v>
      </c>
      <c r="G264" s="343" t="s">
        <v>320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335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236</v>
      </c>
      <c r="G265" s="343" t="s">
        <v>320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285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244</v>
      </c>
      <c r="G266" s="343" t="s">
        <v>320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336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245</v>
      </c>
      <c r="G267" s="343" t="s">
        <v>320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275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232</v>
      </c>
      <c r="G268" s="343" t="s">
        <v>321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281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233</v>
      </c>
      <c r="G269" s="343" t="s">
        <v>321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283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234</v>
      </c>
      <c r="G270" s="343" t="s">
        <v>321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293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235</v>
      </c>
      <c r="G271" s="343" t="s">
        <v>321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236</v>
      </c>
      <c r="G272" s="343" t="s">
        <v>321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273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244</v>
      </c>
      <c r="G273" s="343" t="s">
        <v>321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277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245</v>
      </c>
      <c r="G274" s="343" t="s">
        <v>321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287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232</v>
      </c>
      <c r="G275" s="343" t="s">
        <v>322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279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233</v>
      </c>
      <c r="G276" s="343" t="s">
        <v>322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285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234</v>
      </c>
      <c r="G277" s="343" t="s">
        <v>322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336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235</v>
      </c>
      <c r="G278" s="343" t="s">
        <v>322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275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236</v>
      </c>
      <c r="G279" s="343" t="s">
        <v>322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281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244</v>
      </c>
      <c r="G280" s="343" t="s">
        <v>322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283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245</v>
      </c>
      <c r="G281" s="343" t="s">
        <v>322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293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232</v>
      </c>
      <c r="G282" s="343" t="s">
        <v>323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233</v>
      </c>
      <c r="G283" s="343" t="s">
        <v>323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273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234</v>
      </c>
      <c r="G284" s="343" t="s">
        <v>323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277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235</v>
      </c>
      <c r="G285" s="343" t="s">
        <v>323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287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236</v>
      </c>
      <c r="G286" s="343" t="s">
        <v>323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279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244</v>
      </c>
      <c r="G287" s="343" t="s">
        <v>323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285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245</v>
      </c>
      <c r="G288" s="343" t="s">
        <v>323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275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232</v>
      </c>
      <c r="G289" s="343" t="s">
        <v>324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281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233</v>
      </c>
      <c r="G290" s="343" t="s">
        <v>324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283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234</v>
      </c>
      <c r="G291" s="343" t="s">
        <v>324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293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235</v>
      </c>
      <c r="G292" s="343" t="s">
        <v>324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236</v>
      </c>
      <c r="G293" s="343" t="s">
        <v>324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273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244</v>
      </c>
      <c r="G294" s="343" t="s">
        <v>324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277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245</v>
      </c>
      <c r="G295" s="343" t="s">
        <v>324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287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232</v>
      </c>
      <c r="G296" s="343" t="s">
        <v>325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279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233</v>
      </c>
      <c r="G297" s="343" t="s">
        <v>325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285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234</v>
      </c>
      <c r="G298" s="343" t="s">
        <v>325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275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235</v>
      </c>
      <c r="G299" s="343" t="s">
        <v>325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281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236</v>
      </c>
      <c r="G300" s="343" t="s">
        <v>325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283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244</v>
      </c>
      <c r="G301" s="343" t="s">
        <v>325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293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245</v>
      </c>
      <c r="G302" s="343" t="s">
        <v>325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232</v>
      </c>
      <c r="G303" s="343" t="s">
        <v>326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277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233</v>
      </c>
      <c r="G304" s="343" t="s">
        <v>326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287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234</v>
      </c>
      <c r="G305" s="343" t="s">
        <v>326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279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235</v>
      </c>
      <c r="G306" s="343" t="s">
        <v>326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335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236</v>
      </c>
      <c r="G307" s="343" t="s">
        <v>326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285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244</v>
      </c>
      <c r="G308" s="343" t="s">
        <v>326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336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245</v>
      </c>
      <c r="G309" s="343" t="s">
        <v>326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275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232</v>
      </c>
      <c r="G310" s="343" t="s">
        <v>327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281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233</v>
      </c>
      <c r="G311" s="343" t="s">
        <v>327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283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234</v>
      </c>
      <c r="G312" s="343" t="s">
        <v>327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293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235</v>
      </c>
      <c r="G313" s="343" t="s">
        <v>327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236</v>
      </c>
      <c r="G314" s="343" t="s">
        <v>327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277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244</v>
      </c>
      <c r="G315" s="343" t="s">
        <v>327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287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245</v>
      </c>
      <c r="G316" s="343" t="s">
        <v>327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279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232</v>
      </c>
      <c r="G317" s="343" t="s">
        <v>328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285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233</v>
      </c>
      <c r="G318" s="343" t="s">
        <v>328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336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234</v>
      </c>
      <c r="G319" s="343" t="s">
        <v>328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275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235</v>
      </c>
      <c r="G320" s="343" t="s">
        <v>328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281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236</v>
      </c>
      <c r="G321" s="343" t="s">
        <v>328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283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244</v>
      </c>
      <c r="G322" s="343" t="s">
        <v>328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293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245</v>
      </c>
      <c r="G323" s="343" t="s">
        <v>328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232</v>
      </c>
      <c r="G324" s="343" t="s">
        <v>329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277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233</v>
      </c>
      <c r="G325" s="343" t="s">
        <v>329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287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234</v>
      </c>
      <c r="G326" s="343" t="s">
        <v>329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279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235</v>
      </c>
      <c r="G327" s="343" t="s">
        <v>329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285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236</v>
      </c>
      <c r="G328" s="343" t="s">
        <v>329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336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244</v>
      </c>
      <c r="G329" s="343" t="s">
        <v>329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275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245</v>
      </c>
      <c r="G330" s="343" t="s">
        <v>329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281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232</v>
      </c>
      <c r="G331" s="343" t="s">
        <v>330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283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233</v>
      </c>
      <c r="G332" s="343" t="s">
        <v>330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293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234</v>
      </c>
      <c r="G333" s="343" t="s">
        <v>330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235</v>
      </c>
      <c r="G334" s="343" t="s">
        <v>330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277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236</v>
      </c>
      <c r="G335" s="343" t="s">
        <v>330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287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244</v>
      </c>
      <c r="G336" s="343" t="s">
        <v>330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279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245</v>
      </c>
      <c r="G337" s="343" t="s">
        <v>330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285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232</v>
      </c>
      <c r="G338" s="343" t="s">
        <v>331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275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233</v>
      </c>
      <c r="G339" s="343" t="s">
        <v>331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281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234</v>
      </c>
      <c r="G340" s="343" t="s">
        <v>331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283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235</v>
      </c>
      <c r="G341" s="343" t="s">
        <v>331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293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236</v>
      </c>
      <c r="G342" s="343" t="s">
        <v>331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244</v>
      </c>
      <c r="G343" s="343" t="s">
        <v>331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277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245</v>
      </c>
      <c r="G344" s="343" t="s">
        <v>331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287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232</v>
      </c>
      <c r="G345" s="343" t="s">
        <v>332</v>
      </c>
      <c r="Q345" s="343" t="s">
        <v>165</v>
      </c>
      <c r="R345" s="343" t="s">
        <v>168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233</v>
      </c>
      <c r="G346" s="343" t="s">
        <v>332</v>
      </c>
      <c r="Q346" s="343" t="s">
        <v>165</v>
      </c>
      <c r="R346" s="343" t="s">
        <v>169</v>
      </c>
      <c r="S346" s="384">
        <v>46251</v>
      </c>
      <c r="T346" s="384">
        <v>46257</v>
      </c>
      <c r="U346" s="343" t="s">
        <v>106</v>
      </c>
      <c r="V346" s="343">
        <v>16</v>
      </c>
      <c r="W346" s="343">
        <v>1283.27</v>
      </c>
      <c r="X346" s="343">
        <v>0</v>
      </c>
      <c r="Y346" s="343">
        <v>0</v>
      </c>
      <c r="Z346" s="343">
        <v>1283.27</v>
      </c>
      <c r="AA346" s="343">
        <v>0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234</v>
      </c>
      <c r="G347" s="343" t="s">
        <v>332</v>
      </c>
      <c r="Q347" s="343" t="s">
        <v>171</v>
      </c>
      <c r="R347" s="343" t="s">
        <v>172</v>
      </c>
      <c r="S347" s="384">
        <v>46258</v>
      </c>
      <c r="T347" s="384">
        <v>46264</v>
      </c>
      <c r="U347" s="343" t="s">
        <v>106</v>
      </c>
      <c r="V347" s="343">
        <v>17</v>
      </c>
      <c r="W347" s="343">
        <v>1959.69</v>
      </c>
      <c r="X347" s="343">
        <v>0</v>
      </c>
      <c r="Y347" s="343">
        <v>0</v>
      </c>
      <c r="Z347" s="343">
        <v>1959.69</v>
      </c>
      <c r="AA347" s="343">
        <v>0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235</v>
      </c>
      <c r="G348" s="343" t="s">
        <v>332</v>
      </c>
      <c r="Q348" s="343" t="s">
        <v>171</v>
      </c>
      <c r="R348" s="343" t="s">
        <v>101</v>
      </c>
      <c r="S348" s="384">
        <v>46265</v>
      </c>
      <c r="T348" s="384">
        <v>46271</v>
      </c>
      <c r="U348" s="343" t="s">
        <v>106</v>
      </c>
      <c r="V348" s="343">
        <v>15</v>
      </c>
      <c r="W348" s="343">
        <v>1607.5</v>
      </c>
      <c r="X348" s="343">
        <v>0</v>
      </c>
      <c r="Y348" s="343">
        <v>0</v>
      </c>
      <c r="Z348" s="343">
        <v>1607.5</v>
      </c>
      <c r="AA348" s="343">
        <v>0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236</v>
      </c>
      <c r="G349" s="343" t="s">
        <v>332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244</v>
      </c>
      <c r="G350" s="343" t="s">
        <v>332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245</v>
      </c>
      <c r="G351" s="343" t="s">
        <v>332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232</v>
      </c>
      <c r="G352" s="343" t="s">
        <v>333</v>
      </c>
    </row>
    <row r="353" spans="1: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233</v>
      </c>
      <c r="G353" s="343" t="s">
        <v>333</v>
      </c>
    </row>
    <row r="354" spans="1: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234</v>
      </c>
      <c r="G354" s="343" t="s">
        <v>333</v>
      </c>
    </row>
    <row r="355" spans="1: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235</v>
      </c>
      <c r="G355" s="343" t="s">
        <v>333</v>
      </c>
    </row>
    <row r="356" spans="1: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236</v>
      </c>
      <c r="G356" s="343" t="s">
        <v>333</v>
      </c>
    </row>
    <row r="357" spans="1: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244</v>
      </c>
      <c r="G357" s="343" t="s">
        <v>333</v>
      </c>
    </row>
    <row r="358" spans="1: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245</v>
      </c>
      <c r="G358" s="343" t="s">
        <v>333</v>
      </c>
    </row>
    <row r="359" spans="1: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232</v>
      </c>
      <c r="G359" s="343" t="s">
        <v>334</v>
      </c>
    </row>
    <row r="360" spans="1: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233</v>
      </c>
      <c r="G360" s="343" t="s">
        <v>334</v>
      </c>
    </row>
    <row r="361" spans="1: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234</v>
      </c>
      <c r="G361" s="343" t="s">
        <v>334</v>
      </c>
    </row>
    <row r="362" spans="1: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235</v>
      </c>
      <c r="G362" s="343" t="s">
        <v>334</v>
      </c>
    </row>
    <row r="363" spans="1: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236</v>
      </c>
      <c r="G363" s="343" t="s">
        <v>334</v>
      </c>
    </row>
    <row r="364" spans="1: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244</v>
      </c>
      <c r="G364" s="343" t="s">
        <v>334</v>
      </c>
    </row>
    <row r="365" spans="1: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245</v>
      </c>
      <c r="G365" s="343" t="s">
        <v>334</v>
      </c>
    </row>
    <row r="366" spans="1: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232</v>
      </c>
      <c r="G366" s="343" t="s">
        <v>122</v>
      </c>
    </row>
    <row r="367" spans="1: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233</v>
      </c>
      <c r="G367" s="343" t="s">
        <v>122</v>
      </c>
    </row>
    <row r="368" spans="1: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234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235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236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244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245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232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233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234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235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236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244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245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232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233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234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235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236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244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245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232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233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234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235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236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244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245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232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233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234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235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236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244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245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232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233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234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235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236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244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245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232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233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234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235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236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244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245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232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233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234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235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236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244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245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232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233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234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235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236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244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245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232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233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234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235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236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244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245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232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233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234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235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236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244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245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232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233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234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235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236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244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245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232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233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234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235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236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244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245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232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233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234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235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236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244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245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232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233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234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235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236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244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245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232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233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234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235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236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244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245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232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233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234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235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236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244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245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232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233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234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235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236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244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245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232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233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234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235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236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244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245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232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233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234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235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236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244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245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232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233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234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235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236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244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245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232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233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234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235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236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244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245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232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233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234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235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236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244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245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232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233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234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235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236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244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245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232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233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234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235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236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244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245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232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233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234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235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236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244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245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232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233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234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235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236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244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245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232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233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234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235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236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244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245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232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233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234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235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236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244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245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232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233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234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235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236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244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245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232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233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234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235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236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244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245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232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233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234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235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236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244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245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232</v>
      </c>
      <c r="G590" s="343" t="s">
        <v>168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233</v>
      </c>
      <c r="G591" s="343" t="s">
        <v>168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234</v>
      </c>
      <c r="G592" s="343" t="s">
        <v>168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235</v>
      </c>
      <c r="G593" s="343" t="s">
        <v>168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236</v>
      </c>
      <c r="G594" s="343" t="s">
        <v>168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244</v>
      </c>
      <c r="G595" s="343" t="s">
        <v>168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245</v>
      </c>
      <c r="G596" s="343" t="s">
        <v>168</v>
      </c>
    </row>
    <row r="597" spans="1:7">
      <c r="A597" s="343">
        <v>20260817</v>
      </c>
      <c r="B597" s="343">
        <v>54075.25</v>
      </c>
      <c r="C597" s="343">
        <v>213</v>
      </c>
      <c r="D597" s="343">
        <v>473</v>
      </c>
      <c r="E597" s="384">
        <v>46251</v>
      </c>
      <c r="F597" s="343" t="s">
        <v>232</v>
      </c>
      <c r="G597" s="343" t="s">
        <v>169</v>
      </c>
    </row>
    <row r="598" spans="1:7">
      <c r="A598" s="343">
        <v>20260818</v>
      </c>
      <c r="B598" s="343">
        <v>62948.05</v>
      </c>
      <c r="C598" s="343">
        <v>207</v>
      </c>
      <c r="D598" s="343">
        <v>513</v>
      </c>
      <c r="E598" s="384">
        <v>46252</v>
      </c>
      <c r="F598" s="343" t="s">
        <v>233</v>
      </c>
      <c r="G598" s="343" t="s">
        <v>169</v>
      </c>
    </row>
    <row r="599" spans="1:7">
      <c r="A599" s="343">
        <v>20260819</v>
      </c>
      <c r="B599" s="343">
        <v>51304.25</v>
      </c>
      <c r="C599" s="343">
        <v>220</v>
      </c>
      <c r="D599" s="343">
        <v>445</v>
      </c>
      <c r="E599" s="384">
        <v>46253</v>
      </c>
      <c r="F599" s="343" t="s">
        <v>234</v>
      </c>
      <c r="G599" s="343" t="s">
        <v>169</v>
      </c>
    </row>
    <row r="600" spans="1:7">
      <c r="A600" s="343">
        <v>20260820</v>
      </c>
      <c r="B600" s="343">
        <v>83852.5</v>
      </c>
      <c r="C600" s="343">
        <v>333</v>
      </c>
      <c r="D600" s="343">
        <v>751</v>
      </c>
      <c r="E600" s="384">
        <v>46254</v>
      </c>
      <c r="F600" s="343" t="s">
        <v>235</v>
      </c>
      <c r="G600" s="343" t="s">
        <v>169</v>
      </c>
    </row>
    <row r="601" spans="1:7">
      <c r="A601" s="343">
        <v>20260821</v>
      </c>
      <c r="B601" s="343">
        <v>95042.8</v>
      </c>
      <c r="C601" s="343">
        <v>339</v>
      </c>
      <c r="D601" s="343">
        <v>852</v>
      </c>
      <c r="E601" s="384">
        <v>46255</v>
      </c>
      <c r="F601" s="343" t="s">
        <v>236</v>
      </c>
      <c r="G601" s="343" t="s">
        <v>169</v>
      </c>
    </row>
    <row r="602" spans="1:7">
      <c r="A602" s="343">
        <v>20260822</v>
      </c>
      <c r="B602" s="343">
        <v>100827.42</v>
      </c>
      <c r="C602" s="343">
        <v>355</v>
      </c>
      <c r="D602" s="343">
        <v>857</v>
      </c>
      <c r="E602" s="384">
        <v>46256</v>
      </c>
      <c r="F602" s="343" t="s">
        <v>244</v>
      </c>
      <c r="G602" s="343" t="s">
        <v>169</v>
      </c>
    </row>
    <row r="603" spans="1:7">
      <c r="A603" s="343">
        <v>20260823</v>
      </c>
      <c r="B603" s="343">
        <v>60723</v>
      </c>
      <c r="C603" s="343">
        <v>228</v>
      </c>
      <c r="D603" s="343">
        <v>534</v>
      </c>
      <c r="E603" s="384">
        <v>46257</v>
      </c>
      <c r="F603" s="343" t="s">
        <v>245</v>
      </c>
      <c r="G603" s="343" t="s">
        <v>169</v>
      </c>
    </row>
    <row r="604" spans="1:7">
      <c r="A604" s="343">
        <v>20260824</v>
      </c>
      <c r="B604" s="343">
        <v>44965.25</v>
      </c>
      <c r="C604" s="343">
        <v>168</v>
      </c>
      <c r="D604" s="343">
        <v>421</v>
      </c>
      <c r="E604" s="384">
        <v>46258</v>
      </c>
      <c r="F604" s="343" t="s">
        <v>232</v>
      </c>
      <c r="G604" s="343" t="s">
        <v>172</v>
      </c>
    </row>
    <row r="605" spans="1:7">
      <c r="A605" s="343">
        <v>20260825</v>
      </c>
      <c r="B605" s="343">
        <v>49737.5</v>
      </c>
      <c r="C605" s="343">
        <v>186</v>
      </c>
      <c r="D605" s="343">
        <v>384</v>
      </c>
      <c r="E605" s="384">
        <v>46259</v>
      </c>
      <c r="F605" s="343" t="s">
        <v>233</v>
      </c>
      <c r="G605" s="343" t="s">
        <v>172</v>
      </c>
    </row>
    <row r="606" spans="1:7">
      <c r="A606" s="343">
        <v>20260826</v>
      </c>
      <c r="B606" s="343">
        <v>50399.75</v>
      </c>
      <c r="C606" s="343">
        <v>193</v>
      </c>
      <c r="D606" s="343">
        <v>412</v>
      </c>
      <c r="E606" s="384">
        <v>46260</v>
      </c>
      <c r="F606" s="343" t="s">
        <v>234</v>
      </c>
      <c r="G606" s="343" t="s">
        <v>172</v>
      </c>
    </row>
    <row r="607" spans="1:7">
      <c r="A607" s="343">
        <v>20260827</v>
      </c>
      <c r="B607" s="343">
        <v>76308.800000000003</v>
      </c>
      <c r="C607" s="343">
        <v>307</v>
      </c>
      <c r="D607" s="343">
        <v>665</v>
      </c>
      <c r="E607" s="384">
        <v>46261</v>
      </c>
      <c r="F607" s="343" t="s">
        <v>235</v>
      </c>
      <c r="G607" s="343" t="s">
        <v>172</v>
      </c>
    </row>
    <row r="608" spans="1:7">
      <c r="A608" s="343">
        <v>20260828</v>
      </c>
      <c r="B608" s="343">
        <v>95821.7</v>
      </c>
      <c r="C608" s="343">
        <v>323</v>
      </c>
      <c r="D608" s="343">
        <v>761</v>
      </c>
      <c r="E608" s="384">
        <v>46262</v>
      </c>
      <c r="F608" s="343" t="s">
        <v>236</v>
      </c>
      <c r="G608" s="343" t="s">
        <v>172</v>
      </c>
    </row>
    <row r="609" spans="1:7">
      <c r="A609" s="343">
        <v>20260829</v>
      </c>
      <c r="B609" s="343">
        <v>95876.800000000003</v>
      </c>
      <c r="C609" s="343">
        <v>388</v>
      </c>
      <c r="D609" s="343">
        <v>862</v>
      </c>
      <c r="E609" s="384">
        <v>46263</v>
      </c>
      <c r="F609" s="343" t="s">
        <v>244</v>
      </c>
      <c r="G609" s="343" t="s">
        <v>172</v>
      </c>
    </row>
    <row r="610" spans="1:7">
      <c r="A610" s="343">
        <v>20260830</v>
      </c>
      <c r="B610" s="343">
        <v>52336.5</v>
      </c>
      <c r="C610" s="343">
        <v>221</v>
      </c>
      <c r="D610" s="343">
        <v>500</v>
      </c>
      <c r="E610" s="384">
        <v>46264</v>
      </c>
      <c r="F610" s="343" t="s">
        <v>245</v>
      </c>
      <c r="G610" s="343" t="s">
        <v>172</v>
      </c>
    </row>
    <row r="611" spans="1:7">
      <c r="A611" s="343">
        <v>20260831</v>
      </c>
      <c r="B611" s="343">
        <v>40119</v>
      </c>
      <c r="C611" s="343">
        <v>136</v>
      </c>
      <c r="D611" s="343">
        <v>305</v>
      </c>
      <c r="E611" s="384">
        <v>46265</v>
      </c>
      <c r="F611" s="343" t="s">
        <v>232</v>
      </c>
      <c r="G611" s="343" t="s">
        <v>101</v>
      </c>
    </row>
    <row r="612" spans="1:7">
      <c r="A612" s="343">
        <v>20260901</v>
      </c>
      <c r="B612" s="343">
        <v>34237.5</v>
      </c>
      <c r="C612" s="343">
        <v>127</v>
      </c>
      <c r="D612" s="343">
        <v>258</v>
      </c>
      <c r="E612" s="384">
        <v>46266</v>
      </c>
      <c r="F612" s="343" t="s">
        <v>233</v>
      </c>
      <c r="G612" s="343" t="s">
        <v>101</v>
      </c>
    </row>
    <row r="613" spans="1:7">
      <c r="A613" s="343">
        <v>20260902</v>
      </c>
      <c r="B613" s="343">
        <v>43802.5</v>
      </c>
      <c r="C613" s="343">
        <v>176</v>
      </c>
      <c r="D613" s="343">
        <v>352</v>
      </c>
      <c r="E613" s="384">
        <v>46267</v>
      </c>
      <c r="F613" s="343" t="s">
        <v>234</v>
      </c>
      <c r="G613" s="343" t="s">
        <v>101</v>
      </c>
    </row>
    <row r="614" spans="1:7">
      <c r="A614" s="343">
        <v>20260903</v>
      </c>
      <c r="B614" s="343">
        <v>64591.05</v>
      </c>
      <c r="C614" s="343">
        <v>269</v>
      </c>
      <c r="D614" s="343">
        <v>548</v>
      </c>
      <c r="E614" s="384">
        <v>46268</v>
      </c>
      <c r="F614" s="343" t="s">
        <v>235</v>
      </c>
      <c r="G614" s="343" t="s">
        <v>101</v>
      </c>
    </row>
    <row r="615" spans="1:7">
      <c r="A615" s="343">
        <v>20260904</v>
      </c>
      <c r="B615" s="343">
        <v>107326.9</v>
      </c>
      <c r="C615" s="343">
        <v>346</v>
      </c>
      <c r="D615" s="343">
        <v>808</v>
      </c>
      <c r="E615" s="384">
        <v>46269</v>
      </c>
      <c r="F615" s="343" t="s">
        <v>236</v>
      </c>
      <c r="G615" s="343" t="s">
        <v>101</v>
      </c>
    </row>
    <row r="616" spans="1:7">
      <c r="A616" s="343">
        <v>20260905</v>
      </c>
      <c r="B616" s="343">
        <v>103032.2</v>
      </c>
      <c r="C616" s="343">
        <v>364</v>
      </c>
      <c r="D616" s="343">
        <v>849</v>
      </c>
      <c r="E616" s="384">
        <v>46270</v>
      </c>
      <c r="F616" s="343" t="s">
        <v>244</v>
      </c>
      <c r="G616" s="343" t="s">
        <v>101</v>
      </c>
    </row>
    <row r="617" spans="1:7">
      <c r="A617" s="343">
        <v>20260906</v>
      </c>
      <c r="B617" s="343">
        <v>94146.7</v>
      </c>
      <c r="C617" s="343">
        <v>330</v>
      </c>
      <c r="D617" s="343">
        <v>775</v>
      </c>
      <c r="E617" s="384">
        <v>46271</v>
      </c>
      <c r="F617" s="343" t="s">
        <v>245</v>
      </c>
      <c r="G617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2"/>
  <sheetViews>
    <sheetView topLeftCell="A266" workbookViewId="0">
      <selection activeCell="Y312" sqref="Y312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233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232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232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337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234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233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233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235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234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234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236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235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235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289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244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236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236</v>
      </c>
      <c r="W6" s="343" t="s">
        <v>122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4660</v>
      </c>
      <c r="AE6" s="343">
        <v>167411.79999999999</v>
      </c>
      <c r="AF6" s="343">
        <v>3507</v>
      </c>
      <c r="AG6" s="343">
        <v>0</v>
      </c>
      <c r="AH6" s="343">
        <v>170918.8</v>
      </c>
      <c r="AI6" s="343">
        <v>15067.07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234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244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244</v>
      </c>
      <c r="W7" s="343" t="s">
        <v>122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283</v>
      </c>
      <c r="AD7" s="343">
        <v>2758</v>
      </c>
      <c r="AE7" s="343">
        <v>25753</v>
      </c>
      <c r="AF7" s="343">
        <v>1108</v>
      </c>
      <c r="AG7" s="343">
        <v>0</v>
      </c>
      <c r="AH7" s="343">
        <v>26861</v>
      </c>
      <c r="AI7" s="343">
        <v>2317.77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235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233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233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281</v>
      </c>
      <c r="AD8" s="343">
        <v>5605</v>
      </c>
      <c r="AE8" s="343">
        <v>441096</v>
      </c>
      <c r="AF8" s="343">
        <v>10563</v>
      </c>
      <c r="AG8" s="343">
        <v>0</v>
      </c>
      <c r="AH8" s="343">
        <v>451659</v>
      </c>
      <c r="AI8" s="343">
        <v>39698.639999999999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236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234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235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279</v>
      </c>
      <c r="AD9" s="343">
        <v>223</v>
      </c>
      <c r="AE9" s="343">
        <v>2571</v>
      </c>
      <c r="AF9" s="343">
        <v>111</v>
      </c>
      <c r="AG9" s="343">
        <v>0</v>
      </c>
      <c r="AH9" s="343">
        <v>2682</v>
      </c>
      <c r="AI9" s="343">
        <v>231.39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244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235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236</v>
      </c>
      <c r="W10" s="343" t="s">
        <v>123</v>
      </c>
      <c r="Y10" s="343" t="s">
        <v>121</v>
      </c>
      <c r="Z10" s="343" t="s">
        <v>122</v>
      </c>
      <c r="AA10" s="384">
        <v>46020</v>
      </c>
      <c r="AB10" s="384">
        <v>46026</v>
      </c>
      <c r="AC10" s="343" t="s">
        <v>277</v>
      </c>
      <c r="AD10" s="343">
        <v>118</v>
      </c>
      <c r="AE10" s="343">
        <v>82600</v>
      </c>
      <c r="AF10" s="343">
        <v>155</v>
      </c>
      <c r="AG10" s="343">
        <v>0</v>
      </c>
      <c r="AH10" s="343">
        <v>82755</v>
      </c>
      <c r="AI10" s="343">
        <v>7434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233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236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244</v>
      </c>
      <c r="W11" s="343" t="s">
        <v>123</v>
      </c>
      <c r="Y11" s="343" t="s">
        <v>121</v>
      </c>
      <c r="Z11" s="343" t="s">
        <v>122</v>
      </c>
      <c r="AA11" s="384">
        <v>46020</v>
      </c>
      <c r="AB11" s="384">
        <v>46026</v>
      </c>
      <c r="AC11" s="343" t="s">
        <v>287</v>
      </c>
      <c r="AD11" s="343">
        <v>738</v>
      </c>
      <c r="AE11" s="343">
        <v>13845</v>
      </c>
      <c r="AF11" s="343">
        <v>424</v>
      </c>
      <c r="AG11" s="343">
        <v>0</v>
      </c>
      <c r="AH11" s="343">
        <v>14269</v>
      </c>
      <c r="AI11" s="343">
        <v>1246.05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234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244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245</v>
      </c>
      <c r="W12" s="343" t="s">
        <v>123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337</v>
      </c>
      <c r="AD12" s="343">
        <v>18</v>
      </c>
      <c r="AE12" s="343">
        <v>25000</v>
      </c>
      <c r="AF12" s="343">
        <v>0</v>
      </c>
      <c r="AG12" s="343">
        <v>0</v>
      </c>
      <c r="AH12" s="343">
        <v>25000</v>
      </c>
      <c r="AI12" s="343">
        <v>1765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235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245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232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106</v>
      </c>
      <c r="AD13" s="343">
        <v>7</v>
      </c>
      <c r="AE13" s="343">
        <v>9011.83</v>
      </c>
      <c r="AF13" s="343">
        <v>0</v>
      </c>
      <c r="AG13" s="343">
        <v>0</v>
      </c>
      <c r="AH13" s="343">
        <v>9011.83</v>
      </c>
      <c r="AI13" s="343">
        <v>0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236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233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233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289</v>
      </c>
      <c r="AD14" s="343">
        <v>22</v>
      </c>
      <c r="AE14" s="343">
        <v>15445</v>
      </c>
      <c r="AF14" s="343">
        <v>0</v>
      </c>
      <c r="AG14" s="343">
        <v>0</v>
      </c>
      <c r="AH14" s="343">
        <v>15445</v>
      </c>
      <c r="AI14" s="343">
        <v>1390.05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244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234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234</v>
      </c>
      <c r="W15" s="343" t="s">
        <v>124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285</v>
      </c>
      <c r="AD15" s="343">
        <v>2449</v>
      </c>
      <c r="AE15" s="343">
        <v>122424.5</v>
      </c>
      <c r="AF15" s="343">
        <v>4251</v>
      </c>
      <c r="AG15" s="343">
        <v>0</v>
      </c>
      <c r="AH15" s="343">
        <v>126675.5</v>
      </c>
      <c r="AI15" s="343">
        <v>11018.21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233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235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235</v>
      </c>
      <c r="W16" s="343" t="s">
        <v>124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283</v>
      </c>
      <c r="AD16" s="343">
        <v>1186</v>
      </c>
      <c r="AE16" s="343">
        <v>11189</v>
      </c>
      <c r="AF16" s="343">
        <v>701</v>
      </c>
      <c r="AG16" s="343">
        <v>0</v>
      </c>
      <c r="AH16" s="343">
        <v>11890</v>
      </c>
      <c r="AI16" s="343">
        <v>1007.01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234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236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236</v>
      </c>
      <c r="W17" s="343" t="s">
        <v>124</v>
      </c>
      <c r="Y17" s="343" t="s">
        <v>121</v>
      </c>
      <c r="Z17" s="343" t="s">
        <v>123</v>
      </c>
      <c r="AA17" s="384">
        <v>46027</v>
      </c>
      <c r="AB17" s="384">
        <v>46033</v>
      </c>
      <c r="AC17" s="343" t="s">
        <v>281</v>
      </c>
      <c r="AD17" s="343">
        <v>3266</v>
      </c>
      <c r="AE17" s="343">
        <v>171683</v>
      </c>
      <c r="AF17" s="343">
        <v>4731</v>
      </c>
      <c r="AG17" s="343">
        <v>0</v>
      </c>
      <c r="AH17" s="343">
        <v>176414</v>
      </c>
      <c r="AI17" s="343">
        <v>15451.47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235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244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244</v>
      </c>
      <c r="W18" s="343" t="s">
        <v>124</v>
      </c>
      <c r="Y18" s="343" t="s">
        <v>121</v>
      </c>
      <c r="Z18" s="343" t="s">
        <v>123</v>
      </c>
      <c r="AA18" s="384">
        <v>46027</v>
      </c>
      <c r="AB18" s="384">
        <v>46033</v>
      </c>
      <c r="AC18" s="343" t="s">
        <v>279</v>
      </c>
      <c r="AD18" s="343">
        <v>168</v>
      </c>
      <c r="AE18" s="343">
        <v>1910</v>
      </c>
      <c r="AF18" s="343">
        <v>84</v>
      </c>
      <c r="AG18" s="343">
        <v>0</v>
      </c>
      <c r="AH18" s="343">
        <v>1994</v>
      </c>
      <c r="AI18" s="343">
        <v>171.9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236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245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245</v>
      </c>
      <c r="W19" s="343" t="s">
        <v>124</v>
      </c>
      <c r="Y19" s="343" t="s">
        <v>121</v>
      </c>
      <c r="Z19" s="343" t="s">
        <v>123</v>
      </c>
      <c r="AA19" s="384">
        <v>46027</v>
      </c>
      <c r="AB19" s="384">
        <v>46033</v>
      </c>
      <c r="AC19" s="343" t="s">
        <v>277</v>
      </c>
      <c r="AD19" s="343">
        <v>121</v>
      </c>
      <c r="AE19" s="343">
        <v>26730</v>
      </c>
      <c r="AF19" s="343">
        <v>575</v>
      </c>
      <c r="AG19" s="343">
        <v>0</v>
      </c>
      <c r="AH19" s="343">
        <v>27305</v>
      </c>
      <c r="AI19" s="343">
        <v>2405.6999999999998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244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233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233</v>
      </c>
      <c r="W20" s="343" t="s">
        <v>125</v>
      </c>
      <c r="Y20" s="343" t="s">
        <v>121</v>
      </c>
      <c r="Z20" s="343" t="s">
        <v>123</v>
      </c>
      <c r="AA20" s="384">
        <v>46027</v>
      </c>
      <c r="AB20" s="384">
        <v>46033</v>
      </c>
      <c r="AC20" s="343" t="s">
        <v>293</v>
      </c>
      <c r="AD20" s="343">
        <v>2</v>
      </c>
      <c r="AE20" s="343">
        <v>150</v>
      </c>
      <c r="AF20" s="343">
        <v>80</v>
      </c>
      <c r="AG20" s="343">
        <v>0</v>
      </c>
      <c r="AH20" s="343">
        <v>230</v>
      </c>
      <c r="AI20" s="343">
        <v>13.5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233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234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234</v>
      </c>
      <c r="W21" s="343" t="s">
        <v>125</v>
      </c>
      <c r="Y21" s="343" t="s">
        <v>121</v>
      </c>
      <c r="Z21" s="343" t="s">
        <v>123</v>
      </c>
      <c r="AA21" s="384">
        <v>46027</v>
      </c>
      <c r="AB21" s="384">
        <v>46033</v>
      </c>
      <c r="AC21" s="343" t="s">
        <v>287</v>
      </c>
      <c r="AD21" s="343">
        <v>452</v>
      </c>
      <c r="AE21" s="343">
        <v>7267</v>
      </c>
      <c r="AF21" s="343">
        <v>338</v>
      </c>
      <c r="AG21" s="343">
        <v>0</v>
      </c>
      <c r="AH21" s="343">
        <v>7605</v>
      </c>
      <c r="AI21" s="343">
        <v>654.03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234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235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235</v>
      </c>
      <c r="W22" s="343" t="s">
        <v>125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337</v>
      </c>
      <c r="AD22" s="343">
        <v>16</v>
      </c>
      <c r="AE22" s="343">
        <v>8307</v>
      </c>
      <c r="AF22" s="343">
        <v>0</v>
      </c>
      <c r="AG22" s="343">
        <v>0</v>
      </c>
      <c r="AH22" s="343">
        <v>8307</v>
      </c>
      <c r="AI22" s="343">
        <v>621.49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235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236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236</v>
      </c>
      <c r="W23" s="343" t="s">
        <v>125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335</v>
      </c>
      <c r="AD23" s="343">
        <v>0</v>
      </c>
      <c r="AE23" s="343">
        <v>-2000</v>
      </c>
      <c r="AF23" s="343">
        <v>0</v>
      </c>
      <c r="AG23" s="343">
        <v>2000</v>
      </c>
      <c r="AH23" s="343">
        <v>0</v>
      </c>
      <c r="AI23" s="343">
        <v>0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236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244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244</v>
      </c>
      <c r="W24" s="343" t="s">
        <v>125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106</v>
      </c>
      <c r="AD24" s="343">
        <v>8</v>
      </c>
      <c r="AE24" s="343">
        <v>9050.5</v>
      </c>
      <c r="AF24" s="343">
        <v>0</v>
      </c>
      <c r="AG24" s="343">
        <v>0</v>
      </c>
      <c r="AH24" s="343">
        <v>9050.5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244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233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232</v>
      </c>
      <c r="W25" s="343" t="s">
        <v>128</v>
      </c>
      <c r="Y25" s="343" t="s">
        <v>121</v>
      </c>
      <c r="Z25" s="343" t="s">
        <v>124</v>
      </c>
      <c r="AA25" s="384">
        <v>46034</v>
      </c>
      <c r="AB25" s="384">
        <v>46040</v>
      </c>
      <c r="AC25" s="343" t="s">
        <v>289</v>
      </c>
      <c r="AD25" s="343">
        <v>42</v>
      </c>
      <c r="AE25" s="343">
        <v>46170</v>
      </c>
      <c r="AF25" s="343">
        <v>0</v>
      </c>
      <c r="AG25" s="343">
        <v>0</v>
      </c>
      <c r="AH25" s="343">
        <v>46170</v>
      </c>
      <c r="AI25" s="343">
        <v>4155.3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233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234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233</v>
      </c>
      <c r="W26" s="343" t="s">
        <v>128</v>
      </c>
      <c r="Y26" s="343" t="s">
        <v>121</v>
      </c>
      <c r="Z26" s="343" t="s">
        <v>124</v>
      </c>
      <c r="AA26" s="384">
        <v>46034</v>
      </c>
      <c r="AB26" s="384">
        <v>46040</v>
      </c>
      <c r="AC26" s="343" t="s">
        <v>285</v>
      </c>
      <c r="AD26" s="343">
        <v>4389</v>
      </c>
      <c r="AE26" s="343">
        <v>155397.65</v>
      </c>
      <c r="AF26" s="343">
        <v>8699.1</v>
      </c>
      <c r="AG26" s="343">
        <v>0</v>
      </c>
      <c r="AH26" s="343">
        <v>164096.75</v>
      </c>
      <c r="AI26" s="343">
        <v>13985.86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234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235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234</v>
      </c>
      <c r="W27" s="343" t="s">
        <v>128</v>
      </c>
      <c r="Y27" s="343" t="s">
        <v>121</v>
      </c>
      <c r="Z27" s="343" t="s">
        <v>124</v>
      </c>
      <c r="AA27" s="384">
        <v>46034</v>
      </c>
      <c r="AB27" s="384">
        <v>46040</v>
      </c>
      <c r="AC27" s="343" t="s">
        <v>283</v>
      </c>
      <c r="AD27" s="343">
        <v>1771</v>
      </c>
      <c r="AE27" s="343">
        <v>16778.25</v>
      </c>
      <c r="AF27" s="343">
        <v>938.75</v>
      </c>
      <c r="AG27" s="343">
        <v>0</v>
      </c>
      <c r="AH27" s="343">
        <v>17717</v>
      </c>
      <c r="AI27" s="343">
        <v>1510.07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235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236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235</v>
      </c>
      <c r="W28" s="343" t="s">
        <v>128</v>
      </c>
      <c r="Y28" s="343" t="s">
        <v>121</v>
      </c>
      <c r="Z28" s="343" t="s">
        <v>124</v>
      </c>
      <c r="AA28" s="384">
        <v>46034</v>
      </c>
      <c r="AB28" s="384">
        <v>46040</v>
      </c>
      <c r="AC28" s="343" t="s">
        <v>281</v>
      </c>
      <c r="AD28" s="343">
        <v>4572</v>
      </c>
      <c r="AE28" s="343">
        <v>259846.5</v>
      </c>
      <c r="AF28" s="343">
        <v>6001</v>
      </c>
      <c r="AG28" s="343">
        <v>0</v>
      </c>
      <c r="AH28" s="343">
        <v>265847.5</v>
      </c>
      <c r="AI28" s="343">
        <v>23386.21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236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244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236</v>
      </c>
      <c r="W29" s="343" t="s">
        <v>128</v>
      </c>
      <c r="Y29" s="343" t="s">
        <v>121</v>
      </c>
      <c r="Z29" s="343" t="s">
        <v>124</v>
      </c>
      <c r="AA29" s="384">
        <v>46034</v>
      </c>
      <c r="AB29" s="384">
        <v>46040</v>
      </c>
      <c r="AC29" s="343" t="s">
        <v>279</v>
      </c>
      <c r="AD29" s="343">
        <v>293</v>
      </c>
      <c r="AE29" s="343">
        <v>3362</v>
      </c>
      <c r="AF29" s="343">
        <v>96</v>
      </c>
      <c r="AG29" s="343">
        <v>0</v>
      </c>
      <c r="AH29" s="343">
        <v>3458</v>
      </c>
      <c r="AI29" s="343">
        <v>302.58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244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234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244</v>
      </c>
      <c r="W30" s="343" t="s">
        <v>128</v>
      </c>
      <c r="Y30" s="343" t="s">
        <v>121</v>
      </c>
      <c r="Z30" s="343" t="s">
        <v>124</v>
      </c>
      <c r="AA30" s="384">
        <v>46034</v>
      </c>
      <c r="AB30" s="384">
        <v>46040</v>
      </c>
      <c r="AC30" s="343" t="s">
        <v>277</v>
      </c>
      <c r="AD30" s="343">
        <v>83</v>
      </c>
      <c r="AE30" s="343">
        <v>53439</v>
      </c>
      <c r="AF30" s="343">
        <v>225</v>
      </c>
      <c r="AG30" s="343">
        <v>0</v>
      </c>
      <c r="AH30" s="343">
        <v>53664</v>
      </c>
      <c r="AI30" s="343">
        <v>4809.51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233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235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233</v>
      </c>
      <c r="W31" s="343" t="s">
        <v>129</v>
      </c>
      <c r="Y31" s="343" t="s">
        <v>121</v>
      </c>
      <c r="Z31" s="343" t="s">
        <v>124</v>
      </c>
      <c r="AA31" s="384">
        <v>46034</v>
      </c>
      <c r="AB31" s="384">
        <v>46040</v>
      </c>
      <c r="AC31" s="343" t="s">
        <v>293</v>
      </c>
      <c r="AD31" s="343">
        <v>1</v>
      </c>
      <c r="AE31" s="343">
        <v>0</v>
      </c>
      <c r="AF31" s="343">
        <v>75</v>
      </c>
      <c r="AG31" s="343">
        <v>0</v>
      </c>
      <c r="AH31" s="343">
        <v>75</v>
      </c>
      <c r="AI31" s="343">
        <v>0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234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236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234</v>
      </c>
      <c r="W32" s="343" t="s">
        <v>129</v>
      </c>
      <c r="Y32" s="343" t="s">
        <v>121</v>
      </c>
      <c r="Z32" s="343" t="s">
        <v>124</v>
      </c>
      <c r="AA32" s="384">
        <v>46034</v>
      </c>
      <c r="AB32" s="384">
        <v>46040</v>
      </c>
      <c r="AC32" s="343" t="s">
        <v>287</v>
      </c>
      <c r="AD32" s="343">
        <v>611</v>
      </c>
      <c r="AE32" s="343">
        <v>12082</v>
      </c>
      <c r="AF32" s="343">
        <v>524</v>
      </c>
      <c r="AG32" s="343">
        <v>0</v>
      </c>
      <c r="AH32" s="343">
        <v>12606</v>
      </c>
      <c r="AI32" s="343">
        <v>1087.3800000000001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235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244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235</v>
      </c>
      <c r="W33" s="343" t="s">
        <v>129</v>
      </c>
      <c r="Y33" s="343" t="s">
        <v>121</v>
      </c>
      <c r="Z33" s="343" t="s">
        <v>125</v>
      </c>
      <c r="AA33" s="384">
        <v>46041</v>
      </c>
      <c r="AB33" s="384">
        <v>46047</v>
      </c>
      <c r="AC33" s="343" t="s">
        <v>337</v>
      </c>
      <c r="AD33" s="343">
        <v>39</v>
      </c>
      <c r="AE33" s="343">
        <v>13955</v>
      </c>
      <c r="AF33" s="343">
        <v>0</v>
      </c>
      <c r="AG33" s="343">
        <v>0</v>
      </c>
      <c r="AH33" s="343">
        <v>13955</v>
      </c>
      <c r="AI33" s="343">
        <v>976.85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236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245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236</v>
      </c>
      <c r="W34" s="343" t="s">
        <v>129</v>
      </c>
      <c r="Y34" s="343" t="s">
        <v>121</v>
      </c>
      <c r="Z34" s="343" t="s">
        <v>125</v>
      </c>
      <c r="AA34" s="384">
        <v>46041</v>
      </c>
      <c r="AB34" s="384">
        <v>46047</v>
      </c>
      <c r="AC34" s="343" t="s">
        <v>293</v>
      </c>
      <c r="AD34" s="343">
        <v>3</v>
      </c>
      <c r="AE34" s="343">
        <v>405</v>
      </c>
      <c r="AF34" s="343">
        <v>0</v>
      </c>
      <c r="AG34" s="343">
        <v>0</v>
      </c>
      <c r="AH34" s="343">
        <v>405</v>
      </c>
      <c r="AI34" s="343">
        <v>36.450000000000003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244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233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244</v>
      </c>
      <c r="W35" s="343" t="s">
        <v>129</v>
      </c>
      <c r="Y35" s="343" t="s">
        <v>121</v>
      </c>
      <c r="Z35" s="343" t="s">
        <v>125</v>
      </c>
      <c r="AA35" s="384">
        <v>46041</v>
      </c>
      <c r="AB35" s="384">
        <v>46047</v>
      </c>
      <c r="AC35" s="343" t="s">
        <v>106</v>
      </c>
      <c r="AD35" s="343">
        <v>1</v>
      </c>
      <c r="AE35" s="343">
        <v>320.75</v>
      </c>
      <c r="AF35" s="343">
        <v>0</v>
      </c>
      <c r="AG35" s="343">
        <v>0</v>
      </c>
      <c r="AH35" s="343">
        <v>320.75</v>
      </c>
      <c r="AI35" s="343">
        <v>0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233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234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245</v>
      </c>
      <c r="W36" s="343" t="s">
        <v>129</v>
      </c>
      <c r="Y36" s="343" t="s">
        <v>121</v>
      </c>
      <c r="Z36" s="343" t="s">
        <v>125</v>
      </c>
      <c r="AA36" s="384">
        <v>46041</v>
      </c>
      <c r="AB36" s="384">
        <v>46047</v>
      </c>
      <c r="AC36" s="343" t="s">
        <v>289</v>
      </c>
      <c r="AD36" s="343">
        <v>38</v>
      </c>
      <c r="AE36" s="343">
        <v>53575</v>
      </c>
      <c r="AF36" s="343">
        <v>0</v>
      </c>
      <c r="AG36" s="343">
        <v>0</v>
      </c>
      <c r="AH36" s="343">
        <v>53575</v>
      </c>
      <c r="AI36" s="343">
        <v>4821.75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234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235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232</v>
      </c>
      <c r="W37" s="343" t="s">
        <v>130</v>
      </c>
      <c r="Y37" s="343" t="s">
        <v>121</v>
      </c>
      <c r="Z37" s="343" t="s">
        <v>125</v>
      </c>
      <c r="AA37" s="384">
        <v>46041</v>
      </c>
      <c r="AB37" s="384">
        <v>46047</v>
      </c>
      <c r="AC37" s="343" t="s">
        <v>285</v>
      </c>
      <c r="AD37" s="343">
        <v>4660</v>
      </c>
      <c r="AE37" s="343">
        <v>167411.79999999999</v>
      </c>
      <c r="AF37" s="343">
        <v>3507</v>
      </c>
      <c r="AG37" s="343">
        <v>0</v>
      </c>
      <c r="AH37" s="343">
        <v>170918.8</v>
      </c>
      <c r="AI37" s="343">
        <v>15067.07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235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236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234</v>
      </c>
      <c r="W38" s="343" t="s">
        <v>130</v>
      </c>
      <c r="Y38" s="343" t="s">
        <v>121</v>
      </c>
      <c r="Z38" s="343" t="s">
        <v>125</v>
      </c>
      <c r="AA38" s="384">
        <v>46041</v>
      </c>
      <c r="AB38" s="384">
        <v>46047</v>
      </c>
      <c r="AC38" s="343" t="s">
        <v>283</v>
      </c>
      <c r="AD38" s="343">
        <v>2758</v>
      </c>
      <c r="AE38" s="343">
        <v>25753</v>
      </c>
      <c r="AF38" s="343">
        <v>1108</v>
      </c>
      <c r="AG38" s="343">
        <v>0</v>
      </c>
      <c r="AH38" s="343">
        <v>26861</v>
      </c>
      <c r="AI38" s="343">
        <v>2317.77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236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244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235</v>
      </c>
      <c r="W39" s="343" t="s">
        <v>130</v>
      </c>
      <c r="Y39" s="343" t="s">
        <v>121</v>
      </c>
      <c r="Z39" s="343" t="s">
        <v>125</v>
      </c>
      <c r="AA39" s="384">
        <v>46041</v>
      </c>
      <c r="AB39" s="384">
        <v>46047</v>
      </c>
      <c r="AC39" s="343" t="s">
        <v>281</v>
      </c>
      <c r="AD39" s="343">
        <v>5605</v>
      </c>
      <c r="AE39" s="343">
        <v>441096</v>
      </c>
      <c r="AF39" s="343">
        <v>10563</v>
      </c>
      <c r="AG39" s="343">
        <v>0</v>
      </c>
      <c r="AH39" s="343">
        <v>451659</v>
      </c>
      <c r="AI39" s="343">
        <v>39698.639999999999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244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245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236</v>
      </c>
      <c r="W40" s="343" t="s">
        <v>130</v>
      </c>
      <c r="Y40" s="343" t="s">
        <v>121</v>
      </c>
      <c r="Z40" s="343" t="s">
        <v>125</v>
      </c>
      <c r="AA40" s="384">
        <v>46041</v>
      </c>
      <c r="AB40" s="384">
        <v>46047</v>
      </c>
      <c r="AC40" s="343" t="s">
        <v>279</v>
      </c>
      <c r="AD40" s="343">
        <v>223</v>
      </c>
      <c r="AE40" s="343">
        <v>2571</v>
      </c>
      <c r="AF40" s="343">
        <v>111</v>
      </c>
      <c r="AG40" s="343">
        <v>0</v>
      </c>
      <c r="AH40" s="343">
        <v>2682</v>
      </c>
      <c r="AI40" s="343">
        <v>231.39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233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233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244</v>
      </c>
      <c r="W41" s="343" t="s">
        <v>130</v>
      </c>
      <c r="Y41" s="343" t="s">
        <v>121</v>
      </c>
      <c r="Z41" s="343" t="s">
        <v>125</v>
      </c>
      <c r="AA41" s="384">
        <v>46041</v>
      </c>
      <c r="AB41" s="384">
        <v>46047</v>
      </c>
      <c r="AC41" s="343" t="s">
        <v>277</v>
      </c>
      <c r="AD41" s="343">
        <v>118</v>
      </c>
      <c r="AE41" s="343">
        <v>82600</v>
      </c>
      <c r="AF41" s="343">
        <v>155</v>
      </c>
      <c r="AG41" s="343">
        <v>0</v>
      </c>
      <c r="AH41" s="343">
        <v>82755</v>
      </c>
      <c r="AI41" s="343">
        <v>7434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234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234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245</v>
      </c>
      <c r="W42" s="343" t="s">
        <v>130</v>
      </c>
      <c r="Y42" s="343" t="s">
        <v>121</v>
      </c>
      <c r="Z42" s="343" t="s">
        <v>125</v>
      </c>
      <c r="AA42" s="384">
        <v>46041</v>
      </c>
      <c r="AB42" s="384">
        <v>46047</v>
      </c>
      <c r="AC42" s="343" t="s">
        <v>287</v>
      </c>
      <c r="AD42" s="343">
        <v>738</v>
      </c>
      <c r="AE42" s="343">
        <v>13845</v>
      </c>
      <c r="AF42" s="343">
        <v>424</v>
      </c>
      <c r="AG42" s="343">
        <v>0</v>
      </c>
      <c r="AH42" s="343">
        <v>14269</v>
      </c>
      <c r="AI42" s="343">
        <v>1246.05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235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235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233</v>
      </c>
      <c r="W43" s="343" t="s">
        <v>131</v>
      </c>
      <c r="Y43" s="343" t="s">
        <v>127</v>
      </c>
      <c r="Z43" s="343" t="s">
        <v>128</v>
      </c>
      <c r="AA43" s="384">
        <v>46048</v>
      </c>
      <c r="AB43" s="384">
        <v>46054</v>
      </c>
      <c r="AC43" s="343" t="s">
        <v>337</v>
      </c>
      <c r="AD43" s="343">
        <v>16</v>
      </c>
      <c r="AE43" s="343">
        <v>13837</v>
      </c>
      <c r="AF43" s="343">
        <v>0</v>
      </c>
      <c r="AG43" s="343">
        <v>0</v>
      </c>
      <c r="AH43" s="343">
        <v>13837</v>
      </c>
      <c r="AI43" s="343">
        <v>973.59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236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236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234</v>
      </c>
      <c r="W44" s="343" t="s">
        <v>131</v>
      </c>
      <c r="Y44" s="343" t="s">
        <v>127</v>
      </c>
      <c r="Z44" s="343" t="s">
        <v>128</v>
      </c>
      <c r="AA44" s="384">
        <v>46048</v>
      </c>
      <c r="AB44" s="384">
        <v>46054</v>
      </c>
      <c r="AC44" s="343" t="s">
        <v>106</v>
      </c>
      <c r="AD44" s="343">
        <v>8</v>
      </c>
      <c r="AE44" s="343">
        <v>6316.18</v>
      </c>
      <c r="AF44" s="343">
        <v>0</v>
      </c>
      <c r="AG44" s="343">
        <v>0</v>
      </c>
      <c r="AH44" s="343">
        <v>6316.18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244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244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235</v>
      </c>
      <c r="W45" s="343" t="s">
        <v>131</v>
      </c>
      <c r="Y45" s="343" t="s">
        <v>127</v>
      </c>
      <c r="Z45" s="343" t="s">
        <v>128</v>
      </c>
      <c r="AA45" s="384">
        <v>46048</v>
      </c>
      <c r="AB45" s="384">
        <v>46054</v>
      </c>
      <c r="AC45" s="343" t="s">
        <v>289</v>
      </c>
      <c r="AD45" s="343">
        <v>19</v>
      </c>
      <c r="AE45" s="343">
        <v>14900</v>
      </c>
      <c r="AF45" s="343">
        <v>0</v>
      </c>
      <c r="AG45" s="343">
        <v>0</v>
      </c>
      <c r="AH45" s="343">
        <v>14900</v>
      </c>
      <c r="AI45" s="343">
        <v>1341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233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232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236</v>
      </c>
      <c r="W46" s="343" t="s">
        <v>131</v>
      </c>
      <c r="Y46" s="343" t="s">
        <v>127</v>
      </c>
      <c r="Z46" s="343" t="s">
        <v>128</v>
      </c>
      <c r="AA46" s="384">
        <v>46048</v>
      </c>
      <c r="AB46" s="384">
        <v>46054</v>
      </c>
      <c r="AC46" s="343" t="s">
        <v>285</v>
      </c>
      <c r="AD46" s="343">
        <v>2607</v>
      </c>
      <c r="AE46" s="343">
        <v>115344</v>
      </c>
      <c r="AF46" s="343">
        <v>6501</v>
      </c>
      <c r="AG46" s="343">
        <v>0</v>
      </c>
      <c r="AH46" s="343">
        <v>121845</v>
      </c>
      <c r="AI46" s="343">
        <v>10380.959999999999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234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233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244</v>
      </c>
      <c r="W47" s="343" t="s">
        <v>131</v>
      </c>
      <c r="Y47" s="343" t="s">
        <v>127</v>
      </c>
      <c r="Z47" s="343" t="s">
        <v>128</v>
      </c>
      <c r="AA47" s="384">
        <v>46048</v>
      </c>
      <c r="AB47" s="384">
        <v>46054</v>
      </c>
      <c r="AC47" s="343" t="s">
        <v>283</v>
      </c>
      <c r="AD47" s="343">
        <v>1381</v>
      </c>
      <c r="AE47" s="343">
        <v>12836</v>
      </c>
      <c r="AF47" s="343">
        <v>610</v>
      </c>
      <c r="AG47" s="343">
        <v>0</v>
      </c>
      <c r="AH47" s="343">
        <v>13446</v>
      </c>
      <c r="AI47" s="343">
        <v>1155.24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235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234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232</v>
      </c>
      <c r="W48" s="343" t="s">
        <v>134</v>
      </c>
      <c r="Y48" s="343" t="s">
        <v>127</v>
      </c>
      <c r="Z48" s="343" t="s">
        <v>128</v>
      </c>
      <c r="AA48" s="384">
        <v>46048</v>
      </c>
      <c r="AB48" s="384">
        <v>46054</v>
      </c>
      <c r="AC48" s="343" t="s">
        <v>281</v>
      </c>
      <c r="AD48" s="343">
        <v>3909</v>
      </c>
      <c r="AE48" s="343">
        <v>204730.5</v>
      </c>
      <c r="AF48" s="343">
        <v>4008</v>
      </c>
      <c r="AG48" s="343">
        <v>0</v>
      </c>
      <c r="AH48" s="343">
        <v>208738.5</v>
      </c>
      <c r="AI48" s="343">
        <v>18425.75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236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235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233</v>
      </c>
      <c r="W49" s="343" t="s">
        <v>134</v>
      </c>
      <c r="Y49" s="343" t="s">
        <v>127</v>
      </c>
      <c r="Z49" s="343" t="s">
        <v>128</v>
      </c>
      <c r="AA49" s="384">
        <v>46048</v>
      </c>
      <c r="AB49" s="384">
        <v>46054</v>
      </c>
      <c r="AC49" s="343" t="s">
        <v>279</v>
      </c>
      <c r="AD49" s="343">
        <v>197</v>
      </c>
      <c r="AE49" s="343">
        <v>2232</v>
      </c>
      <c r="AF49" s="343">
        <v>108</v>
      </c>
      <c r="AG49" s="343">
        <v>0</v>
      </c>
      <c r="AH49" s="343">
        <v>2340</v>
      </c>
      <c r="AI49" s="343">
        <v>200.88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244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236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234</v>
      </c>
      <c r="W50" s="343" t="s">
        <v>134</v>
      </c>
      <c r="Y50" s="343" t="s">
        <v>127</v>
      </c>
      <c r="Z50" s="343" t="s">
        <v>128</v>
      </c>
      <c r="AA50" s="384">
        <v>46048</v>
      </c>
      <c r="AB50" s="384">
        <v>46054</v>
      </c>
      <c r="AC50" s="343" t="s">
        <v>277</v>
      </c>
      <c r="AD50" s="343">
        <v>121</v>
      </c>
      <c r="AE50" s="343">
        <v>49524</v>
      </c>
      <c r="AF50" s="343">
        <v>385</v>
      </c>
      <c r="AG50" s="343">
        <v>0</v>
      </c>
      <c r="AH50" s="343">
        <v>49909</v>
      </c>
      <c r="AI50" s="343">
        <v>4457.16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233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244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235</v>
      </c>
      <c r="W51" s="343" t="s">
        <v>134</v>
      </c>
      <c r="Y51" s="343" t="s">
        <v>127</v>
      </c>
      <c r="Z51" s="343" t="s">
        <v>128</v>
      </c>
      <c r="AA51" s="384">
        <v>46048</v>
      </c>
      <c r="AB51" s="384">
        <v>46054</v>
      </c>
      <c r="AC51" s="343" t="s">
        <v>287</v>
      </c>
      <c r="AD51" s="343">
        <v>909</v>
      </c>
      <c r="AE51" s="343">
        <v>20538</v>
      </c>
      <c r="AF51" s="343">
        <v>305</v>
      </c>
      <c r="AG51" s="343">
        <v>0</v>
      </c>
      <c r="AH51" s="343">
        <v>20843</v>
      </c>
      <c r="AI51" s="343">
        <v>1848.42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234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233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236</v>
      </c>
      <c r="W52" s="343" t="s">
        <v>134</v>
      </c>
      <c r="Y52" s="343" t="s">
        <v>127</v>
      </c>
      <c r="Z52" s="343" t="s">
        <v>129</v>
      </c>
      <c r="AA52" s="384">
        <v>46055</v>
      </c>
      <c r="AB52" s="384">
        <v>46061</v>
      </c>
      <c r="AC52" s="343" t="s">
        <v>337</v>
      </c>
      <c r="AD52" s="343">
        <v>17</v>
      </c>
      <c r="AE52" s="343">
        <v>4535</v>
      </c>
      <c r="AF52" s="343">
        <v>0</v>
      </c>
      <c r="AG52" s="343">
        <v>0</v>
      </c>
      <c r="AH52" s="343">
        <v>4535</v>
      </c>
      <c r="AI52" s="343">
        <v>317.45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235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234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244</v>
      </c>
      <c r="W53" s="343" t="s">
        <v>134</v>
      </c>
      <c r="Y53" s="343" t="s">
        <v>127</v>
      </c>
      <c r="Z53" s="343" t="s">
        <v>129</v>
      </c>
      <c r="AA53" s="384">
        <v>46055</v>
      </c>
      <c r="AB53" s="384">
        <v>46061</v>
      </c>
      <c r="AC53" s="343" t="s">
        <v>106</v>
      </c>
      <c r="AD53" s="343">
        <v>5</v>
      </c>
      <c r="AE53" s="343">
        <v>3156</v>
      </c>
      <c r="AF53" s="343">
        <v>0</v>
      </c>
      <c r="AG53" s="343">
        <v>0</v>
      </c>
      <c r="AH53" s="343">
        <v>3156</v>
      </c>
      <c r="AI53" s="343">
        <v>0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236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235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232</v>
      </c>
      <c r="W54" s="343" t="s">
        <v>135</v>
      </c>
      <c r="Y54" s="343" t="s">
        <v>127</v>
      </c>
      <c r="Z54" s="343" t="s">
        <v>129</v>
      </c>
      <c r="AA54" s="384">
        <v>46055</v>
      </c>
      <c r="AB54" s="384">
        <v>46061</v>
      </c>
      <c r="AC54" s="343" t="s">
        <v>289</v>
      </c>
      <c r="AD54" s="343">
        <v>21</v>
      </c>
      <c r="AE54" s="343">
        <v>29300</v>
      </c>
      <c r="AF54" s="343">
        <v>0</v>
      </c>
      <c r="AG54" s="343">
        <v>0</v>
      </c>
      <c r="AH54" s="343">
        <v>29300</v>
      </c>
      <c r="AI54" s="343">
        <v>2637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244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236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233</v>
      </c>
      <c r="W55" s="343" t="s">
        <v>135</v>
      </c>
      <c r="Y55" s="343" t="s">
        <v>127</v>
      </c>
      <c r="Z55" s="343" t="s">
        <v>129</v>
      </c>
      <c r="AA55" s="384">
        <v>46055</v>
      </c>
      <c r="AB55" s="384">
        <v>46061</v>
      </c>
      <c r="AC55" s="343" t="s">
        <v>285</v>
      </c>
      <c r="AD55" s="343">
        <v>2499</v>
      </c>
      <c r="AE55" s="343">
        <v>84555</v>
      </c>
      <c r="AF55" s="343">
        <v>7661</v>
      </c>
      <c r="AG55" s="343">
        <v>0</v>
      </c>
      <c r="AH55" s="343">
        <v>92216</v>
      </c>
      <c r="AI55" s="343">
        <v>7609.95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233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244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234</v>
      </c>
      <c r="W56" s="343" t="s">
        <v>135</v>
      </c>
      <c r="Y56" s="343" t="s">
        <v>127</v>
      </c>
      <c r="Z56" s="343" t="s">
        <v>129</v>
      </c>
      <c r="AA56" s="384">
        <v>46055</v>
      </c>
      <c r="AB56" s="384">
        <v>46061</v>
      </c>
      <c r="AC56" s="343" t="s">
        <v>283</v>
      </c>
      <c r="AD56" s="343">
        <v>1444</v>
      </c>
      <c r="AE56" s="343">
        <v>13705</v>
      </c>
      <c r="AF56" s="343">
        <v>679</v>
      </c>
      <c r="AG56" s="343">
        <v>0</v>
      </c>
      <c r="AH56" s="343">
        <v>14384</v>
      </c>
      <c r="AI56" s="343">
        <v>1233.45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234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245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235</v>
      </c>
      <c r="W57" s="343" t="s">
        <v>135</v>
      </c>
      <c r="Y57" s="343" t="s">
        <v>127</v>
      </c>
      <c r="Z57" s="343" t="s">
        <v>129</v>
      </c>
      <c r="AA57" s="384">
        <v>46055</v>
      </c>
      <c r="AB57" s="384">
        <v>46061</v>
      </c>
      <c r="AC57" s="343" t="s">
        <v>281</v>
      </c>
      <c r="AD57" s="343">
        <v>3455</v>
      </c>
      <c r="AE57" s="343">
        <v>220651</v>
      </c>
      <c r="AF57" s="343">
        <v>9319</v>
      </c>
      <c r="AG57" s="343">
        <v>0</v>
      </c>
      <c r="AH57" s="343">
        <v>229970</v>
      </c>
      <c r="AI57" s="343">
        <v>19858.59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235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232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236</v>
      </c>
      <c r="W58" s="343" t="s">
        <v>135</v>
      </c>
      <c r="Y58" s="343" t="s">
        <v>127</v>
      </c>
      <c r="Z58" s="343" t="s">
        <v>129</v>
      </c>
      <c r="AA58" s="384">
        <v>46055</v>
      </c>
      <c r="AB58" s="384">
        <v>46061</v>
      </c>
      <c r="AC58" s="343" t="s">
        <v>279</v>
      </c>
      <c r="AD58" s="343">
        <v>193</v>
      </c>
      <c r="AE58" s="343">
        <v>2246</v>
      </c>
      <c r="AF58" s="343">
        <v>108</v>
      </c>
      <c r="AG58" s="343">
        <v>0</v>
      </c>
      <c r="AH58" s="343">
        <v>2354</v>
      </c>
      <c r="AI58" s="343">
        <v>202.14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236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233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244</v>
      </c>
      <c r="W59" s="343" t="s">
        <v>135</v>
      </c>
      <c r="Y59" s="343" t="s">
        <v>127</v>
      </c>
      <c r="Z59" s="343" t="s">
        <v>129</v>
      </c>
      <c r="AA59" s="384">
        <v>46055</v>
      </c>
      <c r="AB59" s="384">
        <v>46061</v>
      </c>
      <c r="AC59" s="343" t="s">
        <v>277</v>
      </c>
      <c r="AD59" s="343">
        <v>84</v>
      </c>
      <c r="AE59" s="343">
        <v>51329</v>
      </c>
      <c r="AF59" s="343">
        <v>820</v>
      </c>
      <c r="AG59" s="343">
        <v>0</v>
      </c>
      <c r="AH59" s="343">
        <v>52149</v>
      </c>
      <c r="AI59" s="343">
        <v>4619.6099999999997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244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234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232</v>
      </c>
      <c r="W60" s="343" t="s">
        <v>136</v>
      </c>
      <c r="Y60" s="343" t="s">
        <v>127</v>
      </c>
      <c r="Z60" s="343" t="s">
        <v>129</v>
      </c>
      <c r="AA60" s="384">
        <v>46055</v>
      </c>
      <c r="AB60" s="384">
        <v>46061</v>
      </c>
      <c r="AC60" s="343" t="s">
        <v>287</v>
      </c>
      <c r="AD60" s="343">
        <v>528</v>
      </c>
      <c r="AE60" s="343">
        <v>9174</v>
      </c>
      <c r="AF60" s="343">
        <v>604</v>
      </c>
      <c r="AG60" s="343">
        <v>0</v>
      </c>
      <c r="AH60" s="343">
        <v>9778</v>
      </c>
      <c r="AI60" s="343">
        <v>825.66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233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235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233</v>
      </c>
      <c r="W61" s="343" t="s">
        <v>136</v>
      </c>
      <c r="Y61" s="343" t="s">
        <v>127</v>
      </c>
      <c r="Z61" s="343" t="s">
        <v>130</v>
      </c>
      <c r="AA61" s="384">
        <v>46062</v>
      </c>
      <c r="AB61" s="384">
        <v>46068</v>
      </c>
      <c r="AC61" s="343" t="s">
        <v>337</v>
      </c>
      <c r="AD61" s="343">
        <v>16</v>
      </c>
      <c r="AE61" s="343">
        <v>11066.1</v>
      </c>
      <c r="AF61" s="343">
        <v>0</v>
      </c>
      <c r="AG61" s="343">
        <v>0</v>
      </c>
      <c r="AH61" s="343">
        <v>11066.1</v>
      </c>
      <c r="AI61" s="343">
        <v>779.62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234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236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234</v>
      </c>
      <c r="W62" s="343" t="s">
        <v>136</v>
      </c>
      <c r="Y62" s="343" t="s">
        <v>127</v>
      </c>
      <c r="Z62" s="343" t="s">
        <v>130</v>
      </c>
      <c r="AA62" s="384">
        <v>46062</v>
      </c>
      <c r="AB62" s="384">
        <v>46068</v>
      </c>
      <c r="AC62" s="343" t="s">
        <v>106</v>
      </c>
      <c r="AD62" s="343">
        <v>3</v>
      </c>
      <c r="AE62" s="343">
        <v>1843.15</v>
      </c>
      <c r="AF62" s="343">
        <v>0</v>
      </c>
      <c r="AG62" s="343">
        <v>0</v>
      </c>
      <c r="AH62" s="343">
        <v>1843.15</v>
      </c>
      <c r="AI62" s="343">
        <v>0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235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244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235</v>
      </c>
      <c r="W63" s="343" t="s">
        <v>136</v>
      </c>
      <c r="Y63" s="343" t="s">
        <v>127</v>
      </c>
      <c r="Z63" s="343" t="s">
        <v>130</v>
      </c>
      <c r="AA63" s="384">
        <v>46062</v>
      </c>
      <c r="AB63" s="384">
        <v>46068</v>
      </c>
      <c r="AC63" s="343" t="s">
        <v>289</v>
      </c>
      <c r="AD63" s="343">
        <v>16</v>
      </c>
      <c r="AE63" s="343">
        <v>22200</v>
      </c>
      <c r="AF63" s="343">
        <v>0</v>
      </c>
      <c r="AG63" s="343">
        <v>0</v>
      </c>
      <c r="AH63" s="343">
        <v>22200</v>
      </c>
      <c r="AI63" s="343">
        <v>1998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236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232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236</v>
      </c>
      <c r="W64" s="343" t="s">
        <v>136</v>
      </c>
      <c r="Y64" s="343" t="s">
        <v>127</v>
      </c>
      <c r="Z64" s="343" t="s">
        <v>130</v>
      </c>
      <c r="AA64" s="384">
        <v>46062</v>
      </c>
      <c r="AB64" s="384">
        <v>46068</v>
      </c>
      <c r="AC64" s="343" t="s">
        <v>285</v>
      </c>
      <c r="AD64" s="343">
        <v>3699</v>
      </c>
      <c r="AE64" s="343">
        <v>123891.4</v>
      </c>
      <c r="AF64" s="343">
        <v>8147.6</v>
      </c>
      <c r="AG64" s="343">
        <v>0</v>
      </c>
      <c r="AH64" s="343">
        <v>132039</v>
      </c>
      <c r="AI64" s="343">
        <v>11150.21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244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233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244</v>
      </c>
      <c r="W65" s="343" t="s">
        <v>136</v>
      </c>
      <c r="Y65" s="343" t="s">
        <v>127</v>
      </c>
      <c r="Z65" s="343" t="s">
        <v>130</v>
      </c>
      <c r="AA65" s="384">
        <v>46062</v>
      </c>
      <c r="AB65" s="384">
        <v>46068</v>
      </c>
      <c r="AC65" s="343" t="s">
        <v>283</v>
      </c>
      <c r="AD65" s="343">
        <v>1349</v>
      </c>
      <c r="AE65" s="343">
        <v>12732.8</v>
      </c>
      <c r="AF65" s="343">
        <v>615.20000000000005</v>
      </c>
      <c r="AG65" s="343">
        <v>0</v>
      </c>
      <c r="AH65" s="343">
        <v>13348</v>
      </c>
      <c r="AI65" s="343">
        <v>1145.94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233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234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232</v>
      </c>
      <c r="W66" s="343" t="s">
        <v>137</v>
      </c>
      <c r="Y66" s="343" t="s">
        <v>127</v>
      </c>
      <c r="Z66" s="343" t="s">
        <v>130</v>
      </c>
      <c r="AA66" s="384">
        <v>46062</v>
      </c>
      <c r="AB66" s="384">
        <v>46068</v>
      </c>
      <c r="AC66" s="343" t="s">
        <v>281</v>
      </c>
      <c r="AD66" s="343">
        <v>3477</v>
      </c>
      <c r="AE66" s="343">
        <v>199063.4</v>
      </c>
      <c r="AF66" s="343">
        <v>4448.6000000000004</v>
      </c>
      <c r="AG66" s="343">
        <v>0</v>
      </c>
      <c r="AH66" s="343">
        <v>203512</v>
      </c>
      <c r="AI66" s="343">
        <v>17915.669999999998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234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235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233</v>
      </c>
      <c r="W67" s="343" t="s">
        <v>137</v>
      </c>
      <c r="Y67" s="343" t="s">
        <v>127</v>
      </c>
      <c r="Z67" s="343" t="s">
        <v>130</v>
      </c>
      <c r="AA67" s="384">
        <v>46062</v>
      </c>
      <c r="AB67" s="384">
        <v>46068</v>
      </c>
      <c r="AC67" s="343" t="s">
        <v>279</v>
      </c>
      <c r="AD67" s="343">
        <v>170</v>
      </c>
      <c r="AE67" s="343">
        <v>1946</v>
      </c>
      <c r="AF67" s="343">
        <v>120</v>
      </c>
      <c r="AG67" s="343">
        <v>0</v>
      </c>
      <c r="AH67" s="343">
        <v>2066</v>
      </c>
      <c r="AI67" s="343">
        <v>175.14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235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236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234</v>
      </c>
      <c r="W68" s="343" t="s">
        <v>137</v>
      </c>
      <c r="Y68" s="343" t="s">
        <v>127</v>
      </c>
      <c r="Z68" s="343" t="s">
        <v>130</v>
      </c>
      <c r="AA68" s="384">
        <v>46062</v>
      </c>
      <c r="AB68" s="384">
        <v>46068</v>
      </c>
      <c r="AC68" s="343" t="s">
        <v>277</v>
      </c>
      <c r="AD68" s="343">
        <v>120</v>
      </c>
      <c r="AE68" s="343">
        <v>38750</v>
      </c>
      <c r="AF68" s="343">
        <v>2320</v>
      </c>
      <c r="AG68" s="343">
        <v>0</v>
      </c>
      <c r="AH68" s="343">
        <v>41070</v>
      </c>
      <c r="AI68" s="343">
        <v>3487.5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236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244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235</v>
      </c>
      <c r="W69" s="343" t="s">
        <v>137</v>
      </c>
      <c r="Y69" s="343" t="s">
        <v>127</v>
      </c>
      <c r="Z69" s="343" t="s">
        <v>130</v>
      </c>
      <c r="AA69" s="384">
        <v>46062</v>
      </c>
      <c r="AB69" s="384">
        <v>46068</v>
      </c>
      <c r="AC69" s="343" t="s">
        <v>287</v>
      </c>
      <c r="AD69" s="343">
        <v>704</v>
      </c>
      <c r="AE69" s="343">
        <v>11971.4</v>
      </c>
      <c r="AF69" s="343">
        <v>658.6</v>
      </c>
      <c r="AG69" s="343">
        <v>0</v>
      </c>
      <c r="AH69" s="343">
        <v>12630</v>
      </c>
      <c r="AI69" s="343">
        <v>1077.4100000000001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244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233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236</v>
      </c>
      <c r="W70" s="343" t="s">
        <v>137</v>
      </c>
      <c r="Y70" s="343" t="s">
        <v>127</v>
      </c>
      <c r="Z70" s="343" t="s">
        <v>131</v>
      </c>
      <c r="AA70" s="384">
        <v>46069</v>
      </c>
      <c r="AB70" s="384">
        <v>46075</v>
      </c>
      <c r="AC70" s="343" t="s">
        <v>337</v>
      </c>
      <c r="AD70" s="343">
        <v>10</v>
      </c>
      <c r="AE70" s="343">
        <v>7982.36</v>
      </c>
      <c r="AF70" s="343">
        <v>0</v>
      </c>
      <c r="AG70" s="343">
        <v>0</v>
      </c>
      <c r="AH70" s="343">
        <v>7982.36</v>
      </c>
      <c r="AI70" s="343">
        <v>558.77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233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234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244</v>
      </c>
      <c r="W71" s="343" t="s">
        <v>137</v>
      </c>
      <c r="Y71" s="343" t="s">
        <v>127</v>
      </c>
      <c r="Z71" s="343" t="s">
        <v>131</v>
      </c>
      <c r="AA71" s="384">
        <v>46069</v>
      </c>
      <c r="AB71" s="384">
        <v>46075</v>
      </c>
      <c r="AC71" s="343" t="s">
        <v>106</v>
      </c>
      <c r="AD71" s="343">
        <v>3</v>
      </c>
      <c r="AE71" s="343">
        <v>2372.0500000000002</v>
      </c>
      <c r="AF71" s="343">
        <v>0</v>
      </c>
      <c r="AG71" s="343">
        <v>0</v>
      </c>
      <c r="AH71" s="343">
        <v>2372.0500000000002</v>
      </c>
      <c r="AI71" s="343">
        <v>0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234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235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232</v>
      </c>
      <c r="W72" s="343" t="s">
        <v>138</v>
      </c>
      <c r="Y72" s="343" t="s">
        <v>127</v>
      </c>
      <c r="Z72" s="343" t="s">
        <v>131</v>
      </c>
      <c r="AA72" s="384">
        <v>46069</v>
      </c>
      <c r="AB72" s="384">
        <v>46075</v>
      </c>
      <c r="AC72" s="343" t="s">
        <v>289</v>
      </c>
      <c r="AD72" s="343">
        <v>11</v>
      </c>
      <c r="AE72" s="343">
        <v>21550</v>
      </c>
      <c r="AF72" s="343">
        <v>0</v>
      </c>
      <c r="AG72" s="343">
        <v>0</v>
      </c>
      <c r="AH72" s="343">
        <v>21550</v>
      </c>
      <c r="AI72" s="343">
        <v>1939.5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235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236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233</v>
      </c>
      <c r="W73" s="343" t="s">
        <v>138</v>
      </c>
      <c r="Y73" s="343" t="s">
        <v>127</v>
      </c>
      <c r="Z73" s="343" t="s">
        <v>131</v>
      </c>
      <c r="AA73" s="384">
        <v>46069</v>
      </c>
      <c r="AB73" s="384">
        <v>46075</v>
      </c>
      <c r="AC73" s="343" t="s">
        <v>285</v>
      </c>
      <c r="AD73" s="343">
        <v>2759</v>
      </c>
      <c r="AE73" s="343">
        <v>118467.4</v>
      </c>
      <c r="AF73" s="343">
        <v>5619.6</v>
      </c>
      <c r="AG73" s="343">
        <v>0</v>
      </c>
      <c r="AH73" s="343">
        <v>124087</v>
      </c>
      <c r="AI73" s="343">
        <v>10662.07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236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244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234</v>
      </c>
      <c r="W74" s="343" t="s">
        <v>138</v>
      </c>
      <c r="Y74" s="343" t="s">
        <v>127</v>
      </c>
      <c r="Z74" s="343" t="s">
        <v>131</v>
      </c>
      <c r="AA74" s="384">
        <v>46069</v>
      </c>
      <c r="AB74" s="384">
        <v>46075</v>
      </c>
      <c r="AC74" s="343" t="s">
        <v>283</v>
      </c>
      <c r="AD74" s="343">
        <v>1286</v>
      </c>
      <c r="AE74" s="343">
        <v>12362</v>
      </c>
      <c r="AF74" s="343">
        <v>389</v>
      </c>
      <c r="AG74" s="343">
        <v>0</v>
      </c>
      <c r="AH74" s="343">
        <v>12751</v>
      </c>
      <c r="AI74" s="343">
        <v>1112.58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244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245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235</v>
      </c>
      <c r="W75" s="343" t="s">
        <v>138</v>
      </c>
      <c r="Y75" s="343" t="s">
        <v>127</v>
      </c>
      <c r="Z75" s="343" t="s">
        <v>131</v>
      </c>
      <c r="AA75" s="384">
        <v>46069</v>
      </c>
      <c r="AB75" s="384">
        <v>46075</v>
      </c>
      <c r="AC75" s="343" t="s">
        <v>281</v>
      </c>
      <c r="AD75" s="343">
        <v>3387</v>
      </c>
      <c r="AE75" s="343">
        <v>181197.3</v>
      </c>
      <c r="AF75" s="343">
        <v>7421.2</v>
      </c>
      <c r="AG75" s="343">
        <v>0</v>
      </c>
      <c r="AH75" s="343">
        <v>188618.5</v>
      </c>
      <c r="AI75" s="343">
        <v>16307.77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233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233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236</v>
      </c>
      <c r="W76" s="343" t="s">
        <v>138</v>
      </c>
      <c r="Y76" s="343" t="s">
        <v>127</v>
      </c>
      <c r="Z76" s="343" t="s">
        <v>131</v>
      </c>
      <c r="AA76" s="384">
        <v>46069</v>
      </c>
      <c r="AB76" s="384">
        <v>46075</v>
      </c>
      <c r="AC76" s="343" t="s">
        <v>279</v>
      </c>
      <c r="AD76" s="343">
        <v>159</v>
      </c>
      <c r="AE76" s="343">
        <v>1802</v>
      </c>
      <c r="AF76" s="343">
        <v>72</v>
      </c>
      <c r="AG76" s="343">
        <v>0</v>
      </c>
      <c r="AH76" s="343">
        <v>1874</v>
      </c>
      <c r="AI76" s="343">
        <v>162.18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234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234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244</v>
      </c>
      <c r="W77" s="343" t="s">
        <v>138</v>
      </c>
      <c r="Y77" s="343" t="s">
        <v>127</v>
      </c>
      <c r="Z77" s="343" t="s">
        <v>131</v>
      </c>
      <c r="AA77" s="384">
        <v>46069</v>
      </c>
      <c r="AB77" s="384">
        <v>46075</v>
      </c>
      <c r="AC77" s="343" t="s">
        <v>277</v>
      </c>
      <c r="AD77" s="343">
        <v>112</v>
      </c>
      <c r="AE77" s="343">
        <v>32346</v>
      </c>
      <c r="AF77" s="343">
        <v>285</v>
      </c>
      <c r="AG77" s="343">
        <v>0</v>
      </c>
      <c r="AH77" s="343">
        <v>32631</v>
      </c>
      <c r="AI77" s="343">
        <v>2911.14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235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235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245</v>
      </c>
      <c r="W78" s="343" t="s">
        <v>138</v>
      </c>
      <c r="Y78" s="343" t="s">
        <v>127</v>
      </c>
      <c r="Z78" s="343" t="s">
        <v>131</v>
      </c>
      <c r="AA78" s="384">
        <v>46069</v>
      </c>
      <c r="AB78" s="384">
        <v>46075</v>
      </c>
      <c r="AC78" s="343" t="s">
        <v>293</v>
      </c>
      <c r="AD78" s="343">
        <v>2</v>
      </c>
      <c r="AE78" s="343">
        <v>0</v>
      </c>
      <c r="AF78" s="343">
        <v>160</v>
      </c>
      <c r="AG78" s="343">
        <v>0</v>
      </c>
      <c r="AH78" s="343">
        <v>160</v>
      </c>
      <c r="AI78" s="343">
        <v>0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236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236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233</v>
      </c>
      <c r="W79" s="343" t="s">
        <v>141</v>
      </c>
      <c r="Y79" s="343" t="s">
        <v>127</v>
      </c>
      <c r="Z79" s="343" t="s">
        <v>131</v>
      </c>
      <c r="AA79" s="384">
        <v>46069</v>
      </c>
      <c r="AB79" s="384">
        <v>46075</v>
      </c>
      <c r="AC79" s="343" t="s">
        <v>287</v>
      </c>
      <c r="AD79" s="343">
        <v>866</v>
      </c>
      <c r="AE79" s="343">
        <v>9956</v>
      </c>
      <c r="AF79" s="343">
        <v>342</v>
      </c>
      <c r="AG79" s="343">
        <v>0</v>
      </c>
      <c r="AH79" s="343">
        <v>10298</v>
      </c>
      <c r="AI79" s="343">
        <v>896.04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244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244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234</v>
      </c>
      <c r="W80" s="343" t="s">
        <v>141</v>
      </c>
      <c r="Y80" s="343" t="s">
        <v>133</v>
      </c>
      <c r="Z80" s="343" t="s">
        <v>134</v>
      </c>
      <c r="AA80" s="384">
        <v>46076</v>
      </c>
      <c r="AB80" s="384">
        <v>46082</v>
      </c>
      <c r="AC80" s="343" t="s">
        <v>337</v>
      </c>
      <c r="AD80" s="343">
        <v>16</v>
      </c>
      <c r="AE80" s="343">
        <v>23704.32</v>
      </c>
      <c r="AF80" s="343">
        <v>0</v>
      </c>
      <c r="AG80" s="343">
        <v>0</v>
      </c>
      <c r="AH80" s="343">
        <v>23704.32</v>
      </c>
      <c r="AI80" s="343">
        <v>1664.3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233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234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235</v>
      </c>
      <c r="W81" s="343" t="s">
        <v>141</v>
      </c>
      <c r="Y81" s="343" t="s">
        <v>133</v>
      </c>
      <c r="Z81" s="343" t="s">
        <v>134</v>
      </c>
      <c r="AA81" s="384">
        <v>46076</v>
      </c>
      <c r="AB81" s="384">
        <v>46082</v>
      </c>
      <c r="AC81" s="343" t="s">
        <v>106</v>
      </c>
      <c r="AD81" s="343">
        <v>14</v>
      </c>
      <c r="AE81" s="343">
        <v>9519.7999999999993</v>
      </c>
      <c r="AF81" s="343">
        <v>0</v>
      </c>
      <c r="AG81" s="343">
        <v>0</v>
      </c>
      <c r="AH81" s="343">
        <v>9519.7999999999993</v>
      </c>
      <c r="AI81" s="343">
        <v>0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234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235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236</v>
      </c>
      <c r="W82" s="343" t="s">
        <v>141</v>
      </c>
      <c r="Y82" s="343" t="s">
        <v>133</v>
      </c>
      <c r="Z82" s="343" t="s">
        <v>134</v>
      </c>
      <c r="AA82" s="384">
        <v>46076</v>
      </c>
      <c r="AB82" s="384">
        <v>46082</v>
      </c>
      <c r="AC82" s="343" t="s">
        <v>289</v>
      </c>
      <c r="AD82" s="343">
        <v>16</v>
      </c>
      <c r="AE82" s="343">
        <v>33500</v>
      </c>
      <c r="AF82" s="343">
        <v>0</v>
      </c>
      <c r="AG82" s="343">
        <v>0</v>
      </c>
      <c r="AH82" s="343">
        <v>33500</v>
      </c>
      <c r="AI82" s="343">
        <v>3015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235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236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244</v>
      </c>
      <c r="W83" s="343" t="s">
        <v>141</v>
      </c>
      <c r="Y83" s="343" t="s">
        <v>133</v>
      </c>
      <c r="Z83" s="343" t="s">
        <v>134</v>
      </c>
      <c r="AA83" s="384">
        <v>46076</v>
      </c>
      <c r="AB83" s="384">
        <v>46082</v>
      </c>
      <c r="AC83" s="343" t="s">
        <v>285</v>
      </c>
      <c r="AD83" s="343">
        <v>4242</v>
      </c>
      <c r="AE83" s="343">
        <v>159230</v>
      </c>
      <c r="AF83" s="343">
        <v>8578</v>
      </c>
      <c r="AG83" s="343">
        <v>0</v>
      </c>
      <c r="AH83" s="343">
        <v>167808</v>
      </c>
      <c r="AI83" s="343">
        <v>14330.7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236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244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232</v>
      </c>
      <c r="W84" s="343" t="s">
        <v>142</v>
      </c>
      <c r="Y84" s="343" t="s">
        <v>133</v>
      </c>
      <c r="Z84" s="343" t="s">
        <v>134</v>
      </c>
      <c r="AA84" s="384">
        <v>46076</v>
      </c>
      <c r="AB84" s="384">
        <v>46082</v>
      </c>
      <c r="AC84" s="343" t="s">
        <v>283</v>
      </c>
      <c r="AD84" s="343">
        <v>1742</v>
      </c>
      <c r="AE84" s="343">
        <v>16566.009999999998</v>
      </c>
      <c r="AF84" s="343">
        <v>504</v>
      </c>
      <c r="AG84" s="343">
        <v>0</v>
      </c>
      <c r="AH84" s="343">
        <v>17070.009999999998</v>
      </c>
      <c r="AI84" s="343">
        <v>1490.94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244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233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234</v>
      </c>
      <c r="W85" s="343" t="s">
        <v>142</v>
      </c>
      <c r="Y85" s="343" t="s">
        <v>133</v>
      </c>
      <c r="Z85" s="343" t="s">
        <v>134</v>
      </c>
      <c r="AA85" s="384">
        <v>46076</v>
      </c>
      <c r="AB85" s="384">
        <v>46082</v>
      </c>
      <c r="AC85" s="343" t="s">
        <v>281</v>
      </c>
      <c r="AD85" s="343">
        <v>4065</v>
      </c>
      <c r="AE85" s="343">
        <v>263056</v>
      </c>
      <c r="AF85" s="343">
        <v>6608</v>
      </c>
      <c r="AG85" s="343">
        <v>0</v>
      </c>
      <c r="AH85" s="343">
        <v>269664</v>
      </c>
      <c r="AI85" s="343">
        <v>23675.040000000001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232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234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235</v>
      </c>
      <c r="W86" s="343" t="s">
        <v>142</v>
      </c>
      <c r="Y86" s="343" t="s">
        <v>133</v>
      </c>
      <c r="Z86" s="343" t="s">
        <v>134</v>
      </c>
      <c r="AA86" s="384">
        <v>46076</v>
      </c>
      <c r="AB86" s="384">
        <v>46082</v>
      </c>
      <c r="AC86" s="343" t="s">
        <v>279</v>
      </c>
      <c r="AD86" s="343">
        <v>336</v>
      </c>
      <c r="AE86" s="343">
        <v>3916</v>
      </c>
      <c r="AF86" s="343">
        <v>72</v>
      </c>
      <c r="AG86" s="343">
        <v>0</v>
      </c>
      <c r="AH86" s="343">
        <v>3988</v>
      </c>
      <c r="AI86" s="343">
        <v>352.44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233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235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236</v>
      </c>
      <c r="W87" s="343" t="s">
        <v>142</v>
      </c>
      <c r="Y87" s="343" t="s">
        <v>133</v>
      </c>
      <c r="Z87" s="343" t="s">
        <v>134</v>
      </c>
      <c r="AA87" s="384">
        <v>46076</v>
      </c>
      <c r="AB87" s="384">
        <v>46082</v>
      </c>
      <c r="AC87" s="343" t="s">
        <v>277</v>
      </c>
      <c r="AD87" s="343">
        <v>158</v>
      </c>
      <c r="AE87" s="343">
        <v>49650</v>
      </c>
      <c r="AF87" s="343">
        <v>655</v>
      </c>
      <c r="AG87" s="343">
        <v>0</v>
      </c>
      <c r="AH87" s="343">
        <v>50305</v>
      </c>
      <c r="AI87" s="343">
        <v>4468.5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234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236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244</v>
      </c>
      <c r="W88" s="343" t="s">
        <v>142</v>
      </c>
      <c r="Y88" s="343" t="s">
        <v>133</v>
      </c>
      <c r="Z88" s="343" t="s">
        <v>134</v>
      </c>
      <c r="AA88" s="384">
        <v>46076</v>
      </c>
      <c r="AB88" s="384">
        <v>46082</v>
      </c>
      <c r="AC88" s="343" t="s">
        <v>287</v>
      </c>
      <c r="AD88" s="343">
        <v>757</v>
      </c>
      <c r="AE88" s="343">
        <v>11475</v>
      </c>
      <c r="AF88" s="343">
        <v>322</v>
      </c>
      <c r="AG88" s="343">
        <v>0</v>
      </c>
      <c r="AH88" s="343">
        <v>11797</v>
      </c>
      <c r="AI88" s="343">
        <v>1032.75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235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244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233</v>
      </c>
      <c r="W89" s="343" t="s">
        <v>143</v>
      </c>
      <c r="Y89" s="343" t="s">
        <v>133</v>
      </c>
      <c r="Z89" s="343" t="s">
        <v>135</v>
      </c>
      <c r="AA89" s="384">
        <v>46083</v>
      </c>
      <c r="AB89" s="384">
        <v>46089</v>
      </c>
      <c r="AC89" s="343" t="s">
        <v>337</v>
      </c>
      <c r="AD89" s="343">
        <v>11</v>
      </c>
      <c r="AE89" s="343">
        <v>4508.07</v>
      </c>
      <c r="AF89" s="343">
        <v>0</v>
      </c>
      <c r="AG89" s="343">
        <v>0</v>
      </c>
      <c r="AH89" s="343">
        <v>4508.07</v>
      </c>
      <c r="AI89" s="343">
        <v>399.81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236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233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234</v>
      </c>
      <c r="W90" s="343" t="s">
        <v>143</v>
      </c>
      <c r="Y90" s="343" t="s">
        <v>133</v>
      </c>
      <c r="Z90" s="343" t="s">
        <v>135</v>
      </c>
      <c r="AA90" s="384">
        <v>46083</v>
      </c>
      <c r="AB90" s="384">
        <v>46089</v>
      </c>
      <c r="AC90" s="343" t="s">
        <v>335</v>
      </c>
      <c r="AD90" s="343">
        <v>0</v>
      </c>
      <c r="AE90" s="343">
        <v>-531.91999999999996</v>
      </c>
      <c r="AF90" s="343">
        <v>0</v>
      </c>
      <c r="AG90" s="343">
        <v>531.91999999999996</v>
      </c>
      <c r="AH90" s="343">
        <v>0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244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234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235</v>
      </c>
      <c r="W91" s="343" t="s">
        <v>143</v>
      </c>
      <c r="Y91" s="343" t="s">
        <v>133</v>
      </c>
      <c r="Z91" s="343" t="s">
        <v>135</v>
      </c>
      <c r="AA91" s="384">
        <v>46083</v>
      </c>
      <c r="AB91" s="384">
        <v>46089</v>
      </c>
      <c r="AC91" s="343" t="s">
        <v>106</v>
      </c>
      <c r="AD91" s="343">
        <v>14</v>
      </c>
      <c r="AE91" s="343">
        <v>3652</v>
      </c>
      <c r="AF91" s="343">
        <v>0</v>
      </c>
      <c r="AG91" s="343">
        <v>0</v>
      </c>
      <c r="AH91" s="343">
        <v>3652</v>
      </c>
      <c r="AI91" s="343">
        <v>0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233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235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236</v>
      </c>
      <c r="W92" s="343" t="s">
        <v>143</v>
      </c>
      <c r="Y92" s="343" t="s">
        <v>133</v>
      </c>
      <c r="Z92" s="343" t="s">
        <v>135</v>
      </c>
      <c r="AA92" s="384">
        <v>46083</v>
      </c>
      <c r="AB92" s="384">
        <v>46089</v>
      </c>
      <c r="AC92" s="343" t="s">
        <v>289</v>
      </c>
      <c r="AD92" s="343">
        <v>36</v>
      </c>
      <c r="AE92" s="343">
        <v>36200</v>
      </c>
      <c r="AF92" s="343">
        <v>0</v>
      </c>
      <c r="AG92" s="343">
        <v>0</v>
      </c>
      <c r="AH92" s="343">
        <v>36200</v>
      </c>
      <c r="AI92" s="343">
        <v>3258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234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236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244</v>
      </c>
      <c r="W93" s="343" t="s">
        <v>143</v>
      </c>
      <c r="Y93" s="343" t="s">
        <v>133</v>
      </c>
      <c r="Z93" s="343" t="s">
        <v>135</v>
      </c>
      <c r="AA93" s="384">
        <v>46083</v>
      </c>
      <c r="AB93" s="384">
        <v>46089</v>
      </c>
      <c r="AC93" s="343" t="s">
        <v>285</v>
      </c>
      <c r="AD93" s="343">
        <v>3305</v>
      </c>
      <c r="AE93" s="343">
        <v>121699</v>
      </c>
      <c r="AF93" s="343">
        <v>7969</v>
      </c>
      <c r="AG93" s="343">
        <v>0</v>
      </c>
      <c r="AH93" s="343">
        <v>129668</v>
      </c>
      <c r="AI93" s="343">
        <v>10952.91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235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244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233</v>
      </c>
      <c r="W94" s="343" t="s">
        <v>144</v>
      </c>
      <c r="Y94" s="343" t="s">
        <v>133</v>
      </c>
      <c r="Z94" s="343" t="s">
        <v>135</v>
      </c>
      <c r="AA94" s="384">
        <v>46083</v>
      </c>
      <c r="AB94" s="384">
        <v>46089</v>
      </c>
      <c r="AC94" s="343" t="s">
        <v>283</v>
      </c>
      <c r="AD94" s="343">
        <v>1288</v>
      </c>
      <c r="AE94" s="343">
        <v>12255.5</v>
      </c>
      <c r="AF94" s="343">
        <v>435</v>
      </c>
      <c r="AG94" s="343">
        <v>0</v>
      </c>
      <c r="AH94" s="343">
        <v>12690.5</v>
      </c>
      <c r="AI94" s="343">
        <v>1103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236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232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234</v>
      </c>
      <c r="W95" s="343" t="s">
        <v>144</v>
      </c>
      <c r="Y95" s="343" t="s">
        <v>133</v>
      </c>
      <c r="Z95" s="343" t="s">
        <v>135</v>
      </c>
      <c r="AA95" s="384">
        <v>46083</v>
      </c>
      <c r="AB95" s="384">
        <v>46089</v>
      </c>
      <c r="AC95" s="343" t="s">
        <v>281</v>
      </c>
      <c r="AD95" s="343">
        <v>3403</v>
      </c>
      <c r="AE95" s="343">
        <v>184833</v>
      </c>
      <c r="AF95" s="343">
        <v>5548</v>
      </c>
      <c r="AG95" s="343">
        <v>0</v>
      </c>
      <c r="AH95" s="343">
        <v>190381</v>
      </c>
      <c r="AI95" s="343">
        <v>16634.97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244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233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235</v>
      </c>
      <c r="W96" s="343" t="s">
        <v>144</v>
      </c>
      <c r="Y96" s="343" t="s">
        <v>133</v>
      </c>
      <c r="Z96" s="343" t="s">
        <v>135</v>
      </c>
      <c r="AA96" s="384">
        <v>46083</v>
      </c>
      <c r="AB96" s="384">
        <v>46089</v>
      </c>
      <c r="AC96" s="343" t="s">
        <v>279</v>
      </c>
      <c r="AD96" s="343">
        <v>186</v>
      </c>
      <c r="AE96" s="343">
        <v>2042</v>
      </c>
      <c r="AF96" s="343">
        <v>144</v>
      </c>
      <c r="AG96" s="343">
        <v>0</v>
      </c>
      <c r="AH96" s="343">
        <v>2186</v>
      </c>
      <c r="AI96" s="343">
        <v>183.78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233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234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236</v>
      </c>
      <c r="W97" s="343" t="s">
        <v>144</v>
      </c>
      <c r="Y97" s="343" t="s">
        <v>133</v>
      </c>
      <c r="Z97" s="343" t="s">
        <v>135</v>
      </c>
      <c r="AA97" s="384">
        <v>46083</v>
      </c>
      <c r="AB97" s="384">
        <v>46089</v>
      </c>
      <c r="AC97" s="343" t="s">
        <v>277</v>
      </c>
      <c r="AD97" s="343">
        <v>139</v>
      </c>
      <c r="AE97" s="343">
        <v>52625</v>
      </c>
      <c r="AF97" s="343">
        <v>1055</v>
      </c>
      <c r="AG97" s="343">
        <v>0</v>
      </c>
      <c r="AH97" s="343">
        <v>53680</v>
      </c>
      <c r="AI97" s="343">
        <v>4736.25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234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235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244</v>
      </c>
      <c r="W98" s="343" t="s">
        <v>144</v>
      </c>
      <c r="Y98" s="343" t="s">
        <v>133</v>
      </c>
      <c r="Z98" s="343" t="s">
        <v>135</v>
      </c>
      <c r="AA98" s="384">
        <v>46083</v>
      </c>
      <c r="AB98" s="384">
        <v>46089</v>
      </c>
      <c r="AC98" s="343" t="s">
        <v>287</v>
      </c>
      <c r="AD98" s="343">
        <v>747</v>
      </c>
      <c r="AE98" s="343">
        <v>10396</v>
      </c>
      <c r="AF98" s="343">
        <v>283</v>
      </c>
      <c r="AG98" s="343">
        <v>0</v>
      </c>
      <c r="AH98" s="343">
        <v>10679</v>
      </c>
      <c r="AI98" s="343">
        <v>935.64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235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236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232</v>
      </c>
      <c r="W99" s="343" t="s">
        <v>147</v>
      </c>
      <c r="Y99" s="343" t="s">
        <v>133</v>
      </c>
      <c r="Z99" s="343" t="s">
        <v>136</v>
      </c>
      <c r="AA99" s="384">
        <v>46090</v>
      </c>
      <c r="AB99" s="384">
        <v>46096</v>
      </c>
      <c r="AC99" s="343" t="s">
        <v>337</v>
      </c>
      <c r="AD99" s="343">
        <v>6</v>
      </c>
      <c r="AE99" s="343">
        <v>5624</v>
      </c>
      <c r="AF99" s="343">
        <v>0</v>
      </c>
      <c r="AG99" s="343">
        <v>0</v>
      </c>
      <c r="AH99" s="343">
        <v>5624</v>
      </c>
      <c r="AI99" s="343">
        <v>506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236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244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233</v>
      </c>
      <c r="W100" s="343" t="s">
        <v>147</v>
      </c>
      <c r="Y100" s="343" t="s">
        <v>133</v>
      </c>
      <c r="Z100" s="343" t="s">
        <v>136</v>
      </c>
      <c r="AA100" s="384">
        <v>46090</v>
      </c>
      <c r="AB100" s="384">
        <v>46096</v>
      </c>
      <c r="AC100" s="343" t="s">
        <v>106</v>
      </c>
      <c r="AD100" s="343">
        <v>5</v>
      </c>
      <c r="AE100" s="343">
        <v>1013.35</v>
      </c>
      <c r="AF100" s="343">
        <v>0</v>
      </c>
      <c r="AG100" s="343">
        <v>0</v>
      </c>
      <c r="AH100" s="343">
        <v>1013.35</v>
      </c>
      <c r="AI100" s="343">
        <v>0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244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245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234</v>
      </c>
      <c r="W101" s="343" t="s">
        <v>147</v>
      </c>
      <c r="Y101" s="343" t="s">
        <v>133</v>
      </c>
      <c r="Z101" s="343" t="s">
        <v>136</v>
      </c>
      <c r="AA101" s="384">
        <v>46090</v>
      </c>
      <c r="AB101" s="384">
        <v>46096</v>
      </c>
      <c r="AC101" s="343" t="s">
        <v>289</v>
      </c>
      <c r="AD101" s="343">
        <v>9</v>
      </c>
      <c r="AE101" s="343">
        <v>8505</v>
      </c>
      <c r="AF101" s="343">
        <v>0</v>
      </c>
      <c r="AG101" s="343">
        <v>0</v>
      </c>
      <c r="AH101" s="343">
        <v>8505</v>
      </c>
      <c r="AI101" s="343">
        <v>765.45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233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232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235</v>
      </c>
      <c r="W102" s="343" t="s">
        <v>147</v>
      </c>
      <c r="Y102" s="343" t="s">
        <v>133</v>
      </c>
      <c r="Z102" s="343" t="s">
        <v>136</v>
      </c>
      <c r="AA102" s="384">
        <v>46090</v>
      </c>
      <c r="AB102" s="384">
        <v>46096</v>
      </c>
      <c r="AC102" s="343" t="s">
        <v>285</v>
      </c>
      <c r="AD102" s="343">
        <v>3541</v>
      </c>
      <c r="AE102" s="343">
        <v>119540</v>
      </c>
      <c r="AF102" s="343">
        <v>9244.7999999999993</v>
      </c>
      <c r="AG102" s="343">
        <v>0</v>
      </c>
      <c r="AH102" s="343">
        <v>128784.8</v>
      </c>
      <c r="AI102" s="343">
        <v>10758.6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234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233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236</v>
      </c>
      <c r="W103" s="343" t="s">
        <v>147</v>
      </c>
      <c r="Y103" s="343" t="s">
        <v>133</v>
      </c>
      <c r="Z103" s="343" t="s">
        <v>136</v>
      </c>
      <c r="AA103" s="384">
        <v>46090</v>
      </c>
      <c r="AB103" s="384">
        <v>46096</v>
      </c>
      <c r="AC103" s="343" t="s">
        <v>283</v>
      </c>
      <c r="AD103" s="343">
        <v>1231</v>
      </c>
      <c r="AE103" s="343">
        <v>11080.01</v>
      </c>
      <c r="AF103" s="343">
        <v>975</v>
      </c>
      <c r="AG103" s="343">
        <v>0</v>
      </c>
      <c r="AH103" s="343">
        <v>12055.01</v>
      </c>
      <c r="AI103" s="343">
        <v>997.2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235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234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244</v>
      </c>
      <c r="W104" s="343" t="s">
        <v>147</v>
      </c>
      <c r="Y104" s="343" t="s">
        <v>133</v>
      </c>
      <c r="Z104" s="343" t="s">
        <v>136</v>
      </c>
      <c r="AA104" s="384">
        <v>46090</v>
      </c>
      <c r="AB104" s="384">
        <v>46096</v>
      </c>
      <c r="AC104" s="343" t="s">
        <v>281</v>
      </c>
      <c r="AD104" s="343">
        <v>2902</v>
      </c>
      <c r="AE104" s="343">
        <v>124017.5</v>
      </c>
      <c r="AF104" s="343">
        <v>12379</v>
      </c>
      <c r="AG104" s="343">
        <v>0</v>
      </c>
      <c r="AH104" s="343">
        <v>136396.5</v>
      </c>
      <c r="AI104" s="343">
        <v>11161.59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236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235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245</v>
      </c>
      <c r="W105" s="343" t="s">
        <v>147</v>
      </c>
      <c r="Y105" s="343" t="s">
        <v>133</v>
      </c>
      <c r="Z105" s="343" t="s">
        <v>136</v>
      </c>
      <c r="AA105" s="384">
        <v>46090</v>
      </c>
      <c r="AB105" s="384">
        <v>46096</v>
      </c>
      <c r="AC105" s="343" t="s">
        <v>279</v>
      </c>
      <c r="AD105" s="343">
        <v>201</v>
      </c>
      <c r="AE105" s="343">
        <v>2355</v>
      </c>
      <c r="AF105" s="343">
        <v>72</v>
      </c>
      <c r="AG105" s="343">
        <v>0</v>
      </c>
      <c r="AH105" s="343">
        <v>2427</v>
      </c>
      <c r="AI105" s="343">
        <v>211.95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244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236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232</v>
      </c>
      <c r="W106" s="343" t="s">
        <v>148</v>
      </c>
      <c r="Y106" s="343" t="s">
        <v>133</v>
      </c>
      <c r="Z106" s="343" t="s">
        <v>136</v>
      </c>
      <c r="AA106" s="384">
        <v>46090</v>
      </c>
      <c r="AB106" s="384">
        <v>46096</v>
      </c>
      <c r="AC106" s="343" t="s">
        <v>277</v>
      </c>
      <c r="AD106" s="343">
        <v>87</v>
      </c>
      <c r="AE106" s="343">
        <v>27047</v>
      </c>
      <c r="AF106" s="343">
        <v>595</v>
      </c>
      <c r="AG106" s="343">
        <v>0</v>
      </c>
      <c r="AH106" s="343">
        <v>27642</v>
      </c>
      <c r="AI106" s="343">
        <v>2434.23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233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244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233</v>
      </c>
      <c r="W107" s="343" t="s">
        <v>148</v>
      </c>
      <c r="Y107" s="343" t="s">
        <v>133</v>
      </c>
      <c r="Z107" s="343" t="s">
        <v>136</v>
      </c>
      <c r="AA107" s="384">
        <v>46090</v>
      </c>
      <c r="AB107" s="384">
        <v>46096</v>
      </c>
      <c r="AC107" s="343" t="s">
        <v>293</v>
      </c>
      <c r="AD107" s="343">
        <v>5</v>
      </c>
      <c r="AE107" s="343">
        <v>0</v>
      </c>
      <c r="AF107" s="343">
        <v>400</v>
      </c>
      <c r="AG107" s="343">
        <v>0</v>
      </c>
      <c r="AH107" s="343">
        <v>400</v>
      </c>
      <c r="AI107" s="343">
        <v>0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234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234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234</v>
      </c>
      <c r="W108" s="343" t="s">
        <v>148</v>
      </c>
      <c r="Y108" s="343" t="s">
        <v>133</v>
      </c>
      <c r="Z108" s="343" t="s">
        <v>136</v>
      </c>
      <c r="AA108" s="384">
        <v>46090</v>
      </c>
      <c r="AB108" s="384">
        <v>46096</v>
      </c>
      <c r="AC108" s="343" t="s">
        <v>287</v>
      </c>
      <c r="AD108" s="343">
        <v>411</v>
      </c>
      <c r="AE108" s="343">
        <v>10073</v>
      </c>
      <c r="AF108" s="343">
        <v>708</v>
      </c>
      <c r="AG108" s="343">
        <v>0</v>
      </c>
      <c r="AH108" s="343">
        <v>10781</v>
      </c>
      <c r="AI108" s="343">
        <v>906.57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235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235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235</v>
      </c>
      <c r="W109" s="343" t="s">
        <v>148</v>
      </c>
      <c r="Y109" s="343" t="s">
        <v>133</v>
      </c>
      <c r="Z109" s="343" t="s">
        <v>137</v>
      </c>
      <c r="AA109" s="384">
        <v>46097</v>
      </c>
      <c r="AB109" s="384">
        <v>46103</v>
      </c>
      <c r="AC109" s="343" t="s">
        <v>337</v>
      </c>
      <c r="AD109" s="343">
        <v>16</v>
      </c>
      <c r="AE109" s="343">
        <v>9002.43</v>
      </c>
      <c r="AF109" s="343">
        <v>0</v>
      </c>
      <c r="AG109" s="343">
        <v>0</v>
      </c>
      <c r="AH109" s="343">
        <v>9002.43</v>
      </c>
      <c r="AI109" s="343">
        <v>778.94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236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236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236</v>
      </c>
      <c r="W110" s="343" t="s">
        <v>148</v>
      </c>
      <c r="Y110" s="343" t="s">
        <v>133</v>
      </c>
      <c r="Z110" s="343" t="s">
        <v>137</v>
      </c>
      <c r="AA110" s="384">
        <v>46097</v>
      </c>
      <c r="AB110" s="384">
        <v>46103</v>
      </c>
      <c r="AC110" s="343" t="s">
        <v>293</v>
      </c>
      <c r="AD110" s="343">
        <v>24</v>
      </c>
      <c r="AE110" s="343">
        <v>0</v>
      </c>
      <c r="AF110" s="343">
        <v>0</v>
      </c>
      <c r="AG110" s="343">
        <v>0</v>
      </c>
      <c r="AH110" s="343">
        <v>0</v>
      </c>
      <c r="AI110" s="343">
        <v>0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244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244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244</v>
      </c>
      <c r="W111" s="343" t="s">
        <v>148</v>
      </c>
      <c r="Y111" s="343" t="s">
        <v>133</v>
      </c>
      <c r="Z111" s="343" t="s">
        <v>137</v>
      </c>
      <c r="AA111" s="384">
        <v>46097</v>
      </c>
      <c r="AB111" s="384">
        <v>46103</v>
      </c>
      <c r="AC111" s="343" t="s">
        <v>106</v>
      </c>
      <c r="AD111" s="343">
        <v>11</v>
      </c>
      <c r="AE111" s="343">
        <v>3935.25</v>
      </c>
      <c r="AF111" s="343">
        <v>0</v>
      </c>
      <c r="AG111" s="343">
        <v>0</v>
      </c>
      <c r="AH111" s="343">
        <v>3935.25</v>
      </c>
      <c r="AI111" s="343">
        <v>0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233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233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232</v>
      </c>
      <c r="W112" s="343" t="s">
        <v>149</v>
      </c>
      <c r="Y112" s="343" t="s">
        <v>133</v>
      </c>
      <c r="Z112" s="343" t="s">
        <v>137</v>
      </c>
      <c r="AA112" s="384">
        <v>46097</v>
      </c>
      <c r="AB112" s="384">
        <v>46103</v>
      </c>
      <c r="AC112" s="343" t="s">
        <v>289</v>
      </c>
      <c r="AD112" s="343">
        <v>16</v>
      </c>
      <c r="AE112" s="343">
        <v>21960</v>
      </c>
      <c r="AF112" s="343">
        <v>0</v>
      </c>
      <c r="AG112" s="343">
        <v>0</v>
      </c>
      <c r="AH112" s="343">
        <v>21960</v>
      </c>
      <c r="AI112" s="343">
        <v>1976.4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234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234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234</v>
      </c>
      <c r="W113" s="343" t="s">
        <v>149</v>
      </c>
      <c r="Y113" s="343" t="s">
        <v>133</v>
      </c>
      <c r="Z113" s="343" t="s">
        <v>137</v>
      </c>
      <c r="AA113" s="384">
        <v>46097</v>
      </c>
      <c r="AB113" s="384">
        <v>46103</v>
      </c>
      <c r="AC113" s="343" t="s">
        <v>285</v>
      </c>
      <c r="AD113" s="343">
        <v>3868</v>
      </c>
      <c r="AE113" s="343">
        <v>130880.5</v>
      </c>
      <c r="AF113" s="343">
        <v>7579</v>
      </c>
      <c r="AG113" s="343">
        <v>0</v>
      </c>
      <c r="AH113" s="343">
        <v>138459.5</v>
      </c>
      <c r="AI113" s="343">
        <v>11779.25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235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235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235</v>
      </c>
      <c r="W114" s="343" t="s">
        <v>149</v>
      </c>
      <c r="Y114" s="343" t="s">
        <v>133</v>
      </c>
      <c r="Z114" s="343" t="s">
        <v>137</v>
      </c>
      <c r="AA114" s="384">
        <v>46097</v>
      </c>
      <c r="AB114" s="384">
        <v>46103</v>
      </c>
      <c r="AC114" s="343" t="s">
        <v>283</v>
      </c>
      <c r="AD114" s="343">
        <v>1418.5</v>
      </c>
      <c r="AE114" s="343">
        <v>13045</v>
      </c>
      <c r="AF114" s="343">
        <v>829</v>
      </c>
      <c r="AG114" s="343">
        <v>0</v>
      </c>
      <c r="AH114" s="343">
        <v>13874</v>
      </c>
      <c r="AI114" s="343">
        <v>1174.05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236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236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236</v>
      </c>
      <c r="W115" s="343" t="s">
        <v>149</v>
      </c>
      <c r="Y115" s="343" t="s">
        <v>133</v>
      </c>
      <c r="Z115" s="343" t="s">
        <v>137</v>
      </c>
      <c r="AA115" s="384">
        <v>46097</v>
      </c>
      <c r="AB115" s="384">
        <v>46103</v>
      </c>
      <c r="AC115" s="343" t="s">
        <v>281</v>
      </c>
      <c r="AD115" s="343">
        <v>3901</v>
      </c>
      <c r="AE115" s="343">
        <v>227092</v>
      </c>
      <c r="AF115" s="343">
        <v>4929</v>
      </c>
      <c r="AG115" s="343">
        <v>0</v>
      </c>
      <c r="AH115" s="343">
        <v>232021</v>
      </c>
      <c r="AI115" s="343">
        <v>20438.29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244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244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244</v>
      </c>
      <c r="W116" s="343" t="s">
        <v>149</v>
      </c>
      <c r="Y116" s="343" t="s">
        <v>133</v>
      </c>
      <c r="Z116" s="343" t="s">
        <v>137</v>
      </c>
      <c r="AA116" s="384">
        <v>46097</v>
      </c>
      <c r="AB116" s="384">
        <v>46103</v>
      </c>
      <c r="AC116" s="343" t="s">
        <v>279</v>
      </c>
      <c r="AD116" s="343">
        <v>156</v>
      </c>
      <c r="AE116" s="343">
        <v>1779</v>
      </c>
      <c r="AF116" s="343">
        <v>96</v>
      </c>
      <c r="AG116" s="343">
        <v>0</v>
      </c>
      <c r="AH116" s="343">
        <v>1875</v>
      </c>
      <c r="AI116" s="343">
        <v>160.11000000000001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233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245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232</v>
      </c>
      <c r="W117" s="343" t="s">
        <v>150</v>
      </c>
      <c r="Y117" s="343" t="s">
        <v>133</v>
      </c>
      <c r="Z117" s="343" t="s">
        <v>137</v>
      </c>
      <c r="AA117" s="384">
        <v>46097</v>
      </c>
      <c r="AB117" s="384">
        <v>46103</v>
      </c>
      <c r="AC117" s="343" t="s">
        <v>277</v>
      </c>
      <c r="AD117" s="343">
        <v>106</v>
      </c>
      <c r="AE117" s="343">
        <v>54467</v>
      </c>
      <c r="AF117" s="343">
        <v>300</v>
      </c>
      <c r="AG117" s="343">
        <v>0</v>
      </c>
      <c r="AH117" s="343">
        <v>54767</v>
      </c>
      <c r="AI117" s="343">
        <v>4902.03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234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234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233</v>
      </c>
      <c r="W118" s="343" t="s">
        <v>150</v>
      </c>
      <c r="Y118" s="343" t="s">
        <v>133</v>
      </c>
      <c r="Z118" s="343" t="s">
        <v>137</v>
      </c>
      <c r="AA118" s="384">
        <v>46097</v>
      </c>
      <c r="AB118" s="384">
        <v>46103</v>
      </c>
      <c r="AC118" s="343" t="s">
        <v>287</v>
      </c>
      <c r="AD118" s="343">
        <v>544</v>
      </c>
      <c r="AE118" s="343">
        <v>10494</v>
      </c>
      <c r="AF118" s="343">
        <v>253</v>
      </c>
      <c r="AG118" s="343">
        <v>0</v>
      </c>
      <c r="AH118" s="343">
        <v>10747</v>
      </c>
      <c r="AI118" s="343">
        <v>944.46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235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235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234</v>
      </c>
      <c r="W119" s="343" t="s">
        <v>150</v>
      </c>
      <c r="Y119" s="343" t="s">
        <v>133</v>
      </c>
      <c r="Z119" s="343" t="s">
        <v>138</v>
      </c>
      <c r="AA119" s="384">
        <v>46104</v>
      </c>
      <c r="AB119" s="384">
        <v>46110</v>
      </c>
      <c r="AC119" s="343" t="s">
        <v>337</v>
      </c>
      <c r="AD119" s="343">
        <v>21</v>
      </c>
      <c r="AE119" s="343">
        <v>8713.2999999999993</v>
      </c>
      <c r="AF119" s="343">
        <v>0</v>
      </c>
      <c r="AG119" s="343">
        <v>0</v>
      </c>
      <c r="AH119" s="343">
        <v>8713.2999999999993</v>
      </c>
      <c r="AI119" s="343">
        <v>781.62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236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236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235</v>
      </c>
      <c r="W120" s="343" t="s">
        <v>150</v>
      </c>
      <c r="Y120" s="343" t="s">
        <v>133</v>
      </c>
      <c r="Z120" s="343" t="s">
        <v>138</v>
      </c>
      <c r="AA120" s="384">
        <v>46104</v>
      </c>
      <c r="AB120" s="384">
        <v>46110</v>
      </c>
      <c r="AC120" s="343" t="s">
        <v>293</v>
      </c>
      <c r="AD120" s="343">
        <v>25</v>
      </c>
      <c r="AE120" s="343">
        <v>0</v>
      </c>
      <c r="AF120" s="343">
        <v>0</v>
      </c>
      <c r="AG120" s="343">
        <v>0</v>
      </c>
      <c r="AH120" s="343">
        <v>0</v>
      </c>
      <c r="AI120" s="343">
        <v>0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244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244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236</v>
      </c>
      <c r="W121" s="343" t="s">
        <v>150</v>
      </c>
      <c r="Y121" s="343" t="s">
        <v>133</v>
      </c>
      <c r="Z121" s="343" t="s">
        <v>138</v>
      </c>
      <c r="AA121" s="384">
        <v>46104</v>
      </c>
      <c r="AB121" s="384">
        <v>46110</v>
      </c>
      <c r="AC121" s="343" t="s">
        <v>106</v>
      </c>
      <c r="AD121" s="343">
        <v>9</v>
      </c>
      <c r="AE121" s="343">
        <v>1568.55</v>
      </c>
      <c r="AF121" s="343">
        <v>0</v>
      </c>
      <c r="AG121" s="343">
        <v>0</v>
      </c>
      <c r="AH121" s="343">
        <v>1568.55</v>
      </c>
      <c r="AI121" s="343">
        <v>0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233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234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244</v>
      </c>
      <c r="W122" s="343" t="s">
        <v>150</v>
      </c>
      <c r="Y122" s="343" t="s">
        <v>133</v>
      </c>
      <c r="Z122" s="343" t="s">
        <v>138</v>
      </c>
      <c r="AA122" s="384">
        <v>46104</v>
      </c>
      <c r="AB122" s="384">
        <v>46110</v>
      </c>
      <c r="AC122" s="343" t="s">
        <v>289</v>
      </c>
      <c r="AD122" s="343">
        <v>22</v>
      </c>
      <c r="AE122" s="343">
        <v>26965</v>
      </c>
      <c r="AF122" s="343">
        <v>0</v>
      </c>
      <c r="AG122" s="343">
        <v>0</v>
      </c>
      <c r="AH122" s="343">
        <v>26965</v>
      </c>
      <c r="AI122" s="343">
        <v>2426.85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235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235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245</v>
      </c>
      <c r="W123" s="343" t="s">
        <v>150</v>
      </c>
      <c r="Y123" s="343" t="s">
        <v>133</v>
      </c>
      <c r="Z123" s="343" t="s">
        <v>138</v>
      </c>
      <c r="AA123" s="384">
        <v>46104</v>
      </c>
      <c r="AB123" s="384">
        <v>46110</v>
      </c>
      <c r="AC123" s="343" t="s">
        <v>285</v>
      </c>
      <c r="AD123" s="343">
        <v>3656</v>
      </c>
      <c r="AE123" s="343">
        <v>127072.8</v>
      </c>
      <c r="AF123" s="343">
        <v>5863.2</v>
      </c>
      <c r="AG123" s="343">
        <v>0</v>
      </c>
      <c r="AH123" s="343">
        <v>132936</v>
      </c>
      <c r="AI123" s="343">
        <v>11436.54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236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236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233</v>
      </c>
      <c r="W124" s="343" t="s">
        <v>153</v>
      </c>
      <c r="Y124" s="343" t="s">
        <v>133</v>
      </c>
      <c r="Z124" s="343" t="s">
        <v>138</v>
      </c>
      <c r="AA124" s="384">
        <v>46104</v>
      </c>
      <c r="AB124" s="384">
        <v>46110</v>
      </c>
      <c r="AC124" s="343" t="s">
        <v>283</v>
      </c>
      <c r="AD124" s="343">
        <v>2012</v>
      </c>
      <c r="AE124" s="343">
        <v>16502.61</v>
      </c>
      <c r="AF124" s="343">
        <v>2894.4</v>
      </c>
      <c r="AG124" s="343">
        <v>0</v>
      </c>
      <c r="AH124" s="343">
        <v>19397.009999999998</v>
      </c>
      <c r="AI124" s="343">
        <v>1485.25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244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244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234</v>
      </c>
      <c r="W125" s="343" t="s">
        <v>153</v>
      </c>
      <c r="Y125" s="343" t="s">
        <v>133</v>
      </c>
      <c r="Z125" s="343" t="s">
        <v>138</v>
      </c>
      <c r="AA125" s="384">
        <v>46104</v>
      </c>
      <c r="AB125" s="384">
        <v>46110</v>
      </c>
      <c r="AC125" s="343" t="s">
        <v>281</v>
      </c>
      <c r="AD125" s="343">
        <v>4584</v>
      </c>
      <c r="AE125" s="343">
        <v>328383.09999999998</v>
      </c>
      <c r="AF125" s="343">
        <v>9973.4</v>
      </c>
      <c r="AG125" s="343">
        <v>0</v>
      </c>
      <c r="AH125" s="343">
        <v>338356.5</v>
      </c>
      <c r="AI125" s="343">
        <v>29554.49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232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234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235</v>
      </c>
      <c r="W126" s="343" t="s">
        <v>153</v>
      </c>
      <c r="Y126" s="343" t="s">
        <v>133</v>
      </c>
      <c r="Z126" s="343" t="s">
        <v>138</v>
      </c>
      <c r="AA126" s="384">
        <v>46104</v>
      </c>
      <c r="AB126" s="384">
        <v>46110</v>
      </c>
      <c r="AC126" s="343" t="s">
        <v>279</v>
      </c>
      <c r="AD126" s="343">
        <v>240</v>
      </c>
      <c r="AE126" s="343">
        <v>2676</v>
      </c>
      <c r="AF126" s="343">
        <v>216</v>
      </c>
      <c r="AG126" s="343">
        <v>0</v>
      </c>
      <c r="AH126" s="343">
        <v>2892</v>
      </c>
      <c r="AI126" s="343">
        <v>240.84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233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235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236</v>
      </c>
      <c r="W127" s="343" t="s">
        <v>153</v>
      </c>
      <c r="Y127" s="343" t="s">
        <v>133</v>
      </c>
      <c r="Z127" s="343" t="s">
        <v>138</v>
      </c>
      <c r="AA127" s="384">
        <v>46104</v>
      </c>
      <c r="AB127" s="384">
        <v>46110</v>
      </c>
      <c r="AC127" s="343" t="s">
        <v>277</v>
      </c>
      <c r="AD127" s="343">
        <v>118</v>
      </c>
      <c r="AE127" s="343">
        <v>68531</v>
      </c>
      <c r="AF127" s="343">
        <v>1421</v>
      </c>
      <c r="AG127" s="343">
        <v>0</v>
      </c>
      <c r="AH127" s="343">
        <v>69952</v>
      </c>
      <c r="AI127" s="343">
        <v>6167.79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234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236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244</v>
      </c>
      <c r="W128" s="343" t="s">
        <v>153</v>
      </c>
      <c r="Y128" s="343" t="s">
        <v>133</v>
      </c>
      <c r="Z128" s="343" t="s">
        <v>138</v>
      </c>
      <c r="AA128" s="384">
        <v>46104</v>
      </c>
      <c r="AB128" s="384">
        <v>46110</v>
      </c>
      <c r="AC128" s="343" t="s">
        <v>287</v>
      </c>
      <c r="AD128" s="343">
        <v>568</v>
      </c>
      <c r="AE128" s="343">
        <v>7422</v>
      </c>
      <c r="AF128" s="343">
        <v>424</v>
      </c>
      <c r="AG128" s="343">
        <v>0</v>
      </c>
      <c r="AH128" s="343">
        <v>7846</v>
      </c>
      <c r="AI128" s="343">
        <v>667.98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235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244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233</v>
      </c>
      <c r="W129" s="343" t="s">
        <v>154</v>
      </c>
      <c r="Y129" s="343" t="s">
        <v>140</v>
      </c>
      <c r="Z129" s="343" t="s">
        <v>141</v>
      </c>
      <c r="AA129" s="384">
        <v>46111</v>
      </c>
      <c r="AB129" s="384">
        <v>46117</v>
      </c>
      <c r="AC129" s="343" t="s">
        <v>337</v>
      </c>
      <c r="AD129" s="343">
        <v>4</v>
      </c>
      <c r="AE129" s="343">
        <v>2450</v>
      </c>
      <c r="AF129" s="343">
        <v>0</v>
      </c>
      <c r="AG129" s="343">
        <v>0</v>
      </c>
      <c r="AH129" s="343">
        <v>2450</v>
      </c>
      <c r="AI129" s="343">
        <v>220.5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236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234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234</v>
      </c>
      <c r="W130" s="343" t="s">
        <v>154</v>
      </c>
      <c r="Y130" s="343" t="s">
        <v>140</v>
      </c>
      <c r="Z130" s="343" t="s">
        <v>141</v>
      </c>
      <c r="AA130" s="384">
        <v>46111</v>
      </c>
      <c r="AB130" s="384">
        <v>46117</v>
      </c>
      <c r="AC130" s="343" t="s">
        <v>335</v>
      </c>
      <c r="AD130" s="343">
        <v>0</v>
      </c>
      <c r="AE130" s="343">
        <v>-282.52999999999997</v>
      </c>
      <c r="AF130" s="343">
        <v>0</v>
      </c>
      <c r="AG130" s="343">
        <v>282.52999999999997</v>
      </c>
      <c r="AH130" s="343">
        <v>0</v>
      </c>
      <c r="AI130" s="343">
        <v>0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244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235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235</v>
      </c>
      <c r="W131" s="343" t="s">
        <v>154</v>
      </c>
      <c r="Y131" s="343" t="s">
        <v>140</v>
      </c>
      <c r="Z131" s="343" t="s">
        <v>141</v>
      </c>
      <c r="AA131" s="384">
        <v>46111</v>
      </c>
      <c r="AB131" s="384">
        <v>46117</v>
      </c>
      <c r="AC131" s="343" t="s">
        <v>106</v>
      </c>
      <c r="AD131" s="343">
        <v>2</v>
      </c>
      <c r="AE131" s="343">
        <v>340.95</v>
      </c>
      <c r="AF131" s="343">
        <v>0</v>
      </c>
      <c r="AG131" s="343">
        <v>0</v>
      </c>
      <c r="AH131" s="343">
        <v>340.95</v>
      </c>
      <c r="AI131" s="343">
        <v>0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233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236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236</v>
      </c>
      <c r="W132" s="343" t="s">
        <v>154</v>
      </c>
      <c r="Y132" s="343" t="s">
        <v>140</v>
      </c>
      <c r="Z132" s="343" t="s">
        <v>141</v>
      </c>
      <c r="AA132" s="384">
        <v>46111</v>
      </c>
      <c r="AB132" s="384">
        <v>46117</v>
      </c>
      <c r="AC132" s="343" t="s">
        <v>289</v>
      </c>
      <c r="AD132" s="343">
        <v>6</v>
      </c>
      <c r="AE132" s="343">
        <v>10360</v>
      </c>
      <c r="AF132" s="343">
        <v>0</v>
      </c>
      <c r="AG132" s="343">
        <v>0</v>
      </c>
      <c r="AH132" s="343">
        <v>10360</v>
      </c>
      <c r="AI132" s="343">
        <v>932.4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234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244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244</v>
      </c>
      <c r="W133" s="343" t="s">
        <v>154</v>
      </c>
      <c r="Y133" s="343" t="s">
        <v>140</v>
      </c>
      <c r="Z133" s="343" t="s">
        <v>141</v>
      </c>
      <c r="AA133" s="384">
        <v>46111</v>
      </c>
      <c r="AB133" s="384">
        <v>46117</v>
      </c>
      <c r="AC133" s="343" t="s">
        <v>285</v>
      </c>
      <c r="AD133" s="343">
        <v>2325</v>
      </c>
      <c r="AE133" s="343">
        <v>81441</v>
      </c>
      <c r="AF133" s="343">
        <v>5755</v>
      </c>
      <c r="AG133" s="343">
        <v>0</v>
      </c>
      <c r="AH133" s="343">
        <v>87196</v>
      </c>
      <c r="AI133" s="343">
        <v>7329.69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235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234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234</v>
      </c>
      <c r="W134" s="343" t="s">
        <v>155</v>
      </c>
      <c r="Y134" s="343" t="s">
        <v>140</v>
      </c>
      <c r="Z134" s="343" t="s">
        <v>141</v>
      </c>
      <c r="AA134" s="384">
        <v>46111</v>
      </c>
      <c r="AB134" s="384">
        <v>46117</v>
      </c>
      <c r="AC134" s="343" t="s">
        <v>283</v>
      </c>
      <c r="AD134" s="343">
        <v>1288</v>
      </c>
      <c r="AE134" s="343">
        <v>11916</v>
      </c>
      <c r="AF134" s="343">
        <v>705</v>
      </c>
      <c r="AG134" s="343">
        <v>0</v>
      </c>
      <c r="AH134" s="343">
        <v>12621</v>
      </c>
      <c r="AI134" s="343">
        <v>1072.44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236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235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235</v>
      </c>
      <c r="W135" s="343" t="s">
        <v>155</v>
      </c>
      <c r="Y135" s="343" t="s">
        <v>140</v>
      </c>
      <c r="Z135" s="343" t="s">
        <v>141</v>
      </c>
      <c r="AA135" s="384">
        <v>46111</v>
      </c>
      <c r="AB135" s="384">
        <v>46117</v>
      </c>
      <c r="AC135" s="343" t="s">
        <v>281</v>
      </c>
      <c r="AD135" s="343">
        <v>2596</v>
      </c>
      <c r="AE135" s="343">
        <v>161447</v>
      </c>
      <c r="AF135" s="343">
        <v>8079</v>
      </c>
      <c r="AG135" s="343">
        <v>0</v>
      </c>
      <c r="AH135" s="343">
        <v>169526</v>
      </c>
      <c r="AI135" s="343">
        <v>14530.23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244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236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236</v>
      </c>
      <c r="W136" s="343" t="s">
        <v>155</v>
      </c>
      <c r="Y136" s="343" t="s">
        <v>140</v>
      </c>
      <c r="Z136" s="343" t="s">
        <v>141</v>
      </c>
      <c r="AA136" s="384">
        <v>46111</v>
      </c>
      <c r="AB136" s="384">
        <v>46117</v>
      </c>
      <c r="AC136" s="343" t="s">
        <v>279</v>
      </c>
      <c r="AD136" s="343">
        <v>126</v>
      </c>
      <c r="AE136" s="343">
        <v>1464</v>
      </c>
      <c r="AF136" s="343">
        <v>48</v>
      </c>
      <c r="AG136" s="343">
        <v>0</v>
      </c>
      <c r="AH136" s="343">
        <v>1512</v>
      </c>
      <c r="AI136" s="343">
        <v>131.76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233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244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244</v>
      </c>
      <c r="W137" s="343" t="s">
        <v>155</v>
      </c>
      <c r="Y137" s="343" t="s">
        <v>140</v>
      </c>
      <c r="Z137" s="343" t="s">
        <v>141</v>
      </c>
      <c r="AA137" s="384">
        <v>46111</v>
      </c>
      <c r="AB137" s="384">
        <v>46117</v>
      </c>
      <c r="AC137" s="343" t="s">
        <v>277</v>
      </c>
      <c r="AD137" s="343">
        <v>75</v>
      </c>
      <c r="AE137" s="343">
        <v>37352</v>
      </c>
      <c r="AF137" s="343">
        <v>150</v>
      </c>
      <c r="AG137" s="343">
        <v>0</v>
      </c>
      <c r="AH137" s="343">
        <v>37502</v>
      </c>
      <c r="AI137" s="343">
        <v>3361.68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234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234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233</v>
      </c>
      <c r="W138" s="343" t="s">
        <v>156</v>
      </c>
      <c r="Y138" s="343" t="s">
        <v>140</v>
      </c>
      <c r="Z138" s="343" t="s">
        <v>141</v>
      </c>
      <c r="AA138" s="384">
        <v>46111</v>
      </c>
      <c r="AB138" s="384">
        <v>46117</v>
      </c>
      <c r="AC138" s="343" t="s">
        <v>287</v>
      </c>
      <c r="AD138" s="343">
        <v>459</v>
      </c>
      <c r="AE138" s="343">
        <v>6990</v>
      </c>
      <c r="AF138" s="343">
        <v>284</v>
      </c>
      <c r="AG138" s="343">
        <v>0</v>
      </c>
      <c r="AH138" s="343">
        <v>7274</v>
      </c>
      <c r="AI138" s="343">
        <v>629.1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235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235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234</v>
      </c>
      <c r="W139" s="343" t="s">
        <v>156</v>
      </c>
      <c r="Y139" s="343" t="s">
        <v>140</v>
      </c>
      <c r="Z139" s="343" t="s">
        <v>142</v>
      </c>
      <c r="AA139" s="384">
        <v>46118</v>
      </c>
      <c r="AB139" s="384">
        <v>46124</v>
      </c>
      <c r="AC139" s="343" t="s">
        <v>337</v>
      </c>
      <c r="AD139" s="343">
        <v>9</v>
      </c>
      <c r="AE139" s="343">
        <v>1602</v>
      </c>
      <c r="AF139" s="343">
        <v>0</v>
      </c>
      <c r="AG139" s="343">
        <v>0</v>
      </c>
      <c r="AH139" s="343">
        <v>1602</v>
      </c>
      <c r="AI139" s="343">
        <v>144.18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236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236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235</v>
      </c>
      <c r="W140" s="343" t="s">
        <v>156</v>
      </c>
      <c r="Y140" s="343" t="s">
        <v>140</v>
      </c>
      <c r="Z140" s="343" t="s">
        <v>142</v>
      </c>
      <c r="AA140" s="384">
        <v>46118</v>
      </c>
      <c r="AB140" s="384">
        <v>46124</v>
      </c>
      <c r="AC140" s="343" t="s">
        <v>106</v>
      </c>
      <c r="AD140" s="343">
        <v>4</v>
      </c>
      <c r="AE140" s="343">
        <v>613.85</v>
      </c>
      <c r="AF140" s="343">
        <v>0</v>
      </c>
      <c r="AG140" s="343">
        <v>0</v>
      </c>
      <c r="AH140" s="343">
        <v>613.85</v>
      </c>
      <c r="AI140" s="343">
        <v>0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244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244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236</v>
      </c>
      <c r="W141" s="343" t="s">
        <v>156</v>
      </c>
      <c r="Y141" s="343" t="s">
        <v>140</v>
      </c>
      <c r="Z141" s="343" t="s">
        <v>142</v>
      </c>
      <c r="AA141" s="384">
        <v>46118</v>
      </c>
      <c r="AB141" s="384">
        <v>46124</v>
      </c>
      <c r="AC141" s="343" t="s">
        <v>289</v>
      </c>
      <c r="AD141" s="343">
        <v>17</v>
      </c>
      <c r="AE141" s="343">
        <v>31125</v>
      </c>
      <c r="AF141" s="343">
        <v>0</v>
      </c>
      <c r="AG141" s="343">
        <v>0</v>
      </c>
      <c r="AH141" s="343">
        <v>31125</v>
      </c>
      <c r="AI141" s="343">
        <v>2801.25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233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234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244</v>
      </c>
      <c r="W142" s="343" t="s">
        <v>156</v>
      </c>
      <c r="Y142" s="343" t="s">
        <v>140</v>
      </c>
      <c r="Z142" s="343" t="s">
        <v>142</v>
      </c>
      <c r="AA142" s="384">
        <v>46118</v>
      </c>
      <c r="AB142" s="384">
        <v>46124</v>
      </c>
      <c r="AC142" s="343" t="s">
        <v>285</v>
      </c>
      <c r="AD142" s="343">
        <v>2178</v>
      </c>
      <c r="AE142" s="343">
        <v>81196</v>
      </c>
      <c r="AF142" s="343">
        <v>4989</v>
      </c>
      <c r="AG142" s="343">
        <v>0</v>
      </c>
      <c r="AH142" s="343">
        <v>86185</v>
      </c>
      <c r="AI142" s="343">
        <v>7307.64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234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235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234</v>
      </c>
      <c r="W143" s="343" t="s">
        <v>157</v>
      </c>
      <c r="Y143" s="343" t="s">
        <v>140</v>
      </c>
      <c r="Z143" s="343" t="s">
        <v>142</v>
      </c>
      <c r="AA143" s="384">
        <v>46118</v>
      </c>
      <c r="AB143" s="384">
        <v>46124</v>
      </c>
      <c r="AC143" s="343" t="s">
        <v>283</v>
      </c>
      <c r="AD143" s="343">
        <v>1416</v>
      </c>
      <c r="AE143" s="343">
        <v>11834.01</v>
      </c>
      <c r="AF143" s="343">
        <v>596</v>
      </c>
      <c r="AG143" s="343">
        <v>0</v>
      </c>
      <c r="AH143" s="343">
        <v>12430.01</v>
      </c>
      <c r="AI143" s="343">
        <v>1065.06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235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236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235</v>
      </c>
      <c r="W144" s="343" t="s">
        <v>157</v>
      </c>
      <c r="Y144" s="343" t="s">
        <v>140</v>
      </c>
      <c r="Z144" s="343" t="s">
        <v>142</v>
      </c>
      <c r="AA144" s="384">
        <v>46118</v>
      </c>
      <c r="AB144" s="384">
        <v>46124</v>
      </c>
      <c r="AC144" s="343" t="s">
        <v>281</v>
      </c>
      <c r="AD144" s="343">
        <v>2952</v>
      </c>
      <c r="AE144" s="343">
        <v>187198</v>
      </c>
      <c r="AF144" s="343">
        <v>4687</v>
      </c>
      <c r="AG144" s="343">
        <v>0</v>
      </c>
      <c r="AH144" s="343">
        <v>191885</v>
      </c>
      <c r="AI144" s="343">
        <v>16847.82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236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244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236</v>
      </c>
      <c r="W145" s="343" t="s">
        <v>157</v>
      </c>
      <c r="Y145" s="343" t="s">
        <v>140</v>
      </c>
      <c r="Z145" s="343" t="s">
        <v>142</v>
      </c>
      <c r="AA145" s="384">
        <v>46118</v>
      </c>
      <c r="AB145" s="384">
        <v>46124</v>
      </c>
      <c r="AC145" s="343" t="s">
        <v>279</v>
      </c>
      <c r="AD145" s="343">
        <v>176</v>
      </c>
      <c r="AE145" s="343">
        <v>2081</v>
      </c>
      <c r="AF145" s="343">
        <v>24</v>
      </c>
      <c r="AG145" s="343">
        <v>0</v>
      </c>
      <c r="AH145" s="343">
        <v>2105</v>
      </c>
      <c r="AI145" s="343">
        <v>187.29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244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234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244</v>
      </c>
      <c r="W146" s="343" t="s">
        <v>157</v>
      </c>
      <c r="Y146" s="343" t="s">
        <v>140</v>
      </c>
      <c r="Z146" s="343" t="s">
        <v>142</v>
      </c>
      <c r="AA146" s="384">
        <v>46118</v>
      </c>
      <c r="AB146" s="384">
        <v>46124</v>
      </c>
      <c r="AC146" s="343" t="s">
        <v>277</v>
      </c>
      <c r="AD146" s="343">
        <v>94</v>
      </c>
      <c r="AE146" s="343">
        <v>43034</v>
      </c>
      <c r="AF146" s="343">
        <v>480</v>
      </c>
      <c r="AG146" s="343">
        <v>0</v>
      </c>
      <c r="AH146" s="343">
        <v>43514</v>
      </c>
      <c r="AI146" s="343">
        <v>3873.06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233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235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232</v>
      </c>
      <c r="W147" s="343" t="s">
        <v>160</v>
      </c>
      <c r="Y147" s="343" t="s">
        <v>140</v>
      </c>
      <c r="Z147" s="343" t="s">
        <v>142</v>
      </c>
      <c r="AA147" s="384">
        <v>46118</v>
      </c>
      <c r="AB147" s="384">
        <v>46124</v>
      </c>
      <c r="AC147" s="343" t="s">
        <v>293</v>
      </c>
      <c r="AD147" s="343">
        <v>2</v>
      </c>
      <c r="AE147" s="343">
        <v>0</v>
      </c>
      <c r="AF147" s="343">
        <v>160</v>
      </c>
      <c r="AG147" s="343">
        <v>0</v>
      </c>
      <c r="AH147" s="343">
        <v>160</v>
      </c>
      <c r="AI147" s="343">
        <v>0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234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236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234</v>
      </c>
      <c r="W148" s="343" t="s">
        <v>160</v>
      </c>
      <c r="Y148" s="343" t="s">
        <v>140</v>
      </c>
      <c r="Z148" s="343" t="s">
        <v>142</v>
      </c>
      <c r="AA148" s="384">
        <v>46118</v>
      </c>
      <c r="AB148" s="384">
        <v>46124</v>
      </c>
      <c r="AC148" s="343" t="s">
        <v>287</v>
      </c>
      <c r="AD148" s="343">
        <v>497</v>
      </c>
      <c r="AE148" s="343">
        <v>8271</v>
      </c>
      <c r="AF148" s="343">
        <v>96</v>
      </c>
      <c r="AG148" s="343">
        <v>0</v>
      </c>
      <c r="AH148" s="343">
        <v>8367</v>
      </c>
      <c r="AI148" s="343">
        <v>744.39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235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244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235</v>
      </c>
      <c r="W149" s="343" t="s">
        <v>160</v>
      </c>
      <c r="Y149" s="343" t="s">
        <v>140</v>
      </c>
      <c r="Z149" s="343" t="s">
        <v>143</v>
      </c>
      <c r="AA149" s="384">
        <v>46125</v>
      </c>
      <c r="AB149" s="384">
        <v>46131</v>
      </c>
      <c r="AC149" s="343" t="s">
        <v>337</v>
      </c>
      <c r="AD149" s="343">
        <v>16</v>
      </c>
      <c r="AE149" s="343">
        <v>16752</v>
      </c>
      <c r="AF149" s="343">
        <v>0</v>
      </c>
      <c r="AG149" s="343">
        <v>0</v>
      </c>
      <c r="AH149" s="343">
        <v>16752</v>
      </c>
      <c r="AI149" s="343">
        <v>1466.7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236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233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236</v>
      </c>
      <c r="W150" s="343" t="s">
        <v>160</v>
      </c>
      <c r="Y150" s="343" t="s">
        <v>140</v>
      </c>
      <c r="Z150" s="343" t="s">
        <v>143</v>
      </c>
      <c r="AA150" s="384">
        <v>46125</v>
      </c>
      <c r="AB150" s="384">
        <v>46131</v>
      </c>
      <c r="AC150" s="343" t="s">
        <v>106</v>
      </c>
      <c r="AD150" s="343">
        <v>9</v>
      </c>
      <c r="AE150" s="343">
        <v>4748.05</v>
      </c>
      <c r="AF150" s="343">
        <v>0</v>
      </c>
      <c r="AG150" s="343">
        <v>0</v>
      </c>
      <c r="AH150" s="343">
        <v>4748.05</v>
      </c>
      <c r="AI150" s="343">
        <v>0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244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234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244</v>
      </c>
      <c r="W151" s="343" t="s">
        <v>160</v>
      </c>
      <c r="Y151" s="343" t="s">
        <v>140</v>
      </c>
      <c r="Z151" s="343" t="s">
        <v>143</v>
      </c>
      <c r="AA151" s="384">
        <v>46125</v>
      </c>
      <c r="AB151" s="384">
        <v>46131</v>
      </c>
      <c r="AC151" s="343" t="s">
        <v>289</v>
      </c>
      <c r="AD151" s="343">
        <v>13</v>
      </c>
      <c r="AE151" s="343">
        <v>15360</v>
      </c>
      <c r="AF151" s="343">
        <v>0</v>
      </c>
      <c r="AG151" s="343">
        <v>0</v>
      </c>
      <c r="AH151" s="343">
        <v>15360</v>
      </c>
      <c r="AI151" s="343">
        <v>1382.4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233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235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232</v>
      </c>
      <c r="W152" s="343" t="s">
        <v>161</v>
      </c>
      <c r="Y152" s="343" t="s">
        <v>140</v>
      </c>
      <c r="Z152" s="343" t="s">
        <v>143</v>
      </c>
      <c r="AA152" s="384">
        <v>46125</v>
      </c>
      <c r="AB152" s="384">
        <v>46131</v>
      </c>
      <c r="AC152" s="343" t="s">
        <v>285</v>
      </c>
      <c r="AD152" s="343">
        <v>2767</v>
      </c>
      <c r="AE152" s="343">
        <v>110884</v>
      </c>
      <c r="AF152" s="343">
        <v>6029</v>
      </c>
      <c r="AG152" s="343">
        <v>0</v>
      </c>
      <c r="AH152" s="343">
        <v>116913</v>
      </c>
      <c r="AI152" s="343">
        <v>9979.56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234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236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234</v>
      </c>
      <c r="W153" s="343" t="s">
        <v>161</v>
      </c>
      <c r="Y153" s="343" t="s">
        <v>140</v>
      </c>
      <c r="Z153" s="343" t="s">
        <v>143</v>
      </c>
      <c r="AA153" s="384">
        <v>46125</v>
      </c>
      <c r="AB153" s="384">
        <v>46131</v>
      </c>
      <c r="AC153" s="343" t="s">
        <v>283</v>
      </c>
      <c r="AD153" s="343">
        <v>1528</v>
      </c>
      <c r="AE153" s="343">
        <v>14252.5</v>
      </c>
      <c r="AF153" s="343">
        <v>576</v>
      </c>
      <c r="AG153" s="343">
        <v>0</v>
      </c>
      <c r="AH153" s="343">
        <v>14828.5</v>
      </c>
      <c r="AI153" s="343">
        <v>1282.75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235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244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235</v>
      </c>
      <c r="W154" s="343" t="s">
        <v>161</v>
      </c>
      <c r="Y154" s="343" t="s">
        <v>140</v>
      </c>
      <c r="Z154" s="343" t="s">
        <v>143</v>
      </c>
      <c r="AA154" s="384">
        <v>46125</v>
      </c>
      <c r="AB154" s="384">
        <v>46131</v>
      </c>
      <c r="AC154" s="343" t="s">
        <v>281</v>
      </c>
      <c r="AD154" s="343">
        <v>3070</v>
      </c>
      <c r="AE154" s="343">
        <v>189680</v>
      </c>
      <c r="AF154" s="343">
        <v>4169</v>
      </c>
      <c r="AG154" s="343">
        <v>0</v>
      </c>
      <c r="AH154" s="343">
        <v>193849</v>
      </c>
      <c r="AI154" s="343">
        <v>17071.2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236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234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236</v>
      </c>
      <c r="W155" s="343" t="s">
        <v>161</v>
      </c>
      <c r="Y155" s="343" t="s">
        <v>140</v>
      </c>
      <c r="Z155" s="343" t="s">
        <v>143</v>
      </c>
      <c r="AA155" s="384">
        <v>46125</v>
      </c>
      <c r="AB155" s="384">
        <v>46131</v>
      </c>
      <c r="AC155" s="343" t="s">
        <v>279</v>
      </c>
      <c r="AD155" s="343">
        <v>178</v>
      </c>
      <c r="AE155" s="343">
        <v>2052</v>
      </c>
      <c r="AF155" s="343">
        <v>72</v>
      </c>
      <c r="AG155" s="343">
        <v>0</v>
      </c>
      <c r="AH155" s="343">
        <v>2124</v>
      </c>
      <c r="AI155" s="343">
        <v>184.68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244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235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244</v>
      </c>
      <c r="W156" s="343" t="s">
        <v>161</v>
      </c>
      <c r="Y156" s="343" t="s">
        <v>140</v>
      </c>
      <c r="Z156" s="343" t="s">
        <v>143</v>
      </c>
      <c r="AA156" s="384">
        <v>46125</v>
      </c>
      <c r="AB156" s="384">
        <v>46131</v>
      </c>
      <c r="AC156" s="343" t="s">
        <v>277</v>
      </c>
      <c r="AD156" s="343">
        <v>72</v>
      </c>
      <c r="AE156" s="343">
        <v>41842</v>
      </c>
      <c r="AF156" s="343">
        <v>119</v>
      </c>
      <c r="AG156" s="343">
        <v>0</v>
      </c>
      <c r="AH156" s="343">
        <v>41961</v>
      </c>
      <c r="AI156" s="343">
        <v>3765.78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233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236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234</v>
      </c>
      <c r="W157" s="343" t="s">
        <v>162</v>
      </c>
      <c r="Y157" s="343" t="s">
        <v>140</v>
      </c>
      <c r="Z157" s="343" t="s">
        <v>143</v>
      </c>
      <c r="AA157" s="384">
        <v>46125</v>
      </c>
      <c r="AB157" s="384">
        <v>46131</v>
      </c>
      <c r="AC157" s="343" t="s">
        <v>293</v>
      </c>
      <c r="AD157" s="343">
        <v>123</v>
      </c>
      <c r="AE157" s="343">
        <v>0</v>
      </c>
      <c r="AF157" s="343">
        <v>80</v>
      </c>
      <c r="AG157" s="343">
        <v>0</v>
      </c>
      <c r="AH157" s="343">
        <v>80</v>
      </c>
      <c r="AI157" s="343">
        <v>0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234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244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235</v>
      </c>
      <c r="W158" s="343" t="s">
        <v>162</v>
      </c>
      <c r="Y158" s="343" t="s">
        <v>140</v>
      </c>
      <c r="Z158" s="343" t="s">
        <v>143</v>
      </c>
      <c r="AA158" s="384">
        <v>46125</v>
      </c>
      <c r="AB158" s="384">
        <v>46131</v>
      </c>
      <c r="AC158" s="343" t="s">
        <v>287</v>
      </c>
      <c r="AD158" s="343">
        <v>524</v>
      </c>
      <c r="AE158" s="343">
        <v>9004</v>
      </c>
      <c r="AF158" s="343">
        <v>131</v>
      </c>
      <c r="AG158" s="343">
        <v>0</v>
      </c>
      <c r="AH158" s="343">
        <v>9135</v>
      </c>
      <c r="AI158" s="343">
        <v>810.36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235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234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236</v>
      </c>
      <c r="W159" s="343" t="s">
        <v>162</v>
      </c>
      <c r="Y159" s="343" t="s">
        <v>140</v>
      </c>
      <c r="Z159" s="343" t="s">
        <v>144</v>
      </c>
      <c r="AA159" s="384">
        <v>46132</v>
      </c>
      <c r="AB159" s="384">
        <v>46138</v>
      </c>
      <c r="AC159" s="343" t="s">
        <v>337</v>
      </c>
      <c r="AD159" s="343">
        <v>9</v>
      </c>
      <c r="AE159" s="343">
        <v>1061</v>
      </c>
      <c r="AF159" s="343">
        <v>0</v>
      </c>
      <c r="AG159" s="343">
        <v>0</v>
      </c>
      <c r="AH159" s="343">
        <v>1061</v>
      </c>
      <c r="AI159" s="343">
        <v>93.73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236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235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244</v>
      </c>
      <c r="W160" s="343" t="s">
        <v>162</v>
      </c>
      <c r="Y160" s="343" t="s">
        <v>140</v>
      </c>
      <c r="Z160" s="343" t="s">
        <v>144</v>
      </c>
      <c r="AA160" s="384">
        <v>46132</v>
      </c>
      <c r="AB160" s="384">
        <v>46138</v>
      </c>
      <c r="AC160" s="343" t="s">
        <v>106</v>
      </c>
      <c r="AD160" s="343">
        <v>9</v>
      </c>
      <c r="AE160" s="343">
        <v>1649.25</v>
      </c>
      <c r="AF160" s="343">
        <v>0</v>
      </c>
      <c r="AG160" s="343">
        <v>0</v>
      </c>
      <c r="AH160" s="343">
        <v>1649.25</v>
      </c>
      <c r="AI160" s="343">
        <v>0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244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236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233</v>
      </c>
      <c r="W161" s="343" t="s">
        <v>163</v>
      </c>
      <c r="Y161" s="343" t="s">
        <v>140</v>
      </c>
      <c r="Z161" s="343" t="s">
        <v>144</v>
      </c>
      <c r="AA161" s="384">
        <v>46132</v>
      </c>
      <c r="AB161" s="384">
        <v>46138</v>
      </c>
      <c r="AC161" s="343" t="s">
        <v>289</v>
      </c>
      <c r="AD161" s="343">
        <v>23</v>
      </c>
      <c r="AE161" s="343">
        <v>22775</v>
      </c>
      <c r="AF161" s="343">
        <v>0</v>
      </c>
      <c r="AG161" s="343">
        <v>0</v>
      </c>
      <c r="AH161" s="343">
        <v>22775</v>
      </c>
      <c r="AI161" s="343">
        <v>2049.75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233</v>
      </c>
      <c r="G162" s="343" t="s">
        <v>168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244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234</v>
      </c>
      <c r="W162" s="343" t="s">
        <v>163</v>
      </c>
      <c r="Y162" s="343" t="s">
        <v>140</v>
      </c>
      <c r="Z162" s="343" t="s">
        <v>144</v>
      </c>
      <c r="AA162" s="384">
        <v>46132</v>
      </c>
      <c r="AB162" s="384">
        <v>46138</v>
      </c>
      <c r="AC162" s="343" t="s">
        <v>285</v>
      </c>
      <c r="AD162" s="343">
        <v>2739</v>
      </c>
      <c r="AE162" s="343">
        <v>98508</v>
      </c>
      <c r="AF162" s="343">
        <v>6369</v>
      </c>
      <c r="AG162" s="343">
        <v>0</v>
      </c>
      <c r="AH162" s="343">
        <v>104877</v>
      </c>
      <c r="AI162" s="343">
        <v>8865.7199999999993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234</v>
      </c>
      <c r="G163" s="343" t="s">
        <v>168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234</v>
      </c>
      <c r="O163" s="343" t="s">
        <v>168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235</v>
      </c>
      <c r="W163" s="343" t="s">
        <v>163</v>
      </c>
      <c r="Y163" s="343" t="s">
        <v>140</v>
      </c>
      <c r="Z163" s="343" t="s">
        <v>144</v>
      </c>
      <c r="AA163" s="384">
        <v>46132</v>
      </c>
      <c r="AB163" s="384">
        <v>46138</v>
      </c>
      <c r="AC163" s="343" t="s">
        <v>283</v>
      </c>
      <c r="AD163" s="343">
        <v>1408</v>
      </c>
      <c r="AE163" s="343">
        <v>12152</v>
      </c>
      <c r="AF163" s="343">
        <v>752</v>
      </c>
      <c r="AG163" s="343">
        <v>0</v>
      </c>
      <c r="AH163" s="343">
        <v>12904</v>
      </c>
      <c r="AI163" s="343">
        <v>1093.68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235</v>
      </c>
      <c r="G164" s="343" t="s">
        <v>168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235</v>
      </c>
      <c r="O164" s="343" t="s">
        <v>168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236</v>
      </c>
      <c r="W164" s="343" t="s">
        <v>163</v>
      </c>
      <c r="Y164" s="343" t="s">
        <v>140</v>
      </c>
      <c r="Z164" s="343" t="s">
        <v>144</v>
      </c>
      <c r="AA164" s="384">
        <v>46132</v>
      </c>
      <c r="AB164" s="384">
        <v>46138</v>
      </c>
      <c r="AC164" s="343" t="s">
        <v>281</v>
      </c>
      <c r="AD164" s="343">
        <v>2522</v>
      </c>
      <c r="AE164" s="343">
        <v>157858</v>
      </c>
      <c r="AF164" s="343">
        <v>9272</v>
      </c>
      <c r="AG164" s="343">
        <v>0</v>
      </c>
      <c r="AH164" s="343">
        <v>167130</v>
      </c>
      <c r="AI164" s="343">
        <v>14207.22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236</v>
      </c>
      <c r="G165" s="343" t="s">
        <v>168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236</v>
      </c>
      <c r="O165" s="343" t="s">
        <v>168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244</v>
      </c>
      <c r="W165" s="343" t="s">
        <v>163</v>
      </c>
      <c r="Y165" s="343" t="s">
        <v>140</v>
      </c>
      <c r="Z165" s="343" t="s">
        <v>144</v>
      </c>
      <c r="AA165" s="384">
        <v>46132</v>
      </c>
      <c r="AB165" s="384">
        <v>46138</v>
      </c>
      <c r="AC165" s="343" t="s">
        <v>279</v>
      </c>
      <c r="AD165" s="343">
        <v>123</v>
      </c>
      <c r="AE165" s="343">
        <v>1453</v>
      </c>
      <c r="AF165" s="343">
        <v>39</v>
      </c>
      <c r="AG165" s="343">
        <v>0</v>
      </c>
      <c r="AH165" s="343">
        <v>1492</v>
      </c>
      <c r="AI165" s="343">
        <v>130.77000000000001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244</v>
      </c>
      <c r="G166" s="343" t="s">
        <v>168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244</v>
      </c>
      <c r="O166" s="343" t="s">
        <v>168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234</v>
      </c>
      <c r="W166" s="343" t="s">
        <v>166</v>
      </c>
      <c r="Y166" s="343" t="s">
        <v>140</v>
      </c>
      <c r="Z166" s="343" t="s">
        <v>144</v>
      </c>
      <c r="AA166" s="384">
        <v>46132</v>
      </c>
      <c r="AB166" s="384">
        <v>46138</v>
      </c>
      <c r="AC166" s="343" t="s">
        <v>277</v>
      </c>
      <c r="AD166" s="343">
        <v>103</v>
      </c>
      <c r="AE166" s="343">
        <v>43133</v>
      </c>
      <c r="AF166" s="343">
        <v>325</v>
      </c>
      <c r="AG166" s="343">
        <v>0</v>
      </c>
      <c r="AH166" s="343">
        <v>43458</v>
      </c>
      <c r="AI166" s="343">
        <v>3881.97</v>
      </c>
    </row>
    <row r="167" spans="1:35">
      <c r="A167" s="343">
        <v>20260818</v>
      </c>
      <c r="B167" s="343">
        <v>2145</v>
      </c>
      <c r="C167" s="343">
        <v>3</v>
      </c>
      <c r="D167" s="343">
        <v>6</v>
      </c>
      <c r="E167" s="384">
        <v>46252</v>
      </c>
      <c r="F167" s="343" t="s">
        <v>233</v>
      </c>
      <c r="G167" s="343" t="s">
        <v>169</v>
      </c>
      <c r="I167" s="343">
        <v>20260819</v>
      </c>
      <c r="J167" s="343">
        <v>4419</v>
      </c>
      <c r="K167" s="343">
        <v>41</v>
      </c>
      <c r="L167" s="343">
        <v>52</v>
      </c>
      <c r="M167" s="384">
        <v>46253</v>
      </c>
      <c r="N167" s="343" t="s">
        <v>234</v>
      </c>
      <c r="O167" s="343" t="s">
        <v>169</v>
      </c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235</v>
      </c>
      <c r="W167" s="343" t="s">
        <v>166</v>
      </c>
      <c r="Y167" s="343" t="s">
        <v>140</v>
      </c>
      <c r="Z167" s="343" t="s">
        <v>144</v>
      </c>
      <c r="AA167" s="384">
        <v>46132</v>
      </c>
      <c r="AB167" s="384">
        <v>46138</v>
      </c>
      <c r="AC167" s="343" t="s">
        <v>287</v>
      </c>
      <c r="AD167" s="343">
        <v>585</v>
      </c>
      <c r="AE167" s="343">
        <v>9622</v>
      </c>
      <c r="AF167" s="343">
        <v>158</v>
      </c>
      <c r="AG167" s="343">
        <v>0</v>
      </c>
      <c r="AH167" s="343">
        <v>9780</v>
      </c>
      <c r="AI167" s="343">
        <v>865.98</v>
      </c>
    </row>
    <row r="168" spans="1:35">
      <c r="A168" s="343">
        <v>20260819</v>
      </c>
      <c r="B168" s="343">
        <v>1642</v>
      </c>
      <c r="C168" s="343">
        <v>2</v>
      </c>
      <c r="D168" s="343">
        <v>4</v>
      </c>
      <c r="E168" s="384">
        <v>46253</v>
      </c>
      <c r="F168" s="343" t="s">
        <v>234</v>
      </c>
      <c r="G168" s="343" t="s">
        <v>169</v>
      </c>
      <c r="I168" s="343">
        <v>20260820</v>
      </c>
      <c r="J168" s="343">
        <v>9622</v>
      </c>
      <c r="K168" s="343">
        <v>68</v>
      </c>
      <c r="L168" s="343">
        <v>115</v>
      </c>
      <c r="M168" s="384">
        <v>46254</v>
      </c>
      <c r="N168" s="343" t="s">
        <v>235</v>
      </c>
      <c r="O168" s="343" t="s">
        <v>169</v>
      </c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236</v>
      </c>
      <c r="W168" s="343" t="s">
        <v>166</v>
      </c>
      <c r="Y168" s="343" t="s">
        <v>146</v>
      </c>
      <c r="Z168" s="343" t="s">
        <v>147</v>
      </c>
      <c r="AA168" s="384">
        <v>46139</v>
      </c>
      <c r="AB168" s="384">
        <v>46145</v>
      </c>
      <c r="AC168" s="343" t="s">
        <v>337</v>
      </c>
      <c r="AD168" s="343">
        <v>23</v>
      </c>
      <c r="AE168" s="343">
        <v>24216.66</v>
      </c>
      <c r="AF168" s="343">
        <v>0</v>
      </c>
      <c r="AG168" s="343">
        <v>0</v>
      </c>
      <c r="AH168" s="343">
        <v>24216.66</v>
      </c>
      <c r="AI168" s="343">
        <v>2137.79</v>
      </c>
    </row>
    <row r="169" spans="1:35">
      <c r="A169" s="343">
        <v>20260820</v>
      </c>
      <c r="B169" s="343">
        <v>651</v>
      </c>
      <c r="C169" s="343">
        <v>3</v>
      </c>
      <c r="D169" s="343">
        <v>4</v>
      </c>
      <c r="E169" s="384">
        <v>46254</v>
      </c>
      <c r="F169" s="343" t="s">
        <v>235</v>
      </c>
      <c r="G169" s="343" t="s">
        <v>169</v>
      </c>
      <c r="I169" s="343">
        <v>20260821</v>
      </c>
      <c r="J169" s="343">
        <v>13637</v>
      </c>
      <c r="K169" s="343">
        <v>56</v>
      </c>
      <c r="L169" s="343">
        <v>109</v>
      </c>
      <c r="M169" s="384">
        <v>46255</v>
      </c>
      <c r="N169" s="343" t="s">
        <v>236</v>
      </c>
      <c r="O169" s="343" t="s">
        <v>169</v>
      </c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244</v>
      </c>
      <c r="W169" s="343" t="s">
        <v>166</v>
      </c>
      <c r="Y169" s="343" t="s">
        <v>146</v>
      </c>
      <c r="Z169" s="343" t="s">
        <v>147</v>
      </c>
      <c r="AA169" s="384">
        <v>46139</v>
      </c>
      <c r="AB169" s="384">
        <v>46145</v>
      </c>
      <c r="AC169" s="343" t="s">
        <v>106</v>
      </c>
      <c r="AD169" s="343">
        <v>14</v>
      </c>
      <c r="AE169" s="343">
        <v>7521.53</v>
      </c>
      <c r="AF169" s="343">
        <v>0</v>
      </c>
      <c r="AG169" s="343">
        <v>0</v>
      </c>
      <c r="AH169" s="343">
        <v>7521.53</v>
      </c>
      <c r="AI169" s="343">
        <v>0</v>
      </c>
    </row>
    <row r="170" spans="1:35">
      <c r="A170" s="343">
        <v>20260821</v>
      </c>
      <c r="B170" s="343">
        <v>6386</v>
      </c>
      <c r="C170" s="343">
        <v>7</v>
      </c>
      <c r="D170" s="343">
        <v>17</v>
      </c>
      <c r="E170" s="384">
        <v>46255</v>
      </c>
      <c r="F170" s="343" t="s">
        <v>236</v>
      </c>
      <c r="G170" s="343" t="s">
        <v>169</v>
      </c>
      <c r="I170" s="343">
        <v>20260822</v>
      </c>
      <c r="J170" s="343">
        <v>15509</v>
      </c>
      <c r="K170" s="343">
        <v>88</v>
      </c>
      <c r="L170" s="343">
        <v>157</v>
      </c>
      <c r="M170" s="384">
        <v>46256</v>
      </c>
      <c r="N170" s="343" t="s">
        <v>244</v>
      </c>
      <c r="O170" s="343" t="s">
        <v>169</v>
      </c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233</v>
      </c>
      <c r="W170" s="343" t="s">
        <v>167</v>
      </c>
      <c r="Y170" s="343" t="s">
        <v>146</v>
      </c>
      <c r="Z170" s="343" t="s">
        <v>147</v>
      </c>
      <c r="AA170" s="384">
        <v>46139</v>
      </c>
      <c r="AB170" s="384">
        <v>46145</v>
      </c>
      <c r="AC170" s="343" t="s">
        <v>289</v>
      </c>
      <c r="AD170" s="343">
        <v>1</v>
      </c>
      <c r="AE170" s="343">
        <v>1005</v>
      </c>
      <c r="AF170" s="343">
        <v>0</v>
      </c>
      <c r="AG170" s="343">
        <v>0</v>
      </c>
      <c r="AH170" s="343">
        <v>1005</v>
      </c>
      <c r="AI170" s="343">
        <v>90.45</v>
      </c>
    </row>
    <row r="171" spans="1:35">
      <c r="A171" s="343">
        <v>20260822</v>
      </c>
      <c r="B171" s="343">
        <v>6699</v>
      </c>
      <c r="C171" s="343">
        <v>13</v>
      </c>
      <c r="D171" s="343">
        <v>24</v>
      </c>
      <c r="E171" s="384">
        <v>46256</v>
      </c>
      <c r="F171" s="343" t="s">
        <v>244</v>
      </c>
      <c r="G171" s="343" t="s">
        <v>169</v>
      </c>
      <c r="I171" s="343">
        <v>20260826</v>
      </c>
      <c r="J171" s="343">
        <v>2494</v>
      </c>
      <c r="K171" s="343">
        <v>36</v>
      </c>
      <c r="L171" s="343">
        <v>47</v>
      </c>
      <c r="M171" s="384">
        <v>46260</v>
      </c>
      <c r="N171" s="343" t="s">
        <v>234</v>
      </c>
      <c r="O171" s="343" t="s">
        <v>172</v>
      </c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234</v>
      </c>
      <c r="W171" s="343" t="s">
        <v>167</v>
      </c>
      <c r="Y171" s="343" t="s">
        <v>146</v>
      </c>
      <c r="Z171" s="343" t="s">
        <v>147</v>
      </c>
      <c r="AA171" s="384">
        <v>46139</v>
      </c>
      <c r="AB171" s="384">
        <v>46145</v>
      </c>
      <c r="AC171" s="343" t="s">
        <v>285</v>
      </c>
      <c r="AD171" s="343">
        <v>3621</v>
      </c>
      <c r="AE171" s="343">
        <v>202959.98</v>
      </c>
      <c r="AF171" s="343">
        <v>8725.2199999999993</v>
      </c>
      <c r="AG171" s="343">
        <v>0</v>
      </c>
      <c r="AH171" s="343">
        <v>211685.2</v>
      </c>
      <c r="AI171" s="343">
        <v>18266.43</v>
      </c>
    </row>
    <row r="172" spans="1:35">
      <c r="A172" s="343">
        <v>20260825</v>
      </c>
      <c r="B172" s="343">
        <v>6500.01</v>
      </c>
      <c r="C172" s="343">
        <v>15</v>
      </c>
      <c r="D172" s="343">
        <v>24</v>
      </c>
      <c r="E172" s="384">
        <v>46259</v>
      </c>
      <c r="F172" s="343" t="s">
        <v>233</v>
      </c>
      <c r="G172" s="343" t="s">
        <v>172</v>
      </c>
      <c r="I172" s="343">
        <v>20260827</v>
      </c>
      <c r="J172" s="343">
        <v>6175</v>
      </c>
      <c r="K172" s="343">
        <v>34</v>
      </c>
      <c r="L172" s="343">
        <v>54</v>
      </c>
      <c r="M172" s="384">
        <v>46261</v>
      </c>
      <c r="N172" s="343" t="s">
        <v>235</v>
      </c>
      <c r="O172" s="343" t="s">
        <v>172</v>
      </c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235</v>
      </c>
      <c r="W172" s="343" t="s">
        <v>167</v>
      </c>
      <c r="Y172" s="343" t="s">
        <v>146</v>
      </c>
      <c r="Z172" s="343" t="s">
        <v>147</v>
      </c>
      <c r="AA172" s="384">
        <v>46139</v>
      </c>
      <c r="AB172" s="384">
        <v>46145</v>
      </c>
      <c r="AC172" s="343" t="s">
        <v>283</v>
      </c>
      <c r="AD172" s="343">
        <v>2304</v>
      </c>
      <c r="AE172" s="343">
        <v>22214.93</v>
      </c>
      <c r="AF172" s="343">
        <v>1174.07</v>
      </c>
      <c r="AG172" s="343">
        <v>0</v>
      </c>
      <c r="AH172" s="343">
        <v>23389</v>
      </c>
      <c r="AI172" s="343">
        <v>1999.33</v>
      </c>
    </row>
    <row r="173" spans="1:35">
      <c r="A173" s="343">
        <v>20260826</v>
      </c>
      <c r="B173" s="343">
        <v>1281</v>
      </c>
      <c r="C173" s="343">
        <v>3</v>
      </c>
      <c r="D173" s="343">
        <v>4</v>
      </c>
      <c r="E173" s="384">
        <v>46260</v>
      </c>
      <c r="F173" s="343" t="s">
        <v>234</v>
      </c>
      <c r="G173" s="343" t="s">
        <v>172</v>
      </c>
      <c r="I173" s="343">
        <v>20260828</v>
      </c>
      <c r="J173" s="343">
        <v>18074</v>
      </c>
      <c r="K173" s="343">
        <v>93</v>
      </c>
      <c r="L173" s="343">
        <v>198</v>
      </c>
      <c r="M173" s="384">
        <v>46262</v>
      </c>
      <c r="N173" s="343" t="s">
        <v>236</v>
      </c>
      <c r="O173" s="343" t="s">
        <v>172</v>
      </c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236</v>
      </c>
      <c r="W173" s="343" t="s">
        <v>167</v>
      </c>
      <c r="Y173" s="343" t="s">
        <v>146</v>
      </c>
      <c r="Z173" s="343" t="s">
        <v>147</v>
      </c>
      <c r="AA173" s="384">
        <v>46139</v>
      </c>
      <c r="AB173" s="384">
        <v>46145</v>
      </c>
      <c r="AC173" s="343" t="s">
        <v>281</v>
      </c>
      <c r="AD173" s="343">
        <v>4284</v>
      </c>
      <c r="AE173" s="343">
        <v>370536.99</v>
      </c>
      <c r="AF173" s="343">
        <v>6763.71</v>
      </c>
      <c r="AG173" s="343">
        <v>0</v>
      </c>
      <c r="AH173" s="343">
        <v>377300.7</v>
      </c>
      <c r="AI173" s="343">
        <v>33348.379999999997</v>
      </c>
    </row>
    <row r="174" spans="1:35">
      <c r="A174" s="343">
        <v>20260827</v>
      </c>
      <c r="B174" s="343">
        <v>3374</v>
      </c>
      <c r="C174" s="343">
        <v>9</v>
      </c>
      <c r="D174" s="343">
        <v>16</v>
      </c>
      <c r="E174" s="384">
        <v>46261</v>
      </c>
      <c r="F174" s="343" t="s">
        <v>235</v>
      </c>
      <c r="G174" s="343" t="s">
        <v>172</v>
      </c>
      <c r="I174" s="343">
        <v>20260829</v>
      </c>
      <c r="J174" s="343">
        <v>14064</v>
      </c>
      <c r="K174" s="343">
        <v>90</v>
      </c>
      <c r="L174" s="343">
        <v>243</v>
      </c>
      <c r="M174" s="384">
        <v>46263</v>
      </c>
      <c r="N174" s="343" t="s">
        <v>244</v>
      </c>
      <c r="O174" s="343" t="s">
        <v>172</v>
      </c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244</v>
      </c>
      <c r="W174" s="343" t="s">
        <v>167</v>
      </c>
      <c r="Y174" s="343" t="s">
        <v>146</v>
      </c>
      <c r="Z174" s="343" t="s">
        <v>147</v>
      </c>
      <c r="AA174" s="384">
        <v>46139</v>
      </c>
      <c r="AB174" s="384">
        <v>46145</v>
      </c>
      <c r="AC174" s="343" t="s">
        <v>279</v>
      </c>
      <c r="AD174" s="343">
        <v>203</v>
      </c>
      <c r="AE174" s="343">
        <v>2514</v>
      </c>
      <c r="AF174" s="343">
        <v>194</v>
      </c>
      <c r="AG174" s="343">
        <v>0</v>
      </c>
      <c r="AH174" s="343">
        <v>2708</v>
      </c>
      <c r="AI174" s="343">
        <v>226.26</v>
      </c>
    </row>
    <row r="175" spans="1:35">
      <c r="A175" s="343">
        <v>20260828</v>
      </c>
      <c r="B175" s="343">
        <v>6030</v>
      </c>
      <c r="C175" s="343">
        <v>8</v>
      </c>
      <c r="D175" s="343">
        <v>18</v>
      </c>
      <c r="E175" s="384">
        <v>46262</v>
      </c>
      <c r="F175" s="343" t="s">
        <v>236</v>
      </c>
      <c r="G175" s="343" t="s">
        <v>172</v>
      </c>
      <c r="I175" s="343">
        <v>20260902</v>
      </c>
      <c r="J175" s="343">
        <v>4314</v>
      </c>
      <c r="K175" s="343">
        <v>48</v>
      </c>
      <c r="L175" s="343">
        <v>62</v>
      </c>
      <c r="M175" s="384">
        <v>46267</v>
      </c>
      <c r="N175" s="343" t="s">
        <v>234</v>
      </c>
      <c r="O175" s="343" t="s">
        <v>101</v>
      </c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233</v>
      </c>
      <c r="W175" s="343" t="s">
        <v>168</v>
      </c>
      <c r="Y175" s="343" t="s">
        <v>146</v>
      </c>
      <c r="Z175" s="343" t="s">
        <v>147</v>
      </c>
      <c r="AA175" s="384">
        <v>46139</v>
      </c>
      <c r="AB175" s="384">
        <v>46145</v>
      </c>
      <c r="AC175" s="343" t="s">
        <v>277</v>
      </c>
      <c r="AD175" s="343">
        <v>146</v>
      </c>
      <c r="AE175" s="343">
        <v>128685</v>
      </c>
      <c r="AF175" s="343">
        <v>1355</v>
      </c>
      <c r="AG175" s="343">
        <v>0</v>
      </c>
      <c r="AH175" s="343">
        <v>130040</v>
      </c>
      <c r="AI175" s="343">
        <v>11581.65</v>
      </c>
    </row>
    <row r="176" spans="1:35">
      <c r="A176" s="343">
        <v>20260829</v>
      </c>
      <c r="B176" s="343">
        <v>6841</v>
      </c>
      <c r="C176" s="343">
        <v>9</v>
      </c>
      <c r="D176" s="343">
        <v>22</v>
      </c>
      <c r="E176" s="384">
        <v>46263</v>
      </c>
      <c r="F176" s="343" t="s">
        <v>244</v>
      </c>
      <c r="G176" s="343" t="s">
        <v>172</v>
      </c>
      <c r="I176" s="343">
        <v>20260903</v>
      </c>
      <c r="J176" s="343">
        <v>3800</v>
      </c>
      <c r="K176" s="343">
        <v>18</v>
      </c>
      <c r="L176" s="343">
        <v>37</v>
      </c>
      <c r="M176" s="384">
        <v>46268</v>
      </c>
      <c r="N176" s="343" t="s">
        <v>235</v>
      </c>
      <c r="O176" s="343" t="s">
        <v>101</v>
      </c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234</v>
      </c>
      <c r="W176" s="343" t="s">
        <v>168</v>
      </c>
      <c r="Y176" s="343" t="s">
        <v>146</v>
      </c>
      <c r="Z176" s="343" t="s">
        <v>147</v>
      </c>
      <c r="AA176" s="384">
        <v>46139</v>
      </c>
      <c r="AB176" s="384">
        <v>46145</v>
      </c>
      <c r="AC176" s="343" t="s">
        <v>293</v>
      </c>
      <c r="AD176" s="343">
        <v>68</v>
      </c>
      <c r="AE176" s="343">
        <v>27190</v>
      </c>
      <c r="AF176" s="343">
        <v>655</v>
      </c>
      <c r="AG176" s="343">
        <v>0</v>
      </c>
      <c r="AH176" s="343">
        <v>27845</v>
      </c>
      <c r="AI176" s="343">
        <v>2447.1</v>
      </c>
    </row>
    <row r="177" spans="1:35">
      <c r="A177" s="343">
        <v>20260901</v>
      </c>
      <c r="B177" s="343">
        <v>1979</v>
      </c>
      <c r="C177" s="343">
        <v>3</v>
      </c>
      <c r="D177" s="343">
        <v>6</v>
      </c>
      <c r="E177" s="384">
        <v>46266</v>
      </c>
      <c r="F177" s="343" t="s">
        <v>233</v>
      </c>
      <c r="G177" s="343" t="s">
        <v>101</v>
      </c>
      <c r="I177" s="343">
        <v>20260904</v>
      </c>
      <c r="J177" s="343">
        <v>23867.599999999999</v>
      </c>
      <c r="K177" s="343">
        <v>126</v>
      </c>
      <c r="L177" s="343">
        <v>201</v>
      </c>
      <c r="M177" s="384">
        <v>46269</v>
      </c>
      <c r="N177" s="343" t="s">
        <v>236</v>
      </c>
      <c r="O177" s="343" t="s">
        <v>101</v>
      </c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235</v>
      </c>
      <c r="W177" s="343" t="s">
        <v>168</v>
      </c>
      <c r="Y177" s="343" t="s">
        <v>146</v>
      </c>
      <c r="Z177" s="343" t="s">
        <v>147</v>
      </c>
      <c r="AA177" s="384">
        <v>46139</v>
      </c>
      <c r="AB177" s="384">
        <v>46145</v>
      </c>
      <c r="AC177" s="343" t="s">
        <v>287</v>
      </c>
      <c r="AD177" s="343">
        <v>589</v>
      </c>
      <c r="AE177" s="343">
        <v>11514</v>
      </c>
      <c r="AF177" s="343">
        <v>1230</v>
      </c>
      <c r="AG177" s="343">
        <v>0</v>
      </c>
      <c r="AH177" s="343">
        <v>12744</v>
      </c>
      <c r="AI177" s="343">
        <v>1036.26</v>
      </c>
    </row>
    <row r="178" spans="1:35">
      <c r="A178" s="343">
        <v>20260902</v>
      </c>
      <c r="B178" s="343">
        <v>2492</v>
      </c>
      <c r="C178" s="343">
        <v>4</v>
      </c>
      <c r="D178" s="343">
        <v>7</v>
      </c>
      <c r="E178" s="384">
        <v>46267</v>
      </c>
      <c r="F178" s="343" t="s">
        <v>234</v>
      </c>
      <c r="G178" s="343" t="s">
        <v>101</v>
      </c>
      <c r="I178" s="343">
        <v>20260905</v>
      </c>
      <c r="J178" s="343">
        <v>15017.6</v>
      </c>
      <c r="K178" s="343">
        <v>101</v>
      </c>
      <c r="L178" s="343">
        <v>205</v>
      </c>
      <c r="M178" s="384">
        <v>46270</v>
      </c>
      <c r="N178" s="343" t="s">
        <v>244</v>
      </c>
      <c r="O178" s="343" t="s">
        <v>101</v>
      </c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236</v>
      </c>
      <c r="W178" s="343" t="s">
        <v>168</v>
      </c>
      <c r="Y178" s="343" t="s">
        <v>146</v>
      </c>
      <c r="Z178" s="343" t="s">
        <v>148</v>
      </c>
      <c r="AA178" s="384">
        <v>46146</v>
      </c>
      <c r="AB178" s="384">
        <v>46152</v>
      </c>
      <c r="AC178" s="343" t="s">
        <v>337</v>
      </c>
      <c r="AD178" s="343">
        <v>18</v>
      </c>
      <c r="AE178" s="343">
        <v>8126.33</v>
      </c>
      <c r="AF178" s="343">
        <v>0</v>
      </c>
      <c r="AG178" s="343">
        <v>0</v>
      </c>
      <c r="AH178" s="343">
        <v>8126.33</v>
      </c>
      <c r="AI178" s="343">
        <v>661.5</v>
      </c>
    </row>
    <row r="179" spans="1:35">
      <c r="A179" s="343">
        <v>20260903</v>
      </c>
      <c r="B179" s="343">
        <v>1171</v>
      </c>
      <c r="C179" s="343">
        <v>2</v>
      </c>
      <c r="D179" s="343">
        <v>4</v>
      </c>
      <c r="E179" s="384">
        <v>46268</v>
      </c>
      <c r="F179" s="343" t="s">
        <v>235</v>
      </c>
      <c r="G179" s="343" t="s">
        <v>101</v>
      </c>
      <c r="I179" s="343">
        <v>20260906</v>
      </c>
      <c r="J179" s="343">
        <v>9656</v>
      </c>
      <c r="K179" s="343">
        <v>44</v>
      </c>
      <c r="L179" s="343">
        <v>103</v>
      </c>
      <c r="M179" s="384">
        <v>46271</v>
      </c>
      <c r="N179" s="343" t="s">
        <v>245</v>
      </c>
      <c r="O179" s="343" t="s">
        <v>101</v>
      </c>
      <c r="Q179" s="343">
        <v>20260815</v>
      </c>
      <c r="S179" s="343">
        <v>169</v>
      </c>
      <c r="T179" s="343">
        <v>280</v>
      </c>
      <c r="U179" s="384">
        <v>46249</v>
      </c>
      <c r="V179" s="343" t="s">
        <v>244</v>
      </c>
      <c r="W179" s="343" t="s">
        <v>168</v>
      </c>
      <c r="Y179" s="343" t="s">
        <v>146</v>
      </c>
      <c r="Z179" s="343" t="s">
        <v>148</v>
      </c>
      <c r="AA179" s="384">
        <v>46146</v>
      </c>
      <c r="AB179" s="384">
        <v>46152</v>
      </c>
      <c r="AC179" s="343" t="s">
        <v>293</v>
      </c>
      <c r="AD179" s="343">
        <v>887</v>
      </c>
      <c r="AE179" s="343">
        <v>38610</v>
      </c>
      <c r="AF179" s="343">
        <v>0</v>
      </c>
      <c r="AG179" s="343">
        <v>0</v>
      </c>
      <c r="AH179" s="343">
        <v>38610</v>
      </c>
      <c r="AI179" s="343">
        <v>3474.9</v>
      </c>
    </row>
    <row r="180" spans="1:35">
      <c r="A180" s="343">
        <v>20260904</v>
      </c>
      <c r="B180" s="343">
        <v>9810.5</v>
      </c>
      <c r="C180" s="343">
        <v>8</v>
      </c>
      <c r="D180" s="343">
        <v>26</v>
      </c>
      <c r="E180" s="384">
        <v>46269</v>
      </c>
      <c r="F180" s="343" t="s">
        <v>236</v>
      </c>
      <c r="G180" s="343" t="s">
        <v>101</v>
      </c>
      <c r="Q180" s="343">
        <v>20260819</v>
      </c>
      <c r="R180" s="343">
        <v>5029</v>
      </c>
      <c r="S180" s="343">
        <v>34</v>
      </c>
      <c r="T180" s="343">
        <v>70</v>
      </c>
      <c r="U180" s="384">
        <v>46253</v>
      </c>
      <c r="V180" s="343" t="s">
        <v>234</v>
      </c>
      <c r="W180" s="343" t="s">
        <v>169</v>
      </c>
      <c r="Y180" s="343" t="s">
        <v>146</v>
      </c>
      <c r="Z180" s="343" t="s">
        <v>148</v>
      </c>
      <c r="AA180" s="384">
        <v>46146</v>
      </c>
      <c r="AB180" s="384">
        <v>46152</v>
      </c>
      <c r="AC180" s="343" t="s">
        <v>106</v>
      </c>
      <c r="AD180" s="343">
        <v>11</v>
      </c>
      <c r="AE180" s="343">
        <v>11912.47</v>
      </c>
      <c r="AF180" s="343">
        <v>0</v>
      </c>
      <c r="AG180" s="343">
        <v>0</v>
      </c>
      <c r="AH180" s="343">
        <v>11912.47</v>
      </c>
      <c r="AI180" s="343">
        <v>0</v>
      </c>
    </row>
    <row r="181" spans="1:35">
      <c r="A181" s="343">
        <v>20260905</v>
      </c>
      <c r="B181" s="343">
        <v>7020</v>
      </c>
      <c r="C181" s="343">
        <v>10</v>
      </c>
      <c r="D181" s="343">
        <v>19</v>
      </c>
      <c r="E181" s="384">
        <v>46270</v>
      </c>
      <c r="F181" s="343" t="s">
        <v>244</v>
      </c>
      <c r="G181" s="343" t="s">
        <v>101</v>
      </c>
      <c r="Q181" s="343">
        <v>20260820</v>
      </c>
      <c r="R181" s="343">
        <v>50760</v>
      </c>
      <c r="S181" s="343">
        <v>213</v>
      </c>
      <c r="T181" s="343">
        <v>395</v>
      </c>
      <c r="U181" s="384">
        <v>46254</v>
      </c>
      <c r="V181" s="343" t="s">
        <v>235</v>
      </c>
      <c r="W181" s="343" t="s">
        <v>169</v>
      </c>
      <c r="Y181" s="343" t="s">
        <v>146</v>
      </c>
      <c r="Z181" s="343" t="s">
        <v>148</v>
      </c>
      <c r="AA181" s="384">
        <v>46146</v>
      </c>
      <c r="AB181" s="384">
        <v>46152</v>
      </c>
      <c r="AC181" s="343" t="s">
        <v>289</v>
      </c>
      <c r="AD181" s="343">
        <v>15</v>
      </c>
      <c r="AE181" s="343">
        <v>20760</v>
      </c>
      <c r="AF181" s="343">
        <v>0</v>
      </c>
      <c r="AG181" s="343">
        <v>0</v>
      </c>
      <c r="AH181" s="343">
        <v>20760</v>
      </c>
      <c r="AI181" s="343">
        <v>1868.4</v>
      </c>
    </row>
    <row r="182" spans="1:35">
      <c r="Q182" s="343">
        <v>20260821</v>
      </c>
      <c r="R182" s="343">
        <v>30264.75</v>
      </c>
      <c r="S182" s="343">
        <v>174</v>
      </c>
      <c r="T182" s="343">
        <v>294</v>
      </c>
      <c r="U182" s="384">
        <v>46255</v>
      </c>
      <c r="V182" s="343" t="s">
        <v>236</v>
      </c>
      <c r="W182" s="343" t="s">
        <v>169</v>
      </c>
      <c r="Y182" s="343" t="s">
        <v>146</v>
      </c>
      <c r="Z182" s="343" t="s">
        <v>148</v>
      </c>
      <c r="AA182" s="384">
        <v>46146</v>
      </c>
      <c r="AB182" s="384">
        <v>46152</v>
      </c>
      <c r="AC182" s="343" t="s">
        <v>285</v>
      </c>
      <c r="AD182" s="343">
        <v>4473</v>
      </c>
      <c r="AE182" s="343">
        <v>186564.01</v>
      </c>
      <c r="AF182" s="343">
        <v>3062</v>
      </c>
      <c r="AG182" s="343">
        <v>0</v>
      </c>
      <c r="AH182" s="343">
        <v>189626.01</v>
      </c>
      <c r="AI182" s="343">
        <v>16790.759999999998</v>
      </c>
    </row>
    <row r="183" spans="1:35">
      <c r="Q183" s="343">
        <v>20260822</v>
      </c>
      <c r="R183" s="343">
        <v>44975</v>
      </c>
      <c r="S183" s="343">
        <v>181</v>
      </c>
      <c r="T183" s="343">
        <v>388</v>
      </c>
      <c r="U183" s="384">
        <v>46256</v>
      </c>
      <c r="V183" s="343" t="s">
        <v>244</v>
      </c>
      <c r="W183" s="343" t="s">
        <v>169</v>
      </c>
      <c r="Y183" s="343" t="s">
        <v>146</v>
      </c>
      <c r="Z183" s="343" t="s">
        <v>148</v>
      </c>
      <c r="AA183" s="384">
        <v>46146</v>
      </c>
      <c r="AB183" s="384">
        <v>46152</v>
      </c>
      <c r="AC183" s="343" t="s">
        <v>283</v>
      </c>
      <c r="AD183" s="343">
        <v>1709</v>
      </c>
      <c r="AE183" s="343">
        <v>16130</v>
      </c>
      <c r="AF183" s="343">
        <v>398</v>
      </c>
      <c r="AG183" s="343">
        <v>0</v>
      </c>
      <c r="AH183" s="343">
        <v>16528</v>
      </c>
      <c r="AI183" s="343">
        <v>1451.7</v>
      </c>
    </row>
    <row r="184" spans="1:35">
      <c r="Q184" s="343">
        <v>20260826</v>
      </c>
      <c r="R184" s="343">
        <v>7291</v>
      </c>
      <c r="S184" s="343">
        <v>35</v>
      </c>
      <c r="T184" s="343">
        <v>57</v>
      </c>
      <c r="U184" s="384">
        <v>46260</v>
      </c>
      <c r="V184" s="343" t="s">
        <v>234</v>
      </c>
      <c r="W184" s="343" t="s">
        <v>172</v>
      </c>
      <c r="Y184" s="343" t="s">
        <v>146</v>
      </c>
      <c r="Z184" s="343" t="s">
        <v>148</v>
      </c>
      <c r="AA184" s="384">
        <v>46146</v>
      </c>
      <c r="AB184" s="384">
        <v>46152</v>
      </c>
      <c r="AC184" s="343" t="s">
        <v>281</v>
      </c>
      <c r="AD184" s="343">
        <v>3859</v>
      </c>
      <c r="AE184" s="343">
        <v>193520</v>
      </c>
      <c r="AF184" s="343">
        <v>3228</v>
      </c>
      <c r="AG184" s="343">
        <v>0</v>
      </c>
      <c r="AH184" s="343">
        <v>196748</v>
      </c>
      <c r="AI184" s="343">
        <v>17416.810000000001</v>
      </c>
    </row>
    <row r="185" spans="1:35">
      <c r="Q185" s="343">
        <v>20260827</v>
      </c>
      <c r="R185" s="343">
        <v>42093.5</v>
      </c>
      <c r="S185" s="343">
        <v>166</v>
      </c>
      <c r="T185" s="343">
        <v>326</v>
      </c>
      <c r="U185" s="384">
        <v>46261</v>
      </c>
      <c r="V185" s="343" t="s">
        <v>235</v>
      </c>
      <c r="W185" s="343" t="s">
        <v>172</v>
      </c>
      <c r="Y185" s="343" t="s">
        <v>146</v>
      </c>
      <c r="Z185" s="343" t="s">
        <v>148</v>
      </c>
      <c r="AA185" s="384">
        <v>46146</v>
      </c>
      <c r="AB185" s="384">
        <v>46152</v>
      </c>
      <c r="AC185" s="343" t="s">
        <v>279</v>
      </c>
      <c r="AD185" s="343">
        <v>264</v>
      </c>
      <c r="AE185" s="343">
        <v>3010</v>
      </c>
      <c r="AF185" s="343">
        <v>75</v>
      </c>
      <c r="AG185" s="343">
        <v>0</v>
      </c>
      <c r="AH185" s="343">
        <v>3085</v>
      </c>
      <c r="AI185" s="343">
        <v>270.89999999999998</v>
      </c>
    </row>
    <row r="186" spans="1:35">
      <c r="Q186" s="343">
        <v>20260828</v>
      </c>
      <c r="R186" s="343">
        <v>64517</v>
      </c>
      <c r="S186" s="343">
        <v>257</v>
      </c>
      <c r="T186" s="343">
        <v>441</v>
      </c>
      <c r="U186" s="384">
        <v>46262</v>
      </c>
      <c r="V186" s="343" t="s">
        <v>236</v>
      </c>
      <c r="W186" s="343" t="s">
        <v>172</v>
      </c>
      <c r="Y186" s="343" t="s">
        <v>146</v>
      </c>
      <c r="Z186" s="343" t="s">
        <v>148</v>
      </c>
      <c r="AA186" s="384">
        <v>46146</v>
      </c>
      <c r="AB186" s="384">
        <v>46152</v>
      </c>
      <c r="AC186" s="343" t="s">
        <v>277</v>
      </c>
      <c r="AD186" s="343">
        <v>73</v>
      </c>
      <c r="AE186" s="343">
        <v>35130</v>
      </c>
      <c r="AF186" s="343">
        <v>150</v>
      </c>
      <c r="AG186" s="343">
        <v>0</v>
      </c>
      <c r="AH186" s="343">
        <v>35280</v>
      </c>
      <c r="AI186" s="343">
        <v>3161.7</v>
      </c>
    </row>
    <row r="187" spans="1:35">
      <c r="Q187" s="343">
        <v>20260829</v>
      </c>
      <c r="R187" s="343">
        <v>55152</v>
      </c>
      <c r="S187" s="343">
        <v>196</v>
      </c>
      <c r="T187" s="343">
        <v>323</v>
      </c>
      <c r="U187" s="384">
        <v>46263</v>
      </c>
      <c r="V187" s="343" t="s">
        <v>244</v>
      </c>
      <c r="W187" s="343" t="s">
        <v>172</v>
      </c>
      <c r="Y187" s="343" t="s">
        <v>146</v>
      </c>
      <c r="Z187" s="343" t="s">
        <v>148</v>
      </c>
      <c r="AA187" s="384">
        <v>46146</v>
      </c>
      <c r="AB187" s="384">
        <v>46152</v>
      </c>
      <c r="AC187" s="343" t="s">
        <v>287</v>
      </c>
      <c r="AD187" s="343">
        <v>553</v>
      </c>
      <c r="AE187" s="343">
        <v>11476</v>
      </c>
      <c r="AF187" s="343">
        <v>256</v>
      </c>
      <c r="AG187" s="343">
        <v>0</v>
      </c>
      <c r="AH187" s="343">
        <v>11732</v>
      </c>
      <c r="AI187" s="343">
        <v>1032.8399999999999</v>
      </c>
    </row>
    <row r="188" spans="1:35">
      <c r="Q188" s="343">
        <v>20260901</v>
      </c>
      <c r="R188" s="343">
        <v>0</v>
      </c>
      <c r="S188" s="343">
        <v>26</v>
      </c>
      <c r="T188" s="343">
        <v>26</v>
      </c>
      <c r="U188" s="384">
        <v>46266</v>
      </c>
      <c r="V188" s="343" t="s">
        <v>233</v>
      </c>
      <c r="W188" s="343" t="s">
        <v>101</v>
      </c>
      <c r="Y188" s="343" t="s">
        <v>146</v>
      </c>
      <c r="Z188" s="343" t="s">
        <v>149</v>
      </c>
      <c r="AA188" s="384">
        <v>46153</v>
      </c>
      <c r="AB188" s="384">
        <v>46159</v>
      </c>
      <c r="AC188" s="343" t="s">
        <v>106</v>
      </c>
      <c r="AD188" s="343">
        <v>5</v>
      </c>
      <c r="AE188" s="343">
        <v>3039.55</v>
      </c>
      <c r="AF188" s="343">
        <v>0</v>
      </c>
      <c r="AG188" s="343">
        <v>0</v>
      </c>
      <c r="AH188" s="343">
        <v>3039.55</v>
      </c>
      <c r="AI188" s="343">
        <v>0</v>
      </c>
    </row>
    <row r="189" spans="1:35">
      <c r="Q189" s="343">
        <v>20260902</v>
      </c>
      <c r="R189" s="343">
        <v>4239</v>
      </c>
      <c r="S189" s="343">
        <v>26</v>
      </c>
      <c r="T189" s="343">
        <v>38</v>
      </c>
      <c r="U189" s="384">
        <v>46267</v>
      </c>
      <c r="V189" s="343" t="s">
        <v>234</v>
      </c>
      <c r="W189" s="343" t="s">
        <v>101</v>
      </c>
      <c r="Y189" s="343" t="s">
        <v>146</v>
      </c>
      <c r="Z189" s="343" t="s">
        <v>149</v>
      </c>
      <c r="AA189" s="384">
        <v>46153</v>
      </c>
      <c r="AB189" s="384">
        <v>46159</v>
      </c>
      <c r="AC189" s="343" t="s">
        <v>289</v>
      </c>
      <c r="AD189" s="343">
        <v>9</v>
      </c>
      <c r="AE189" s="343">
        <v>7880</v>
      </c>
      <c r="AF189" s="343">
        <v>0</v>
      </c>
      <c r="AG189" s="343">
        <v>0</v>
      </c>
      <c r="AH189" s="343">
        <v>7880</v>
      </c>
      <c r="AI189" s="343">
        <v>709.2</v>
      </c>
    </row>
    <row r="190" spans="1:35">
      <c r="Q190" s="343">
        <v>20260903</v>
      </c>
      <c r="R190" s="343">
        <v>22833</v>
      </c>
      <c r="S190" s="343">
        <v>95</v>
      </c>
      <c r="T190" s="343">
        <v>185</v>
      </c>
      <c r="U190" s="384">
        <v>46268</v>
      </c>
      <c r="V190" s="343" t="s">
        <v>235</v>
      </c>
      <c r="W190" s="343" t="s">
        <v>101</v>
      </c>
      <c r="Y190" s="343" t="s">
        <v>146</v>
      </c>
      <c r="Z190" s="343" t="s">
        <v>149</v>
      </c>
      <c r="AA190" s="384">
        <v>46153</v>
      </c>
      <c r="AB190" s="384">
        <v>46159</v>
      </c>
      <c r="AC190" s="343" t="s">
        <v>285</v>
      </c>
      <c r="AD190" s="343">
        <v>2515</v>
      </c>
      <c r="AE190" s="343">
        <v>84475</v>
      </c>
      <c r="AF190" s="343">
        <v>4685</v>
      </c>
      <c r="AG190" s="343">
        <v>0</v>
      </c>
      <c r="AH190" s="343">
        <v>89160</v>
      </c>
      <c r="AI190" s="343">
        <v>7602.75</v>
      </c>
    </row>
    <row r="191" spans="1:35">
      <c r="Q191" s="343">
        <v>20260904</v>
      </c>
      <c r="R191" s="343">
        <v>82879.05</v>
      </c>
      <c r="S191" s="343">
        <v>235</v>
      </c>
      <c r="T191" s="343">
        <v>372</v>
      </c>
      <c r="U191" s="384">
        <v>46269</v>
      </c>
      <c r="V191" s="343" t="s">
        <v>236</v>
      </c>
      <c r="W191" s="343" t="s">
        <v>101</v>
      </c>
      <c r="Y191" s="343" t="s">
        <v>146</v>
      </c>
      <c r="Z191" s="343" t="s">
        <v>149</v>
      </c>
      <c r="AA191" s="384">
        <v>46153</v>
      </c>
      <c r="AB191" s="384">
        <v>46159</v>
      </c>
      <c r="AC191" s="343" t="s">
        <v>283</v>
      </c>
      <c r="AD191" s="343">
        <v>1284</v>
      </c>
      <c r="AE191" s="343">
        <v>11493</v>
      </c>
      <c r="AF191" s="343">
        <v>448</v>
      </c>
      <c r="AG191" s="343">
        <v>0</v>
      </c>
      <c r="AH191" s="343">
        <v>11941</v>
      </c>
      <c r="AI191" s="343">
        <v>1034.3699999999999</v>
      </c>
    </row>
    <row r="192" spans="1:35">
      <c r="Q192" s="343">
        <v>20260905</v>
      </c>
      <c r="R192" s="343">
        <v>71677.3</v>
      </c>
      <c r="S192" s="343">
        <v>240</v>
      </c>
      <c r="T192" s="343">
        <v>450</v>
      </c>
      <c r="U192" s="384">
        <v>46270</v>
      </c>
      <c r="V192" s="343" t="s">
        <v>244</v>
      </c>
      <c r="W192" s="343" t="s">
        <v>101</v>
      </c>
      <c r="Y192" s="343" t="s">
        <v>146</v>
      </c>
      <c r="Z192" s="343" t="s">
        <v>149</v>
      </c>
      <c r="AA192" s="384">
        <v>46153</v>
      </c>
      <c r="AB192" s="384">
        <v>46159</v>
      </c>
      <c r="AC192" s="343" t="s">
        <v>281</v>
      </c>
      <c r="AD192" s="343">
        <v>2406</v>
      </c>
      <c r="AE192" s="343">
        <v>166715</v>
      </c>
      <c r="AF192" s="343">
        <v>7404</v>
      </c>
      <c r="AG192" s="343">
        <v>0</v>
      </c>
      <c r="AH192" s="343">
        <v>174119</v>
      </c>
      <c r="AI192" s="343">
        <v>15004.35</v>
      </c>
    </row>
    <row r="193" spans="17:35">
      <c r="Q193" s="343">
        <v>20260906</v>
      </c>
      <c r="R193" s="343">
        <v>29328</v>
      </c>
      <c r="S193" s="343">
        <v>146</v>
      </c>
      <c r="T193" s="343">
        <v>256</v>
      </c>
      <c r="U193" s="384">
        <v>46271</v>
      </c>
      <c r="V193" s="343" t="s">
        <v>245</v>
      </c>
      <c r="W193" s="343" t="s">
        <v>101</v>
      </c>
      <c r="Y193" s="343" t="s">
        <v>146</v>
      </c>
      <c r="Z193" s="343" t="s">
        <v>149</v>
      </c>
      <c r="AA193" s="384">
        <v>46153</v>
      </c>
      <c r="AB193" s="384">
        <v>46159</v>
      </c>
      <c r="AC193" s="343" t="s">
        <v>279</v>
      </c>
      <c r="AD193" s="343">
        <v>135</v>
      </c>
      <c r="AE193" s="343">
        <v>1504</v>
      </c>
      <c r="AF193" s="343">
        <v>40</v>
      </c>
      <c r="AG193" s="343">
        <v>0</v>
      </c>
      <c r="AH193" s="343">
        <v>1544</v>
      </c>
      <c r="AI193" s="343">
        <v>135.36000000000001</v>
      </c>
    </row>
    <row r="194" spans="17:35">
      <c r="Y194" s="343" t="s">
        <v>146</v>
      </c>
      <c r="Z194" s="343" t="s">
        <v>149</v>
      </c>
      <c r="AA194" s="384">
        <v>46153</v>
      </c>
      <c r="AB194" s="384">
        <v>46159</v>
      </c>
      <c r="AC194" s="343" t="s">
        <v>277</v>
      </c>
      <c r="AD194" s="343">
        <v>73</v>
      </c>
      <c r="AE194" s="343">
        <v>40402</v>
      </c>
      <c r="AF194" s="343">
        <v>225</v>
      </c>
      <c r="AG194" s="343">
        <v>0</v>
      </c>
      <c r="AH194" s="343">
        <v>40627</v>
      </c>
      <c r="AI194" s="343">
        <v>3636.18</v>
      </c>
    </row>
    <row r="195" spans="17:35">
      <c r="Y195" s="343" t="s">
        <v>146</v>
      </c>
      <c r="Z195" s="343" t="s">
        <v>149</v>
      </c>
      <c r="AA195" s="384">
        <v>46153</v>
      </c>
      <c r="AB195" s="384">
        <v>46159</v>
      </c>
      <c r="AC195" s="343" t="s">
        <v>337</v>
      </c>
      <c r="AD195" s="343">
        <v>10</v>
      </c>
      <c r="AE195" s="343">
        <v>7184.59</v>
      </c>
      <c r="AF195" s="343">
        <v>500</v>
      </c>
      <c r="AG195" s="343">
        <v>0</v>
      </c>
      <c r="AH195" s="343">
        <v>7684.59</v>
      </c>
      <c r="AI195" s="343">
        <v>646.01</v>
      </c>
    </row>
    <row r="196" spans="17:35">
      <c r="Y196" s="343" t="s">
        <v>146</v>
      </c>
      <c r="Z196" s="343" t="s">
        <v>149</v>
      </c>
      <c r="AA196" s="384">
        <v>46153</v>
      </c>
      <c r="AB196" s="384">
        <v>46159</v>
      </c>
      <c r="AC196" s="343" t="s">
        <v>293</v>
      </c>
      <c r="AD196" s="343">
        <v>32</v>
      </c>
      <c r="AE196" s="343">
        <v>5950</v>
      </c>
      <c r="AF196" s="343">
        <v>80</v>
      </c>
      <c r="AG196" s="343">
        <v>0</v>
      </c>
      <c r="AH196" s="343">
        <v>6030</v>
      </c>
      <c r="AI196" s="343">
        <v>535.5</v>
      </c>
    </row>
    <row r="197" spans="17:35">
      <c r="Y197" s="343" t="s">
        <v>146</v>
      </c>
      <c r="Z197" s="343" t="s">
        <v>149</v>
      </c>
      <c r="AA197" s="384">
        <v>46153</v>
      </c>
      <c r="AB197" s="384">
        <v>46159</v>
      </c>
      <c r="AC197" s="343" t="s">
        <v>287</v>
      </c>
      <c r="AD197" s="343">
        <v>419</v>
      </c>
      <c r="AE197" s="343">
        <v>7224</v>
      </c>
      <c r="AF197" s="343">
        <v>144</v>
      </c>
      <c r="AG197" s="343">
        <v>0</v>
      </c>
      <c r="AH197" s="343">
        <v>7368</v>
      </c>
      <c r="AI197" s="343">
        <v>650.16</v>
      </c>
    </row>
    <row r="198" spans="17:35">
      <c r="Y198" s="343" t="s">
        <v>146</v>
      </c>
      <c r="Z198" s="343" t="s">
        <v>150</v>
      </c>
      <c r="AA198" s="384">
        <v>46160</v>
      </c>
      <c r="AB198" s="384">
        <v>46166</v>
      </c>
      <c r="AC198" s="343" t="s">
        <v>337</v>
      </c>
      <c r="AD198" s="343">
        <v>13</v>
      </c>
      <c r="AE198" s="343">
        <v>4372.01</v>
      </c>
      <c r="AF198" s="343">
        <v>0</v>
      </c>
      <c r="AG198" s="343">
        <v>0</v>
      </c>
      <c r="AH198" s="343">
        <v>4372.01</v>
      </c>
      <c r="AI198" s="343">
        <v>393.48</v>
      </c>
    </row>
    <row r="199" spans="17:35">
      <c r="Y199" s="343" t="s">
        <v>146</v>
      </c>
      <c r="Z199" s="343" t="s">
        <v>150</v>
      </c>
      <c r="AA199" s="384">
        <v>46160</v>
      </c>
      <c r="AB199" s="384">
        <v>46166</v>
      </c>
      <c r="AC199" s="343" t="s">
        <v>106</v>
      </c>
      <c r="AD199" s="343">
        <v>5</v>
      </c>
      <c r="AE199" s="343">
        <v>807.8</v>
      </c>
      <c r="AF199" s="343">
        <v>0</v>
      </c>
      <c r="AG199" s="343">
        <v>0</v>
      </c>
      <c r="AH199" s="343">
        <v>807.8</v>
      </c>
      <c r="AI199" s="343">
        <v>0</v>
      </c>
    </row>
    <row r="200" spans="17:35">
      <c r="Y200" s="343" t="s">
        <v>146</v>
      </c>
      <c r="Z200" s="343" t="s">
        <v>150</v>
      </c>
      <c r="AA200" s="384">
        <v>46160</v>
      </c>
      <c r="AB200" s="384">
        <v>46166</v>
      </c>
      <c r="AC200" s="343" t="s">
        <v>289</v>
      </c>
      <c r="AD200" s="343">
        <v>16</v>
      </c>
      <c r="AE200" s="343">
        <v>12660</v>
      </c>
      <c r="AF200" s="343">
        <v>0</v>
      </c>
      <c r="AG200" s="343">
        <v>0</v>
      </c>
      <c r="AH200" s="343">
        <v>12660</v>
      </c>
      <c r="AI200" s="343">
        <v>1139.4000000000001</v>
      </c>
    </row>
    <row r="201" spans="17:35">
      <c r="Y201" s="343" t="s">
        <v>146</v>
      </c>
      <c r="Z201" s="343" t="s">
        <v>150</v>
      </c>
      <c r="AA201" s="384">
        <v>46160</v>
      </c>
      <c r="AB201" s="384">
        <v>46166</v>
      </c>
      <c r="AC201" s="343" t="s">
        <v>285</v>
      </c>
      <c r="AD201" s="343">
        <v>3031</v>
      </c>
      <c r="AE201" s="343">
        <v>97653</v>
      </c>
      <c r="AF201" s="343">
        <v>7243</v>
      </c>
      <c r="AG201" s="343">
        <v>0</v>
      </c>
      <c r="AH201" s="343">
        <v>104896</v>
      </c>
      <c r="AI201" s="343">
        <v>8788.77</v>
      </c>
    </row>
    <row r="202" spans="17:35">
      <c r="Y202" s="343" t="s">
        <v>146</v>
      </c>
      <c r="Z202" s="343" t="s">
        <v>150</v>
      </c>
      <c r="AA202" s="384">
        <v>46160</v>
      </c>
      <c r="AB202" s="384">
        <v>46166</v>
      </c>
      <c r="AC202" s="343" t="s">
        <v>283</v>
      </c>
      <c r="AD202" s="343">
        <v>1424</v>
      </c>
      <c r="AE202" s="343">
        <v>12560</v>
      </c>
      <c r="AF202" s="343">
        <v>820</v>
      </c>
      <c r="AG202" s="343">
        <v>0</v>
      </c>
      <c r="AH202" s="343">
        <v>13380</v>
      </c>
      <c r="AI202" s="343">
        <v>1130.4000000000001</v>
      </c>
    </row>
    <row r="203" spans="17:35">
      <c r="Y203" s="343" t="s">
        <v>146</v>
      </c>
      <c r="Z203" s="343" t="s">
        <v>150</v>
      </c>
      <c r="AA203" s="384">
        <v>46160</v>
      </c>
      <c r="AB203" s="384">
        <v>46166</v>
      </c>
      <c r="AC203" s="343" t="s">
        <v>281</v>
      </c>
      <c r="AD203" s="343">
        <v>2780</v>
      </c>
      <c r="AE203" s="343">
        <v>163417.01</v>
      </c>
      <c r="AF203" s="343">
        <v>7580</v>
      </c>
      <c r="AG203" s="343">
        <v>0</v>
      </c>
      <c r="AH203" s="343">
        <v>170997.01</v>
      </c>
      <c r="AI203" s="343">
        <v>14707.53</v>
      </c>
    </row>
    <row r="204" spans="17:35">
      <c r="Y204" s="343" t="s">
        <v>146</v>
      </c>
      <c r="Z204" s="343" t="s">
        <v>150</v>
      </c>
      <c r="AA204" s="384">
        <v>46160</v>
      </c>
      <c r="AB204" s="384">
        <v>46166</v>
      </c>
      <c r="AC204" s="343" t="s">
        <v>279</v>
      </c>
      <c r="AD204" s="343">
        <v>142</v>
      </c>
      <c r="AE204" s="343">
        <v>1548</v>
      </c>
      <c r="AF204" s="343">
        <v>84</v>
      </c>
      <c r="AG204" s="343">
        <v>0</v>
      </c>
      <c r="AH204" s="343">
        <v>1632</v>
      </c>
      <c r="AI204" s="343">
        <v>139.32</v>
      </c>
    </row>
    <row r="205" spans="17:35">
      <c r="Y205" s="343" t="s">
        <v>146</v>
      </c>
      <c r="Z205" s="343" t="s">
        <v>150</v>
      </c>
      <c r="AA205" s="384">
        <v>46160</v>
      </c>
      <c r="AB205" s="384">
        <v>46166</v>
      </c>
      <c r="AC205" s="343" t="s">
        <v>277</v>
      </c>
      <c r="AD205" s="343">
        <v>57</v>
      </c>
      <c r="AE205" s="343">
        <v>52450</v>
      </c>
      <c r="AF205" s="343">
        <v>930</v>
      </c>
      <c r="AG205" s="343">
        <v>0</v>
      </c>
      <c r="AH205" s="343">
        <v>53380</v>
      </c>
      <c r="AI205" s="343">
        <v>4720.5</v>
      </c>
    </row>
    <row r="206" spans="17:35">
      <c r="Y206" s="343" t="s">
        <v>146</v>
      </c>
      <c r="Z206" s="343" t="s">
        <v>150</v>
      </c>
      <c r="AA206" s="384">
        <v>46160</v>
      </c>
      <c r="AB206" s="384">
        <v>46166</v>
      </c>
      <c r="AC206" s="343" t="s">
        <v>293</v>
      </c>
      <c r="AD206" s="343">
        <v>54</v>
      </c>
      <c r="AE206" s="343">
        <v>13940</v>
      </c>
      <c r="AF206" s="343">
        <v>320</v>
      </c>
      <c r="AG206" s="343">
        <v>0</v>
      </c>
      <c r="AH206" s="343">
        <v>14260</v>
      </c>
      <c r="AI206" s="343">
        <v>1254.5999999999999</v>
      </c>
    </row>
    <row r="207" spans="17:35">
      <c r="Y207" s="343" t="s">
        <v>146</v>
      </c>
      <c r="Z207" s="343" t="s">
        <v>150</v>
      </c>
      <c r="AA207" s="384">
        <v>46160</v>
      </c>
      <c r="AB207" s="384">
        <v>46166</v>
      </c>
      <c r="AC207" s="343" t="s">
        <v>287</v>
      </c>
      <c r="AD207" s="343">
        <v>537</v>
      </c>
      <c r="AE207" s="343">
        <v>9046</v>
      </c>
      <c r="AF207" s="343">
        <v>261</v>
      </c>
      <c r="AG207" s="343">
        <v>0</v>
      </c>
      <c r="AH207" s="343">
        <v>9307</v>
      </c>
      <c r="AI207" s="343">
        <v>814.14</v>
      </c>
    </row>
    <row r="208" spans="17:35">
      <c r="Y208" s="343" t="s">
        <v>152</v>
      </c>
      <c r="Z208" s="343" t="s">
        <v>153</v>
      </c>
      <c r="AA208" s="384">
        <v>46167</v>
      </c>
      <c r="AB208" s="384">
        <v>46173</v>
      </c>
      <c r="AC208" s="343" t="s">
        <v>337</v>
      </c>
      <c r="AD208" s="343">
        <v>8</v>
      </c>
      <c r="AE208" s="343">
        <v>1345</v>
      </c>
      <c r="AF208" s="343">
        <v>0</v>
      </c>
      <c r="AG208" s="343">
        <v>0</v>
      </c>
      <c r="AH208" s="343">
        <v>1345</v>
      </c>
      <c r="AI208" s="343">
        <v>121.05</v>
      </c>
    </row>
    <row r="209" spans="25:35">
      <c r="Y209" s="343" t="s">
        <v>152</v>
      </c>
      <c r="Z209" s="343" t="s">
        <v>153</v>
      </c>
      <c r="AA209" s="384">
        <v>46167</v>
      </c>
      <c r="AB209" s="384">
        <v>46173</v>
      </c>
      <c r="AC209" s="343" t="s">
        <v>106</v>
      </c>
      <c r="AD209" s="343">
        <v>4</v>
      </c>
      <c r="AE209" s="343">
        <v>3671.55</v>
      </c>
      <c r="AF209" s="343">
        <v>0</v>
      </c>
      <c r="AG209" s="343">
        <v>0</v>
      </c>
      <c r="AH209" s="343">
        <v>3671.55</v>
      </c>
      <c r="AI209" s="343">
        <v>0</v>
      </c>
    </row>
    <row r="210" spans="25:35">
      <c r="Y210" s="343" t="s">
        <v>152</v>
      </c>
      <c r="Z210" s="343" t="s">
        <v>153</v>
      </c>
      <c r="AA210" s="384">
        <v>46167</v>
      </c>
      <c r="AB210" s="384">
        <v>46173</v>
      </c>
      <c r="AC210" s="343" t="s">
        <v>289</v>
      </c>
      <c r="AD210" s="343">
        <v>12</v>
      </c>
      <c r="AE210" s="343">
        <v>20215</v>
      </c>
      <c r="AF210" s="343">
        <v>0</v>
      </c>
      <c r="AG210" s="343">
        <v>0</v>
      </c>
      <c r="AH210" s="343">
        <v>20215</v>
      </c>
      <c r="AI210" s="343">
        <v>1819.35</v>
      </c>
    </row>
    <row r="211" spans="25:35">
      <c r="Y211" s="343" t="s">
        <v>152</v>
      </c>
      <c r="Z211" s="343" t="s">
        <v>153</v>
      </c>
      <c r="AA211" s="384">
        <v>46167</v>
      </c>
      <c r="AB211" s="384">
        <v>46173</v>
      </c>
      <c r="AC211" s="343" t="s">
        <v>285</v>
      </c>
      <c r="AD211" s="343">
        <v>5506</v>
      </c>
      <c r="AE211" s="343">
        <v>102576</v>
      </c>
      <c r="AF211" s="343">
        <v>7026</v>
      </c>
      <c r="AG211" s="343">
        <v>0</v>
      </c>
      <c r="AH211" s="343">
        <v>109602</v>
      </c>
      <c r="AI211" s="343">
        <v>9231.84</v>
      </c>
    </row>
    <row r="212" spans="25:35">
      <c r="Y212" s="343" t="s">
        <v>152</v>
      </c>
      <c r="Z212" s="343" t="s">
        <v>153</v>
      </c>
      <c r="AA212" s="384">
        <v>46167</v>
      </c>
      <c r="AB212" s="384">
        <v>46173</v>
      </c>
      <c r="AC212" s="343" t="s">
        <v>283</v>
      </c>
      <c r="AD212" s="343">
        <v>1311</v>
      </c>
      <c r="AE212" s="343">
        <v>12647</v>
      </c>
      <c r="AF212" s="343">
        <v>572</v>
      </c>
      <c r="AG212" s="343">
        <v>0</v>
      </c>
      <c r="AH212" s="343">
        <v>13219</v>
      </c>
      <c r="AI212" s="343">
        <v>1138.23</v>
      </c>
    </row>
    <row r="213" spans="25:35"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281</v>
      </c>
      <c r="AD213" s="343">
        <v>2865</v>
      </c>
      <c r="AE213" s="343">
        <v>179208</v>
      </c>
      <c r="AF213" s="343">
        <v>7595</v>
      </c>
      <c r="AG213" s="343">
        <v>0</v>
      </c>
      <c r="AH213" s="343">
        <v>186803</v>
      </c>
      <c r="AI213" s="343">
        <v>16128.73</v>
      </c>
    </row>
    <row r="214" spans="25:35"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279</v>
      </c>
      <c r="AD214" s="343">
        <v>142</v>
      </c>
      <c r="AE214" s="343">
        <v>1632</v>
      </c>
      <c r="AF214" s="343">
        <v>36</v>
      </c>
      <c r="AG214" s="343">
        <v>0</v>
      </c>
      <c r="AH214" s="343">
        <v>1668</v>
      </c>
      <c r="AI214" s="343">
        <v>146.88</v>
      </c>
    </row>
    <row r="215" spans="25:35"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277</v>
      </c>
      <c r="AD215" s="343">
        <v>47</v>
      </c>
      <c r="AE215" s="343">
        <v>36086</v>
      </c>
      <c r="AF215" s="343">
        <v>75</v>
      </c>
      <c r="AG215" s="343">
        <v>0</v>
      </c>
      <c r="AH215" s="343">
        <v>36161</v>
      </c>
      <c r="AI215" s="343">
        <v>3247.74</v>
      </c>
    </row>
    <row r="216" spans="25:35"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293</v>
      </c>
      <c r="AD216" s="343">
        <v>39</v>
      </c>
      <c r="AE216" s="343">
        <v>10335</v>
      </c>
      <c r="AF216" s="343">
        <v>125</v>
      </c>
      <c r="AG216" s="343">
        <v>0</v>
      </c>
      <c r="AH216" s="343">
        <v>10460</v>
      </c>
      <c r="AI216" s="343">
        <v>930.15</v>
      </c>
    </row>
    <row r="217" spans="25:35">
      <c r="Y217" s="343" t="s">
        <v>152</v>
      </c>
      <c r="Z217" s="343" t="s">
        <v>153</v>
      </c>
      <c r="AA217" s="384">
        <v>46167</v>
      </c>
      <c r="AB217" s="384">
        <v>46173</v>
      </c>
      <c r="AC217" s="343" t="s">
        <v>287</v>
      </c>
      <c r="AD217" s="343">
        <v>349</v>
      </c>
      <c r="AE217" s="343">
        <v>6900</v>
      </c>
      <c r="AF217" s="343">
        <v>205</v>
      </c>
      <c r="AG217" s="343">
        <v>0</v>
      </c>
      <c r="AH217" s="343">
        <v>7105</v>
      </c>
      <c r="AI217" s="343">
        <v>621</v>
      </c>
    </row>
    <row r="218" spans="25:35"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337</v>
      </c>
      <c r="AD218" s="343">
        <v>6</v>
      </c>
      <c r="AE218" s="343">
        <v>557</v>
      </c>
      <c r="AF218" s="343">
        <v>0</v>
      </c>
      <c r="AG218" s="343">
        <v>0</v>
      </c>
      <c r="AH218" s="343">
        <v>557</v>
      </c>
      <c r="AI218" s="343">
        <v>50.13</v>
      </c>
    </row>
    <row r="219" spans="25:35"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106</v>
      </c>
      <c r="AD219" s="343">
        <v>4</v>
      </c>
      <c r="AE219" s="343">
        <v>432.25</v>
      </c>
      <c r="AF219" s="343">
        <v>0</v>
      </c>
      <c r="AG219" s="343">
        <v>0</v>
      </c>
      <c r="AH219" s="343">
        <v>432.25</v>
      </c>
      <c r="AI219" s="343">
        <v>0</v>
      </c>
    </row>
    <row r="220" spans="25:35"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289</v>
      </c>
      <c r="AD220" s="343">
        <v>7</v>
      </c>
      <c r="AE220" s="343">
        <v>7165</v>
      </c>
      <c r="AF220" s="343">
        <v>0</v>
      </c>
      <c r="AG220" s="343">
        <v>0</v>
      </c>
      <c r="AH220" s="343">
        <v>7165</v>
      </c>
      <c r="AI220" s="343">
        <v>644.85</v>
      </c>
    </row>
    <row r="221" spans="25:35"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285</v>
      </c>
      <c r="AD221" s="343">
        <v>2467</v>
      </c>
      <c r="AE221" s="343">
        <v>79005</v>
      </c>
      <c r="AF221" s="343">
        <v>4881</v>
      </c>
      <c r="AG221" s="343">
        <v>0</v>
      </c>
      <c r="AH221" s="343">
        <v>83886</v>
      </c>
      <c r="AI221" s="343">
        <v>7110.45</v>
      </c>
    </row>
    <row r="222" spans="25:35">
      <c r="Y222" s="343" t="s">
        <v>152</v>
      </c>
      <c r="Z222" s="343" t="s">
        <v>154</v>
      </c>
      <c r="AA222" s="384">
        <v>46174</v>
      </c>
      <c r="AB222" s="384">
        <v>46180</v>
      </c>
      <c r="AC222" s="343" t="s">
        <v>283</v>
      </c>
      <c r="AD222" s="343">
        <v>932</v>
      </c>
      <c r="AE222" s="343">
        <v>7640</v>
      </c>
      <c r="AF222" s="343">
        <v>438</v>
      </c>
      <c r="AG222" s="343">
        <v>0</v>
      </c>
      <c r="AH222" s="343">
        <v>8078</v>
      </c>
      <c r="AI222" s="343">
        <v>687.61</v>
      </c>
    </row>
    <row r="223" spans="25:35">
      <c r="Y223" s="343" t="s">
        <v>152</v>
      </c>
      <c r="Z223" s="343" t="s">
        <v>154</v>
      </c>
      <c r="AA223" s="384">
        <v>46174</v>
      </c>
      <c r="AB223" s="384">
        <v>46180</v>
      </c>
      <c r="AC223" s="343" t="s">
        <v>281</v>
      </c>
      <c r="AD223" s="343">
        <v>1991</v>
      </c>
      <c r="AE223" s="343">
        <v>88958</v>
      </c>
      <c r="AF223" s="343">
        <v>3945</v>
      </c>
      <c r="AG223" s="343">
        <v>0</v>
      </c>
      <c r="AH223" s="343">
        <v>92903</v>
      </c>
      <c r="AI223" s="343">
        <v>8006.22</v>
      </c>
    </row>
    <row r="224" spans="25:35">
      <c r="Y224" s="343" t="s">
        <v>152</v>
      </c>
      <c r="Z224" s="343" t="s">
        <v>154</v>
      </c>
      <c r="AA224" s="384">
        <v>46174</v>
      </c>
      <c r="AB224" s="384">
        <v>46180</v>
      </c>
      <c r="AC224" s="343" t="s">
        <v>279</v>
      </c>
      <c r="AD224" s="343">
        <v>78</v>
      </c>
      <c r="AE224" s="343">
        <v>909</v>
      </c>
      <c r="AF224" s="343">
        <v>48</v>
      </c>
      <c r="AG224" s="343">
        <v>0</v>
      </c>
      <c r="AH224" s="343">
        <v>957</v>
      </c>
      <c r="AI224" s="343">
        <v>81.81</v>
      </c>
    </row>
    <row r="225" spans="25:35">
      <c r="Y225" s="343" t="s">
        <v>152</v>
      </c>
      <c r="Z225" s="343" t="s">
        <v>154</v>
      </c>
      <c r="AA225" s="384">
        <v>46174</v>
      </c>
      <c r="AB225" s="384">
        <v>46180</v>
      </c>
      <c r="AC225" s="343" t="s">
        <v>277</v>
      </c>
      <c r="AD225" s="343">
        <v>38</v>
      </c>
      <c r="AE225" s="343">
        <v>15182</v>
      </c>
      <c r="AF225" s="343">
        <v>75</v>
      </c>
      <c r="AG225" s="343">
        <v>0</v>
      </c>
      <c r="AH225" s="343">
        <v>15257</v>
      </c>
      <c r="AI225" s="343">
        <v>1366.38</v>
      </c>
    </row>
    <row r="226" spans="25:35">
      <c r="Y226" s="343" t="s">
        <v>152</v>
      </c>
      <c r="Z226" s="343" t="s">
        <v>154</v>
      </c>
      <c r="AA226" s="384">
        <v>46174</v>
      </c>
      <c r="AB226" s="384">
        <v>46180</v>
      </c>
      <c r="AC226" s="343" t="s">
        <v>293</v>
      </c>
      <c r="AD226" s="343">
        <v>34</v>
      </c>
      <c r="AE226" s="343">
        <v>6015</v>
      </c>
      <c r="AF226" s="343">
        <v>450</v>
      </c>
      <c r="AG226" s="343">
        <v>0</v>
      </c>
      <c r="AH226" s="343">
        <v>6465</v>
      </c>
      <c r="AI226" s="343">
        <v>541.35</v>
      </c>
    </row>
    <row r="227" spans="25:35">
      <c r="Y227" s="343" t="s">
        <v>152</v>
      </c>
      <c r="Z227" s="343" t="s">
        <v>154</v>
      </c>
      <c r="AA227" s="384">
        <v>46174</v>
      </c>
      <c r="AB227" s="384">
        <v>46180</v>
      </c>
      <c r="AC227" s="343" t="s">
        <v>287</v>
      </c>
      <c r="AD227" s="343">
        <v>292</v>
      </c>
      <c r="AE227" s="343">
        <v>6018</v>
      </c>
      <c r="AF227" s="343">
        <v>252</v>
      </c>
      <c r="AG227" s="343">
        <v>0</v>
      </c>
      <c r="AH227" s="343">
        <v>6270</v>
      </c>
      <c r="AI227" s="343">
        <v>541.62</v>
      </c>
    </row>
    <row r="228" spans="25:35">
      <c r="Y228" s="343" t="s">
        <v>152</v>
      </c>
      <c r="Z228" s="343" t="s">
        <v>155</v>
      </c>
      <c r="AA228" s="384">
        <v>46181</v>
      </c>
      <c r="AB228" s="384">
        <v>46187</v>
      </c>
      <c r="AC228" s="343" t="s">
        <v>337</v>
      </c>
      <c r="AD228" s="343">
        <v>6</v>
      </c>
      <c r="AE228" s="343">
        <v>1246</v>
      </c>
      <c r="AF228" s="343">
        <v>0</v>
      </c>
      <c r="AG228" s="343">
        <v>0</v>
      </c>
      <c r="AH228" s="343">
        <v>1246</v>
      </c>
      <c r="AI228" s="343">
        <v>112.14</v>
      </c>
    </row>
    <row r="229" spans="25:35">
      <c r="Y229" s="343" t="s">
        <v>152</v>
      </c>
      <c r="Z229" s="343" t="s">
        <v>155</v>
      </c>
      <c r="AA229" s="384">
        <v>46181</v>
      </c>
      <c r="AB229" s="384">
        <v>46187</v>
      </c>
      <c r="AC229" s="343" t="s">
        <v>293</v>
      </c>
      <c r="AD229" s="343">
        <v>17</v>
      </c>
      <c r="AE229" s="343">
        <v>3460</v>
      </c>
      <c r="AF229" s="343">
        <v>0</v>
      </c>
      <c r="AG229" s="343">
        <v>0</v>
      </c>
      <c r="AH229" s="343">
        <v>3460</v>
      </c>
      <c r="AI229" s="343">
        <v>311.39999999999998</v>
      </c>
    </row>
    <row r="230" spans="25:35">
      <c r="Y230" s="343" t="s">
        <v>152</v>
      </c>
      <c r="Z230" s="343" t="s">
        <v>155</v>
      </c>
      <c r="AA230" s="384">
        <v>46181</v>
      </c>
      <c r="AB230" s="384">
        <v>46187</v>
      </c>
      <c r="AC230" s="343" t="s">
        <v>106</v>
      </c>
      <c r="AD230" s="343">
        <v>1</v>
      </c>
      <c r="AE230" s="343">
        <v>187.75</v>
      </c>
      <c r="AF230" s="343">
        <v>0</v>
      </c>
      <c r="AG230" s="343">
        <v>0</v>
      </c>
      <c r="AH230" s="343">
        <v>187.75</v>
      </c>
      <c r="AI230" s="343">
        <v>0</v>
      </c>
    </row>
    <row r="231" spans="25:35">
      <c r="Y231" s="343" t="s">
        <v>152</v>
      </c>
      <c r="Z231" s="343" t="s">
        <v>155</v>
      </c>
      <c r="AA231" s="384">
        <v>46181</v>
      </c>
      <c r="AB231" s="384">
        <v>46187</v>
      </c>
      <c r="AC231" s="343" t="s">
        <v>289</v>
      </c>
      <c r="AD231" s="343">
        <v>7</v>
      </c>
      <c r="AE231" s="343">
        <v>10115</v>
      </c>
      <c r="AF231" s="343">
        <v>0</v>
      </c>
      <c r="AG231" s="343">
        <v>0</v>
      </c>
      <c r="AH231" s="343">
        <v>10115</v>
      </c>
      <c r="AI231" s="343">
        <v>910.35</v>
      </c>
    </row>
    <row r="232" spans="25:35">
      <c r="Y232" s="343" t="s">
        <v>152</v>
      </c>
      <c r="Z232" s="343" t="s">
        <v>155</v>
      </c>
      <c r="AA232" s="384">
        <v>46181</v>
      </c>
      <c r="AB232" s="384">
        <v>46187</v>
      </c>
      <c r="AC232" s="343" t="s">
        <v>285</v>
      </c>
      <c r="AD232" s="343">
        <v>1595</v>
      </c>
      <c r="AE232" s="343">
        <v>53662</v>
      </c>
      <c r="AF232" s="343">
        <v>4854</v>
      </c>
      <c r="AG232" s="343">
        <v>0</v>
      </c>
      <c r="AH232" s="343">
        <v>58516</v>
      </c>
      <c r="AI232" s="343">
        <v>4829.58</v>
      </c>
    </row>
    <row r="233" spans="25:35">
      <c r="Y233" s="343" t="s">
        <v>152</v>
      </c>
      <c r="Z233" s="343" t="s">
        <v>155</v>
      </c>
      <c r="AA233" s="384">
        <v>46181</v>
      </c>
      <c r="AB233" s="384">
        <v>46187</v>
      </c>
      <c r="AC233" s="343" t="s">
        <v>283</v>
      </c>
      <c r="AD233" s="343">
        <v>863</v>
      </c>
      <c r="AE233" s="343">
        <v>7710</v>
      </c>
      <c r="AF233" s="343">
        <v>365</v>
      </c>
      <c r="AG233" s="343">
        <v>0</v>
      </c>
      <c r="AH233" s="343">
        <v>8075</v>
      </c>
      <c r="AI233" s="343">
        <v>693.9</v>
      </c>
    </row>
    <row r="234" spans="25:35">
      <c r="Y234" s="343" t="s">
        <v>152</v>
      </c>
      <c r="Z234" s="343" t="s">
        <v>155</v>
      </c>
      <c r="AA234" s="384">
        <v>46181</v>
      </c>
      <c r="AB234" s="384">
        <v>46187</v>
      </c>
      <c r="AC234" s="343" t="s">
        <v>281</v>
      </c>
      <c r="AD234" s="343">
        <v>1512</v>
      </c>
      <c r="AE234" s="343">
        <v>89174</v>
      </c>
      <c r="AF234" s="343">
        <v>3699</v>
      </c>
      <c r="AG234" s="343">
        <v>0</v>
      </c>
      <c r="AH234" s="343">
        <v>92873</v>
      </c>
      <c r="AI234" s="343">
        <v>8025.66</v>
      </c>
    </row>
    <row r="235" spans="25:35">
      <c r="Y235" s="343" t="s">
        <v>152</v>
      </c>
      <c r="Z235" s="343" t="s">
        <v>155</v>
      </c>
      <c r="AA235" s="384">
        <v>46181</v>
      </c>
      <c r="AB235" s="384">
        <v>46187</v>
      </c>
      <c r="AC235" s="343" t="s">
        <v>279</v>
      </c>
      <c r="AD235" s="343">
        <v>54</v>
      </c>
      <c r="AE235" s="343">
        <v>522</v>
      </c>
      <c r="AF235" s="343">
        <v>100</v>
      </c>
      <c r="AG235" s="343">
        <v>0</v>
      </c>
      <c r="AH235" s="343">
        <v>622</v>
      </c>
      <c r="AI235" s="343">
        <v>46.98</v>
      </c>
    </row>
    <row r="236" spans="25:35">
      <c r="Y236" s="343" t="s">
        <v>152</v>
      </c>
      <c r="Z236" s="343" t="s">
        <v>155</v>
      </c>
      <c r="AA236" s="384">
        <v>46181</v>
      </c>
      <c r="AB236" s="384">
        <v>46187</v>
      </c>
      <c r="AC236" s="343" t="s">
        <v>277</v>
      </c>
      <c r="AD236" s="343">
        <v>27</v>
      </c>
      <c r="AE236" s="343">
        <v>16205</v>
      </c>
      <c r="AF236" s="343">
        <v>150</v>
      </c>
      <c r="AG236" s="343">
        <v>0</v>
      </c>
      <c r="AH236" s="343">
        <v>16355</v>
      </c>
      <c r="AI236" s="343">
        <v>1458.45</v>
      </c>
    </row>
    <row r="237" spans="25:35">
      <c r="Y237" s="343" t="s">
        <v>152</v>
      </c>
      <c r="Z237" s="343" t="s">
        <v>155</v>
      </c>
      <c r="AA237" s="384">
        <v>46181</v>
      </c>
      <c r="AB237" s="384">
        <v>46187</v>
      </c>
      <c r="AC237" s="343" t="s">
        <v>287</v>
      </c>
      <c r="AD237" s="343">
        <v>268</v>
      </c>
      <c r="AE237" s="343">
        <v>4406</v>
      </c>
      <c r="AF237" s="343">
        <v>130</v>
      </c>
      <c r="AG237" s="343">
        <v>0</v>
      </c>
      <c r="AH237" s="343">
        <v>4536</v>
      </c>
      <c r="AI237" s="343">
        <v>396.54</v>
      </c>
    </row>
    <row r="238" spans="25:35">
      <c r="Y238" s="343" t="s">
        <v>152</v>
      </c>
      <c r="Z238" s="343" t="s">
        <v>156</v>
      </c>
      <c r="AA238" s="384">
        <v>46188</v>
      </c>
      <c r="AB238" s="384">
        <v>46194</v>
      </c>
      <c r="AC238" s="343" t="s">
        <v>337</v>
      </c>
      <c r="AD238" s="343">
        <v>7</v>
      </c>
      <c r="AE238" s="343">
        <v>1205</v>
      </c>
      <c r="AF238" s="343">
        <v>0</v>
      </c>
      <c r="AG238" s="343">
        <v>0</v>
      </c>
      <c r="AH238" s="343">
        <v>1205</v>
      </c>
      <c r="AI238" s="343">
        <v>108.45</v>
      </c>
    </row>
    <row r="239" spans="25:35">
      <c r="Y239" s="343" t="s">
        <v>152</v>
      </c>
      <c r="Z239" s="343" t="s">
        <v>156</v>
      </c>
      <c r="AA239" s="384">
        <v>46188</v>
      </c>
      <c r="AB239" s="384">
        <v>46194</v>
      </c>
      <c r="AC239" s="343" t="s">
        <v>106</v>
      </c>
      <c r="AD239" s="343">
        <v>4</v>
      </c>
      <c r="AE239" s="343">
        <v>194.35</v>
      </c>
      <c r="AF239" s="343">
        <v>0</v>
      </c>
      <c r="AG239" s="343">
        <v>0</v>
      </c>
      <c r="AH239" s="343">
        <v>194.35</v>
      </c>
      <c r="AI239" s="343">
        <v>0</v>
      </c>
    </row>
    <row r="240" spans="25:35">
      <c r="Y240" s="343" t="s">
        <v>152</v>
      </c>
      <c r="Z240" s="343" t="s">
        <v>156</v>
      </c>
      <c r="AA240" s="384">
        <v>46188</v>
      </c>
      <c r="AB240" s="384">
        <v>46194</v>
      </c>
      <c r="AC240" s="343" t="s">
        <v>289</v>
      </c>
      <c r="AD240" s="343">
        <v>9</v>
      </c>
      <c r="AE240" s="343">
        <v>7265</v>
      </c>
      <c r="AF240" s="343">
        <v>0</v>
      </c>
      <c r="AG240" s="343">
        <v>0</v>
      </c>
      <c r="AH240" s="343">
        <v>7265</v>
      </c>
      <c r="AI240" s="343">
        <v>653.85</v>
      </c>
    </row>
    <row r="241" spans="25:35">
      <c r="Y241" s="343" t="s">
        <v>152</v>
      </c>
      <c r="Z241" s="343" t="s">
        <v>156</v>
      </c>
      <c r="AA241" s="384">
        <v>46188</v>
      </c>
      <c r="AB241" s="384">
        <v>46194</v>
      </c>
      <c r="AC241" s="343" t="s">
        <v>285</v>
      </c>
      <c r="AD241" s="343">
        <v>1652</v>
      </c>
      <c r="AE241" s="343">
        <v>49970</v>
      </c>
      <c r="AF241" s="343">
        <v>6614</v>
      </c>
      <c r="AG241" s="343">
        <v>0</v>
      </c>
      <c r="AH241" s="343">
        <v>56584</v>
      </c>
      <c r="AI241" s="343">
        <v>4497.3</v>
      </c>
    </row>
    <row r="242" spans="25:35">
      <c r="Y242" s="343" t="s">
        <v>152</v>
      </c>
      <c r="Z242" s="343" t="s">
        <v>156</v>
      </c>
      <c r="AA242" s="384">
        <v>46188</v>
      </c>
      <c r="AB242" s="384">
        <v>46194</v>
      </c>
      <c r="AC242" s="343" t="s">
        <v>283</v>
      </c>
      <c r="AD242" s="343">
        <v>934</v>
      </c>
      <c r="AE242" s="343">
        <v>8525</v>
      </c>
      <c r="AF242" s="343">
        <v>488</v>
      </c>
      <c r="AG242" s="343">
        <v>0</v>
      </c>
      <c r="AH242" s="343">
        <v>9013</v>
      </c>
      <c r="AI242" s="343">
        <v>767.25</v>
      </c>
    </row>
    <row r="243" spans="25:35">
      <c r="Y243" s="343" t="s">
        <v>152</v>
      </c>
      <c r="Z243" s="343" t="s">
        <v>156</v>
      </c>
      <c r="AA243" s="384">
        <v>46188</v>
      </c>
      <c r="AB243" s="384">
        <v>46194</v>
      </c>
      <c r="AC243" s="343" t="s">
        <v>281</v>
      </c>
      <c r="AD243" s="343">
        <v>1543</v>
      </c>
      <c r="AE243" s="343">
        <v>122199</v>
      </c>
      <c r="AF243" s="343">
        <v>5966</v>
      </c>
      <c r="AG243" s="343">
        <v>0</v>
      </c>
      <c r="AH243" s="343">
        <v>128165</v>
      </c>
      <c r="AI243" s="343">
        <v>10997.91</v>
      </c>
    </row>
    <row r="244" spans="25:35">
      <c r="Y244" s="343" t="s">
        <v>152</v>
      </c>
      <c r="Z244" s="343" t="s">
        <v>156</v>
      </c>
      <c r="AA244" s="384">
        <v>46188</v>
      </c>
      <c r="AB244" s="384">
        <v>46194</v>
      </c>
      <c r="AC244" s="343" t="s">
        <v>279</v>
      </c>
      <c r="AD244" s="343">
        <v>86</v>
      </c>
      <c r="AE244" s="343">
        <v>800</v>
      </c>
      <c r="AF244" s="343">
        <v>196</v>
      </c>
      <c r="AG244" s="343">
        <v>0</v>
      </c>
      <c r="AH244" s="343">
        <v>996</v>
      </c>
      <c r="AI244" s="343">
        <v>72</v>
      </c>
    </row>
    <row r="245" spans="25:35">
      <c r="Y245" s="343" t="s">
        <v>152</v>
      </c>
      <c r="Z245" s="343" t="s">
        <v>156</v>
      </c>
      <c r="AA245" s="384">
        <v>46188</v>
      </c>
      <c r="AB245" s="384">
        <v>46194</v>
      </c>
      <c r="AC245" s="343" t="s">
        <v>277</v>
      </c>
      <c r="AD245" s="343">
        <v>16</v>
      </c>
      <c r="AE245" s="343">
        <v>9635</v>
      </c>
      <c r="AF245" s="343">
        <v>300</v>
      </c>
      <c r="AG245" s="343">
        <v>0</v>
      </c>
      <c r="AH245" s="343">
        <v>9935</v>
      </c>
      <c r="AI245" s="343">
        <v>867.15</v>
      </c>
    </row>
    <row r="246" spans="25:35">
      <c r="Y246" s="343" t="s">
        <v>152</v>
      </c>
      <c r="Z246" s="343" t="s">
        <v>156</v>
      </c>
      <c r="AA246" s="384">
        <v>46188</v>
      </c>
      <c r="AB246" s="384">
        <v>46194</v>
      </c>
      <c r="AC246" s="343" t="s">
        <v>293</v>
      </c>
      <c r="AD246" s="343">
        <v>36</v>
      </c>
      <c r="AE246" s="343">
        <v>15810</v>
      </c>
      <c r="AF246" s="343">
        <v>785</v>
      </c>
      <c r="AG246" s="343">
        <v>0</v>
      </c>
      <c r="AH246" s="343">
        <v>16595</v>
      </c>
      <c r="AI246" s="343">
        <v>1422.9</v>
      </c>
    </row>
    <row r="247" spans="25:35">
      <c r="Y247" s="343" t="s">
        <v>152</v>
      </c>
      <c r="Z247" s="343" t="s">
        <v>156</v>
      </c>
      <c r="AA247" s="384">
        <v>46188</v>
      </c>
      <c r="AB247" s="384">
        <v>46194</v>
      </c>
      <c r="AC247" s="343" t="s">
        <v>287</v>
      </c>
      <c r="AD247" s="343">
        <v>232</v>
      </c>
      <c r="AE247" s="343">
        <v>4383.3999999999996</v>
      </c>
      <c r="AF247" s="343">
        <v>69.599999999999994</v>
      </c>
      <c r="AG247" s="343">
        <v>0</v>
      </c>
      <c r="AH247" s="343">
        <v>4453</v>
      </c>
      <c r="AI247" s="343">
        <v>394.51</v>
      </c>
    </row>
    <row r="248" spans="25:35">
      <c r="Y248" s="343" t="s">
        <v>152</v>
      </c>
      <c r="Z248" s="343" t="s">
        <v>157</v>
      </c>
      <c r="AA248" s="384">
        <v>46195</v>
      </c>
      <c r="AB248" s="384">
        <v>46201</v>
      </c>
      <c r="AC248" s="343" t="s">
        <v>337</v>
      </c>
      <c r="AD248" s="343">
        <v>9</v>
      </c>
      <c r="AE248" s="343">
        <v>5064.7299999999996</v>
      </c>
      <c r="AF248" s="343">
        <v>0</v>
      </c>
      <c r="AG248" s="343">
        <v>0</v>
      </c>
      <c r="AH248" s="343">
        <v>5064.7299999999996</v>
      </c>
      <c r="AI248" s="343">
        <v>455.82</v>
      </c>
    </row>
    <row r="249" spans="25:35">
      <c r="Y249" s="343" t="s">
        <v>152</v>
      </c>
      <c r="Z249" s="343" t="s">
        <v>157</v>
      </c>
      <c r="AA249" s="384">
        <v>46195</v>
      </c>
      <c r="AB249" s="384">
        <v>46201</v>
      </c>
      <c r="AC249" s="343" t="s">
        <v>335</v>
      </c>
      <c r="AD249" s="343">
        <v>0</v>
      </c>
      <c r="AE249" s="343">
        <v>-196.2</v>
      </c>
      <c r="AF249" s="343">
        <v>0</v>
      </c>
      <c r="AG249" s="343">
        <v>196.2</v>
      </c>
      <c r="AH249" s="343">
        <v>0</v>
      </c>
      <c r="AI249" s="343">
        <v>0</v>
      </c>
    </row>
    <row r="250" spans="25:35">
      <c r="Y250" s="343" t="s">
        <v>152</v>
      </c>
      <c r="Z250" s="343" t="s">
        <v>157</v>
      </c>
      <c r="AA250" s="384">
        <v>46195</v>
      </c>
      <c r="AB250" s="384">
        <v>46201</v>
      </c>
      <c r="AC250" s="343" t="s">
        <v>106</v>
      </c>
      <c r="AD250" s="343">
        <v>7</v>
      </c>
      <c r="AE250" s="343">
        <v>3279.85</v>
      </c>
      <c r="AF250" s="343">
        <v>0</v>
      </c>
      <c r="AG250" s="343">
        <v>0</v>
      </c>
      <c r="AH250" s="343">
        <v>3279.85</v>
      </c>
      <c r="AI250" s="343">
        <v>0</v>
      </c>
    </row>
    <row r="251" spans="25:35">
      <c r="Y251" s="343" t="s">
        <v>152</v>
      </c>
      <c r="Z251" s="343" t="s">
        <v>157</v>
      </c>
      <c r="AA251" s="384">
        <v>46195</v>
      </c>
      <c r="AB251" s="384">
        <v>46201</v>
      </c>
      <c r="AC251" s="343" t="s">
        <v>289</v>
      </c>
      <c r="AD251" s="343">
        <v>23</v>
      </c>
      <c r="AE251" s="343">
        <v>22310</v>
      </c>
      <c r="AF251" s="343">
        <v>0</v>
      </c>
      <c r="AG251" s="343">
        <v>0</v>
      </c>
      <c r="AH251" s="343">
        <v>22310</v>
      </c>
      <c r="AI251" s="343">
        <v>2007.9</v>
      </c>
    </row>
    <row r="252" spans="25:35">
      <c r="Y252" s="343" t="s">
        <v>152</v>
      </c>
      <c r="Z252" s="343" t="s">
        <v>157</v>
      </c>
      <c r="AA252" s="384">
        <v>46195</v>
      </c>
      <c r="AB252" s="384">
        <v>46201</v>
      </c>
      <c r="AC252" s="343" t="s">
        <v>285</v>
      </c>
      <c r="AD252" s="343">
        <v>2549</v>
      </c>
      <c r="AE252" s="343">
        <v>70534.75</v>
      </c>
      <c r="AF252" s="343">
        <v>5143.25</v>
      </c>
      <c r="AG252" s="343">
        <v>0</v>
      </c>
      <c r="AH252" s="343">
        <v>75678</v>
      </c>
      <c r="AI252" s="343">
        <v>6348.15</v>
      </c>
    </row>
    <row r="253" spans="25:35">
      <c r="Y253" s="343" t="s">
        <v>152</v>
      </c>
      <c r="Z253" s="343" t="s">
        <v>157</v>
      </c>
      <c r="AA253" s="384">
        <v>46195</v>
      </c>
      <c r="AB253" s="384">
        <v>46201</v>
      </c>
      <c r="AC253" s="343" t="s">
        <v>283</v>
      </c>
      <c r="AD253" s="343">
        <v>1278</v>
      </c>
      <c r="AE253" s="343">
        <v>12363</v>
      </c>
      <c r="AF253" s="343">
        <v>317</v>
      </c>
      <c r="AG253" s="343">
        <v>0</v>
      </c>
      <c r="AH253" s="343">
        <v>12680</v>
      </c>
      <c r="AI253" s="343">
        <v>1112.67</v>
      </c>
    </row>
    <row r="254" spans="25:35">
      <c r="Y254" s="343" t="s">
        <v>152</v>
      </c>
      <c r="Z254" s="343" t="s">
        <v>157</v>
      </c>
      <c r="AA254" s="384">
        <v>46195</v>
      </c>
      <c r="AB254" s="384">
        <v>46201</v>
      </c>
      <c r="AC254" s="343" t="s">
        <v>281</v>
      </c>
      <c r="AD254" s="343">
        <v>2153</v>
      </c>
      <c r="AE254" s="343">
        <v>170549</v>
      </c>
      <c r="AF254" s="343">
        <v>5842</v>
      </c>
      <c r="AG254" s="343">
        <v>0</v>
      </c>
      <c r="AH254" s="343">
        <v>176391</v>
      </c>
      <c r="AI254" s="343">
        <v>15349.41</v>
      </c>
    </row>
    <row r="255" spans="25:35">
      <c r="Y255" s="343" t="s">
        <v>152</v>
      </c>
      <c r="Z255" s="343" t="s">
        <v>157</v>
      </c>
      <c r="AA255" s="384">
        <v>46195</v>
      </c>
      <c r="AB255" s="384">
        <v>46201</v>
      </c>
      <c r="AC255" s="343" t="s">
        <v>279</v>
      </c>
      <c r="AD255" s="343">
        <v>101</v>
      </c>
      <c r="AE255" s="343">
        <v>1212</v>
      </c>
      <c r="AF255" s="343">
        <v>12</v>
      </c>
      <c r="AG255" s="343">
        <v>0</v>
      </c>
      <c r="AH255" s="343">
        <v>1224</v>
      </c>
      <c r="AI255" s="343">
        <v>109.08</v>
      </c>
    </row>
    <row r="256" spans="25:35">
      <c r="Y256" s="343" t="s">
        <v>152</v>
      </c>
      <c r="Z256" s="343" t="s">
        <v>157</v>
      </c>
      <c r="AA256" s="384">
        <v>46195</v>
      </c>
      <c r="AB256" s="384">
        <v>46201</v>
      </c>
      <c r="AC256" s="343" t="s">
        <v>277</v>
      </c>
      <c r="AD256" s="343">
        <v>39</v>
      </c>
      <c r="AE256" s="343">
        <v>30491</v>
      </c>
      <c r="AF256" s="343">
        <v>75</v>
      </c>
      <c r="AG256" s="343">
        <v>0</v>
      </c>
      <c r="AH256" s="343">
        <v>30566</v>
      </c>
      <c r="AI256" s="343">
        <v>2744.19</v>
      </c>
    </row>
    <row r="257" spans="25:35">
      <c r="Y257" s="343" t="s">
        <v>152</v>
      </c>
      <c r="Z257" s="343" t="s">
        <v>157</v>
      </c>
      <c r="AA257" s="384">
        <v>46195</v>
      </c>
      <c r="AB257" s="384">
        <v>46201</v>
      </c>
      <c r="AC257" s="343" t="s">
        <v>293</v>
      </c>
      <c r="AD257" s="343">
        <v>30</v>
      </c>
      <c r="AE257" s="343">
        <v>5495</v>
      </c>
      <c r="AF257" s="343">
        <v>125</v>
      </c>
      <c r="AG257" s="343">
        <v>0</v>
      </c>
      <c r="AH257" s="343">
        <v>5620</v>
      </c>
      <c r="AI257" s="343">
        <v>494.55</v>
      </c>
    </row>
    <row r="258" spans="25:35">
      <c r="Y258" s="343" t="s">
        <v>152</v>
      </c>
      <c r="Z258" s="343" t="s">
        <v>157</v>
      </c>
      <c r="AA258" s="384">
        <v>46195</v>
      </c>
      <c r="AB258" s="384">
        <v>46201</v>
      </c>
      <c r="AC258" s="343" t="s">
        <v>287</v>
      </c>
      <c r="AD258" s="343">
        <v>323</v>
      </c>
      <c r="AE258" s="343">
        <v>5636</v>
      </c>
      <c r="AF258" s="343">
        <v>108</v>
      </c>
      <c r="AG258" s="343">
        <v>0</v>
      </c>
      <c r="AH258" s="343">
        <v>5744</v>
      </c>
      <c r="AI258" s="343">
        <v>507.24</v>
      </c>
    </row>
    <row r="259" spans="25:35">
      <c r="Y259" s="343" t="s">
        <v>159</v>
      </c>
      <c r="Z259" s="343" t="s">
        <v>160</v>
      </c>
      <c r="AA259" s="384">
        <v>46202</v>
      </c>
      <c r="AB259" s="384">
        <v>46208</v>
      </c>
      <c r="AC259" s="343" t="s">
        <v>337</v>
      </c>
      <c r="AD259" s="343">
        <v>18</v>
      </c>
      <c r="AE259" s="343">
        <v>3996.79</v>
      </c>
      <c r="AF259" s="343">
        <v>0</v>
      </c>
      <c r="AG259" s="343">
        <v>0</v>
      </c>
      <c r="AH259" s="343">
        <v>3996.79</v>
      </c>
      <c r="AI259" s="343">
        <v>359.71</v>
      </c>
    </row>
    <row r="260" spans="25:35">
      <c r="Y260" s="343" t="s">
        <v>159</v>
      </c>
      <c r="Z260" s="343" t="s">
        <v>160</v>
      </c>
      <c r="AA260" s="384">
        <v>46202</v>
      </c>
      <c r="AB260" s="384">
        <v>46208</v>
      </c>
      <c r="AC260" s="343" t="s">
        <v>106</v>
      </c>
      <c r="AD260" s="343">
        <v>1</v>
      </c>
      <c r="AE260" s="343">
        <v>240.4</v>
      </c>
      <c r="AF260" s="343">
        <v>0</v>
      </c>
      <c r="AG260" s="343">
        <v>0</v>
      </c>
      <c r="AH260" s="343">
        <v>240.4</v>
      </c>
      <c r="AI260" s="343">
        <v>0</v>
      </c>
    </row>
    <row r="261" spans="25:35">
      <c r="Y261" s="343" t="s">
        <v>159</v>
      </c>
      <c r="Z261" s="343" t="s">
        <v>160</v>
      </c>
      <c r="AA261" s="384">
        <v>46202</v>
      </c>
      <c r="AB261" s="384">
        <v>46208</v>
      </c>
      <c r="AC261" s="343" t="s">
        <v>285</v>
      </c>
      <c r="AD261" s="343">
        <v>1507</v>
      </c>
      <c r="AE261" s="343">
        <v>46755.5</v>
      </c>
      <c r="AF261" s="343">
        <v>7998.5</v>
      </c>
      <c r="AG261" s="343">
        <v>0</v>
      </c>
      <c r="AH261" s="343">
        <v>54754</v>
      </c>
      <c r="AI261" s="343">
        <v>4208.01</v>
      </c>
    </row>
    <row r="262" spans="25:35">
      <c r="Y262" s="343" t="s">
        <v>159</v>
      </c>
      <c r="Z262" s="343" t="s">
        <v>160</v>
      </c>
      <c r="AA262" s="384">
        <v>46202</v>
      </c>
      <c r="AB262" s="384">
        <v>46208</v>
      </c>
      <c r="AC262" s="343" t="s">
        <v>283</v>
      </c>
      <c r="AD262" s="343">
        <v>937</v>
      </c>
      <c r="AE262" s="343">
        <v>8037.75</v>
      </c>
      <c r="AF262" s="343">
        <v>628.25</v>
      </c>
      <c r="AG262" s="343">
        <v>0</v>
      </c>
      <c r="AH262" s="343">
        <v>8666</v>
      </c>
      <c r="AI262" s="343">
        <v>723.42</v>
      </c>
    </row>
    <row r="263" spans="25:35">
      <c r="Y263" s="343" t="s">
        <v>159</v>
      </c>
      <c r="Z263" s="343" t="s">
        <v>160</v>
      </c>
      <c r="AA263" s="384">
        <v>46202</v>
      </c>
      <c r="AB263" s="384">
        <v>46208</v>
      </c>
      <c r="AC263" s="343" t="s">
        <v>281</v>
      </c>
      <c r="AD263" s="343">
        <v>1608</v>
      </c>
      <c r="AE263" s="343">
        <v>91799</v>
      </c>
      <c r="AF263" s="343">
        <v>5602</v>
      </c>
      <c r="AG263" s="343">
        <v>0</v>
      </c>
      <c r="AH263" s="343">
        <v>97401</v>
      </c>
      <c r="AI263" s="343">
        <v>8261.91</v>
      </c>
    </row>
    <row r="264" spans="25:35">
      <c r="Y264" s="343" t="s">
        <v>159</v>
      </c>
      <c r="Z264" s="343" t="s">
        <v>160</v>
      </c>
      <c r="AA264" s="384">
        <v>46202</v>
      </c>
      <c r="AB264" s="384">
        <v>46208</v>
      </c>
      <c r="AC264" s="343" t="s">
        <v>279</v>
      </c>
      <c r="AD264" s="343">
        <v>117</v>
      </c>
      <c r="AE264" s="343">
        <v>1362</v>
      </c>
      <c r="AF264" s="343">
        <v>48</v>
      </c>
      <c r="AG264" s="343">
        <v>0</v>
      </c>
      <c r="AH264" s="343">
        <v>1410</v>
      </c>
      <c r="AI264" s="343">
        <v>122.58</v>
      </c>
    </row>
    <row r="265" spans="25:35">
      <c r="Y265" s="343" t="s">
        <v>159</v>
      </c>
      <c r="Z265" s="343" t="s">
        <v>160</v>
      </c>
      <c r="AA265" s="384">
        <v>46202</v>
      </c>
      <c r="AB265" s="384">
        <v>46208</v>
      </c>
      <c r="AC265" s="343" t="s">
        <v>277</v>
      </c>
      <c r="AD265" s="343">
        <v>40</v>
      </c>
      <c r="AE265" s="343">
        <v>19181</v>
      </c>
      <c r="AF265" s="343">
        <v>220</v>
      </c>
      <c r="AG265" s="343">
        <v>0</v>
      </c>
      <c r="AH265" s="343">
        <v>19401</v>
      </c>
      <c r="AI265" s="343">
        <v>1726.29</v>
      </c>
    </row>
    <row r="266" spans="25:35">
      <c r="Y266" s="343" t="s">
        <v>159</v>
      </c>
      <c r="Z266" s="343" t="s">
        <v>160</v>
      </c>
      <c r="AA266" s="384">
        <v>46202</v>
      </c>
      <c r="AB266" s="384">
        <v>46208</v>
      </c>
      <c r="AC266" s="343" t="s">
        <v>293</v>
      </c>
      <c r="AD266" s="343">
        <v>33</v>
      </c>
      <c r="AE266" s="343">
        <v>14140</v>
      </c>
      <c r="AF266" s="343">
        <v>310</v>
      </c>
      <c r="AG266" s="343">
        <v>0</v>
      </c>
      <c r="AH266" s="343">
        <v>14450</v>
      </c>
      <c r="AI266" s="343">
        <v>1272.5999999999999</v>
      </c>
    </row>
    <row r="267" spans="25:35">
      <c r="Y267" s="343" t="s">
        <v>159</v>
      </c>
      <c r="Z267" s="343" t="s">
        <v>160</v>
      </c>
      <c r="AA267" s="384">
        <v>46202</v>
      </c>
      <c r="AB267" s="384">
        <v>46208</v>
      </c>
      <c r="AC267" s="343" t="s">
        <v>287</v>
      </c>
      <c r="AD267" s="343">
        <v>381</v>
      </c>
      <c r="AE267" s="343">
        <v>5166</v>
      </c>
      <c r="AF267" s="343">
        <v>237</v>
      </c>
      <c r="AG267" s="343">
        <v>0</v>
      </c>
      <c r="AH267" s="343">
        <v>5403</v>
      </c>
      <c r="AI267" s="343">
        <v>464.94</v>
      </c>
    </row>
    <row r="268" spans="25:35">
      <c r="Y268" s="343" t="s">
        <v>159</v>
      </c>
      <c r="Z268" s="343" t="s">
        <v>160</v>
      </c>
      <c r="AA268" s="384">
        <v>46202</v>
      </c>
      <c r="AB268" s="384">
        <v>46208</v>
      </c>
      <c r="AC268" s="343" t="s">
        <v>289</v>
      </c>
      <c r="AD268" s="343">
        <v>18</v>
      </c>
      <c r="AE268" s="343">
        <v>15555</v>
      </c>
      <c r="AF268" s="343">
        <v>2050</v>
      </c>
      <c r="AG268" s="343">
        <v>0</v>
      </c>
      <c r="AH268" s="343">
        <v>17605</v>
      </c>
      <c r="AI268" s="343">
        <v>1399.95</v>
      </c>
    </row>
    <row r="269" spans="25:35">
      <c r="Y269" s="343" t="s">
        <v>159</v>
      </c>
      <c r="Z269" s="343" t="s">
        <v>161</v>
      </c>
      <c r="AA269" s="384">
        <v>46209</v>
      </c>
      <c r="AB269" s="384">
        <v>46215</v>
      </c>
      <c r="AC269" s="343" t="s">
        <v>337</v>
      </c>
      <c r="AD269" s="343">
        <v>11</v>
      </c>
      <c r="AE269" s="343">
        <v>3024</v>
      </c>
      <c r="AF269" s="343">
        <v>0</v>
      </c>
      <c r="AG269" s="343">
        <v>0</v>
      </c>
      <c r="AH269" s="343">
        <v>3024</v>
      </c>
      <c r="AI269" s="343">
        <v>272.16000000000003</v>
      </c>
    </row>
    <row r="270" spans="25:35">
      <c r="Y270" s="343" t="s">
        <v>159</v>
      </c>
      <c r="Z270" s="343" t="s">
        <v>161</v>
      </c>
      <c r="AA270" s="384">
        <v>46209</v>
      </c>
      <c r="AB270" s="384">
        <v>46215</v>
      </c>
      <c r="AC270" s="343" t="s">
        <v>106</v>
      </c>
      <c r="AD270" s="343">
        <v>3</v>
      </c>
      <c r="AE270" s="343">
        <v>479.51</v>
      </c>
      <c r="AF270" s="343">
        <v>0</v>
      </c>
      <c r="AG270" s="343">
        <v>0</v>
      </c>
      <c r="AH270" s="343">
        <v>479.51</v>
      </c>
      <c r="AI270" s="343">
        <v>0</v>
      </c>
    </row>
    <row r="271" spans="25:35">
      <c r="Y271" s="343" t="s">
        <v>159</v>
      </c>
      <c r="Z271" s="343" t="s">
        <v>161</v>
      </c>
      <c r="AA271" s="384">
        <v>46209</v>
      </c>
      <c r="AB271" s="384">
        <v>46215</v>
      </c>
      <c r="AC271" s="343" t="s">
        <v>289</v>
      </c>
      <c r="AD271" s="343">
        <v>20</v>
      </c>
      <c r="AE271" s="343">
        <v>27000</v>
      </c>
      <c r="AF271" s="343">
        <v>0</v>
      </c>
      <c r="AG271" s="343">
        <v>0</v>
      </c>
      <c r="AH271" s="343">
        <v>27000</v>
      </c>
      <c r="AI271" s="343">
        <v>2430</v>
      </c>
    </row>
    <row r="272" spans="25:35">
      <c r="Y272" s="343" t="s">
        <v>159</v>
      </c>
      <c r="Z272" s="343" t="s">
        <v>161</v>
      </c>
      <c r="AA272" s="384">
        <v>46209</v>
      </c>
      <c r="AB272" s="384">
        <v>46215</v>
      </c>
      <c r="AC272" s="343" t="s">
        <v>285</v>
      </c>
      <c r="AD272" s="343">
        <v>1697</v>
      </c>
      <c r="AE272" s="343">
        <v>59682.75</v>
      </c>
      <c r="AF272" s="343">
        <v>5170.25</v>
      </c>
      <c r="AG272" s="343">
        <v>0</v>
      </c>
      <c r="AH272" s="343">
        <v>64853</v>
      </c>
      <c r="AI272" s="343">
        <v>5371.45</v>
      </c>
    </row>
    <row r="273" spans="25:35">
      <c r="Y273" s="343" t="s">
        <v>159</v>
      </c>
      <c r="Z273" s="343" t="s">
        <v>161</v>
      </c>
      <c r="AA273" s="384">
        <v>46209</v>
      </c>
      <c r="AB273" s="384">
        <v>46215</v>
      </c>
      <c r="AC273" s="343" t="s">
        <v>283</v>
      </c>
      <c r="AD273" s="343">
        <v>1158</v>
      </c>
      <c r="AE273" s="343">
        <v>11036.25</v>
      </c>
      <c r="AF273" s="343">
        <v>335.25</v>
      </c>
      <c r="AG273" s="343">
        <v>0</v>
      </c>
      <c r="AH273" s="343">
        <v>11371.5</v>
      </c>
      <c r="AI273" s="343">
        <v>993.29</v>
      </c>
    </row>
    <row r="274" spans="25:35">
      <c r="Y274" s="343" t="s">
        <v>159</v>
      </c>
      <c r="Z274" s="343" t="s">
        <v>161</v>
      </c>
      <c r="AA274" s="384">
        <v>46209</v>
      </c>
      <c r="AB274" s="384">
        <v>46215</v>
      </c>
      <c r="AC274" s="343" t="s">
        <v>281</v>
      </c>
      <c r="AD274" s="343">
        <v>2085</v>
      </c>
      <c r="AE274" s="343">
        <v>191607.25</v>
      </c>
      <c r="AF274" s="343">
        <v>3146</v>
      </c>
      <c r="AG274" s="343">
        <v>0</v>
      </c>
      <c r="AH274" s="343">
        <v>194753.25</v>
      </c>
      <c r="AI274" s="343">
        <v>17244.66</v>
      </c>
    </row>
    <row r="275" spans="25:35">
      <c r="Y275" s="343" t="s">
        <v>159</v>
      </c>
      <c r="Z275" s="343" t="s">
        <v>161</v>
      </c>
      <c r="AA275" s="384">
        <v>46209</v>
      </c>
      <c r="AB275" s="384">
        <v>46215</v>
      </c>
      <c r="AC275" s="343" t="s">
        <v>279</v>
      </c>
      <c r="AD275" s="343">
        <v>118</v>
      </c>
      <c r="AE275" s="343">
        <v>1393</v>
      </c>
      <c r="AF275" s="343">
        <v>12</v>
      </c>
      <c r="AG275" s="343">
        <v>0</v>
      </c>
      <c r="AH275" s="343">
        <v>1405</v>
      </c>
      <c r="AI275" s="343">
        <v>125.37</v>
      </c>
    </row>
    <row r="276" spans="25:35">
      <c r="Y276" s="343" t="s">
        <v>159</v>
      </c>
      <c r="Z276" s="343" t="s">
        <v>161</v>
      </c>
      <c r="AA276" s="384">
        <v>46209</v>
      </c>
      <c r="AB276" s="384">
        <v>46215</v>
      </c>
      <c r="AC276" s="343" t="s">
        <v>277</v>
      </c>
      <c r="AD276" s="343">
        <v>47</v>
      </c>
      <c r="AE276" s="343">
        <v>32915</v>
      </c>
      <c r="AF276" s="343">
        <v>75</v>
      </c>
      <c r="AG276" s="343">
        <v>0</v>
      </c>
      <c r="AH276" s="343">
        <v>32990</v>
      </c>
      <c r="AI276" s="343">
        <v>2962.35</v>
      </c>
    </row>
    <row r="277" spans="25:35">
      <c r="Y277" s="343" t="s">
        <v>159</v>
      </c>
      <c r="Z277" s="343" t="s">
        <v>161</v>
      </c>
      <c r="AA277" s="384">
        <v>46209</v>
      </c>
      <c r="AB277" s="384">
        <v>46215</v>
      </c>
      <c r="AC277" s="343" t="s">
        <v>293</v>
      </c>
      <c r="AD277" s="343">
        <v>28</v>
      </c>
      <c r="AE277" s="343">
        <v>5825</v>
      </c>
      <c r="AF277" s="343">
        <v>220</v>
      </c>
      <c r="AG277" s="343">
        <v>0</v>
      </c>
      <c r="AH277" s="343">
        <v>6045</v>
      </c>
      <c r="AI277" s="343">
        <v>524.25</v>
      </c>
    </row>
    <row r="278" spans="25:35">
      <c r="Y278" s="343" t="s">
        <v>159</v>
      </c>
      <c r="Z278" s="343" t="s">
        <v>161</v>
      </c>
      <c r="AA278" s="384">
        <v>46209</v>
      </c>
      <c r="AB278" s="384">
        <v>46215</v>
      </c>
      <c r="AC278" s="343" t="s">
        <v>287</v>
      </c>
      <c r="AD278" s="343">
        <v>337</v>
      </c>
      <c r="AE278" s="343">
        <v>5798</v>
      </c>
      <c r="AF278" s="343">
        <v>301</v>
      </c>
      <c r="AG278" s="343">
        <v>0</v>
      </c>
      <c r="AH278" s="343">
        <v>6099</v>
      </c>
      <c r="AI278" s="343">
        <v>521.82000000000005</v>
      </c>
    </row>
    <row r="279" spans="25:35">
      <c r="Y279" s="343" t="s">
        <v>159</v>
      </c>
      <c r="Z279" s="343" t="s">
        <v>162</v>
      </c>
      <c r="AA279" s="384">
        <v>46216</v>
      </c>
      <c r="AB279" s="384">
        <v>46222</v>
      </c>
      <c r="AC279" s="343" t="s">
        <v>279</v>
      </c>
      <c r="AD279" s="343">
        <v>92</v>
      </c>
      <c r="AE279" s="343">
        <v>1082</v>
      </c>
      <c r="AF279" s="343">
        <v>0</v>
      </c>
      <c r="AG279" s="343">
        <v>0</v>
      </c>
      <c r="AH279" s="343">
        <v>1082</v>
      </c>
      <c r="AI279" s="343">
        <v>97.38</v>
      </c>
    </row>
    <row r="280" spans="25:35">
      <c r="Y280" s="343" t="s">
        <v>159</v>
      </c>
      <c r="Z280" s="343" t="s">
        <v>162</v>
      </c>
      <c r="AA280" s="384">
        <v>46216</v>
      </c>
      <c r="AB280" s="384">
        <v>46222</v>
      </c>
      <c r="AC280" s="343" t="s">
        <v>337</v>
      </c>
      <c r="AD280" s="343">
        <v>9</v>
      </c>
      <c r="AE280" s="343">
        <v>2269.0100000000002</v>
      </c>
      <c r="AF280" s="343">
        <v>0</v>
      </c>
      <c r="AG280" s="343">
        <v>0</v>
      </c>
      <c r="AH280" s="343">
        <v>2269.0100000000002</v>
      </c>
      <c r="AI280" s="343">
        <v>204.21</v>
      </c>
    </row>
    <row r="281" spans="25:35">
      <c r="Y281" s="343" t="s">
        <v>159</v>
      </c>
      <c r="Z281" s="343" t="s">
        <v>162</v>
      </c>
      <c r="AA281" s="384">
        <v>46216</v>
      </c>
      <c r="AB281" s="384">
        <v>46222</v>
      </c>
      <c r="AC281" s="343" t="s">
        <v>106</v>
      </c>
      <c r="AD281" s="343">
        <v>2</v>
      </c>
      <c r="AE281" s="343">
        <v>2538</v>
      </c>
      <c r="AF281" s="343">
        <v>0</v>
      </c>
      <c r="AG281" s="343">
        <v>0</v>
      </c>
      <c r="AH281" s="343">
        <v>2538</v>
      </c>
      <c r="AI281" s="343">
        <v>0</v>
      </c>
    </row>
    <row r="282" spans="25:35">
      <c r="Y282" s="343" t="s">
        <v>159</v>
      </c>
      <c r="Z282" s="343" t="s">
        <v>162</v>
      </c>
      <c r="AA282" s="384">
        <v>46216</v>
      </c>
      <c r="AB282" s="384">
        <v>46222</v>
      </c>
      <c r="AC282" s="343" t="s">
        <v>289</v>
      </c>
      <c r="AD282" s="343">
        <v>8</v>
      </c>
      <c r="AE282" s="343">
        <v>6100</v>
      </c>
      <c r="AF282" s="343">
        <v>0</v>
      </c>
      <c r="AG282" s="343">
        <v>0</v>
      </c>
      <c r="AH282" s="343">
        <v>6100</v>
      </c>
      <c r="AI282" s="343">
        <v>549</v>
      </c>
    </row>
    <row r="283" spans="25:35">
      <c r="Y283" s="343" t="s">
        <v>159</v>
      </c>
      <c r="Z283" s="343" t="s">
        <v>162</v>
      </c>
      <c r="AA283" s="384">
        <v>46216</v>
      </c>
      <c r="AB283" s="384">
        <v>46222</v>
      </c>
      <c r="AC283" s="343" t="s">
        <v>285</v>
      </c>
      <c r="AD283" s="343">
        <v>3736</v>
      </c>
      <c r="AE283" s="343">
        <v>79946</v>
      </c>
      <c r="AF283" s="343">
        <v>5993</v>
      </c>
      <c r="AG283" s="343">
        <v>0</v>
      </c>
      <c r="AH283" s="343">
        <v>85939</v>
      </c>
      <c r="AI283" s="343">
        <v>7195.14</v>
      </c>
    </row>
    <row r="284" spans="25:35">
      <c r="Y284" s="343" t="s">
        <v>159</v>
      </c>
      <c r="Z284" s="343" t="s">
        <v>162</v>
      </c>
      <c r="AA284" s="384">
        <v>46216</v>
      </c>
      <c r="AB284" s="384">
        <v>46222</v>
      </c>
      <c r="AC284" s="343" t="s">
        <v>283</v>
      </c>
      <c r="AD284" s="343">
        <v>859</v>
      </c>
      <c r="AE284" s="343">
        <v>8254</v>
      </c>
      <c r="AF284" s="343">
        <v>343</v>
      </c>
      <c r="AG284" s="343">
        <v>0</v>
      </c>
      <c r="AH284" s="343">
        <v>8597</v>
      </c>
      <c r="AI284" s="343">
        <v>742.86</v>
      </c>
    </row>
    <row r="285" spans="25:35">
      <c r="Y285" s="343" t="s">
        <v>159</v>
      </c>
      <c r="Z285" s="343" t="s">
        <v>162</v>
      </c>
      <c r="AA285" s="384">
        <v>46216</v>
      </c>
      <c r="AB285" s="384">
        <v>46222</v>
      </c>
      <c r="AC285" s="343" t="s">
        <v>281</v>
      </c>
      <c r="AD285" s="343">
        <v>2107</v>
      </c>
      <c r="AE285" s="343">
        <v>103785</v>
      </c>
      <c r="AF285" s="343">
        <v>4468</v>
      </c>
      <c r="AG285" s="343">
        <v>0</v>
      </c>
      <c r="AH285" s="343">
        <v>108253</v>
      </c>
      <c r="AI285" s="343">
        <v>9340.65</v>
      </c>
    </row>
    <row r="286" spans="25:35">
      <c r="Y286" s="343" t="s">
        <v>159</v>
      </c>
      <c r="Z286" s="343" t="s">
        <v>162</v>
      </c>
      <c r="AA286" s="384">
        <v>46216</v>
      </c>
      <c r="AB286" s="384">
        <v>46222</v>
      </c>
      <c r="AC286" s="343" t="s">
        <v>277</v>
      </c>
      <c r="AD286" s="343">
        <v>62</v>
      </c>
      <c r="AE286" s="343">
        <v>19966</v>
      </c>
      <c r="AF286" s="343">
        <v>670</v>
      </c>
      <c r="AG286" s="343">
        <v>0</v>
      </c>
      <c r="AH286" s="343">
        <v>20636</v>
      </c>
      <c r="AI286" s="343">
        <v>1796.94</v>
      </c>
    </row>
    <row r="287" spans="25:35">
      <c r="Y287" s="343" t="s">
        <v>159</v>
      </c>
      <c r="Z287" s="343" t="s">
        <v>162</v>
      </c>
      <c r="AA287" s="384">
        <v>46216</v>
      </c>
      <c r="AB287" s="384">
        <v>46222</v>
      </c>
      <c r="AC287" s="343" t="s">
        <v>293</v>
      </c>
      <c r="AD287" s="343">
        <v>49</v>
      </c>
      <c r="AE287" s="343">
        <v>7105</v>
      </c>
      <c r="AF287" s="343">
        <v>715</v>
      </c>
      <c r="AG287" s="343">
        <v>0</v>
      </c>
      <c r="AH287" s="343">
        <v>7820</v>
      </c>
      <c r="AI287" s="343">
        <v>639.45000000000005</v>
      </c>
    </row>
    <row r="288" spans="25:35">
      <c r="Y288" s="343" t="s">
        <v>159</v>
      </c>
      <c r="Z288" s="343" t="s">
        <v>162</v>
      </c>
      <c r="AA288" s="384">
        <v>46216</v>
      </c>
      <c r="AB288" s="384">
        <v>46222</v>
      </c>
      <c r="AC288" s="343" t="s">
        <v>287</v>
      </c>
      <c r="AD288" s="343">
        <v>236</v>
      </c>
      <c r="AE288" s="343">
        <v>4549</v>
      </c>
      <c r="AF288" s="343">
        <v>179</v>
      </c>
      <c r="AG288" s="343">
        <v>0</v>
      </c>
      <c r="AH288" s="343">
        <v>4728</v>
      </c>
      <c r="AI288" s="343">
        <v>409.41</v>
      </c>
    </row>
    <row r="289" spans="25:35">
      <c r="Y289" s="343" t="s">
        <v>159</v>
      </c>
      <c r="Z289" s="343" t="s">
        <v>163</v>
      </c>
      <c r="AA289" s="384">
        <v>46223</v>
      </c>
      <c r="AB289" s="384">
        <v>46229</v>
      </c>
      <c r="AC289" s="343" t="s">
        <v>337</v>
      </c>
      <c r="AD289" s="343">
        <v>16</v>
      </c>
      <c r="AE289" s="343">
        <v>5543.4</v>
      </c>
      <c r="AF289" s="343">
        <v>0</v>
      </c>
      <c r="AG289" s="343">
        <v>0</v>
      </c>
      <c r="AH289" s="343">
        <v>5543.4</v>
      </c>
      <c r="AI289" s="343">
        <v>498.91</v>
      </c>
    </row>
    <row r="290" spans="25:35">
      <c r="Y290" s="343" t="s">
        <v>159</v>
      </c>
      <c r="Z290" s="343" t="s">
        <v>163</v>
      </c>
      <c r="AA290" s="384">
        <v>46223</v>
      </c>
      <c r="AB290" s="384">
        <v>46229</v>
      </c>
      <c r="AC290" s="343" t="s">
        <v>106</v>
      </c>
      <c r="AD290" s="343">
        <v>2</v>
      </c>
      <c r="AE290" s="343">
        <v>698.8</v>
      </c>
      <c r="AF290" s="343">
        <v>0</v>
      </c>
      <c r="AG290" s="343">
        <v>0</v>
      </c>
      <c r="AH290" s="343">
        <v>698.8</v>
      </c>
      <c r="AI290" s="343">
        <v>0</v>
      </c>
    </row>
    <row r="291" spans="25:35">
      <c r="Y291" s="343" t="s">
        <v>159</v>
      </c>
      <c r="Z291" s="343" t="s">
        <v>163</v>
      </c>
      <c r="AA291" s="384">
        <v>46223</v>
      </c>
      <c r="AB291" s="384">
        <v>46229</v>
      </c>
      <c r="AC291" s="343" t="s">
        <v>289</v>
      </c>
      <c r="AD291" s="343">
        <v>10</v>
      </c>
      <c r="AE291" s="343">
        <v>6250</v>
      </c>
      <c r="AF291" s="343">
        <v>0</v>
      </c>
      <c r="AG291" s="343">
        <v>0</v>
      </c>
      <c r="AH291" s="343">
        <v>6250</v>
      </c>
      <c r="AI291" s="343">
        <v>562.5</v>
      </c>
    </row>
    <row r="292" spans="25:35">
      <c r="Y292" s="343" t="s">
        <v>159</v>
      </c>
      <c r="Z292" s="343" t="s">
        <v>163</v>
      </c>
      <c r="AA292" s="384">
        <v>46223</v>
      </c>
      <c r="AB292" s="384">
        <v>46229</v>
      </c>
      <c r="AC292" s="343" t="s">
        <v>285</v>
      </c>
      <c r="AD292" s="343">
        <v>2150</v>
      </c>
      <c r="AE292" s="343">
        <v>69511</v>
      </c>
      <c r="AF292" s="343">
        <v>6260</v>
      </c>
      <c r="AG292" s="343">
        <v>0</v>
      </c>
      <c r="AH292" s="343">
        <v>75771</v>
      </c>
      <c r="AI292" s="343">
        <v>6255.99</v>
      </c>
    </row>
    <row r="293" spans="25:35">
      <c r="Y293" s="343" t="s">
        <v>159</v>
      </c>
      <c r="Z293" s="343" t="s">
        <v>163</v>
      </c>
      <c r="AA293" s="384">
        <v>46223</v>
      </c>
      <c r="AB293" s="384">
        <v>46229</v>
      </c>
      <c r="AC293" s="343" t="s">
        <v>283</v>
      </c>
      <c r="AD293" s="343">
        <v>1068</v>
      </c>
      <c r="AE293" s="343">
        <v>10070</v>
      </c>
      <c r="AF293" s="343">
        <v>724</v>
      </c>
      <c r="AG293" s="343">
        <v>0</v>
      </c>
      <c r="AH293" s="343">
        <v>10794</v>
      </c>
      <c r="AI293" s="343">
        <v>906.3</v>
      </c>
    </row>
    <row r="294" spans="25:35">
      <c r="Y294" s="343" t="s">
        <v>159</v>
      </c>
      <c r="Z294" s="343" t="s">
        <v>163</v>
      </c>
      <c r="AA294" s="384">
        <v>46223</v>
      </c>
      <c r="AB294" s="384">
        <v>46229</v>
      </c>
      <c r="AC294" s="343" t="s">
        <v>281</v>
      </c>
      <c r="AD294" s="343">
        <v>1866</v>
      </c>
      <c r="AE294" s="343">
        <v>121723</v>
      </c>
      <c r="AF294" s="343">
        <v>5844</v>
      </c>
      <c r="AG294" s="343">
        <v>0</v>
      </c>
      <c r="AH294" s="343">
        <v>127567</v>
      </c>
      <c r="AI294" s="343">
        <v>10955.07</v>
      </c>
    </row>
    <row r="295" spans="25:35">
      <c r="Y295" s="343" t="s">
        <v>159</v>
      </c>
      <c r="Z295" s="343" t="s">
        <v>163</v>
      </c>
      <c r="AA295" s="384">
        <v>46223</v>
      </c>
      <c r="AB295" s="384">
        <v>46229</v>
      </c>
      <c r="AC295" s="343" t="s">
        <v>279</v>
      </c>
      <c r="AD295" s="343">
        <v>102</v>
      </c>
      <c r="AE295" s="343">
        <v>1171</v>
      </c>
      <c r="AF295" s="343">
        <v>48</v>
      </c>
      <c r="AG295" s="343">
        <v>0</v>
      </c>
      <c r="AH295" s="343">
        <v>1219</v>
      </c>
      <c r="AI295" s="343">
        <v>105.39</v>
      </c>
    </row>
    <row r="296" spans="25:35">
      <c r="Y296" s="343" t="s">
        <v>159</v>
      </c>
      <c r="Z296" s="343" t="s">
        <v>163</v>
      </c>
      <c r="AA296" s="384">
        <v>46223</v>
      </c>
      <c r="AB296" s="384">
        <v>46229</v>
      </c>
      <c r="AC296" s="343" t="s">
        <v>277</v>
      </c>
      <c r="AD296" s="343">
        <v>54</v>
      </c>
      <c r="AE296" s="343">
        <v>16018</v>
      </c>
      <c r="AF296" s="343">
        <v>75</v>
      </c>
      <c r="AG296" s="343">
        <v>0</v>
      </c>
      <c r="AH296" s="343">
        <v>16093</v>
      </c>
      <c r="AI296" s="343">
        <v>1441.62</v>
      </c>
    </row>
    <row r="297" spans="25:35">
      <c r="Y297" s="343" t="s">
        <v>159</v>
      </c>
      <c r="Z297" s="343" t="s">
        <v>163</v>
      </c>
      <c r="AA297" s="384">
        <v>46223</v>
      </c>
      <c r="AB297" s="384">
        <v>46229</v>
      </c>
      <c r="AC297" s="343" t="s">
        <v>293</v>
      </c>
      <c r="AD297" s="343">
        <v>34</v>
      </c>
      <c r="AE297" s="343">
        <v>7910</v>
      </c>
      <c r="AF297" s="343">
        <v>115</v>
      </c>
      <c r="AG297" s="343">
        <v>0</v>
      </c>
      <c r="AH297" s="343">
        <v>8025</v>
      </c>
      <c r="AI297" s="343">
        <v>711.9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287</v>
      </c>
      <c r="AD298" s="343">
        <v>253</v>
      </c>
      <c r="AE298" s="343">
        <v>5535</v>
      </c>
      <c r="AF298" s="343">
        <v>186</v>
      </c>
      <c r="AG298" s="343">
        <v>0</v>
      </c>
      <c r="AH298" s="343">
        <v>5721</v>
      </c>
      <c r="AI298" s="343">
        <v>498.15</v>
      </c>
    </row>
    <row r="299" spans="25:35">
      <c r="Y299" s="343" t="s">
        <v>165</v>
      </c>
      <c r="Z299" s="343" t="s">
        <v>166</v>
      </c>
      <c r="AA299" s="384">
        <v>46230</v>
      </c>
      <c r="AB299" s="384">
        <v>46236</v>
      </c>
      <c r="AC299" s="343" t="s">
        <v>337</v>
      </c>
      <c r="AD299" s="343">
        <v>4</v>
      </c>
      <c r="AE299" s="343">
        <v>367</v>
      </c>
      <c r="AF299" s="343">
        <v>0</v>
      </c>
      <c r="AG299" s="343">
        <v>0</v>
      </c>
      <c r="AH299" s="343">
        <v>367</v>
      </c>
      <c r="AI299" s="343">
        <v>33.03</v>
      </c>
    </row>
    <row r="300" spans="25:35">
      <c r="Y300" s="343" t="s">
        <v>165</v>
      </c>
      <c r="Z300" s="343" t="s">
        <v>166</v>
      </c>
      <c r="AA300" s="384">
        <v>46230</v>
      </c>
      <c r="AB300" s="384">
        <v>46236</v>
      </c>
      <c r="AC300" s="343" t="s">
        <v>106</v>
      </c>
      <c r="AD300" s="343">
        <v>2</v>
      </c>
      <c r="AE300" s="343">
        <v>489.7</v>
      </c>
      <c r="AF300" s="343">
        <v>0</v>
      </c>
      <c r="AG300" s="343">
        <v>0</v>
      </c>
      <c r="AH300" s="343">
        <v>489.7</v>
      </c>
      <c r="AI300" s="343">
        <v>0</v>
      </c>
    </row>
    <row r="301" spans="25:35">
      <c r="Y301" s="343" t="s">
        <v>165</v>
      </c>
      <c r="Z301" s="343" t="s">
        <v>166</v>
      </c>
      <c r="AA301" s="384">
        <v>46230</v>
      </c>
      <c r="AB301" s="384">
        <v>46236</v>
      </c>
      <c r="AC301" s="343" t="s">
        <v>289</v>
      </c>
      <c r="AD301" s="343">
        <v>5</v>
      </c>
      <c r="AE301" s="343">
        <v>5355</v>
      </c>
      <c r="AF301" s="343">
        <v>0</v>
      </c>
      <c r="AG301" s="343">
        <v>0</v>
      </c>
      <c r="AH301" s="343">
        <v>5355</v>
      </c>
      <c r="AI301" s="343">
        <v>481.95</v>
      </c>
    </row>
    <row r="302" spans="25:35">
      <c r="Y302" s="343" t="s">
        <v>165</v>
      </c>
      <c r="Z302" s="343" t="s">
        <v>166</v>
      </c>
      <c r="AA302" s="384">
        <v>46230</v>
      </c>
      <c r="AB302" s="384">
        <v>46236</v>
      </c>
      <c r="AC302" s="343" t="s">
        <v>285</v>
      </c>
      <c r="AD302" s="343">
        <v>1384</v>
      </c>
      <c r="AE302" s="343">
        <v>47081</v>
      </c>
      <c r="AF302" s="343">
        <v>5551</v>
      </c>
      <c r="AG302" s="343">
        <v>0</v>
      </c>
      <c r="AH302" s="343">
        <v>52632</v>
      </c>
      <c r="AI302" s="343">
        <v>4237.29</v>
      </c>
    </row>
    <row r="303" spans="25:35">
      <c r="Y303" s="343" t="s">
        <v>165</v>
      </c>
      <c r="Z303" s="343" t="s">
        <v>166</v>
      </c>
      <c r="AA303" s="384">
        <v>46230</v>
      </c>
      <c r="AB303" s="384">
        <v>46236</v>
      </c>
      <c r="AC303" s="343" t="s">
        <v>283</v>
      </c>
      <c r="AD303" s="343">
        <v>844</v>
      </c>
      <c r="AE303" s="343">
        <v>7937</v>
      </c>
      <c r="AF303" s="343">
        <v>424</v>
      </c>
      <c r="AG303" s="343">
        <v>0</v>
      </c>
      <c r="AH303" s="343">
        <v>8361</v>
      </c>
      <c r="AI303" s="343">
        <v>714.33</v>
      </c>
    </row>
    <row r="304" spans="25:35">
      <c r="Y304" s="343" t="s">
        <v>165</v>
      </c>
      <c r="Z304" s="343" t="s">
        <v>166</v>
      </c>
      <c r="AA304" s="384">
        <v>46230</v>
      </c>
      <c r="AB304" s="384">
        <v>46236</v>
      </c>
      <c r="AC304" s="343" t="s">
        <v>281</v>
      </c>
      <c r="AD304" s="343">
        <v>1649</v>
      </c>
      <c r="AE304" s="343">
        <v>95565</v>
      </c>
      <c r="AF304" s="343">
        <v>5401</v>
      </c>
      <c r="AG304" s="343">
        <v>0</v>
      </c>
      <c r="AH304" s="343">
        <v>100966</v>
      </c>
      <c r="AI304" s="343">
        <v>8600.85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279</v>
      </c>
      <c r="AD305" s="343">
        <v>73</v>
      </c>
      <c r="AE305" s="343">
        <v>552</v>
      </c>
      <c r="AF305" s="343">
        <v>336</v>
      </c>
      <c r="AG305" s="343">
        <v>0</v>
      </c>
      <c r="AH305" s="343">
        <v>888</v>
      </c>
      <c r="AI305" s="343">
        <v>49.68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277</v>
      </c>
      <c r="AD306" s="343">
        <v>43</v>
      </c>
      <c r="AE306" s="343">
        <v>7592</v>
      </c>
      <c r="AF306" s="343">
        <v>150</v>
      </c>
      <c r="AG306" s="343">
        <v>0</v>
      </c>
      <c r="AH306" s="343">
        <v>7742</v>
      </c>
      <c r="AI306" s="343">
        <v>683.28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293</v>
      </c>
      <c r="AD307" s="343">
        <v>23</v>
      </c>
      <c r="AE307" s="343">
        <v>4410</v>
      </c>
      <c r="AF307" s="343">
        <v>110</v>
      </c>
      <c r="AG307" s="343">
        <v>0</v>
      </c>
      <c r="AH307" s="343">
        <v>4520</v>
      </c>
      <c r="AI307" s="343">
        <v>396.9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287</v>
      </c>
      <c r="AD308" s="343">
        <v>216</v>
      </c>
      <c r="AE308" s="343">
        <v>5267</v>
      </c>
      <c r="AF308" s="343">
        <v>302</v>
      </c>
      <c r="AG308" s="343">
        <v>0</v>
      </c>
      <c r="AH308" s="343">
        <v>5569</v>
      </c>
      <c r="AI308" s="343">
        <v>474.03</v>
      </c>
    </row>
    <row r="309" spans="25:35">
      <c r="Y309" s="343" t="s">
        <v>165</v>
      </c>
      <c r="Z309" s="343" t="s">
        <v>168</v>
      </c>
      <c r="AA309" s="384">
        <v>46244</v>
      </c>
      <c r="AB309" s="384">
        <v>46250</v>
      </c>
      <c r="AC309" s="343" t="s">
        <v>106</v>
      </c>
      <c r="AD309" s="343">
        <v>1</v>
      </c>
      <c r="AE309" s="343">
        <v>773.3</v>
      </c>
      <c r="AF309" s="343">
        <v>0</v>
      </c>
      <c r="AG309" s="343">
        <v>0</v>
      </c>
      <c r="AH309" s="343">
        <v>773.3</v>
      </c>
      <c r="AI309" s="343">
        <v>0</v>
      </c>
    </row>
    <row r="310" spans="25:35">
      <c r="Y310" s="343" t="s">
        <v>165</v>
      </c>
      <c r="Z310" s="343" t="s">
        <v>169</v>
      </c>
      <c r="AA310" s="384">
        <v>46251</v>
      </c>
      <c r="AB310" s="384">
        <v>46257</v>
      </c>
      <c r="AC310" s="343" t="s">
        <v>106</v>
      </c>
      <c r="AD310" s="343">
        <v>2</v>
      </c>
      <c r="AE310" s="343">
        <v>135.75</v>
      </c>
      <c r="AF310" s="343">
        <v>0</v>
      </c>
      <c r="AG310" s="343">
        <v>0</v>
      </c>
      <c r="AH310" s="343">
        <v>135.75</v>
      </c>
      <c r="AI310" s="343">
        <v>0</v>
      </c>
    </row>
    <row r="311" spans="25:35">
      <c r="Y311" s="343" t="s">
        <v>171</v>
      </c>
      <c r="Z311" s="343" t="s">
        <v>172</v>
      </c>
      <c r="AA311" s="384">
        <v>46258</v>
      </c>
      <c r="AB311" s="384">
        <v>46264</v>
      </c>
      <c r="AC311" s="343" t="s">
        <v>106</v>
      </c>
      <c r="AD311" s="343">
        <v>0</v>
      </c>
      <c r="AE311" s="343">
        <v>0</v>
      </c>
      <c r="AF311" s="343">
        <v>0</v>
      </c>
      <c r="AG311" s="343">
        <v>0</v>
      </c>
      <c r="AH311" s="343">
        <v>0</v>
      </c>
      <c r="AI311" s="343">
        <v>0</v>
      </c>
    </row>
    <row r="312" spans="25:35">
      <c r="Y312" s="343" t="s">
        <v>171</v>
      </c>
      <c r="Z312" s="343" t="s">
        <v>101</v>
      </c>
      <c r="AA312" s="384">
        <v>46265</v>
      </c>
      <c r="AB312" s="384">
        <v>46271</v>
      </c>
      <c r="AC312" s="343" t="s">
        <v>106</v>
      </c>
      <c r="AD312" s="343">
        <v>4</v>
      </c>
      <c r="AE312" s="343">
        <v>530.79999999999995</v>
      </c>
      <c r="AF312" s="343">
        <v>0</v>
      </c>
      <c r="AG312" s="343">
        <v>0</v>
      </c>
      <c r="AH312" s="343">
        <v>530.79999999999995</v>
      </c>
      <c r="AI312" s="343"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253"/>
  <sheetViews>
    <sheetView topLeftCell="A55" workbookViewId="0">
      <selection activeCell="Y69" sqref="Y69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244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234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279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245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235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244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236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245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244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338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244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233</v>
      </c>
      <c r="W6" s="343" t="s">
        <v>123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6847</v>
      </c>
      <c r="AE6" s="343">
        <v>198218.28</v>
      </c>
      <c r="AF6" s="343">
        <v>4682.25</v>
      </c>
      <c r="AG6" s="343">
        <v>0</v>
      </c>
      <c r="AH6" s="343">
        <v>202900.53</v>
      </c>
      <c r="AI6" s="343">
        <v>12894.45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245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234</v>
      </c>
      <c r="W7" s="343" t="s">
        <v>123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281</v>
      </c>
      <c r="AD7" s="343">
        <v>2778</v>
      </c>
      <c r="AE7" s="343">
        <v>57098</v>
      </c>
      <c r="AF7" s="343">
        <v>1037</v>
      </c>
      <c r="AG7" s="343">
        <v>0</v>
      </c>
      <c r="AH7" s="343">
        <v>58135</v>
      </c>
      <c r="AI7" s="343">
        <v>3717.25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245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245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235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339</v>
      </c>
      <c r="AD8" s="343">
        <v>1275</v>
      </c>
      <c r="AE8" s="343">
        <v>10582</v>
      </c>
      <c r="AF8" s="343">
        <v>204</v>
      </c>
      <c r="AG8" s="343">
        <v>0</v>
      </c>
      <c r="AH8" s="343">
        <v>10786</v>
      </c>
      <c r="AI8" s="343">
        <v>691.04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232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244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236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277</v>
      </c>
      <c r="AD9" s="343">
        <v>1031</v>
      </c>
      <c r="AE9" s="343">
        <v>30654.01</v>
      </c>
      <c r="AF9" s="343">
        <v>1461</v>
      </c>
      <c r="AG9" s="343">
        <v>0</v>
      </c>
      <c r="AH9" s="343">
        <v>32115.01</v>
      </c>
      <c r="AI9" s="343">
        <v>1994.41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233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245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244</v>
      </c>
      <c r="W10" s="343" t="s">
        <v>123</v>
      </c>
      <c r="Y10" s="343" t="s">
        <v>121</v>
      </c>
      <c r="Z10" s="343" t="s">
        <v>123</v>
      </c>
      <c r="AA10" s="384">
        <v>46027</v>
      </c>
      <c r="AB10" s="384">
        <v>46033</v>
      </c>
      <c r="AC10" s="343" t="s">
        <v>293</v>
      </c>
      <c r="AD10" s="343">
        <v>2</v>
      </c>
      <c r="AE10" s="343">
        <v>415</v>
      </c>
      <c r="AF10" s="343">
        <v>0</v>
      </c>
      <c r="AG10" s="343">
        <v>0</v>
      </c>
      <c r="AH10" s="343">
        <v>415</v>
      </c>
      <c r="AI10" s="343">
        <v>26.98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234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244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234</v>
      </c>
      <c r="W11" s="343" t="s">
        <v>124</v>
      </c>
      <c r="Y11" s="343" t="s">
        <v>121</v>
      </c>
      <c r="Z11" s="343" t="s">
        <v>123</v>
      </c>
      <c r="AA11" s="384">
        <v>46027</v>
      </c>
      <c r="AB11" s="384">
        <v>46033</v>
      </c>
      <c r="AC11" s="343" t="s">
        <v>106</v>
      </c>
      <c r="AD11" s="343">
        <v>4</v>
      </c>
      <c r="AE11" s="343">
        <v>438.2</v>
      </c>
      <c r="AF11" s="343">
        <v>0</v>
      </c>
      <c r="AG11" s="343">
        <v>0</v>
      </c>
      <c r="AH11" s="343">
        <v>438.2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235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245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235</v>
      </c>
      <c r="W12" s="343" t="s">
        <v>124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279</v>
      </c>
      <c r="AD12" s="343">
        <v>154</v>
      </c>
      <c r="AE12" s="343">
        <v>1580</v>
      </c>
      <c r="AF12" s="343">
        <v>9.5</v>
      </c>
      <c r="AG12" s="343">
        <v>0</v>
      </c>
      <c r="AH12" s="343">
        <v>1589.5</v>
      </c>
      <c r="AI12" s="343">
        <v>103.14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236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244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236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285</v>
      </c>
      <c r="AD13" s="343">
        <v>5256</v>
      </c>
      <c r="AE13" s="343">
        <v>143727.28</v>
      </c>
      <c r="AF13" s="343">
        <v>4291.7</v>
      </c>
      <c r="AG13" s="343">
        <v>0</v>
      </c>
      <c r="AH13" s="343">
        <v>148018.98000000001</v>
      </c>
      <c r="AI13" s="343">
        <v>9351.6299999999992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244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245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244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281</v>
      </c>
      <c r="AD14" s="343">
        <v>2050</v>
      </c>
      <c r="AE14" s="343">
        <v>38820.06</v>
      </c>
      <c r="AF14" s="343">
        <v>1002.94</v>
      </c>
      <c r="AG14" s="343">
        <v>0</v>
      </c>
      <c r="AH14" s="343">
        <v>39823</v>
      </c>
      <c r="AI14" s="343">
        <v>2527.8200000000002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245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244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234</v>
      </c>
      <c r="W15" s="343" t="s">
        <v>125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339</v>
      </c>
      <c r="AD15" s="343">
        <v>1095</v>
      </c>
      <c r="AE15" s="343">
        <v>8812.4</v>
      </c>
      <c r="AF15" s="343">
        <v>278.60000000000002</v>
      </c>
      <c r="AG15" s="343">
        <v>0</v>
      </c>
      <c r="AH15" s="343">
        <v>9091</v>
      </c>
      <c r="AI15" s="343">
        <v>575.44000000000005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232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245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235</v>
      </c>
      <c r="W16" s="343" t="s">
        <v>125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277</v>
      </c>
      <c r="AD16" s="343">
        <v>788</v>
      </c>
      <c r="AE16" s="343">
        <v>24620.84</v>
      </c>
      <c r="AF16" s="343">
        <v>769.16</v>
      </c>
      <c r="AG16" s="343">
        <v>0</v>
      </c>
      <c r="AH16" s="343">
        <v>25390</v>
      </c>
      <c r="AI16" s="343">
        <v>1602.06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233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244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236</v>
      </c>
      <c r="W17" s="343" t="s">
        <v>125</v>
      </c>
      <c r="Y17" s="343" t="s">
        <v>121</v>
      </c>
      <c r="Z17" s="343" t="s">
        <v>124</v>
      </c>
      <c r="AA17" s="384">
        <v>46034</v>
      </c>
      <c r="AB17" s="384">
        <v>46040</v>
      </c>
      <c r="AC17" s="343" t="s">
        <v>279</v>
      </c>
      <c r="AD17" s="343">
        <v>160</v>
      </c>
      <c r="AE17" s="343">
        <v>1619</v>
      </c>
      <c r="AF17" s="343">
        <v>0</v>
      </c>
      <c r="AG17" s="343">
        <v>0</v>
      </c>
      <c r="AH17" s="343">
        <v>1619</v>
      </c>
      <c r="AI17" s="343">
        <v>105.68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234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245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244</v>
      </c>
      <c r="W18" s="343" t="s">
        <v>125</v>
      </c>
      <c r="Y18" s="343" t="s">
        <v>121</v>
      </c>
      <c r="Z18" s="343" t="s">
        <v>124</v>
      </c>
      <c r="AA18" s="384">
        <v>46034</v>
      </c>
      <c r="AB18" s="384">
        <v>46040</v>
      </c>
      <c r="AC18" s="343" t="s">
        <v>335</v>
      </c>
      <c r="AD18" s="343">
        <v>0</v>
      </c>
      <c r="AE18" s="343">
        <v>-49.34</v>
      </c>
      <c r="AF18" s="343">
        <v>0</v>
      </c>
      <c r="AG18" s="343">
        <v>49.34</v>
      </c>
      <c r="AH18" s="343">
        <v>0</v>
      </c>
      <c r="AI18" s="343">
        <v>0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235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244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234</v>
      </c>
      <c r="W19" s="343" t="s">
        <v>128</v>
      </c>
      <c r="Y19" s="343" t="s">
        <v>121</v>
      </c>
      <c r="Z19" s="343" t="s">
        <v>124</v>
      </c>
      <c r="AA19" s="384">
        <v>46034</v>
      </c>
      <c r="AB19" s="384">
        <v>46040</v>
      </c>
      <c r="AC19" s="343" t="s">
        <v>293</v>
      </c>
      <c r="AD19" s="343">
        <v>3</v>
      </c>
      <c r="AE19" s="343">
        <v>1130</v>
      </c>
      <c r="AF19" s="343">
        <v>0</v>
      </c>
      <c r="AG19" s="343">
        <v>0</v>
      </c>
      <c r="AH19" s="343">
        <v>1130</v>
      </c>
      <c r="AI19" s="343">
        <v>73.45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236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245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235</v>
      </c>
      <c r="W20" s="343" t="s">
        <v>128</v>
      </c>
      <c r="Y20" s="343" t="s">
        <v>121</v>
      </c>
      <c r="Z20" s="343" t="s">
        <v>124</v>
      </c>
      <c r="AA20" s="384">
        <v>46034</v>
      </c>
      <c r="AB20" s="384">
        <v>46040</v>
      </c>
      <c r="AC20" s="343" t="s">
        <v>106</v>
      </c>
      <c r="AD20" s="343">
        <v>5</v>
      </c>
      <c r="AE20" s="343">
        <v>904.8</v>
      </c>
      <c r="AF20" s="343">
        <v>0</v>
      </c>
      <c r="AG20" s="343">
        <v>0</v>
      </c>
      <c r="AH20" s="343">
        <v>904.8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244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244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236</v>
      </c>
      <c r="W21" s="343" t="s">
        <v>128</v>
      </c>
      <c r="Y21" s="343" t="s">
        <v>121</v>
      </c>
      <c r="Z21" s="343" t="s">
        <v>124</v>
      </c>
      <c r="AA21" s="384">
        <v>46034</v>
      </c>
      <c r="AB21" s="384">
        <v>46040</v>
      </c>
      <c r="AC21" s="343" t="s">
        <v>285</v>
      </c>
      <c r="AD21" s="343">
        <v>5452</v>
      </c>
      <c r="AE21" s="343">
        <v>152032.59</v>
      </c>
      <c r="AF21" s="343">
        <v>3634.91</v>
      </c>
      <c r="AG21" s="343">
        <v>0</v>
      </c>
      <c r="AH21" s="343">
        <v>155667.5</v>
      </c>
      <c r="AI21" s="343">
        <v>9891.84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245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245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244</v>
      </c>
      <c r="W22" s="343" t="s">
        <v>128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281</v>
      </c>
      <c r="AD22" s="343">
        <v>2423</v>
      </c>
      <c r="AE22" s="343">
        <v>48753.26</v>
      </c>
      <c r="AF22" s="343">
        <v>890.74</v>
      </c>
      <c r="AG22" s="343">
        <v>0</v>
      </c>
      <c r="AH22" s="343">
        <v>49644</v>
      </c>
      <c r="AI22" s="343">
        <v>3174.24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232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244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233</v>
      </c>
      <c r="W23" s="343" t="s">
        <v>129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339</v>
      </c>
      <c r="AD23" s="343">
        <v>1094</v>
      </c>
      <c r="AE23" s="343">
        <v>8834.5</v>
      </c>
      <c r="AF23" s="343">
        <v>226.5</v>
      </c>
      <c r="AG23" s="343">
        <v>0</v>
      </c>
      <c r="AH23" s="343">
        <v>9061</v>
      </c>
      <c r="AI23" s="343">
        <v>576.80999999999995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233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245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234</v>
      </c>
      <c r="W24" s="343" t="s">
        <v>129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277</v>
      </c>
      <c r="AD24" s="343">
        <v>861</v>
      </c>
      <c r="AE24" s="343">
        <v>29015</v>
      </c>
      <c r="AF24" s="343">
        <v>674</v>
      </c>
      <c r="AG24" s="343">
        <v>0</v>
      </c>
      <c r="AH24" s="343">
        <v>29689</v>
      </c>
      <c r="AI24" s="343">
        <v>1887.56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234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244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235</v>
      </c>
      <c r="W25" s="343" t="s">
        <v>129</v>
      </c>
      <c r="Y25" s="343" t="s">
        <v>121</v>
      </c>
      <c r="Z25" s="343" t="s">
        <v>125</v>
      </c>
      <c r="AA25" s="384">
        <v>46041</v>
      </c>
      <c r="AB25" s="384">
        <v>46047</v>
      </c>
      <c r="AC25" s="343" t="s">
        <v>106</v>
      </c>
      <c r="AD25" s="343">
        <v>7</v>
      </c>
      <c r="AE25" s="343">
        <v>1356.48</v>
      </c>
      <c r="AF25" s="343">
        <v>0</v>
      </c>
      <c r="AG25" s="343">
        <v>0</v>
      </c>
      <c r="AH25" s="343">
        <v>1356.48</v>
      </c>
      <c r="AI25" s="343">
        <v>0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235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245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236</v>
      </c>
      <c r="W26" s="343" t="s">
        <v>129</v>
      </c>
      <c r="Y26" s="343" t="s">
        <v>121</v>
      </c>
      <c r="Z26" s="343" t="s">
        <v>125</v>
      </c>
      <c r="AA26" s="384">
        <v>46041</v>
      </c>
      <c r="AB26" s="384">
        <v>46047</v>
      </c>
      <c r="AC26" s="343" t="s">
        <v>338</v>
      </c>
      <c r="AD26" s="343">
        <v>3</v>
      </c>
      <c r="AE26" s="343">
        <v>715.5</v>
      </c>
      <c r="AF26" s="343">
        <v>0</v>
      </c>
      <c r="AG26" s="343">
        <v>0</v>
      </c>
      <c r="AH26" s="343">
        <v>715.5</v>
      </c>
      <c r="AI26" s="343">
        <v>46.51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236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244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244</v>
      </c>
      <c r="W27" s="343" t="s">
        <v>129</v>
      </c>
      <c r="Y27" s="343" t="s">
        <v>121</v>
      </c>
      <c r="Z27" s="343" t="s">
        <v>125</v>
      </c>
      <c r="AA27" s="384">
        <v>46041</v>
      </c>
      <c r="AB27" s="384">
        <v>46047</v>
      </c>
      <c r="AC27" s="343" t="s">
        <v>279</v>
      </c>
      <c r="AD27" s="343">
        <v>170</v>
      </c>
      <c r="AE27" s="343">
        <v>1693.5</v>
      </c>
      <c r="AF27" s="343">
        <v>9.5</v>
      </c>
      <c r="AG27" s="343">
        <v>0</v>
      </c>
      <c r="AH27" s="343">
        <v>1703</v>
      </c>
      <c r="AI27" s="343">
        <v>110.48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244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245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245</v>
      </c>
      <c r="W28" s="343" t="s">
        <v>129</v>
      </c>
      <c r="Y28" s="343" t="s">
        <v>121</v>
      </c>
      <c r="Z28" s="343" t="s">
        <v>125</v>
      </c>
      <c r="AA28" s="384">
        <v>46041</v>
      </c>
      <c r="AB28" s="384">
        <v>46047</v>
      </c>
      <c r="AC28" s="343" t="s">
        <v>285</v>
      </c>
      <c r="AD28" s="343">
        <v>5307</v>
      </c>
      <c r="AE28" s="343">
        <v>148612.51</v>
      </c>
      <c r="AF28" s="343">
        <v>4221.9799999999996</v>
      </c>
      <c r="AG28" s="343">
        <v>0</v>
      </c>
      <c r="AH28" s="343">
        <v>152834.49</v>
      </c>
      <c r="AI28" s="343">
        <v>9668.66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245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244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233</v>
      </c>
      <c r="W29" s="343" t="s">
        <v>130</v>
      </c>
      <c r="Y29" s="343" t="s">
        <v>121</v>
      </c>
      <c r="Z29" s="343" t="s">
        <v>125</v>
      </c>
      <c r="AA29" s="384">
        <v>46041</v>
      </c>
      <c r="AB29" s="384">
        <v>46047</v>
      </c>
      <c r="AC29" s="343" t="s">
        <v>281</v>
      </c>
      <c r="AD29" s="343">
        <v>2441</v>
      </c>
      <c r="AE29" s="343">
        <v>48114.57</v>
      </c>
      <c r="AF29" s="343">
        <v>845.47</v>
      </c>
      <c r="AG29" s="343">
        <v>0</v>
      </c>
      <c r="AH29" s="343">
        <v>48960.04</v>
      </c>
      <c r="AI29" s="343">
        <v>3133.09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232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245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234</v>
      </c>
      <c r="W30" s="343" t="s">
        <v>130</v>
      </c>
      <c r="Y30" s="343" t="s">
        <v>121</v>
      </c>
      <c r="Z30" s="343" t="s">
        <v>125</v>
      </c>
      <c r="AA30" s="384">
        <v>46041</v>
      </c>
      <c r="AB30" s="384">
        <v>46047</v>
      </c>
      <c r="AC30" s="343" t="s">
        <v>339</v>
      </c>
      <c r="AD30" s="343">
        <v>1070</v>
      </c>
      <c r="AE30" s="343">
        <v>9062.15</v>
      </c>
      <c r="AF30" s="343">
        <v>171.86</v>
      </c>
      <c r="AG30" s="343">
        <v>0</v>
      </c>
      <c r="AH30" s="343">
        <v>9234.01</v>
      </c>
      <c r="AI30" s="343">
        <v>591.62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233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244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235</v>
      </c>
      <c r="W31" s="343" t="s">
        <v>130</v>
      </c>
      <c r="Y31" s="343" t="s">
        <v>121</v>
      </c>
      <c r="Z31" s="343" t="s">
        <v>125</v>
      </c>
      <c r="AA31" s="384">
        <v>46041</v>
      </c>
      <c r="AB31" s="384">
        <v>46047</v>
      </c>
      <c r="AC31" s="343" t="s">
        <v>277</v>
      </c>
      <c r="AD31" s="343">
        <v>864</v>
      </c>
      <c r="AE31" s="343">
        <v>31719.18</v>
      </c>
      <c r="AF31" s="343">
        <v>701.84</v>
      </c>
      <c r="AG31" s="343">
        <v>0</v>
      </c>
      <c r="AH31" s="343">
        <v>32421.02</v>
      </c>
      <c r="AI31" s="343">
        <v>2063.5700000000002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234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245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236</v>
      </c>
      <c r="W32" s="343" t="s">
        <v>130</v>
      </c>
      <c r="Y32" s="343" t="s">
        <v>127</v>
      </c>
      <c r="Z32" s="343" t="s">
        <v>128</v>
      </c>
      <c r="AA32" s="384">
        <v>46048</v>
      </c>
      <c r="AB32" s="384">
        <v>46054</v>
      </c>
      <c r="AC32" s="343" t="s">
        <v>293</v>
      </c>
      <c r="AD32" s="343">
        <v>99</v>
      </c>
      <c r="AE32" s="343">
        <v>3858</v>
      </c>
      <c r="AF32" s="343">
        <v>0</v>
      </c>
      <c r="AG32" s="343">
        <v>0</v>
      </c>
      <c r="AH32" s="343">
        <v>3858</v>
      </c>
      <c r="AI32" s="343">
        <v>250.85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235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244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244</v>
      </c>
      <c r="W33" s="343" t="s">
        <v>130</v>
      </c>
      <c r="Y33" s="343" t="s">
        <v>127</v>
      </c>
      <c r="Z33" s="343" t="s">
        <v>128</v>
      </c>
      <c r="AA33" s="384">
        <v>46048</v>
      </c>
      <c r="AB33" s="384">
        <v>46054</v>
      </c>
      <c r="AC33" s="343" t="s">
        <v>106</v>
      </c>
      <c r="AD33" s="343">
        <v>10</v>
      </c>
      <c r="AE33" s="343">
        <v>1533.53</v>
      </c>
      <c r="AF33" s="343">
        <v>0</v>
      </c>
      <c r="AG33" s="343">
        <v>0</v>
      </c>
      <c r="AH33" s="343">
        <v>1533.53</v>
      </c>
      <c r="AI33" s="343">
        <v>0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236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245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232</v>
      </c>
      <c r="W34" s="343" t="s">
        <v>131</v>
      </c>
      <c r="Y34" s="343" t="s">
        <v>127</v>
      </c>
      <c r="Z34" s="343" t="s">
        <v>128</v>
      </c>
      <c r="AA34" s="384">
        <v>46048</v>
      </c>
      <c r="AB34" s="384">
        <v>46054</v>
      </c>
      <c r="AC34" s="343" t="s">
        <v>338</v>
      </c>
      <c r="AD34" s="343">
        <v>1</v>
      </c>
      <c r="AE34" s="343">
        <v>232.5</v>
      </c>
      <c r="AF34" s="343">
        <v>0</v>
      </c>
      <c r="AG34" s="343">
        <v>0</v>
      </c>
      <c r="AH34" s="343">
        <v>232.5</v>
      </c>
      <c r="AI34" s="343">
        <v>15.11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244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244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234</v>
      </c>
      <c r="W35" s="343" t="s">
        <v>131</v>
      </c>
      <c r="Y35" s="343" t="s">
        <v>127</v>
      </c>
      <c r="Z35" s="343" t="s">
        <v>128</v>
      </c>
      <c r="AA35" s="384">
        <v>46048</v>
      </c>
      <c r="AB35" s="384">
        <v>46054</v>
      </c>
      <c r="AC35" s="343" t="s">
        <v>279</v>
      </c>
      <c r="AD35" s="343">
        <v>185</v>
      </c>
      <c r="AE35" s="343">
        <v>1883.5</v>
      </c>
      <c r="AF35" s="343">
        <v>19</v>
      </c>
      <c r="AG35" s="343">
        <v>0</v>
      </c>
      <c r="AH35" s="343">
        <v>1902.5</v>
      </c>
      <c r="AI35" s="343">
        <v>122.93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245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245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235</v>
      </c>
      <c r="W36" s="343" t="s">
        <v>131</v>
      </c>
      <c r="Y36" s="343" t="s">
        <v>127</v>
      </c>
      <c r="Z36" s="343" t="s">
        <v>128</v>
      </c>
      <c r="AA36" s="384">
        <v>46048</v>
      </c>
      <c r="AB36" s="384">
        <v>46054</v>
      </c>
      <c r="AC36" s="343" t="s">
        <v>285</v>
      </c>
      <c r="AD36" s="343">
        <v>4989</v>
      </c>
      <c r="AE36" s="343">
        <v>138580.76999999999</v>
      </c>
      <c r="AF36" s="343">
        <v>3268.8</v>
      </c>
      <c r="AG36" s="343">
        <v>0</v>
      </c>
      <c r="AH36" s="343">
        <v>141849.57</v>
      </c>
      <c r="AI36" s="343">
        <v>9016.2800000000007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232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244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236</v>
      </c>
      <c r="W37" s="343" t="s">
        <v>131</v>
      </c>
      <c r="Y37" s="343" t="s">
        <v>127</v>
      </c>
      <c r="Z37" s="343" t="s">
        <v>128</v>
      </c>
      <c r="AA37" s="384">
        <v>46048</v>
      </c>
      <c r="AB37" s="384">
        <v>46054</v>
      </c>
      <c r="AC37" s="343" t="s">
        <v>281</v>
      </c>
      <c r="AD37" s="343">
        <v>2446</v>
      </c>
      <c r="AE37" s="343">
        <v>44957</v>
      </c>
      <c r="AF37" s="343">
        <v>558</v>
      </c>
      <c r="AG37" s="343">
        <v>0</v>
      </c>
      <c r="AH37" s="343">
        <v>45515</v>
      </c>
      <c r="AI37" s="343">
        <v>2927.29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233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245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244</v>
      </c>
      <c r="W38" s="343" t="s">
        <v>131</v>
      </c>
      <c r="Y38" s="343" t="s">
        <v>127</v>
      </c>
      <c r="Z38" s="343" t="s">
        <v>128</v>
      </c>
      <c r="AA38" s="384">
        <v>46048</v>
      </c>
      <c r="AB38" s="384">
        <v>46054</v>
      </c>
      <c r="AC38" s="343" t="s">
        <v>339</v>
      </c>
      <c r="AD38" s="343">
        <v>963</v>
      </c>
      <c r="AE38" s="343">
        <v>7430</v>
      </c>
      <c r="AF38" s="343">
        <v>42</v>
      </c>
      <c r="AG38" s="343">
        <v>0</v>
      </c>
      <c r="AH38" s="343">
        <v>7472</v>
      </c>
      <c r="AI38" s="343">
        <v>485.01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234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244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245</v>
      </c>
      <c r="W39" s="343" t="s">
        <v>131</v>
      </c>
      <c r="Y39" s="343" t="s">
        <v>127</v>
      </c>
      <c r="Z39" s="343" t="s">
        <v>128</v>
      </c>
      <c r="AA39" s="384">
        <v>46048</v>
      </c>
      <c r="AB39" s="384">
        <v>46054</v>
      </c>
      <c r="AC39" s="343" t="s">
        <v>277</v>
      </c>
      <c r="AD39" s="343">
        <v>969</v>
      </c>
      <c r="AE39" s="343">
        <v>34003</v>
      </c>
      <c r="AF39" s="343">
        <v>432</v>
      </c>
      <c r="AG39" s="343">
        <v>0</v>
      </c>
      <c r="AH39" s="343">
        <v>34435</v>
      </c>
      <c r="AI39" s="343">
        <v>2212.19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235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245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234</v>
      </c>
      <c r="W40" s="343" t="s">
        <v>134</v>
      </c>
      <c r="Y40" s="343" t="s">
        <v>127</v>
      </c>
      <c r="Z40" s="343" t="s">
        <v>129</v>
      </c>
      <c r="AA40" s="384">
        <v>46055</v>
      </c>
      <c r="AB40" s="384">
        <v>46061</v>
      </c>
      <c r="AC40" s="343" t="s">
        <v>340</v>
      </c>
      <c r="AD40" s="343">
        <v>1</v>
      </c>
      <c r="AE40" s="343">
        <v>40</v>
      </c>
      <c r="AF40" s="343">
        <v>0</v>
      </c>
      <c r="AG40" s="343">
        <v>0</v>
      </c>
      <c r="AH40" s="343">
        <v>40</v>
      </c>
      <c r="AI40" s="343">
        <v>2.6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236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235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235</v>
      </c>
      <c r="W41" s="343" t="s">
        <v>134</v>
      </c>
      <c r="Y41" s="343" t="s">
        <v>127</v>
      </c>
      <c r="Z41" s="343" t="s">
        <v>129</v>
      </c>
      <c r="AA41" s="384">
        <v>46055</v>
      </c>
      <c r="AB41" s="384">
        <v>46061</v>
      </c>
      <c r="AC41" s="343" t="s">
        <v>279</v>
      </c>
      <c r="AD41" s="343">
        <v>212</v>
      </c>
      <c r="AE41" s="343">
        <v>2143.5</v>
      </c>
      <c r="AF41" s="343">
        <v>0</v>
      </c>
      <c r="AG41" s="343">
        <v>0</v>
      </c>
      <c r="AH41" s="343">
        <v>2143.5</v>
      </c>
      <c r="AI41" s="343">
        <v>139.85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244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244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236</v>
      </c>
      <c r="W42" s="343" t="s">
        <v>134</v>
      </c>
      <c r="Y42" s="343" t="s">
        <v>127</v>
      </c>
      <c r="Z42" s="343" t="s">
        <v>129</v>
      </c>
      <c r="AA42" s="384">
        <v>46055</v>
      </c>
      <c r="AB42" s="384">
        <v>46061</v>
      </c>
      <c r="AC42" s="343" t="s">
        <v>335</v>
      </c>
      <c r="AD42" s="343">
        <v>0</v>
      </c>
      <c r="AE42" s="343">
        <v>-281.16000000000003</v>
      </c>
      <c r="AF42" s="343">
        <v>0</v>
      </c>
      <c r="AG42" s="343">
        <v>281.16000000000003</v>
      </c>
      <c r="AH42" s="343">
        <v>0</v>
      </c>
      <c r="AI42" s="343">
        <v>0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245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245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244</v>
      </c>
      <c r="W43" s="343" t="s">
        <v>134</v>
      </c>
      <c r="Y43" s="343" t="s">
        <v>127</v>
      </c>
      <c r="Z43" s="343" t="s">
        <v>129</v>
      </c>
      <c r="AA43" s="384">
        <v>46055</v>
      </c>
      <c r="AB43" s="384">
        <v>46061</v>
      </c>
      <c r="AC43" s="343" t="s">
        <v>106</v>
      </c>
      <c r="AD43" s="343">
        <v>9</v>
      </c>
      <c r="AE43" s="343">
        <v>2435.09</v>
      </c>
      <c r="AF43" s="343">
        <v>0</v>
      </c>
      <c r="AG43" s="343">
        <v>0</v>
      </c>
      <c r="AH43" s="343">
        <v>2435.09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232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244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234</v>
      </c>
      <c r="W44" s="343" t="s">
        <v>135</v>
      </c>
      <c r="Y44" s="343" t="s">
        <v>127</v>
      </c>
      <c r="Z44" s="343" t="s">
        <v>129</v>
      </c>
      <c r="AA44" s="384">
        <v>46055</v>
      </c>
      <c r="AB44" s="384">
        <v>46061</v>
      </c>
      <c r="AC44" s="343" t="s">
        <v>338</v>
      </c>
      <c r="AD44" s="343">
        <v>2</v>
      </c>
      <c r="AE44" s="343">
        <v>750</v>
      </c>
      <c r="AF44" s="343">
        <v>0</v>
      </c>
      <c r="AG44" s="343">
        <v>0</v>
      </c>
      <c r="AH44" s="343">
        <v>750</v>
      </c>
      <c r="AI44" s="343">
        <v>48.76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233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245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235</v>
      </c>
      <c r="W45" s="343" t="s">
        <v>135</v>
      </c>
      <c r="Y45" s="343" t="s">
        <v>127</v>
      </c>
      <c r="Z45" s="343" t="s">
        <v>129</v>
      </c>
      <c r="AA45" s="384">
        <v>46055</v>
      </c>
      <c r="AB45" s="384">
        <v>46061</v>
      </c>
      <c r="AC45" s="343" t="s">
        <v>285</v>
      </c>
      <c r="AD45" s="343">
        <v>5825</v>
      </c>
      <c r="AE45" s="343">
        <v>166843.46</v>
      </c>
      <c r="AF45" s="343">
        <v>5162.03</v>
      </c>
      <c r="AG45" s="343">
        <v>0</v>
      </c>
      <c r="AH45" s="343">
        <v>172005.49</v>
      </c>
      <c r="AI45" s="343">
        <v>10854.18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234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244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236</v>
      </c>
      <c r="W46" s="343" t="s">
        <v>135</v>
      </c>
      <c r="Y46" s="343" t="s">
        <v>127</v>
      </c>
      <c r="Z46" s="343" t="s">
        <v>129</v>
      </c>
      <c r="AA46" s="384">
        <v>46055</v>
      </c>
      <c r="AB46" s="384">
        <v>46061</v>
      </c>
      <c r="AC46" s="343" t="s">
        <v>281</v>
      </c>
      <c r="AD46" s="343">
        <v>3064</v>
      </c>
      <c r="AE46" s="343">
        <v>60094.63</v>
      </c>
      <c r="AF46" s="343">
        <v>887.37</v>
      </c>
      <c r="AG46" s="343">
        <v>0</v>
      </c>
      <c r="AH46" s="343">
        <v>60982</v>
      </c>
      <c r="AI46" s="343">
        <v>3912.08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235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245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244</v>
      </c>
      <c r="W47" s="343" t="s">
        <v>135</v>
      </c>
      <c r="Y47" s="343" t="s">
        <v>127</v>
      </c>
      <c r="Z47" s="343" t="s">
        <v>129</v>
      </c>
      <c r="AA47" s="384">
        <v>46055</v>
      </c>
      <c r="AB47" s="384">
        <v>46061</v>
      </c>
      <c r="AC47" s="343" t="s">
        <v>339</v>
      </c>
      <c r="AD47" s="343">
        <v>989</v>
      </c>
      <c r="AE47" s="343">
        <v>8019.44</v>
      </c>
      <c r="AF47" s="343">
        <v>209.56</v>
      </c>
      <c r="AG47" s="343">
        <v>0</v>
      </c>
      <c r="AH47" s="343">
        <v>8229</v>
      </c>
      <c r="AI47" s="343">
        <v>523.51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236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244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232</v>
      </c>
      <c r="W48" s="343" t="s">
        <v>136</v>
      </c>
      <c r="Y48" s="343" t="s">
        <v>127</v>
      </c>
      <c r="Z48" s="343" t="s">
        <v>129</v>
      </c>
      <c r="AA48" s="384">
        <v>46055</v>
      </c>
      <c r="AB48" s="384">
        <v>46061</v>
      </c>
      <c r="AC48" s="343" t="s">
        <v>277</v>
      </c>
      <c r="AD48" s="343">
        <v>1039</v>
      </c>
      <c r="AE48" s="343">
        <v>32876.959999999999</v>
      </c>
      <c r="AF48" s="343">
        <v>1076.04</v>
      </c>
      <c r="AG48" s="343">
        <v>0</v>
      </c>
      <c r="AH48" s="343">
        <v>33953</v>
      </c>
      <c r="AI48" s="343">
        <v>2138.9499999999998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244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245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234</v>
      </c>
      <c r="W49" s="343" t="s">
        <v>136</v>
      </c>
      <c r="Y49" s="343" t="s">
        <v>127</v>
      </c>
      <c r="Z49" s="343" t="s">
        <v>130</v>
      </c>
      <c r="AA49" s="384">
        <v>46062</v>
      </c>
      <c r="AB49" s="384">
        <v>46068</v>
      </c>
      <c r="AC49" s="343" t="s">
        <v>279</v>
      </c>
      <c r="AD49" s="343">
        <v>183</v>
      </c>
      <c r="AE49" s="343">
        <v>1859.5</v>
      </c>
      <c r="AF49" s="343">
        <v>0</v>
      </c>
      <c r="AG49" s="343">
        <v>0</v>
      </c>
      <c r="AH49" s="343">
        <v>1859.5</v>
      </c>
      <c r="AI49" s="343">
        <v>121.37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245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244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235</v>
      </c>
      <c r="W50" s="343" t="s">
        <v>136</v>
      </c>
      <c r="Y50" s="343" t="s">
        <v>127</v>
      </c>
      <c r="Z50" s="343" t="s">
        <v>130</v>
      </c>
      <c r="AA50" s="384">
        <v>46062</v>
      </c>
      <c r="AB50" s="384">
        <v>46068</v>
      </c>
      <c r="AC50" s="343" t="s">
        <v>293</v>
      </c>
      <c r="AD50" s="343">
        <v>1</v>
      </c>
      <c r="AE50" s="343">
        <v>65</v>
      </c>
      <c r="AF50" s="343">
        <v>0</v>
      </c>
      <c r="AG50" s="343">
        <v>0</v>
      </c>
      <c r="AH50" s="343">
        <v>65</v>
      </c>
      <c r="AI50" s="343">
        <v>4.2300000000000004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232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245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236</v>
      </c>
      <c r="W51" s="343" t="s">
        <v>136</v>
      </c>
      <c r="Y51" s="343" t="s">
        <v>127</v>
      </c>
      <c r="Z51" s="343" t="s">
        <v>130</v>
      </c>
      <c r="AA51" s="384">
        <v>46062</v>
      </c>
      <c r="AB51" s="384">
        <v>46068</v>
      </c>
      <c r="AC51" s="343" t="s">
        <v>106</v>
      </c>
      <c r="AD51" s="343">
        <v>9</v>
      </c>
      <c r="AE51" s="343">
        <v>758</v>
      </c>
      <c r="AF51" s="343">
        <v>0</v>
      </c>
      <c r="AG51" s="343">
        <v>0</v>
      </c>
      <c r="AH51" s="343">
        <v>758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233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244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244</v>
      </c>
      <c r="W52" s="343" t="s">
        <v>136</v>
      </c>
      <c r="Y52" s="343" t="s">
        <v>127</v>
      </c>
      <c r="Z52" s="343" t="s">
        <v>130</v>
      </c>
      <c r="AA52" s="384">
        <v>46062</v>
      </c>
      <c r="AB52" s="384">
        <v>46068</v>
      </c>
      <c r="AC52" s="343" t="s">
        <v>338</v>
      </c>
      <c r="AD52" s="343">
        <v>4</v>
      </c>
      <c r="AE52" s="343">
        <v>1073.5</v>
      </c>
      <c r="AF52" s="343">
        <v>0</v>
      </c>
      <c r="AG52" s="343">
        <v>0</v>
      </c>
      <c r="AH52" s="343">
        <v>1073.5</v>
      </c>
      <c r="AI52" s="343">
        <v>69.78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234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245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234</v>
      </c>
      <c r="W53" s="343" t="s">
        <v>137</v>
      </c>
      <c r="Y53" s="343" t="s">
        <v>127</v>
      </c>
      <c r="Z53" s="343" t="s">
        <v>130</v>
      </c>
      <c r="AA53" s="384">
        <v>46062</v>
      </c>
      <c r="AB53" s="384">
        <v>46068</v>
      </c>
      <c r="AC53" s="343" t="s">
        <v>285</v>
      </c>
      <c r="AD53" s="343">
        <v>7361</v>
      </c>
      <c r="AE53" s="343">
        <v>207495.45</v>
      </c>
      <c r="AF53" s="343">
        <v>4661.9799999999996</v>
      </c>
      <c r="AG53" s="343">
        <v>0</v>
      </c>
      <c r="AH53" s="343">
        <v>212157.43</v>
      </c>
      <c r="AI53" s="343">
        <v>13174.83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235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244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235</v>
      </c>
      <c r="W54" s="343" t="s">
        <v>137</v>
      </c>
      <c r="Y54" s="343" t="s">
        <v>127</v>
      </c>
      <c r="Z54" s="343" t="s">
        <v>130</v>
      </c>
      <c r="AA54" s="384">
        <v>46062</v>
      </c>
      <c r="AB54" s="384">
        <v>46068</v>
      </c>
      <c r="AC54" s="343" t="s">
        <v>281</v>
      </c>
      <c r="AD54" s="343">
        <v>2959</v>
      </c>
      <c r="AE54" s="343">
        <v>56710.239999999998</v>
      </c>
      <c r="AF54" s="343">
        <v>1720.92</v>
      </c>
      <c r="AG54" s="343">
        <v>0</v>
      </c>
      <c r="AH54" s="343">
        <v>58431.16</v>
      </c>
      <c r="AI54" s="343">
        <v>3693.06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236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245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236</v>
      </c>
      <c r="W55" s="343" t="s">
        <v>137</v>
      </c>
      <c r="Y55" s="343" t="s">
        <v>127</v>
      </c>
      <c r="Z55" s="343" t="s">
        <v>130</v>
      </c>
      <c r="AA55" s="384">
        <v>46062</v>
      </c>
      <c r="AB55" s="384">
        <v>46068</v>
      </c>
      <c r="AC55" s="343" t="s">
        <v>339</v>
      </c>
      <c r="AD55" s="343">
        <v>1282</v>
      </c>
      <c r="AE55" s="343">
        <v>10055.1</v>
      </c>
      <c r="AF55" s="343">
        <v>378.9</v>
      </c>
      <c r="AG55" s="343">
        <v>0</v>
      </c>
      <c r="AH55" s="343">
        <v>10434</v>
      </c>
      <c r="AI55" s="343">
        <v>656.77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244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244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244</v>
      </c>
      <c r="W56" s="343" t="s">
        <v>137</v>
      </c>
      <c r="Y56" s="343" t="s">
        <v>127</v>
      </c>
      <c r="Z56" s="343" t="s">
        <v>130</v>
      </c>
      <c r="AA56" s="384">
        <v>46062</v>
      </c>
      <c r="AB56" s="384">
        <v>46068</v>
      </c>
      <c r="AC56" s="343" t="s">
        <v>277</v>
      </c>
      <c r="AD56" s="343">
        <v>1048</v>
      </c>
      <c r="AE56" s="343">
        <v>26669</v>
      </c>
      <c r="AF56" s="343">
        <v>469</v>
      </c>
      <c r="AG56" s="343">
        <v>0</v>
      </c>
      <c r="AH56" s="343">
        <v>27138</v>
      </c>
      <c r="AI56" s="343">
        <v>1735.51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245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245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232</v>
      </c>
      <c r="W57" s="343" t="s">
        <v>138</v>
      </c>
      <c r="Y57" s="343" t="s">
        <v>127</v>
      </c>
      <c r="Z57" s="343" t="s">
        <v>131</v>
      </c>
      <c r="AA57" s="384">
        <v>46069</v>
      </c>
      <c r="AB57" s="384">
        <v>46075</v>
      </c>
      <c r="AC57" s="343" t="s">
        <v>340</v>
      </c>
      <c r="AD57" s="343">
        <v>1</v>
      </c>
      <c r="AE57" s="343">
        <v>158</v>
      </c>
      <c r="AF57" s="343">
        <v>0</v>
      </c>
      <c r="AG57" s="343">
        <v>0</v>
      </c>
      <c r="AH57" s="343">
        <v>158</v>
      </c>
      <c r="AI57" s="343">
        <v>10.27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232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244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233</v>
      </c>
      <c r="W58" s="343" t="s">
        <v>138</v>
      </c>
      <c r="Y58" s="343" t="s">
        <v>127</v>
      </c>
      <c r="Z58" s="343" t="s">
        <v>131</v>
      </c>
      <c r="AA58" s="384">
        <v>46069</v>
      </c>
      <c r="AB58" s="384">
        <v>46075</v>
      </c>
      <c r="AC58" s="343" t="s">
        <v>279</v>
      </c>
      <c r="AD58" s="343">
        <v>209</v>
      </c>
      <c r="AE58" s="343">
        <v>2079</v>
      </c>
      <c r="AF58" s="343">
        <v>0</v>
      </c>
      <c r="AG58" s="343">
        <v>0</v>
      </c>
      <c r="AH58" s="343">
        <v>2079</v>
      </c>
      <c r="AI58" s="343">
        <v>135.65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233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245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234</v>
      </c>
      <c r="W59" s="343" t="s">
        <v>138</v>
      </c>
      <c r="Y59" s="343" t="s">
        <v>127</v>
      </c>
      <c r="Z59" s="343" t="s">
        <v>131</v>
      </c>
      <c r="AA59" s="384">
        <v>46069</v>
      </c>
      <c r="AB59" s="384">
        <v>46075</v>
      </c>
      <c r="AC59" s="343" t="s">
        <v>335</v>
      </c>
      <c r="AD59" s="343">
        <v>0</v>
      </c>
      <c r="AE59" s="343">
        <v>-43.45</v>
      </c>
      <c r="AF59" s="343">
        <v>0</v>
      </c>
      <c r="AG59" s="343">
        <v>43.45</v>
      </c>
      <c r="AH59" s="343">
        <v>0</v>
      </c>
      <c r="AI59" s="343">
        <v>0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234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244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235</v>
      </c>
      <c r="W60" s="343" t="s">
        <v>138</v>
      </c>
      <c r="Y60" s="343" t="s">
        <v>127</v>
      </c>
      <c r="Z60" s="343" t="s">
        <v>131</v>
      </c>
      <c r="AA60" s="384">
        <v>46069</v>
      </c>
      <c r="AB60" s="384">
        <v>46075</v>
      </c>
      <c r="AC60" s="343" t="s">
        <v>293</v>
      </c>
      <c r="AD60" s="343">
        <v>2</v>
      </c>
      <c r="AE60" s="343">
        <v>450</v>
      </c>
      <c r="AF60" s="343">
        <v>0</v>
      </c>
      <c r="AG60" s="343">
        <v>0</v>
      </c>
      <c r="AH60" s="343">
        <v>450</v>
      </c>
      <c r="AI60" s="343">
        <v>29.26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235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245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236</v>
      </c>
      <c r="W61" s="343" t="s">
        <v>138</v>
      </c>
      <c r="Y61" s="343" t="s">
        <v>127</v>
      </c>
      <c r="Z61" s="343" t="s">
        <v>131</v>
      </c>
      <c r="AA61" s="384">
        <v>46069</v>
      </c>
      <c r="AB61" s="384">
        <v>46075</v>
      </c>
      <c r="AC61" s="343" t="s">
        <v>106</v>
      </c>
      <c r="AD61" s="343">
        <v>9</v>
      </c>
      <c r="AE61" s="343">
        <v>1377.02</v>
      </c>
      <c r="AF61" s="343">
        <v>0</v>
      </c>
      <c r="AG61" s="343">
        <v>0</v>
      </c>
      <c r="AH61" s="343">
        <v>1377.02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236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244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244</v>
      </c>
      <c r="W62" s="343" t="s">
        <v>138</v>
      </c>
      <c r="Y62" s="343" t="s">
        <v>127</v>
      </c>
      <c r="Z62" s="343" t="s">
        <v>131</v>
      </c>
      <c r="AA62" s="384">
        <v>46069</v>
      </c>
      <c r="AB62" s="384">
        <v>46075</v>
      </c>
      <c r="AC62" s="343" t="s">
        <v>338</v>
      </c>
      <c r="AD62" s="343">
        <v>3</v>
      </c>
      <c r="AE62" s="343">
        <v>941</v>
      </c>
      <c r="AF62" s="343">
        <v>0</v>
      </c>
      <c r="AG62" s="343">
        <v>0</v>
      </c>
      <c r="AH62" s="343">
        <v>941</v>
      </c>
      <c r="AI62" s="343">
        <v>61.17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244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245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234</v>
      </c>
      <c r="W63" s="343" t="s">
        <v>141</v>
      </c>
      <c r="Y63" s="343" t="s">
        <v>127</v>
      </c>
      <c r="Z63" s="343" t="s">
        <v>131</v>
      </c>
      <c r="AA63" s="384">
        <v>46069</v>
      </c>
      <c r="AB63" s="384">
        <v>46075</v>
      </c>
      <c r="AC63" s="343" t="s">
        <v>285</v>
      </c>
      <c r="AD63" s="343">
        <v>6539.5</v>
      </c>
      <c r="AE63" s="343">
        <v>184615.9</v>
      </c>
      <c r="AF63" s="343">
        <v>4981.59</v>
      </c>
      <c r="AG63" s="343">
        <v>0</v>
      </c>
      <c r="AH63" s="343">
        <v>189597.49</v>
      </c>
      <c r="AI63" s="343">
        <v>12011.14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245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244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235</v>
      </c>
      <c r="W64" s="343" t="s">
        <v>141</v>
      </c>
      <c r="Y64" s="343" t="s">
        <v>127</v>
      </c>
      <c r="Z64" s="343" t="s">
        <v>131</v>
      </c>
      <c r="AA64" s="384">
        <v>46069</v>
      </c>
      <c r="AB64" s="384">
        <v>46075</v>
      </c>
      <c r="AC64" s="343" t="s">
        <v>281</v>
      </c>
      <c r="AD64" s="343">
        <v>3235</v>
      </c>
      <c r="AE64" s="343">
        <v>63865.09</v>
      </c>
      <c r="AF64" s="343">
        <v>1707.41</v>
      </c>
      <c r="AG64" s="343">
        <v>0</v>
      </c>
      <c r="AH64" s="343">
        <v>65572.5</v>
      </c>
      <c r="AI64" s="343">
        <v>4155.4799999999996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232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245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236</v>
      </c>
      <c r="W65" s="343" t="s">
        <v>141</v>
      </c>
      <c r="Y65" s="343" t="s">
        <v>127</v>
      </c>
      <c r="Z65" s="343" t="s">
        <v>131</v>
      </c>
      <c r="AA65" s="384">
        <v>46069</v>
      </c>
      <c r="AB65" s="384">
        <v>46075</v>
      </c>
      <c r="AC65" s="343" t="s">
        <v>339</v>
      </c>
      <c r="AD65" s="343">
        <v>1306</v>
      </c>
      <c r="AE65" s="343">
        <v>10781.9</v>
      </c>
      <c r="AF65" s="343">
        <v>330.16</v>
      </c>
      <c r="AG65" s="343">
        <v>0</v>
      </c>
      <c r="AH65" s="343">
        <v>11112.06</v>
      </c>
      <c r="AI65" s="343">
        <v>703.98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233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244</v>
      </c>
      <c r="O66" s="343" t="s">
        <v>168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244</v>
      </c>
      <c r="W66" s="343" t="s">
        <v>141</v>
      </c>
      <c r="Y66" s="343" t="s">
        <v>127</v>
      </c>
      <c r="Z66" s="343" t="s">
        <v>131</v>
      </c>
      <c r="AA66" s="384">
        <v>46069</v>
      </c>
      <c r="AB66" s="384">
        <v>46075</v>
      </c>
      <c r="AC66" s="343" t="s">
        <v>277</v>
      </c>
      <c r="AD66" s="343">
        <v>1083</v>
      </c>
      <c r="AE66" s="343">
        <v>35775.56</v>
      </c>
      <c r="AF66" s="343">
        <v>1211.44</v>
      </c>
      <c r="AG66" s="343">
        <v>0</v>
      </c>
      <c r="AH66" s="343">
        <v>36987</v>
      </c>
      <c r="AI66" s="343">
        <v>2327.42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234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245</v>
      </c>
      <c r="O67" s="343" t="s">
        <v>168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232</v>
      </c>
      <c r="W67" s="343" t="s">
        <v>142</v>
      </c>
      <c r="Y67" s="343" t="s">
        <v>133</v>
      </c>
      <c r="Z67" s="343" t="s">
        <v>134</v>
      </c>
      <c r="AA67" s="384">
        <v>46076</v>
      </c>
      <c r="AB67" s="384">
        <v>46082</v>
      </c>
      <c r="AC67" s="343" t="s">
        <v>335</v>
      </c>
      <c r="AD67" s="343">
        <v>0</v>
      </c>
      <c r="AE67" s="343">
        <v>-60.07</v>
      </c>
      <c r="AF67" s="343">
        <v>0</v>
      </c>
      <c r="AG67" s="343">
        <v>60.07</v>
      </c>
      <c r="AH67" s="343">
        <v>0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235</v>
      </c>
      <c r="G68" s="343" t="s">
        <v>135</v>
      </c>
      <c r="I68" s="343">
        <v>20260822</v>
      </c>
      <c r="J68" s="343">
        <v>10425.5</v>
      </c>
      <c r="K68" s="343">
        <v>56</v>
      </c>
      <c r="L68" s="343">
        <v>163</v>
      </c>
      <c r="M68" s="384">
        <v>46256</v>
      </c>
      <c r="N68" s="343" t="s">
        <v>244</v>
      </c>
      <c r="O68" s="343" t="s">
        <v>169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233</v>
      </c>
      <c r="W68" s="343" t="s">
        <v>142</v>
      </c>
      <c r="Y68" s="343" t="s">
        <v>133</v>
      </c>
      <c r="Z68" s="343" t="s">
        <v>134</v>
      </c>
      <c r="AA68" s="384">
        <v>46076</v>
      </c>
      <c r="AB68" s="384">
        <v>46082</v>
      </c>
      <c r="AC68" s="343" t="s">
        <v>293</v>
      </c>
      <c r="AD68" s="343">
        <v>1</v>
      </c>
      <c r="AE68" s="343">
        <v>90</v>
      </c>
      <c r="AF68" s="343">
        <v>0</v>
      </c>
      <c r="AG68" s="343">
        <v>0</v>
      </c>
      <c r="AH68" s="343">
        <v>90</v>
      </c>
      <c r="AI68" s="343">
        <v>5.85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236</v>
      </c>
      <c r="G69" s="343" t="s">
        <v>135</v>
      </c>
      <c r="I69" s="343">
        <v>20260823</v>
      </c>
      <c r="J69" s="343">
        <v>7360.5</v>
      </c>
      <c r="K69" s="343">
        <v>54</v>
      </c>
      <c r="L69" s="343">
        <v>136</v>
      </c>
      <c r="M69" s="384">
        <v>46257</v>
      </c>
      <c r="N69" s="343" t="s">
        <v>245</v>
      </c>
      <c r="O69" s="343" t="s">
        <v>169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234</v>
      </c>
      <c r="W69" s="343" t="s">
        <v>142</v>
      </c>
      <c r="Y69" s="343" t="s">
        <v>133</v>
      </c>
      <c r="Z69" s="343" t="s">
        <v>134</v>
      </c>
      <c r="AA69" s="384">
        <v>46076</v>
      </c>
      <c r="AB69" s="384">
        <v>46082</v>
      </c>
      <c r="AC69" s="343" t="s">
        <v>106</v>
      </c>
      <c r="AD69" s="343">
        <v>6</v>
      </c>
      <c r="AE69" s="343">
        <v>808.47</v>
      </c>
      <c r="AF69" s="343">
        <v>0</v>
      </c>
      <c r="AG69" s="343">
        <v>0</v>
      </c>
      <c r="AH69" s="343">
        <v>808.47</v>
      </c>
      <c r="AI69" s="343">
        <v>0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244</v>
      </c>
      <c r="G70" s="343" t="s">
        <v>135</v>
      </c>
      <c r="I70" s="343">
        <v>20260829</v>
      </c>
      <c r="J70" s="343">
        <v>8919.5</v>
      </c>
      <c r="K70" s="343">
        <v>54</v>
      </c>
      <c r="L70" s="343">
        <v>142</v>
      </c>
      <c r="M70" s="384">
        <v>46263</v>
      </c>
      <c r="N70" s="343" t="s">
        <v>244</v>
      </c>
      <c r="O70" s="343" t="s">
        <v>172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235</v>
      </c>
      <c r="W70" s="343" t="s">
        <v>142</v>
      </c>
      <c r="Y70" s="343" t="s">
        <v>133</v>
      </c>
      <c r="Z70" s="343" t="s">
        <v>134</v>
      </c>
      <c r="AA70" s="384">
        <v>46076</v>
      </c>
      <c r="AB70" s="384">
        <v>46082</v>
      </c>
      <c r="AC70" s="343" t="s">
        <v>338</v>
      </c>
      <c r="AD70" s="343">
        <v>2</v>
      </c>
      <c r="AE70" s="343">
        <v>747</v>
      </c>
      <c r="AF70" s="343">
        <v>0</v>
      </c>
      <c r="AG70" s="343">
        <v>0</v>
      </c>
      <c r="AH70" s="343">
        <v>747</v>
      </c>
      <c r="AI70" s="343">
        <v>48.56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245</v>
      </c>
      <c r="G71" s="343" t="s">
        <v>135</v>
      </c>
      <c r="I71" s="343">
        <v>20260830</v>
      </c>
      <c r="J71" s="343">
        <v>15167.53</v>
      </c>
      <c r="K71" s="343">
        <v>77</v>
      </c>
      <c r="L71" s="343">
        <v>202</v>
      </c>
      <c r="M71" s="384">
        <v>46264</v>
      </c>
      <c r="N71" s="343" t="s">
        <v>245</v>
      </c>
      <c r="O71" s="343" t="s">
        <v>172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236</v>
      </c>
      <c r="W71" s="343" t="s">
        <v>142</v>
      </c>
      <c r="Y71" s="343" t="s">
        <v>133</v>
      </c>
      <c r="Z71" s="343" t="s">
        <v>134</v>
      </c>
      <c r="AA71" s="384">
        <v>46076</v>
      </c>
      <c r="AB71" s="384">
        <v>46082</v>
      </c>
      <c r="AC71" s="343" t="s">
        <v>279</v>
      </c>
      <c r="AD71" s="343">
        <v>138</v>
      </c>
      <c r="AE71" s="343">
        <v>1352.5</v>
      </c>
      <c r="AF71" s="343">
        <v>19</v>
      </c>
      <c r="AG71" s="343">
        <v>0</v>
      </c>
      <c r="AH71" s="343">
        <v>1371.5</v>
      </c>
      <c r="AI71" s="343">
        <v>88.26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232</v>
      </c>
      <c r="G72" s="343" t="s">
        <v>136</v>
      </c>
      <c r="I72" s="343">
        <v>20260905</v>
      </c>
      <c r="J72" s="343">
        <v>9353.5</v>
      </c>
      <c r="K72" s="343">
        <v>66</v>
      </c>
      <c r="L72" s="343">
        <v>167</v>
      </c>
      <c r="M72" s="384">
        <v>46270</v>
      </c>
      <c r="N72" s="343" t="s">
        <v>244</v>
      </c>
      <c r="O72" s="343" t="s">
        <v>101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244</v>
      </c>
      <c r="W72" s="343" t="s">
        <v>142</v>
      </c>
      <c r="Y72" s="343" t="s">
        <v>133</v>
      </c>
      <c r="Z72" s="343" t="s">
        <v>134</v>
      </c>
      <c r="AA72" s="384">
        <v>46076</v>
      </c>
      <c r="AB72" s="384">
        <v>46082</v>
      </c>
      <c r="AC72" s="343" t="s">
        <v>285</v>
      </c>
      <c r="AD72" s="343">
        <v>5514</v>
      </c>
      <c r="AE72" s="343">
        <v>149462.10999999999</v>
      </c>
      <c r="AF72" s="343">
        <v>3940.91</v>
      </c>
      <c r="AG72" s="343">
        <v>0</v>
      </c>
      <c r="AH72" s="343">
        <v>153403.01999999999</v>
      </c>
      <c r="AI72" s="343">
        <v>9715.15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233</v>
      </c>
      <c r="G73" s="343" t="s">
        <v>136</v>
      </c>
      <c r="I73" s="343">
        <v>20260906</v>
      </c>
      <c r="J73" s="343">
        <v>11010</v>
      </c>
      <c r="K73" s="343">
        <v>64</v>
      </c>
      <c r="L73" s="343">
        <v>176</v>
      </c>
      <c r="M73" s="384">
        <v>46271</v>
      </c>
      <c r="N73" s="343" t="s">
        <v>245</v>
      </c>
      <c r="O73" s="343" t="s">
        <v>101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234</v>
      </c>
      <c r="W73" s="343" t="s">
        <v>143</v>
      </c>
      <c r="Y73" s="343" t="s">
        <v>133</v>
      </c>
      <c r="Z73" s="343" t="s">
        <v>134</v>
      </c>
      <c r="AA73" s="384">
        <v>46076</v>
      </c>
      <c r="AB73" s="384">
        <v>46082</v>
      </c>
      <c r="AC73" s="343" t="s">
        <v>281</v>
      </c>
      <c r="AD73" s="343">
        <v>2962</v>
      </c>
      <c r="AE73" s="343">
        <v>55581.89</v>
      </c>
      <c r="AF73" s="343">
        <v>990.11</v>
      </c>
      <c r="AG73" s="343">
        <v>0</v>
      </c>
      <c r="AH73" s="343">
        <v>56572</v>
      </c>
      <c r="AI73" s="343">
        <v>3608.77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234</v>
      </c>
      <c r="G74" s="343" t="s">
        <v>136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235</v>
      </c>
      <c r="W74" s="343" t="s">
        <v>143</v>
      </c>
      <c r="Y74" s="343" t="s">
        <v>133</v>
      </c>
      <c r="Z74" s="343" t="s">
        <v>134</v>
      </c>
      <c r="AA74" s="384">
        <v>46076</v>
      </c>
      <c r="AB74" s="384">
        <v>46082</v>
      </c>
      <c r="AC74" s="343" t="s">
        <v>339</v>
      </c>
      <c r="AD74" s="343">
        <v>961</v>
      </c>
      <c r="AE74" s="343">
        <v>7766.88</v>
      </c>
      <c r="AF74" s="343">
        <v>194.12</v>
      </c>
      <c r="AG74" s="343">
        <v>0</v>
      </c>
      <c r="AH74" s="343">
        <v>7961</v>
      </c>
      <c r="AI74" s="343">
        <v>506.17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235</v>
      </c>
      <c r="G75" s="343" t="s">
        <v>136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236</v>
      </c>
      <c r="W75" s="343" t="s">
        <v>143</v>
      </c>
      <c r="Y75" s="343" t="s">
        <v>133</v>
      </c>
      <c r="Z75" s="343" t="s">
        <v>134</v>
      </c>
      <c r="AA75" s="384">
        <v>46076</v>
      </c>
      <c r="AB75" s="384">
        <v>46082</v>
      </c>
      <c r="AC75" s="343" t="s">
        <v>277</v>
      </c>
      <c r="AD75" s="343">
        <v>944</v>
      </c>
      <c r="AE75" s="343">
        <v>29446.2</v>
      </c>
      <c r="AF75" s="343">
        <v>362.81</v>
      </c>
      <c r="AG75" s="343">
        <v>0</v>
      </c>
      <c r="AH75" s="343">
        <v>29809.01</v>
      </c>
      <c r="AI75" s="343">
        <v>1915.63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236</v>
      </c>
      <c r="G76" s="343" t="s">
        <v>136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244</v>
      </c>
      <c r="W76" s="343" t="s">
        <v>143</v>
      </c>
      <c r="Y76" s="343" t="s">
        <v>133</v>
      </c>
      <c r="Z76" s="343" t="s">
        <v>135</v>
      </c>
      <c r="AA76" s="384">
        <v>46083</v>
      </c>
      <c r="AB76" s="384">
        <v>46089</v>
      </c>
      <c r="AC76" s="343" t="s">
        <v>335</v>
      </c>
      <c r="AD76" s="343">
        <v>0</v>
      </c>
      <c r="AE76" s="343">
        <v>-646.37</v>
      </c>
      <c r="AF76" s="343">
        <v>0</v>
      </c>
      <c r="AG76" s="343">
        <v>646.37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244</v>
      </c>
      <c r="G77" s="343" t="s">
        <v>136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233</v>
      </c>
      <c r="W77" s="343" t="s">
        <v>144</v>
      </c>
      <c r="Y77" s="343" t="s">
        <v>133</v>
      </c>
      <c r="Z77" s="343" t="s">
        <v>135</v>
      </c>
      <c r="AA77" s="384">
        <v>46083</v>
      </c>
      <c r="AB77" s="384">
        <v>46089</v>
      </c>
      <c r="AC77" s="343" t="s">
        <v>293</v>
      </c>
      <c r="AD77" s="343">
        <v>1</v>
      </c>
      <c r="AE77" s="343">
        <v>385</v>
      </c>
      <c r="AF77" s="343">
        <v>0</v>
      </c>
      <c r="AG77" s="343">
        <v>0</v>
      </c>
      <c r="AH77" s="343">
        <v>385</v>
      </c>
      <c r="AI77" s="343">
        <v>25.03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245</v>
      </c>
      <c r="G78" s="343" t="s">
        <v>136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234</v>
      </c>
      <c r="W78" s="343" t="s">
        <v>144</v>
      </c>
      <c r="Y78" s="343" t="s">
        <v>133</v>
      </c>
      <c r="Z78" s="343" t="s">
        <v>135</v>
      </c>
      <c r="AA78" s="384">
        <v>46083</v>
      </c>
      <c r="AB78" s="384">
        <v>46089</v>
      </c>
      <c r="AC78" s="343" t="s">
        <v>106</v>
      </c>
      <c r="AD78" s="343">
        <v>6</v>
      </c>
      <c r="AE78" s="343">
        <v>938.85</v>
      </c>
      <c r="AF78" s="343">
        <v>0</v>
      </c>
      <c r="AG78" s="343">
        <v>0</v>
      </c>
      <c r="AH78" s="343">
        <v>938.85</v>
      </c>
      <c r="AI78" s="343">
        <v>0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232</v>
      </c>
      <c r="G79" s="343" t="s">
        <v>137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235</v>
      </c>
      <c r="W79" s="343" t="s">
        <v>144</v>
      </c>
      <c r="Y79" s="343" t="s">
        <v>133</v>
      </c>
      <c r="Z79" s="343" t="s">
        <v>135</v>
      </c>
      <c r="AA79" s="384">
        <v>46083</v>
      </c>
      <c r="AB79" s="384">
        <v>46089</v>
      </c>
      <c r="AC79" s="343" t="s">
        <v>338</v>
      </c>
      <c r="AD79" s="343">
        <v>1</v>
      </c>
      <c r="AE79" s="343">
        <v>38</v>
      </c>
      <c r="AF79" s="343">
        <v>0</v>
      </c>
      <c r="AG79" s="343">
        <v>0</v>
      </c>
      <c r="AH79" s="343">
        <v>38</v>
      </c>
      <c r="AI79" s="343">
        <v>2.4700000000000002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233</v>
      </c>
      <c r="G80" s="343" t="s">
        <v>137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236</v>
      </c>
      <c r="W80" s="343" t="s">
        <v>144</v>
      </c>
      <c r="Y80" s="343" t="s">
        <v>133</v>
      </c>
      <c r="Z80" s="343" t="s">
        <v>135</v>
      </c>
      <c r="AA80" s="384">
        <v>46083</v>
      </c>
      <c r="AB80" s="384">
        <v>46089</v>
      </c>
      <c r="AC80" s="343" t="s">
        <v>279</v>
      </c>
      <c r="AD80" s="343">
        <v>178</v>
      </c>
      <c r="AE80" s="343">
        <v>1690.39</v>
      </c>
      <c r="AF80" s="343">
        <v>33.61</v>
      </c>
      <c r="AG80" s="343">
        <v>0</v>
      </c>
      <c r="AH80" s="343">
        <v>1724</v>
      </c>
      <c r="AI80" s="343">
        <v>110.28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234</v>
      </c>
      <c r="G81" s="343" t="s">
        <v>137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244</v>
      </c>
      <c r="W81" s="343" t="s">
        <v>144</v>
      </c>
      <c r="Y81" s="343" t="s">
        <v>133</v>
      </c>
      <c r="Z81" s="343" t="s">
        <v>135</v>
      </c>
      <c r="AA81" s="384">
        <v>46083</v>
      </c>
      <c r="AB81" s="384">
        <v>46089</v>
      </c>
      <c r="AC81" s="343" t="s">
        <v>285</v>
      </c>
      <c r="AD81" s="343">
        <v>5361</v>
      </c>
      <c r="AE81" s="343">
        <v>148922.38</v>
      </c>
      <c r="AF81" s="343">
        <v>3113.6</v>
      </c>
      <c r="AG81" s="343">
        <v>0</v>
      </c>
      <c r="AH81" s="343">
        <v>152035.98000000001</v>
      </c>
      <c r="AI81" s="343">
        <v>9672.01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235</v>
      </c>
      <c r="G82" s="343" t="s">
        <v>137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234</v>
      </c>
      <c r="W82" s="343" t="s">
        <v>147</v>
      </c>
      <c r="Y82" s="343" t="s">
        <v>133</v>
      </c>
      <c r="Z82" s="343" t="s">
        <v>135</v>
      </c>
      <c r="AA82" s="384">
        <v>46083</v>
      </c>
      <c r="AB82" s="384">
        <v>46089</v>
      </c>
      <c r="AC82" s="343" t="s">
        <v>281</v>
      </c>
      <c r="AD82" s="343">
        <v>2801</v>
      </c>
      <c r="AE82" s="343">
        <v>56504.78</v>
      </c>
      <c r="AF82" s="343">
        <v>612.72</v>
      </c>
      <c r="AG82" s="343">
        <v>0</v>
      </c>
      <c r="AH82" s="343">
        <v>57117.5</v>
      </c>
      <c r="AI82" s="343">
        <v>3678.72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236</v>
      </c>
      <c r="G83" s="343" t="s">
        <v>137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235</v>
      </c>
      <c r="W83" s="343" t="s">
        <v>147</v>
      </c>
      <c r="Y83" s="343" t="s">
        <v>133</v>
      </c>
      <c r="Z83" s="343" t="s">
        <v>135</v>
      </c>
      <c r="AA83" s="384">
        <v>46083</v>
      </c>
      <c r="AB83" s="384">
        <v>46089</v>
      </c>
      <c r="AC83" s="343" t="s">
        <v>339</v>
      </c>
      <c r="AD83" s="343">
        <v>1031</v>
      </c>
      <c r="AE83" s="343">
        <v>8391.7099999999991</v>
      </c>
      <c r="AF83" s="343">
        <v>69.290000000000006</v>
      </c>
      <c r="AG83" s="343">
        <v>0</v>
      </c>
      <c r="AH83" s="343">
        <v>8461</v>
      </c>
      <c r="AI83" s="343">
        <v>544.05999999999995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244</v>
      </c>
      <c r="G84" s="343" t="s">
        <v>137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236</v>
      </c>
      <c r="W84" s="343" t="s">
        <v>147</v>
      </c>
      <c r="Y84" s="343" t="s">
        <v>133</v>
      </c>
      <c r="Z84" s="343" t="s">
        <v>135</v>
      </c>
      <c r="AA84" s="384">
        <v>46083</v>
      </c>
      <c r="AB84" s="384">
        <v>46089</v>
      </c>
      <c r="AC84" s="343" t="s">
        <v>277</v>
      </c>
      <c r="AD84" s="343">
        <v>828</v>
      </c>
      <c r="AE84" s="343">
        <v>28400.18</v>
      </c>
      <c r="AF84" s="343">
        <v>495.83</v>
      </c>
      <c r="AG84" s="343">
        <v>0</v>
      </c>
      <c r="AH84" s="343">
        <v>28896.01</v>
      </c>
      <c r="AI84" s="343">
        <v>1847.75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245</v>
      </c>
      <c r="G85" s="343" t="s">
        <v>137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244</v>
      </c>
      <c r="W85" s="343" t="s">
        <v>147</v>
      </c>
      <c r="Y85" s="343" t="s">
        <v>133</v>
      </c>
      <c r="Z85" s="343" t="s">
        <v>136</v>
      </c>
      <c r="AA85" s="384">
        <v>46090</v>
      </c>
      <c r="AB85" s="384">
        <v>46096</v>
      </c>
      <c r="AC85" s="343" t="s">
        <v>293</v>
      </c>
      <c r="AD85" s="343">
        <v>2</v>
      </c>
      <c r="AE85" s="343">
        <v>130</v>
      </c>
      <c r="AF85" s="343">
        <v>0</v>
      </c>
      <c r="AG85" s="343">
        <v>0</v>
      </c>
      <c r="AH85" s="343">
        <v>130</v>
      </c>
      <c r="AI85" s="343">
        <v>8.4600000000000009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232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233</v>
      </c>
      <c r="W86" s="343" t="s">
        <v>148</v>
      </c>
      <c r="Y86" s="343" t="s">
        <v>133</v>
      </c>
      <c r="Z86" s="343" t="s">
        <v>136</v>
      </c>
      <c r="AA86" s="384">
        <v>46090</v>
      </c>
      <c r="AB86" s="384">
        <v>46096</v>
      </c>
      <c r="AC86" s="343" t="s">
        <v>106</v>
      </c>
      <c r="AD86" s="343">
        <v>3</v>
      </c>
      <c r="AE86" s="343">
        <v>565.75</v>
      </c>
      <c r="AF86" s="343">
        <v>0</v>
      </c>
      <c r="AG86" s="343">
        <v>0</v>
      </c>
      <c r="AH86" s="343">
        <v>565.75</v>
      </c>
      <c r="AI86" s="343">
        <v>0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233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234</v>
      </c>
      <c r="W87" s="343" t="s">
        <v>148</v>
      </c>
      <c r="Y87" s="343" t="s">
        <v>133</v>
      </c>
      <c r="Z87" s="343" t="s">
        <v>136</v>
      </c>
      <c r="AA87" s="384">
        <v>46090</v>
      </c>
      <c r="AB87" s="384">
        <v>46096</v>
      </c>
      <c r="AC87" s="343" t="s">
        <v>279</v>
      </c>
      <c r="AD87" s="343">
        <v>155</v>
      </c>
      <c r="AE87" s="343">
        <v>1586</v>
      </c>
      <c r="AF87" s="343">
        <v>15</v>
      </c>
      <c r="AG87" s="343">
        <v>0</v>
      </c>
      <c r="AH87" s="343">
        <v>1601</v>
      </c>
      <c r="AI87" s="343">
        <v>103.5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234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235</v>
      </c>
      <c r="W88" s="343" t="s">
        <v>148</v>
      </c>
      <c r="Y88" s="343" t="s">
        <v>133</v>
      </c>
      <c r="Z88" s="343" t="s">
        <v>136</v>
      </c>
      <c r="AA88" s="384">
        <v>46090</v>
      </c>
      <c r="AB88" s="384">
        <v>46096</v>
      </c>
      <c r="AC88" s="343" t="s">
        <v>285</v>
      </c>
      <c r="AD88" s="343">
        <v>5116</v>
      </c>
      <c r="AE88" s="343">
        <v>147517.17000000001</v>
      </c>
      <c r="AF88" s="343">
        <v>4310.84</v>
      </c>
      <c r="AG88" s="343">
        <v>0</v>
      </c>
      <c r="AH88" s="343">
        <v>151828.01</v>
      </c>
      <c r="AI88" s="343">
        <v>9597.6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235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236</v>
      </c>
      <c r="W89" s="343" t="s">
        <v>148</v>
      </c>
      <c r="Y89" s="343" t="s">
        <v>133</v>
      </c>
      <c r="Z89" s="343" t="s">
        <v>136</v>
      </c>
      <c r="AA89" s="384">
        <v>46090</v>
      </c>
      <c r="AB89" s="384">
        <v>46096</v>
      </c>
      <c r="AC89" s="343" t="s">
        <v>281</v>
      </c>
      <c r="AD89" s="343">
        <v>2385</v>
      </c>
      <c r="AE89" s="343">
        <v>45949.38</v>
      </c>
      <c r="AF89" s="343">
        <v>827.12</v>
      </c>
      <c r="AG89" s="343">
        <v>0</v>
      </c>
      <c r="AH89" s="343">
        <v>46776.5</v>
      </c>
      <c r="AI89" s="343">
        <v>2992.07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236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244</v>
      </c>
      <c r="W90" s="343" t="s">
        <v>148</v>
      </c>
      <c r="Y90" s="343" t="s">
        <v>133</v>
      </c>
      <c r="Z90" s="343" t="s">
        <v>136</v>
      </c>
      <c r="AA90" s="384">
        <v>46090</v>
      </c>
      <c r="AB90" s="384">
        <v>46096</v>
      </c>
      <c r="AC90" s="343" t="s">
        <v>339</v>
      </c>
      <c r="AD90" s="343">
        <v>958</v>
      </c>
      <c r="AE90" s="343">
        <v>7702.02</v>
      </c>
      <c r="AF90" s="343">
        <v>85.98</v>
      </c>
      <c r="AG90" s="343">
        <v>0</v>
      </c>
      <c r="AH90" s="343">
        <v>7788</v>
      </c>
      <c r="AI90" s="343">
        <v>502.89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244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245</v>
      </c>
      <c r="W91" s="343" t="s">
        <v>148</v>
      </c>
      <c r="Y91" s="343" t="s">
        <v>133</v>
      </c>
      <c r="Z91" s="343" t="s">
        <v>136</v>
      </c>
      <c r="AA91" s="384">
        <v>46090</v>
      </c>
      <c r="AB91" s="384">
        <v>46096</v>
      </c>
      <c r="AC91" s="343" t="s">
        <v>277</v>
      </c>
      <c r="AD91" s="343">
        <v>854</v>
      </c>
      <c r="AE91" s="343">
        <v>24066.240000000002</v>
      </c>
      <c r="AF91" s="343">
        <v>1117.76</v>
      </c>
      <c r="AG91" s="343">
        <v>0</v>
      </c>
      <c r="AH91" s="343">
        <v>25184</v>
      </c>
      <c r="AI91" s="343">
        <v>1565.95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245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232</v>
      </c>
      <c r="W92" s="343" t="s">
        <v>149</v>
      </c>
      <c r="Y92" s="343" t="s">
        <v>133</v>
      </c>
      <c r="Z92" s="343" t="s">
        <v>137</v>
      </c>
      <c r="AA92" s="384">
        <v>46097</v>
      </c>
      <c r="AB92" s="384">
        <v>46103</v>
      </c>
      <c r="AC92" s="343" t="s">
        <v>293</v>
      </c>
      <c r="AD92" s="343">
        <v>3</v>
      </c>
      <c r="AE92" s="343">
        <v>245</v>
      </c>
      <c r="AF92" s="343">
        <v>0</v>
      </c>
      <c r="AG92" s="343">
        <v>0</v>
      </c>
      <c r="AH92" s="343">
        <v>245</v>
      </c>
      <c r="AI92" s="343">
        <v>15.93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232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234</v>
      </c>
      <c r="W93" s="343" t="s">
        <v>149</v>
      </c>
      <c r="Y93" s="343" t="s">
        <v>133</v>
      </c>
      <c r="Z93" s="343" t="s">
        <v>137</v>
      </c>
      <c r="AA93" s="384">
        <v>46097</v>
      </c>
      <c r="AB93" s="384">
        <v>46103</v>
      </c>
      <c r="AC93" s="343" t="s">
        <v>106</v>
      </c>
      <c r="AD93" s="343">
        <v>3</v>
      </c>
      <c r="AE93" s="343">
        <v>497.43</v>
      </c>
      <c r="AF93" s="343">
        <v>0</v>
      </c>
      <c r="AG93" s="343">
        <v>0</v>
      </c>
      <c r="AH93" s="343">
        <v>497.43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233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235</v>
      </c>
      <c r="W94" s="343" t="s">
        <v>149</v>
      </c>
      <c r="Y94" s="343" t="s">
        <v>133</v>
      </c>
      <c r="Z94" s="343" t="s">
        <v>137</v>
      </c>
      <c r="AA94" s="384">
        <v>46097</v>
      </c>
      <c r="AB94" s="384">
        <v>46103</v>
      </c>
      <c r="AC94" s="343" t="s">
        <v>338</v>
      </c>
      <c r="AD94" s="343">
        <v>1</v>
      </c>
      <c r="AE94" s="343">
        <v>2794.05</v>
      </c>
      <c r="AF94" s="343">
        <v>0</v>
      </c>
      <c r="AG94" s="343">
        <v>0</v>
      </c>
      <c r="AH94" s="343">
        <v>2794.05</v>
      </c>
      <c r="AI94" s="343">
        <v>181.61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234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236</v>
      </c>
      <c r="W95" s="343" t="s">
        <v>149</v>
      </c>
      <c r="Y95" s="343" t="s">
        <v>133</v>
      </c>
      <c r="Z95" s="343" t="s">
        <v>137</v>
      </c>
      <c r="AA95" s="384">
        <v>46097</v>
      </c>
      <c r="AB95" s="384">
        <v>46103</v>
      </c>
      <c r="AC95" s="343" t="s">
        <v>279</v>
      </c>
      <c r="AD95" s="343">
        <v>219</v>
      </c>
      <c r="AE95" s="343">
        <v>2181.3200000000002</v>
      </c>
      <c r="AF95" s="343">
        <v>14.68</v>
      </c>
      <c r="AG95" s="343">
        <v>0</v>
      </c>
      <c r="AH95" s="343">
        <v>2196</v>
      </c>
      <c r="AI95" s="343">
        <v>142.35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235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244</v>
      </c>
      <c r="W96" s="343" t="s">
        <v>149</v>
      </c>
      <c r="Y96" s="343" t="s">
        <v>133</v>
      </c>
      <c r="Z96" s="343" t="s">
        <v>137</v>
      </c>
      <c r="AA96" s="384">
        <v>46097</v>
      </c>
      <c r="AB96" s="384">
        <v>46103</v>
      </c>
      <c r="AC96" s="343" t="s">
        <v>285</v>
      </c>
      <c r="AD96" s="343">
        <v>5992</v>
      </c>
      <c r="AE96" s="343">
        <v>151524.37</v>
      </c>
      <c r="AF96" s="343">
        <v>5231.63</v>
      </c>
      <c r="AG96" s="343">
        <v>0</v>
      </c>
      <c r="AH96" s="343">
        <v>156756</v>
      </c>
      <c r="AI96" s="343">
        <v>9859.4500000000007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236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232</v>
      </c>
      <c r="W97" s="343" t="s">
        <v>150</v>
      </c>
      <c r="Y97" s="343" t="s">
        <v>133</v>
      </c>
      <c r="Z97" s="343" t="s">
        <v>137</v>
      </c>
      <c r="AA97" s="384">
        <v>46097</v>
      </c>
      <c r="AB97" s="384">
        <v>46103</v>
      </c>
      <c r="AC97" s="343" t="s">
        <v>281</v>
      </c>
      <c r="AD97" s="343">
        <v>2816</v>
      </c>
      <c r="AE97" s="343">
        <v>51614.34</v>
      </c>
      <c r="AF97" s="343">
        <v>773.2</v>
      </c>
      <c r="AG97" s="343">
        <v>0</v>
      </c>
      <c r="AH97" s="343">
        <v>52387.54</v>
      </c>
      <c r="AI97" s="343">
        <v>3360.99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244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234</v>
      </c>
      <c r="W98" s="343" t="s">
        <v>150</v>
      </c>
      <c r="Y98" s="343" t="s">
        <v>133</v>
      </c>
      <c r="Z98" s="343" t="s">
        <v>137</v>
      </c>
      <c r="AA98" s="384">
        <v>46097</v>
      </c>
      <c r="AB98" s="384">
        <v>46103</v>
      </c>
      <c r="AC98" s="343" t="s">
        <v>339</v>
      </c>
      <c r="AD98" s="343">
        <v>1058</v>
      </c>
      <c r="AE98" s="343">
        <v>8465.32</v>
      </c>
      <c r="AF98" s="343">
        <v>138.69</v>
      </c>
      <c r="AG98" s="343">
        <v>0</v>
      </c>
      <c r="AH98" s="343">
        <v>8604.01</v>
      </c>
      <c r="AI98" s="343">
        <v>552.70000000000005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245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235</v>
      </c>
      <c r="W99" s="343" t="s">
        <v>150</v>
      </c>
      <c r="Y99" s="343" t="s">
        <v>133</v>
      </c>
      <c r="Z99" s="343" t="s">
        <v>137</v>
      </c>
      <c r="AA99" s="384">
        <v>46097</v>
      </c>
      <c r="AB99" s="384">
        <v>46103</v>
      </c>
      <c r="AC99" s="343" t="s">
        <v>277</v>
      </c>
      <c r="AD99" s="343">
        <v>1040</v>
      </c>
      <c r="AE99" s="343">
        <v>27415.599999999999</v>
      </c>
      <c r="AF99" s="343">
        <v>1188.4000000000001</v>
      </c>
      <c r="AG99" s="343">
        <v>0</v>
      </c>
      <c r="AH99" s="343">
        <v>28604</v>
      </c>
      <c r="AI99" s="343">
        <v>1783.7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232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236</v>
      </c>
      <c r="W100" s="343" t="s">
        <v>150</v>
      </c>
      <c r="Y100" s="343" t="s">
        <v>133</v>
      </c>
      <c r="Z100" s="343" t="s">
        <v>138</v>
      </c>
      <c r="AA100" s="384">
        <v>46104</v>
      </c>
      <c r="AB100" s="384">
        <v>46110</v>
      </c>
      <c r="AC100" s="343" t="s">
        <v>340</v>
      </c>
      <c r="AD100" s="343">
        <v>1</v>
      </c>
      <c r="AE100" s="343">
        <v>170</v>
      </c>
      <c r="AF100" s="343">
        <v>0</v>
      </c>
      <c r="AG100" s="343">
        <v>0</v>
      </c>
      <c r="AH100" s="343">
        <v>170</v>
      </c>
      <c r="AI100" s="343">
        <v>11.05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233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244</v>
      </c>
      <c r="W101" s="343" t="s">
        <v>150</v>
      </c>
      <c r="Y101" s="343" t="s">
        <v>133</v>
      </c>
      <c r="Z101" s="343" t="s">
        <v>138</v>
      </c>
      <c r="AA101" s="384">
        <v>46104</v>
      </c>
      <c r="AB101" s="384">
        <v>46110</v>
      </c>
      <c r="AC101" s="343" t="s">
        <v>279</v>
      </c>
      <c r="AD101" s="343">
        <v>161</v>
      </c>
      <c r="AE101" s="343">
        <v>1584.5</v>
      </c>
      <c r="AF101" s="343">
        <v>0</v>
      </c>
      <c r="AG101" s="343">
        <v>0</v>
      </c>
      <c r="AH101" s="343">
        <v>1584.5</v>
      </c>
      <c r="AI101" s="343">
        <v>103.4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234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234</v>
      </c>
      <c r="W102" s="343" t="s">
        <v>153</v>
      </c>
      <c r="Y102" s="343" t="s">
        <v>133</v>
      </c>
      <c r="Z102" s="343" t="s">
        <v>138</v>
      </c>
      <c r="AA102" s="384">
        <v>46104</v>
      </c>
      <c r="AB102" s="384">
        <v>46110</v>
      </c>
      <c r="AC102" s="343" t="s">
        <v>293</v>
      </c>
      <c r="AD102" s="343">
        <v>1</v>
      </c>
      <c r="AE102" s="343">
        <v>950</v>
      </c>
      <c r="AF102" s="343">
        <v>0</v>
      </c>
      <c r="AG102" s="343">
        <v>0</v>
      </c>
      <c r="AH102" s="343">
        <v>950</v>
      </c>
      <c r="AI102" s="343">
        <v>61.75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235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235</v>
      </c>
      <c r="W103" s="343" t="s">
        <v>153</v>
      </c>
      <c r="Y103" s="343" t="s">
        <v>133</v>
      </c>
      <c r="Z103" s="343" t="s">
        <v>138</v>
      </c>
      <c r="AA103" s="384">
        <v>46104</v>
      </c>
      <c r="AB103" s="384">
        <v>46110</v>
      </c>
      <c r="AC103" s="343" t="s">
        <v>106</v>
      </c>
      <c r="AD103" s="343">
        <v>17</v>
      </c>
      <c r="AE103" s="343">
        <v>1966.47</v>
      </c>
      <c r="AF103" s="343">
        <v>0</v>
      </c>
      <c r="AG103" s="343">
        <v>0</v>
      </c>
      <c r="AH103" s="343">
        <v>1966.47</v>
      </c>
      <c r="AI103" s="343">
        <v>0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236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236</v>
      </c>
      <c r="W104" s="343" t="s">
        <v>153</v>
      </c>
      <c r="Y104" s="343" t="s">
        <v>133</v>
      </c>
      <c r="Z104" s="343" t="s">
        <v>138</v>
      </c>
      <c r="AA104" s="384">
        <v>46104</v>
      </c>
      <c r="AB104" s="384">
        <v>46110</v>
      </c>
      <c r="AC104" s="343" t="s">
        <v>285</v>
      </c>
      <c r="AD104" s="343">
        <v>5902</v>
      </c>
      <c r="AE104" s="343">
        <v>160797.53</v>
      </c>
      <c r="AF104" s="343">
        <v>3888.97</v>
      </c>
      <c r="AG104" s="343">
        <v>0</v>
      </c>
      <c r="AH104" s="343">
        <v>164686.5</v>
      </c>
      <c r="AI104" s="343">
        <v>10460.9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244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244</v>
      </c>
      <c r="W105" s="343" t="s">
        <v>153</v>
      </c>
      <c r="Y105" s="343" t="s">
        <v>133</v>
      </c>
      <c r="Z105" s="343" t="s">
        <v>138</v>
      </c>
      <c r="AA105" s="384">
        <v>46104</v>
      </c>
      <c r="AB105" s="384">
        <v>46110</v>
      </c>
      <c r="AC105" s="343" t="s">
        <v>281</v>
      </c>
      <c r="AD105" s="343">
        <v>2796</v>
      </c>
      <c r="AE105" s="343">
        <v>53379.63</v>
      </c>
      <c r="AF105" s="343">
        <v>995.37</v>
      </c>
      <c r="AG105" s="343">
        <v>0</v>
      </c>
      <c r="AH105" s="343">
        <v>54375</v>
      </c>
      <c r="AI105" s="343">
        <v>3475.24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245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235</v>
      </c>
      <c r="W106" s="343" t="s">
        <v>154</v>
      </c>
      <c r="Y106" s="343" t="s">
        <v>133</v>
      </c>
      <c r="Z106" s="343" t="s">
        <v>138</v>
      </c>
      <c r="AA106" s="384">
        <v>46104</v>
      </c>
      <c r="AB106" s="384">
        <v>46110</v>
      </c>
      <c r="AC106" s="343" t="s">
        <v>339</v>
      </c>
      <c r="AD106" s="343">
        <v>960</v>
      </c>
      <c r="AE106" s="343">
        <v>7728.29</v>
      </c>
      <c r="AF106" s="343">
        <v>92.71</v>
      </c>
      <c r="AG106" s="343">
        <v>0</v>
      </c>
      <c r="AH106" s="343">
        <v>7821</v>
      </c>
      <c r="AI106" s="343">
        <v>504.49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232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236</v>
      </c>
      <c r="W107" s="343" t="s">
        <v>154</v>
      </c>
      <c r="Y107" s="343" t="s">
        <v>133</v>
      </c>
      <c r="Z107" s="343" t="s">
        <v>138</v>
      </c>
      <c r="AA107" s="384">
        <v>46104</v>
      </c>
      <c r="AB107" s="384">
        <v>46110</v>
      </c>
      <c r="AC107" s="343" t="s">
        <v>277</v>
      </c>
      <c r="AD107" s="343">
        <v>902</v>
      </c>
      <c r="AE107" s="343">
        <v>28505.1</v>
      </c>
      <c r="AF107" s="343">
        <v>572.9</v>
      </c>
      <c r="AG107" s="343">
        <v>0</v>
      </c>
      <c r="AH107" s="343">
        <v>29078</v>
      </c>
      <c r="AI107" s="343">
        <v>1854.4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233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244</v>
      </c>
      <c r="W108" s="343" t="s">
        <v>154</v>
      </c>
      <c r="Y108" s="343" t="s">
        <v>140</v>
      </c>
      <c r="Z108" s="343" t="s">
        <v>141</v>
      </c>
      <c r="AA108" s="384">
        <v>46111</v>
      </c>
      <c r="AB108" s="384">
        <v>46117</v>
      </c>
      <c r="AC108" s="343" t="s">
        <v>106</v>
      </c>
      <c r="AD108" s="343">
        <v>2</v>
      </c>
      <c r="AE108" s="343">
        <v>147.15</v>
      </c>
      <c r="AF108" s="343">
        <v>0</v>
      </c>
      <c r="AG108" s="343">
        <v>0</v>
      </c>
      <c r="AH108" s="343">
        <v>147.15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234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234</v>
      </c>
      <c r="W109" s="343" t="s">
        <v>155</v>
      </c>
      <c r="Y109" s="343" t="s">
        <v>140</v>
      </c>
      <c r="Z109" s="343" t="s">
        <v>141</v>
      </c>
      <c r="AA109" s="384">
        <v>46111</v>
      </c>
      <c r="AB109" s="384">
        <v>46117</v>
      </c>
      <c r="AC109" s="343" t="s">
        <v>279</v>
      </c>
      <c r="AD109" s="343">
        <v>198</v>
      </c>
      <c r="AE109" s="343">
        <v>1975.74</v>
      </c>
      <c r="AF109" s="343">
        <v>9.76</v>
      </c>
      <c r="AG109" s="343">
        <v>0</v>
      </c>
      <c r="AH109" s="343">
        <v>1985.5</v>
      </c>
      <c r="AI109" s="343">
        <v>128.94999999999999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235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235</v>
      </c>
      <c r="W110" s="343" t="s">
        <v>155</v>
      </c>
      <c r="Y110" s="343" t="s">
        <v>140</v>
      </c>
      <c r="Z110" s="343" t="s">
        <v>141</v>
      </c>
      <c r="AA110" s="384">
        <v>46111</v>
      </c>
      <c r="AB110" s="384">
        <v>46117</v>
      </c>
      <c r="AC110" s="343" t="s">
        <v>285</v>
      </c>
      <c r="AD110" s="343">
        <v>5766</v>
      </c>
      <c r="AE110" s="343">
        <v>154807.94</v>
      </c>
      <c r="AF110" s="343">
        <v>4872.7</v>
      </c>
      <c r="AG110" s="343">
        <v>0</v>
      </c>
      <c r="AH110" s="343">
        <v>159680.64000000001</v>
      </c>
      <c r="AI110" s="343">
        <v>10072.629999999999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236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236</v>
      </c>
      <c r="W111" s="343" t="s">
        <v>155</v>
      </c>
      <c r="Y111" s="343" t="s">
        <v>140</v>
      </c>
      <c r="Z111" s="343" t="s">
        <v>141</v>
      </c>
      <c r="AA111" s="384">
        <v>46111</v>
      </c>
      <c r="AB111" s="384">
        <v>46117</v>
      </c>
      <c r="AC111" s="343" t="s">
        <v>281</v>
      </c>
      <c r="AD111" s="343">
        <v>2484</v>
      </c>
      <c r="AE111" s="343">
        <v>46004.9</v>
      </c>
      <c r="AF111" s="343">
        <v>703.18</v>
      </c>
      <c r="AG111" s="343">
        <v>0</v>
      </c>
      <c r="AH111" s="343">
        <v>46708.08</v>
      </c>
      <c r="AI111" s="343">
        <v>2995.93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244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244</v>
      </c>
      <c r="W112" s="343" t="s">
        <v>155</v>
      </c>
      <c r="Y112" s="343" t="s">
        <v>140</v>
      </c>
      <c r="Z112" s="343" t="s">
        <v>141</v>
      </c>
      <c r="AA112" s="384">
        <v>46111</v>
      </c>
      <c r="AB112" s="384">
        <v>46117</v>
      </c>
      <c r="AC112" s="343" t="s">
        <v>339</v>
      </c>
      <c r="AD112" s="343">
        <v>1125</v>
      </c>
      <c r="AE112" s="343">
        <v>8617.2800000000007</v>
      </c>
      <c r="AF112" s="343">
        <v>116.74</v>
      </c>
      <c r="AG112" s="343">
        <v>0</v>
      </c>
      <c r="AH112" s="343">
        <v>8734.02</v>
      </c>
      <c r="AI112" s="343">
        <v>562.48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245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232</v>
      </c>
      <c r="W113" s="343" t="s">
        <v>156</v>
      </c>
      <c r="Y113" s="343" t="s">
        <v>140</v>
      </c>
      <c r="Z113" s="343" t="s">
        <v>141</v>
      </c>
      <c r="AA113" s="384">
        <v>46111</v>
      </c>
      <c r="AB113" s="384">
        <v>46117</v>
      </c>
      <c r="AC113" s="343" t="s">
        <v>293</v>
      </c>
      <c r="AD113" s="343">
        <v>113</v>
      </c>
      <c r="AE113" s="343">
        <v>2410.0500000000002</v>
      </c>
      <c r="AF113" s="343">
        <v>29.95</v>
      </c>
      <c r="AG113" s="343">
        <v>0</v>
      </c>
      <c r="AH113" s="343">
        <v>2440</v>
      </c>
      <c r="AI113" s="343">
        <v>156.9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232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234</v>
      </c>
      <c r="W114" s="343" t="s">
        <v>156</v>
      </c>
      <c r="Y114" s="343" t="s">
        <v>140</v>
      </c>
      <c r="Z114" s="343" t="s">
        <v>141</v>
      </c>
      <c r="AA114" s="384">
        <v>46111</v>
      </c>
      <c r="AB114" s="384">
        <v>46117</v>
      </c>
      <c r="AC114" s="343" t="s">
        <v>277</v>
      </c>
      <c r="AD114" s="343">
        <v>907</v>
      </c>
      <c r="AE114" s="343">
        <v>22327.08</v>
      </c>
      <c r="AF114" s="343">
        <v>1150.92</v>
      </c>
      <c r="AG114" s="343">
        <v>0</v>
      </c>
      <c r="AH114" s="343">
        <v>23478</v>
      </c>
      <c r="AI114" s="343">
        <v>1452.88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233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235</v>
      </c>
      <c r="W115" s="343" t="s">
        <v>156</v>
      </c>
      <c r="Y115" s="343" t="s">
        <v>140</v>
      </c>
      <c r="Z115" s="343" t="s">
        <v>142</v>
      </c>
      <c r="AA115" s="384">
        <v>46118</v>
      </c>
      <c r="AB115" s="384">
        <v>46124</v>
      </c>
      <c r="AC115" s="343" t="s">
        <v>279</v>
      </c>
      <c r="AD115" s="343">
        <v>195</v>
      </c>
      <c r="AE115" s="343">
        <v>1932</v>
      </c>
      <c r="AF115" s="343">
        <v>0</v>
      </c>
      <c r="AG115" s="343">
        <v>0</v>
      </c>
      <c r="AH115" s="343">
        <v>1932</v>
      </c>
      <c r="AI115" s="343">
        <v>126.08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234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236</v>
      </c>
      <c r="W116" s="343" t="s">
        <v>156</v>
      </c>
      <c r="Y116" s="343" t="s">
        <v>140</v>
      </c>
      <c r="Z116" s="343" t="s">
        <v>142</v>
      </c>
      <c r="AA116" s="384">
        <v>46118</v>
      </c>
      <c r="AB116" s="384">
        <v>46124</v>
      </c>
      <c r="AC116" s="343" t="s">
        <v>335</v>
      </c>
      <c r="AD116" s="343">
        <v>0</v>
      </c>
      <c r="AE116" s="343">
        <v>-358.56</v>
      </c>
      <c r="AF116" s="343">
        <v>0</v>
      </c>
      <c r="AG116" s="343">
        <v>358.56</v>
      </c>
      <c r="AH116" s="343">
        <v>0</v>
      </c>
      <c r="AI116" s="343">
        <v>0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235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244</v>
      </c>
      <c r="W117" s="343" t="s">
        <v>156</v>
      </c>
      <c r="Y117" s="343" t="s">
        <v>140</v>
      </c>
      <c r="Z117" s="343" t="s">
        <v>142</v>
      </c>
      <c r="AA117" s="384">
        <v>46118</v>
      </c>
      <c r="AB117" s="384">
        <v>46124</v>
      </c>
      <c r="AC117" s="343" t="s">
        <v>293</v>
      </c>
      <c r="AD117" s="343">
        <v>1</v>
      </c>
      <c r="AE117" s="343">
        <v>65</v>
      </c>
      <c r="AF117" s="343">
        <v>0</v>
      </c>
      <c r="AG117" s="343">
        <v>0</v>
      </c>
      <c r="AH117" s="343">
        <v>65</v>
      </c>
      <c r="AI117" s="343">
        <v>4.2300000000000004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236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234</v>
      </c>
      <c r="W118" s="343" t="s">
        <v>157</v>
      </c>
      <c r="Y118" s="343" t="s">
        <v>140</v>
      </c>
      <c r="Z118" s="343" t="s">
        <v>142</v>
      </c>
      <c r="AA118" s="384">
        <v>46118</v>
      </c>
      <c r="AB118" s="384">
        <v>46124</v>
      </c>
      <c r="AC118" s="343" t="s">
        <v>106</v>
      </c>
      <c r="AD118" s="343">
        <v>7</v>
      </c>
      <c r="AE118" s="343">
        <v>1290.68</v>
      </c>
      <c r="AF118" s="343">
        <v>0</v>
      </c>
      <c r="AG118" s="343">
        <v>0</v>
      </c>
      <c r="AH118" s="343">
        <v>1290.68</v>
      </c>
      <c r="AI118" s="343">
        <v>0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244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235</v>
      </c>
      <c r="W119" s="343" t="s">
        <v>157</v>
      </c>
      <c r="Y119" s="343" t="s">
        <v>140</v>
      </c>
      <c r="Z119" s="343" t="s">
        <v>142</v>
      </c>
      <c r="AA119" s="384">
        <v>46118</v>
      </c>
      <c r="AB119" s="384">
        <v>46124</v>
      </c>
      <c r="AC119" s="343" t="s">
        <v>338</v>
      </c>
      <c r="AD119" s="343">
        <v>3</v>
      </c>
      <c r="AE119" s="343">
        <v>183</v>
      </c>
      <c r="AF119" s="343">
        <v>0</v>
      </c>
      <c r="AG119" s="343">
        <v>0</v>
      </c>
      <c r="AH119" s="343">
        <v>183</v>
      </c>
      <c r="AI119" s="343">
        <v>11.9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245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236</v>
      </c>
      <c r="W120" s="343" t="s">
        <v>157</v>
      </c>
      <c r="Y120" s="343" t="s">
        <v>140</v>
      </c>
      <c r="Z120" s="343" t="s">
        <v>142</v>
      </c>
      <c r="AA120" s="384">
        <v>46118</v>
      </c>
      <c r="AB120" s="384">
        <v>46124</v>
      </c>
      <c r="AC120" s="343" t="s">
        <v>285</v>
      </c>
      <c r="AD120" s="343">
        <v>6471</v>
      </c>
      <c r="AE120" s="343">
        <v>158798.96</v>
      </c>
      <c r="AF120" s="343">
        <v>4073.53</v>
      </c>
      <c r="AG120" s="343">
        <v>0</v>
      </c>
      <c r="AH120" s="343">
        <v>162872.49</v>
      </c>
      <c r="AI120" s="343">
        <v>10331.39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232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244</v>
      </c>
      <c r="W121" s="343" t="s">
        <v>157</v>
      </c>
      <c r="Y121" s="343" t="s">
        <v>140</v>
      </c>
      <c r="Z121" s="343" t="s">
        <v>142</v>
      </c>
      <c r="AA121" s="384">
        <v>46118</v>
      </c>
      <c r="AB121" s="384">
        <v>46124</v>
      </c>
      <c r="AC121" s="343" t="s">
        <v>281</v>
      </c>
      <c r="AD121" s="343">
        <v>2709</v>
      </c>
      <c r="AE121" s="343">
        <v>51686.58</v>
      </c>
      <c r="AF121" s="343">
        <v>1319</v>
      </c>
      <c r="AG121" s="343">
        <v>0</v>
      </c>
      <c r="AH121" s="343">
        <v>53005.58</v>
      </c>
      <c r="AI121" s="343">
        <v>3365.76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233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234</v>
      </c>
      <c r="W122" s="343" t="s">
        <v>160</v>
      </c>
      <c r="Y122" s="343" t="s">
        <v>140</v>
      </c>
      <c r="Z122" s="343" t="s">
        <v>142</v>
      </c>
      <c r="AA122" s="384">
        <v>46118</v>
      </c>
      <c r="AB122" s="384">
        <v>46124</v>
      </c>
      <c r="AC122" s="343" t="s">
        <v>339</v>
      </c>
      <c r="AD122" s="343">
        <v>1031</v>
      </c>
      <c r="AE122" s="343">
        <v>8199.19</v>
      </c>
      <c r="AF122" s="343">
        <v>181.81</v>
      </c>
      <c r="AG122" s="343">
        <v>0</v>
      </c>
      <c r="AH122" s="343">
        <v>8381</v>
      </c>
      <c r="AI122" s="343">
        <v>535.15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234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235</v>
      </c>
      <c r="W123" s="343" t="s">
        <v>160</v>
      </c>
      <c r="Y123" s="343" t="s">
        <v>140</v>
      </c>
      <c r="Z123" s="343" t="s">
        <v>142</v>
      </c>
      <c r="AA123" s="384">
        <v>46118</v>
      </c>
      <c r="AB123" s="384">
        <v>46124</v>
      </c>
      <c r="AC123" s="343" t="s">
        <v>277</v>
      </c>
      <c r="AD123" s="343">
        <v>926</v>
      </c>
      <c r="AE123" s="343">
        <v>25091.54</v>
      </c>
      <c r="AF123" s="343">
        <v>851.46</v>
      </c>
      <c r="AG123" s="343">
        <v>0</v>
      </c>
      <c r="AH123" s="343">
        <v>25943</v>
      </c>
      <c r="AI123" s="343">
        <v>1632.53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235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236</v>
      </c>
      <c r="W124" s="343" t="s">
        <v>160</v>
      </c>
      <c r="Y124" s="343" t="s">
        <v>140</v>
      </c>
      <c r="Z124" s="343" t="s">
        <v>143</v>
      </c>
      <c r="AA124" s="384">
        <v>46125</v>
      </c>
      <c r="AB124" s="384">
        <v>46131</v>
      </c>
      <c r="AC124" s="343" t="s">
        <v>340</v>
      </c>
      <c r="AD124" s="343">
        <v>2</v>
      </c>
      <c r="AE124" s="343">
        <v>735.16</v>
      </c>
      <c r="AF124" s="343">
        <v>0</v>
      </c>
      <c r="AG124" s="343">
        <v>0</v>
      </c>
      <c r="AH124" s="343">
        <v>735.16</v>
      </c>
      <c r="AI124" s="343">
        <v>47.79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236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244</v>
      </c>
      <c r="W125" s="343" t="s">
        <v>160</v>
      </c>
      <c r="Y125" s="343" t="s">
        <v>140</v>
      </c>
      <c r="Z125" s="343" t="s">
        <v>143</v>
      </c>
      <c r="AA125" s="384">
        <v>46125</v>
      </c>
      <c r="AB125" s="384">
        <v>46131</v>
      </c>
      <c r="AC125" s="343" t="s">
        <v>106</v>
      </c>
      <c r="AD125" s="343">
        <v>11</v>
      </c>
      <c r="AE125" s="343">
        <v>2333.4299999999998</v>
      </c>
      <c r="AF125" s="343">
        <v>0</v>
      </c>
      <c r="AG125" s="343">
        <v>0</v>
      </c>
      <c r="AH125" s="343">
        <v>2333.4299999999998</v>
      </c>
      <c r="AI125" s="343">
        <v>0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244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245</v>
      </c>
      <c r="W126" s="343" t="s">
        <v>160</v>
      </c>
      <c r="Y126" s="343" t="s">
        <v>140</v>
      </c>
      <c r="Z126" s="343" t="s">
        <v>143</v>
      </c>
      <c r="AA126" s="384">
        <v>46125</v>
      </c>
      <c r="AB126" s="384">
        <v>46131</v>
      </c>
      <c r="AC126" s="343" t="s">
        <v>338</v>
      </c>
      <c r="AD126" s="343">
        <v>11</v>
      </c>
      <c r="AE126" s="343">
        <v>1082</v>
      </c>
      <c r="AF126" s="343">
        <v>0</v>
      </c>
      <c r="AG126" s="343">
        <v>0</v>
      </c>
      <c r="AH126" s="343">
        <v>1082</v>
      </c>
      <c r="AI126" s="343">
        <v>70.34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245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232</v>
      </c>
      <c r="W127" s="343" t="s">
        <v>161</v>
      </c>
      <c r="Y127" s="343" t="s">
        <v>140</v>
      </c>
      <c r="Z127" s="343" t="s">
        <v>143</v>
      </c>
      <c r="AA127" s="384">
        <v>46125</v>
      </c>
      <c r="AB127" s="384">
        <v>46131</v>
      </c>
      <c r="AC127" s="343" t="s">
        <v>279</v>
      </c>
      <c r="AD127" s="343">
        <v>176</v>
      </c>
      <c r="AE127" s="343">
        <v>1721.44</v>
      </c>
      <c r="AF127" s="343">
        <v>5.56</v>
      </c>
      <c r="AG127" s="343">
        <v>0</v>
      </c>
      <c r="AH127" s="343">
        <v>1727</v>
      </c>
      <c r="AI127" s="343">
        <v>112.35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232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234</v>
      </c>
      <c r="W128" s="343" t="s">
        <v>161</v>
      </c>
      <c r="Y128" s="343" t="s">
        <v>140</v>
      </c>
      <c r="Z128" s="343" t="s">
        <v>143</v>
      </c>
      <c r="AA128" s="384">
        <v>46125</v>
      </c>
      <c r="AB128" s="384">
        <v>46131</v>
      </c>
      <c r="AC128" s="343" t="s">
        <v>285</v>
      </c>
      <c r="AD128" s="343">
        <v>5250</v>
      </c>
      <c r="AE128" s="343">
        <v>167579.35</v>
      </c>
      <c r="AF128" s="343">
        <v>4844.17</v>
      </c>
      <c r="AG128" s="343">
        <v>0</v>
      </c>
      <c r="AH128" s="343">
        <v>172423.52</v>
      </c>
      <c r="AI128" s="343">
        <v>9211.74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233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235</v>
      </c>
      <c r="W129" s="343" t="s">
        <v>161</v>
      </c>
      <c r="Y129" s="343" t="s">
        <v>140</v>
      </c>
      <c r="Z129" s="343" t="s">
        <v>143</v>
      </c>
      <c r="AA129" s="384">
        <v>46125</v>
      </c>
      <c r="AB129" s="384">
        <v>46131</v>
      </c>
      <c r="AC129" s="343" t="s">
        <v>281</v>
      </c>
      <c r="AD129" s="343">
        <v>2440</v>
      </c>
      <c r="AE129" s="343">
        <v>50140.5</v>
      </c>
      <c r="AF129" s="343">
        <v>1783.57</v>
      </c>
      <c r="AG129" s="343">
        <v>0</v>
      </c>
      <c r="AH129" s="343">
        <v>51924.07</v>
      </c>
      <c r="AI129" s="343">
        <v>3264.21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234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236</v>
      </c>
      <c r="W130" s="343" t="s">
        <v>161</v>
      </c>
      <c r="Y130" s="343" t="s">
        <v>140</v>
      </c>
      <c r="Z130" s="343" t="s">
        <v>143</v>
      </c>
      <c r="AA130" s="384">
        <v>46125</v>
      </c>
      <c r="AB130" s="384">
        <v>46131</v>
      </c>
      <c r="AC130" s="343" t="s">
        <v>339</v>
      </c>
      <c r="AD130" s="343">
        <v>885</v>
      </c>
      <c r="AE130" s="343">
        <v>7297.43</v>
      </c>
      <c r="AF130" s="343">
        <v>107.55</v>
      </c>
      <c r="AG130" s="343">
        <v>0</v>
      </c>
      <c r="AH130" s="343">
        <v>7404.98</v>
      </c>
      <c r="AI130" s="343">
        <v>476.21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235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244</v>
      </c>
      <c r="W131" s="343" t="s">
        <v>161</v>
      </c>
      <c r="Y131" s="343" t="s">
        <v>140</v>
      </c>
      <c r="Z131" s="343" t="s">
        <v>143</v>
      </c>
      <c r="AA131" s="384">
        <v>46125</v>
      </c>
      <c r="AB131" s="384">
        <v>46131</v>
      </c>
      <c r="AC131" s="343" t="s">
        <v>277</v>
      </c>
      <c r="AD131" s="343">
        <v>859</v>
      </c>
      <c r="AE131" s="343">
        <v>27729.75</v>
      </c>
      <c r="AF131" s="343">
        <v>834.25</v>
      </c>
      <c r="AG131" s="343">
        <v>0</v>
      </c>
      <c r="AH131" s="343">
        <v>28564</v>
      </c>
      <c r="AI131" s="343">
        <v>1804.07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236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234</v>
      </c>
      <c r="W132" s="343" t="s">
        <v>162</v>
      </c>
      <c r="Y132" s="343" t="s">
        <v>140</v>
      </c>
      <c r="Z132" s="343" t="s">
        <v>144</v>
      </c>
      <c r="AA132" s="384">
        <v>46132</v>
      </c>
      <c r="AB132" s="384">
        <v>46138</v>
      </c>
      <c r="AC132" s="343" t="s">
        <v>106</v>
      </c>
      <c r="AD132" s="343">
        <v>16</v>
      </c>
      <c r="AE132" s="343">
        <v>1211.8800000000001</v>
      </c>
      <c r="AF132" s="343">
        <v>0</v>
      </c>
      <c r="AG132" s="343">
        <v>0</v>
      </c>
      <c r="AH132" s="343">
        <v>1211.8800000000001</v>
      </c>
      <c r="AI132" s="343">
        <v>0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244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235</v>
      </c>
      <c r="W133" s="343" t="s">
        <v>162</v>
      </c>
      <c r="Y133" s="343" t="s">
        <v>140</v>
      </c>
      <c r="Z133" s="343" t="s">
        <v>144</v>
      </c>
      <c r="AA133" s="384">
        <v>46132</v>
      </c>
      <c r="AB133" s="384">
        <v>46138</v>
      </c>
      <c r="AC133" s="343" t="s">
        <v>338</v>
      </c>
      <c r="AD133" s="343">
        <v>6</v>
      </c>
      <c r="AE133" s="343">
        <v>1005.8</v>
      </c>
      <c r="AF133" s="343">
        <v>0</v>
      </c>
      <c r="AG133" s="343">
        <v>0</v>
      </c>
      <c r="AH133" s="343">
        <v>1005.8</v>
      </c>
      <c r="AI133" s="343">
        <v>65.38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245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236</v>
      </c>
      <c r="W134" s="343" t="s">
        <v>162</v>
      </c>
      <c r="Y134" s="343" t="s">
        <v>140</v>
      </c>
      <c r="Z134" s="343" t="s">
        <v>144</v>
      </c>
      <c r="AA134" s="384">
        <v>46132</v>
      </c>
      <c r="AB134" s="384">
        <v>46138</v>
      </c>
      <c r="AC134" s="343" t="s">
        <v>279</v>
      </c>
      <c r="AD134" s="343">
        <v>166</v>
      </c>
      <c r="AE134" s="343">
        <v>1669.5</v>
      </c>
      <c r="AF134" s="343">
        <v>23</v>
      </c>
      <c r="AG134" s="343">
        <v>0</v>
      </c>
      <c r="AH134" s="343">
        <v>1692.5</v>
      </c>
      <c r="AI134" s="343">
        <v>108.95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232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244</v>
      </c>
      <c r="W135" s="343" t="s">
        <v>162</v>
      </c>
      <c r="Y135" s="343" t="s">
        <v>140</v>
      </c>
      <c r="Z135" s="343" t="s">
        <v>144</v>
      </c>
      <c r="AA135" s="384">
        <v>46132</v>
      </c>
      <c r="AB135" s="384">
        <v>46138</v>
      </c>
      <c r="AC135" s="343" t="s">
        <v>285</v>
      </c>
      <c r="AD135" s="343">
        <v>6226</v>
      </c>
      <c r="AE135" s="343">
        <v>150139.98000000001</v>
      </c>
      <c r="AF135" s="343">
        <v>3141.54</v>
      </c>
      <c r="AG135" s="343">
        <v>0</v>
      </c>
      <c r="AH135" s="343">
        <v>153281.51999999999</v>
      </c>
      <c r="AI135" s="343">
        <v>9762.39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233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245</v>
      </c>
      <c r="W136" s="343" t="s">
        <v>162</v>
      </c>
      <c r="Y136" s="343" t="s">
        <v>140</v>
      </c>
      <c r="Z136" s="343" t="s">
        <v>144</v>
      </c>
      <c r="AA136" s="384">
        <v>46132</v>
      </c>
      <c r="AB136" s="384">
        <v>46138</v>
      </c>
      <c r="AC136" s="343" t="s">
        <v>281</v>
      </c>
      <c r="AD136" s="343">
        <v>2394</v>
      </c>
      <c r="AE136" s="343">
        <v>45227.66</v>
      </c>
      <c r="AF136" s="343">
        <v>653.85</v>
      </c>
      <c r="AG136" s="343">
        <v>0</v>
      </c>
      <c r="AH136" s="343">
        <v>45881.51</v>
      </c>
      <c r="AI136" s="343">
        <v>2945.06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234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233</v>
      </c>
      <c r="W137" s="343" t="s">
        <v>163</v>
      </c>
      <c r="Y137" s="343" t="s">
        <v>140</v>
      </c>
      <c r="Z137" s="343" t="s">
        <v>144</v>
      </c>
      <c r="AA137" s="384">
        <v>46132</v>
      </c>
      <c r="AB137" s="384">
        <v>46138</v>
      </c>
      <c r="AC137" s="343" t="s">
        <v>339</v>
      </c>
      <c r="AD137" s="343">
        <v>938</v>
      </c>
      <c r="AE137" s="343">
        <v>7483.43</v>
      </c>
      <c r="AF137" s="343">
        <v>101.58</v>
      </c>
      <c r="AG137" s="343">
        <v>0</v>
      </c>
      <c r="AH137" s="343">
        <v>7585.01</v>
      </c>
      <c r="AI137" s="343">
        <v>488.33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235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234</v>
      </c>
      <c r="W138" s="343" t="s">
        <v>163</v>
      </c>
      <c r="Y138" s="343" t="s">
        <v>140</v>
      </c>
      <c r="Z138" s="343" t="s">
        <v>144</v>
      </c>
      <c r="AA138" s="384">
        <v>46132</v>
      </c>
      <c r="AB138" s="384">
        <v>46138</v>
      </c>
      <c r="AC138" s="343" t="s">
        <v>277</v>
      </c>
      <c r="AD138" s="343">
        <v>869</v>
      </c>
      <c r="AE138" s="343">
        <v>28547.27</v>
      </c>
      <c r="AF138" s="343">
        <v>570.73</v>
      </c>
      <c r="AG138" s="343">
        <v>0</v>
      </c>
      <c r="AH138" s="343">
        <v>29118</v>
      </c>
      <c r="AI138" s="343">
        <v>1857.24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236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235</v>
      </c>
      <c r="W139" s="343" t="s">
        <v>163</v>
      </c>
      <c r="Y139" s="343" t="s">
        <v>146</v>
      </c>
      <c r="Z139" s="343" t="s">
        <v>147</v>
      </c>
      <c r="AA139" s="384">
        <v>46139</v>
      </c>
      <c r="AB139" s="384">
        <v>46145</v>
      </c>
      <c r="AC139" s="343" t="s">
        <v>340</v>
      </c>
      <c r="AD139" s="343">
        <v>1</v>
      </c>
      <c r="AE139" s="343">
        <v>7142.86</v>
      </c>
      <c r="AF139" s="343">
        <v>0</v>
      </c>
      <c r="AG139" s="343">
        <v>0</v>
      </c>
      <c r="AH139" s="343">
        <v>7142.86</v>
      </c>
      <c r="AI139" s="343">
        <v>0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244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236</v>
      </c>
      <c r="W140" s="343" t="s">
        <v>163</v>
      </c>
      <c r="Y140" s="343" t="s">
        <v>146</v>
      </c>
      <c r="Z140" s="343" t="s">
        <v>147</v>
      </c>
      <c r="AA140" s="384">
        <v>46139</v>
      </c>
      <c r="AB140" s="384">
        <v>46145</v>
      </c>
      <c r="AC140" s="343" t="s">
        <v>335</v>
      </c>
      <c r="AD140" s="343">
        <v>0</v>
      </c>
      <c r="AE140" s="343">
        <v>-20.45</v>
      </c>
      <c r="AF140" s="343">
        <v>0</v>
      </c>
      <c r="AG140" s="343">
        <v>20.45</v>
      </c>
      <c r="AH140" s="343">
        <v>0</v>
      </c>
      <c r="AI140" s="343">
        <v>0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245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244</v>
      </c>
      <c r="W141" s="343" t="s">
        <v>163</v>
      </c>
      <c r="Y141" s="343" t="s">
        <v>146</v>
      </c>
      <c r="Z141" s="343" t="s">
        <v>147</v>
      </c>
      <c r="AA141" s="384">
        <v>46139</v>
      </c>
      <c r="AB141" s="384">
        <v>46145</v>
      </c>
      <c r="AC141" s="343" t="s">
        <v>106</v>
      </c>
      <c r="AD141" s="343">
        <v>5</v>
      </c>
      <c r="AE141" s="343">
        <v>813.19</v>
      </c>
      <c r="AF141" s="343">
        <v>0</v>
      </c>
      <c r="AG141" s="343">
        <v>0</v>
      </c>
      <c r="AH141" s="343">
        <v>813.19</v>
      </c>
      <c r="AI141" s="343">
        <v>0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232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233</v>
      </c>
      <c r="W142" s="343" t="s">
        <v>166</v>
      </c>
      <c r="Y142" s="343" t="s">
        <v>146</v>
      </c>
      <c r="Z142" s="343" t="s">
        <v>147</v>
      </c>
      <c r="AA142" s="384">
        <v>46139</v>
      </c>
      <c r="AB142" s="384">
        <v>46145</v>
      </c>
      <c r="AC142" s="343" t="s">
        <v>338</v>
      </c>
      <c r="AD142" s="343">
        <v>2</v>
      </c>
      <c r="AE142" s="343">
        <v>767</v>
      </c>
      <c r="AF142" s="343">
        <v>0</v>
      </c>
      <c r="AG142" s="343">
        <v>0</v>
      </c>
      <c r="AH142" s="343">
        <v>767</v>
      </c>
      <c r="AI142" s="343">
        <v>49.86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233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234</v>
      </c>
      <c r="W143" s="343" t="s">
        <v>166</v>
      </c>
      <c r="Y143" s="343" t="s">
        <v>146</v>
      </c>
      <c r="Z143" s="343" t="s">
        <v>147</v>
      </c>
      <c r="AA143" s="384">
        <v>46139</v>
      </c>
      <c r="AB143" s="384">
        <v>46145</v>
      </c>
      <c r="AC143" s="343" t="s">
        <v>279</v>
      </c>
      <c r="AD143" s="343">
        <v>174</v>
      </c>
      <c r="AE143" s="343">
        <v>1718.6</v>
      </c>
      <c r="AF143" s="343">
        <v>11.4</v>
      </c>
      <c r="AG143" s="343">
        <v>0</v>
      </c>
      <c r="AH143" s="343">
        <v>1730</v>
      </c>
      <c r="AI143" s="343">
        <v>112.18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234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235</v>
      </c>
      <c r="W144" s="343" t="s">
        <v>166</v>
      </c>
      <c r="Y144" s="343" t="s">
        <v>146</v>
      </c>
      <c r="Z144" s="343" t="s">
        <v>147</v>
      </c>
      <c r="AA144" s="384">
        <v>46139</v>
      </c>
      <c r="AB144" s="384">
        <v>46145</v>
      </c>
      <c r="AC144" s="343" t="s">
        <v>285</v>
      </c>
      <c r="AD144" s="343">
        <v>5520</v>
      </c>
      <c r="AE144" s="343">
        <v>146680.29</v>
      </c>
      <c r="AF144" s="343">
        <v>4810.6499999999996</v>
      </c>
      <c r="AG144" s="343">
        <v>0</v>
      </c>
      <c r="AH144" s="343">
        <v>151490.94</v>
      </c>
      <c r="AI144" s="343">
        <v>9540.2099999999991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235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236</v>
      </c>
      <c r="W145" s="343" t="s">
        <v>166</v>
      </c>
      <c r="Y145" s="343" t="s">
        <v>146</v>
      </c>
      <c r="Z145" s="343" t="s">
        <v>147</v>
      </c>
      <c r="AA145" s="384">
        <v>46139</v>
      </c>
      <c r="AB145" s="384">
        <v>46145</v>
      </c>
      <c r="AC145" s="343" t="s">
        <v>281</v>
      </c>
      <c r="AD145" s="343">
        <v>2405</v>
      </c>
      <c r="AE145" s="343">
        <v>45172.12</v>
      </c>
      <c r="AF145" s="343">
        <v>1127.18</v>
      </c>
      <c r="AG145" s="343">
        <v>0</v>
      </c>
      <c r="AH145" s="343">
        <v>46299.3</v>
      </c>
      <c r="AI145" s="343">
        <v>2941.19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236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244</v>
      </c>
      <c r="W146" s="343" t="s">
        <v>166</v>
      </c>
      <c r="Y146" s="343" t="s">
        <v>146</v>
      </c>
      <c r="Z146" s="343" t="s">
        <v>147</v>
      </c>
      <c r="AA146" s="384">
        <v>46139</v>
      </c>
      <c r="AB146" s="384">
        <v>46145</v>
      </c>
      <c r="AC146" s="343" t="s">
        <v>339</v>
      </c>
      <c r="AD146" s="343">
        <v>907</v>
      </c>
      <c r="AE146" s="343">
        <v>7204.45</v>
      </c>
      <c r="AF146" s="343">
        <v>162.55000000000001</v>
      </c>
      <c r="AG146" s="343">
        <v>0</v>
      </c>
      <c r="AH146" s="343">
        <v>7367</v>
      </c>
      <c r="AI146" s="343">
        <v>469.36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244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232</v>
      </c>
      <c r="W147" s="343" t="s">
        <v>167</v>
      </c>
      <c r="Y147" s="343" t="s">
        <v>146</v>
      </c>
      <c r="Z147" s="343" t="s">
        <v>147</v>
      </c>
      <c r="AA147" s="384">
        <v>46139</v>
      </c>
      <c r="AB147" s="384">
        <v>46145</v>
      </c>
      <c r="AC147" s="343" t="s">
        <v>277</v>
      </c>
      <c r="AD147" s="343">
        <v>1018</v>
      </c>
      <c r="AE147" s="343">
        <v>27687.08</v>
      </c>
      <c r="AF147" s="343">
        <v>833.92</v>
      </c>
      <c r="AG147" s="343">
        <v>0</v>
      </c>
      <c r="AH147" s="343">
        <v>28521</v>
      </c>
      <c r="AI147" s="343">
        <v>1801.56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245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234</v>
      </c>
      <c r="W148" s="343" t="s">
        <v>167</v>
      </c>
      <c r="Y148" s="343" t="s">
        <v>146</v>
      </c>
      <c r="Z148" s="343" t="s">
        <v>148</v>
      </c>
      <c r="AA148" s="384">
        <v>46146</v>
      </c>
      <c r="AB148" s="384">
        <v>46152</v>
      </c>
      <c r="AC148" s="343" t="s">
        <v>340</v>
      </c>
      <c r="AD148" s="343">
        <v>1</v>
      </c>
      <c r="AE148" s="343">
        <v>128</v>
      </c>
      <c r="AF148" s="343">
        <v>0</v>
      </c>
      <c r="AG148" s="343">
        <v>0</v>
      </c>
      <c r="AH148" s="343">
        <v>128</v>
      </c>
      <c r="AI148" s="343">
        <v>8.32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232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235</v>
      </c>
      <c r="W149" s="343" t="s">
        <v>167</v>
      </c>
      <c r="Y149" s="343" t="s">
        <v>146</v>
      </c>
      <c r="Z149" s="343" t="s">
        <v>148</v>
      </c>
      <c r="AA149" s="384">
        <v>46146</v>
      </c>
      <c r="AB149" s="384">
        <v>46152</v>
      </c>
      <c r="AC149" s="343" t="s">
        <v>279</v>
      </c>
      <c r="AD149" s="343">
        <v>223</v>
      </c>
      <c r="AE149" s="343">
        <v>2212</v>
      </c>
      <c r="AF149" s="343">
        <v>0</v>
      </c>
      <c r="AG149" s="343">
        <v>0</v>
      </c>
      <c r="AH149" s="343">
        <v>2212</v>
      </c>
      <c r="AI149" s="343">
        <v>144.36000000000001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233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236</v>
      </c>
      <c r="W150" s="343" t="s">
        <v>167</v>
      </c>
      <c r="Y150" s="343" t="s">
        <v>146</v>
      </c>
      <c r="Z150" s="343" t="s">
        <v>148</v>
      </c>
      <c r="AA150" s="384">
        <v>46146</v>
      </c>
      <c r="AB150" s="384">
        <v>46152</v>
      </c>
      <c r="AC150" s="343" t="s">
        <v>293</v>
      </c>
      <c r="AD150" s="343">
        <v>32</v>
      </c>
      <c r="AE150" s="343">
        <v>1380</v>
      </c>
      <c r="AF150" s="343">
        <v>0</v>
      </c>
      <c r="AG150" s="343">
        <v>0</v>
      </c>
      <c r="AH150" s="343">
        <v>1380</v>
      </c>
      <c r="AI150" s="343">
        <v>89.86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234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244</v>
      </c>
      <c r="W151" s="343" t="s">
        <v>167</v>
      </c>
      <c r="Y151" s="343" t="s">
        <v>146</v>
      </c>
      <c r="Z151" s="343" t="s">
        <v>148</v>
      </c>
      <c r="AA151" s="384">
        <v>46146</v>
      </c>
      <c r="AB151" s="384">
        <v>46152</v>
      </c>
      <c r="AC151" s="343" t="s">
        <v>106</v>
      </c>
      <c r="AD151" s="343">
        <v>6</v>
      </c>
      <c r="AE151" s="343">
        <v>1235.73</v>
      </c>
      <c r="AF151" s="343">
        <v>0</v>
      </c>
      <c r="AG151" s="343">
        <v>0</v>
      </c>
      <c r="AH151" s="343">
        <v>1235.73</v>
      </c>
      <c r="AI151" s="343">
        <v>0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235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233</v>
      </c>
      <c r="W152" s="343" t="s">
        <v>168</v>
      </c>
      <c r="Y152" s="343" t="s">
        <v>146</v>
      </c>
      <c r="Z152" s="343" t="s">
        <v>148</v>
      </c>
      <c r="AA152" s="384">
        <v>46146</v>
      </c>
      <c r="AB152" s="384">
        <v>46152</v>
      </c>
      <c r="AC152" s="343" t="s">
        <v>338</v>
      </c>
      <c r="AD152" s="343">
        <v>1</v>
      </c>
      <c r="AE152" s="343">
        <v>4.5</v>
      </c>
      <c r="AF152" s="343">
        <v>0</v>
      </c>
      <c r="AG152" s="343">
        <v>0</v>
      </c>
      <c r="AH152" s="343">
        <v>4.5</v>
      </c>
      <c r="AI152" s="343">
        <v>0.28999999999999998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236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234</v>
      </c>
      <c r="W153" s="343" t="s">
        <v>168</v>
      </c>
      <c r="Y153" s="343" t="s">
        <v>146</v>
      </c>
      <c r="Z153" s="343" t="s">
        <v>148</v>
      </c>
      <c r="AA153" s="384">
        <v>46146</v>
      </c>
      <c r="AB153" s="384">
        <v>46152</v>
      </c>
      <c r="AC153" s="343" t="s">
        <v>285</v>
      </c>
      <c r="AD153" s="343">
        <v>8037</v>
      </c>
      <c r="AE153" s="343">
        <v>200158.69</v>
      </c>
      <c r="AF153" s="343">
        <v>5455.83</v>
      </c>
      <c r="AG153" s="343">
        <v>0</v>
      </c>
      <c r="AH153" s="343">
        <v>205614.52</v>
      </c>
      <c r="AI153" s="343">
        <v>13022.75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244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235</v>
      </c>
      <c r="W154" s="343" t="s">
        <v>168</v>
      </c>
      <c r="Y154" s="343" t="s">
        <v>146</v>
      </c>
      <c r="Z154" s="343" t="s">
        <v>148</v>
      </c>
      <c r="AA154" s="384">
        <v>46146</v>
      </c>
      <c r="AB154" s="384">
        <v>46152</v>
      </c>
      <c r="AC154" s="343" t="s">
        <v>281</v>
      </c>
      <c r="AD154" s="343">
        <v>3079</v>
      </c>
      <c r="AE154" s="343">
        <v>61945.48</v>
      </c>
      <c r="AF154" s="343">
        <v>1164.51</v>
      </c>
      <c r="AG154" s="343">
        <v>0</v>
      </c>
      <c r="AH154" s="343">
        <v>63109.99</v>
      </c>
      <c r="AI154" s="343">
        <v>4032.88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245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236</v>
      </c>
      <c r="W155" s="343" t="s">
        <v>168</v>
      </c>
      <c r="Y155" s="343" t="s">
        <v>146</v>
      </c>
      <c r="Z155" s="343" t="s">
        <v>148</v>
      </c>
      <c r="AA155" s="384">
        <v>46146</v>
      </c>
      <c r="AB155" s="384">
        <v>46152</v>
      </c>
      <c r="AC155" s="343" t="s">
        <v>339</v>
      </c>
      <c r="AD155" s="343">
        <v>1250</v>
      </c>
      <c r="AE155" s="343">
        <v>9871.6299999999992</v>
      </c>
      <c r="AF155" s="343">
        <v>349.41</v>
      </c>
      <c r="AG155" s="343">
        <v>0</v>
      </c>
      <c r="AH155" s="343">
        <v>10221.040000000001</v>
      </c>
      <c r="AI155" s="343">
        <v>644.03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232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244</v>
      </c>
      <c r="W156" s="343" t="s">
        <v>168</v>
      </c>
      <c r="Y156" s="343" t="s">
        <v>146</v>
      </c>
      <c r="Z156" s="343" t="s">
        <v>148</v>
      </c>
      <c r="AA156" s="384">
        <v>46146</v>
      </c>
      <c r="AB156" s="384">
        <v>46152</v>
      </c>
      <c r="AC156" s="343" t="s">
        <v>277</v>
      </c>
      <c r="AD156" s="343">
        <v>949</v>
      </c>
      <c r="AE156" s="343">
        <v>31303.8</v>
      </c>
      <c r="AF156" s="343">
        <v>979.2</v>
      </c>
      <c r="AG156" s="343">
        <v>0</v>
      </c>
      <c r="AH156" s="343">
        <v>32283</v>
      </c>
      <c r="AI156" s="343">
        <v>2036.46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233</v>
      </c>
      <c r="G157" s="343" t="s">
        <v>154</v>
      </c>
      <c r="Q157" s="343">
        <v>20260819</v>
      </c>
      <c r="R157" s="343">
        <v>5545.3</v>
      </c>
      <c r="S157" s="343">
        <v>24</v>
      </c>
      <c r="T157" s="343">
        <v>40</v>
      </c>
      <c r="U157" s="384">
        <v>46253</v>
      </c>
      <c r="V157" s="343" t="s">
        <v>234</v>
      </c>
      <c r="W157" s="343" t="s">
        <v>169</v>
      </c>
      <c r="Y157" s="343" t="s">
        <v>146</v>
      </c>
      <c r="Z157" s="343" t="s">
        <v>149</v>
      </c>
      <c r="AA157" s="384">
        <v>46153</v>
      </c>
      <c r="AB157" s="384">
        <v>46159</v>
      </c>
      <c r="AC157" s="343" t="s">
        <v>340</v>
      </c>
      <c r="AD157" s="343">
        <v>1</v>
      </c>
      <c r="AE157" s="343">
        <v>172</v>
      </c>
      <c r="AF157" s="343">
        <v>0</v>
      </c>
      <c r="AG157" s="343">
        <v>0</v>
      </c>
      <c r="AH157" s="343">
        <v>172</v>
      </c>
      <c r="AI157" s="343">
        <v>11.18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234</v>
      </c>
      <c r="G158" s="343" t="s">
        <v>154</v>
      </c>
      <c r="Q158" s="343">
        <v>20260820</v>
      </c>
      <c r="R158" s="343">
        <v>6751.57</v>
      </c>
      <c r="S158" s="343">
        <v>39</v>
      </c>
      <c r="T158" s="343">
        <v>54</v>
      </c>
      <c r="U158" s="384">
        <v>46254</v>
      </c>
      <c r="V158" s="343" t="s">
        <v>235</v>
      </c>
      <c r="W158" s="343" t="s">
        <v>169</v>
      </c>
      <c r="Y158" s="343" t="s">
        <v>146</v>
      </c>
      <c r="Z158" s="343" t="s">
        <v>149</v>
      </c>
      <c r="AA158" s="384">
        <v>46153</v>
      </c>
      <c r="AB158" s="384">
        <v>46159</v>
      </c>
      <c r="AC158" s="343" t="s">
        <v>335</v>
      </c>
      <c r="AD158" s="343">
        <v>0</v>
      </c>
      <c r="AE158" s="343">
        <v>-150</v>
      </c>
      <c r="AF158" s="343">
        <v>0</v>
      </c>
      <c r="AG158" s="343">
        <v>150</v>
      </c>
      <c r="AH158" s="343">
        <v>0</v>
      </c>
      <c r="AI158" s="343">
        <v>0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235</v>
      </c>
      <c r="G159" s="343" t="s">
        <v>154</v>
      </c>
      <c r="Q159" s="343">
        <v>20260821</v>
      </c>
      <c r="R159" s="343">
        <v>14923.72</v>
      </c>
      <c r="S159" s="343">
        <v>88</v>
      </c>
      <c r="T159" s="343">
        <v>141</v>
      </c>
      <c r="U159" s="384">
        <v>46255</v>
      </c>
      <c r="V159" s="343" t="s">
        <v>236</v>
      </c>
      <c r="W159" s="343" t="s">
        <v>169</v>
      </c>
      <c r="Y159" s="343" t="s">
        <v>146</v>
      </c>
      <c r="Z159" s="343" t="s">
        <v>149</v>
      </c>
      <c r="AA159" s="384">
        <v>46153</v>
      </c>
      <c r="AB159" s="384">
        <v>46159</v>
      </c>
      <c r="AC159" s="343" t="s">
        <v>293</v>
      </c>
      <c r="AD159" s="343">
        <v>30</v>
      </c>
      <c r="AE159" s="343">
        <v>1925</v>
      </c>
      <c r="AF159" s="343">
        <v>0</v>
      </c>
      <c r="AG159" s="343">
        <v>0</v>
      </c>
      <c r="AH159" s="343">
        <v>1925</v>
      </c>
      <c r="AI159" s="343">
        <v>125.26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236</v>
      </c>
      <c r="G160" s="343" t="s">
        <v>154</v>
      </c>
      <c r="Q160" s="343">
        <v>20260822</v>
      </c>
      <c r="R160" s="343">
        <v>12040.45</v>
      </c>
      <c r="S160" s="343">
        <v>79</v>
      </c>
      <c r="T160" s="343">
        <v>109</v>
      </c>
      <c r="U160" s="384">
        <v>46256</v>
      </c>
      <c r="V160" s="343" t="s">
        <v>244</v>
      </c>
      <c r="W160" s="343" t="s">
        <v>169</v>
      </c>
      <c r="Y160" s="343" t="s">
        <v>146</v>
      </c>
      <c r="Z160" s="343" t="s">
        <v>149</v>
      </c>
      <c r="AA160" s="384">
        <v>46153</v>
      </c>
      <c r="AB160" s="384">
        <v>46159</v>
      </c>
      <c r="AC160" s="343" t="s">
        <v>106</v>
      </c>
      <c r="AD160" s="343">
        <v>9</v>
      </c>
      <c r="AE160" s="343">
        <v>2147.42</v>
      </c>
      <c r="AF160" s="343">
        <v>0</v>
      </c>
      <c r="AG160" s="343">
        <v>0</v>
      </c>
      <c r="AH160" s="343">
        <v>2147.42</v>
      </c>
      <c r="AI160" s="343">
        <v>0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244</v>
      </c>
      <c r="G161" s="343" t="s">
        <v>154</v>
      </c>
      <c r="Q161" s="343">
        <v>20260826</v>
      </c>
      <c r="R161" s="343">
        <v>2809</v>
      </c>
      <c r="S161" s="343">
        <v>13</v>
      </c>
      <c r="T161" s="343">
        <v>21</v>
      </c>
      <c r="U161" s="384">
        <v>46260</v>
      </c>
      <c r="V161" s="343" t="s">
        <v>234</v>
      </c>
      <c r="W161" s="343" t="s">
        <v>172</v>
      </c>
      <c r="Y161" s="343" t="s">
        <v>146</v>
      </c>
      <c r="Z161" s="343" t="s">
        <v>149</v>
      </c>
      <c r="AA161" s="384">
        <v>46153</v>
      </c>
      <c r="AB161" s="384">
        <v>46159</v>
      </c>
      <c r="AC161" s="343" t="s">
        <v>338</v>
      </c>
      <c r="AD161" s="343">
        <v>2</v>
      </c>
      <c r="AE161" s="343">
        <v>828.5</v>
      </c>
      <c r="AF161" s="343">
        <v>0</v>
      </c>
      <c r="AG161" s="343">
        <v>0</v>
      </c>
      <c r="AH161" s="343">
        <v>828.5</v>
      </c>
      <c r="AI161" s="343">
        <v>53.86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245</v>
      </c>
      <c r="G162" s="343" t="s">
        <v>154</v>
      </c>
      <c r="Q162" s="343">
        <v>20260827</v>
      </c>
      <c r="R162" s="343">
        <v>2712.5</v>
      </c>
      <c r="S162" s="343">
        <v>17</v>
      </c>
      <c r="T162" s="343">
        <v>27</v>
      </c>
      <c r="U162" s="384">
        <v>46261</v>
      </c>
      <c r="V162" s="343" t="s">
        <v>235</v>
      </c>
      <c r="W162" s="343" t="s">
        <v>172</v>
      </c>
      <c r="Y162" s="343" t="s">
        <v>146</v>
      </c>
      <c r="Z162" s="343" t="s">
        <v>149</v>
      </c>
      <c r="AA162" s="384">
        <v>46153</v>
      </c>
      <c r="AB162" s="384">
        <v>46159</v>
      </c>
      <c r="AC162" s="343" t="s">
        <v>279</v>
      </c>
      <c r="AD162" s="343">
        <v>252</v>
      </c>
      <c r="AE162" s="343">
        <v>2433</v>
      </c>
      <c r="AF162" s="343">
        <v>43.5</v>
      </c>
      <c r="AG162" s="343">
        <v>0</v>
      </c>
      <c r="AH162" s="343">
        <v>2476.5</v>
      </c>
      <c r="AI162" s="343">
        <v>158.75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232</v>
      </c>
      <c r="G163" s="343" t="s">
        <v>155</v>
      </c>
      <c r="Q163" s="343">
        <v>20260828</v>
      </c>
      <c r="R163" s="343">
        <v>12844.3</v>
      </c>
      <c r="S163" s="343">
        <v>88</v>
      </c>
      <c r="T163" s="343">
        <v>107</v>
      </c>
      <c r="U163" s="384">
        <v>46262</v>
      </c>
      <c r="V163" s="343" t="s">
        <v>236</v>
      </c>
      <c r="W163" s="343" t="s">
        <v>172</v>
      </c>
      <c r="Y163" s="343" t="s">
        <v>146</v>
      </c>
      <c r="Z163" s="343" t="s">
        <v>149</v>
      </c>
      <c r="AA163" s="384">
        <v>46153</v>
      </c>
      <c r="AB163" s="384">
        <v>46159</v>
      </c>
      <c r="AC163" s="343" t="s">
        <v>285</v>
      </c>
      <c r="AD163" s="343">
        <v>6502</v>
      </c>
      <c r="AE163" s="343">
        <v>166609.94</v>
      </c>
      <c r="AF163" s="343">
        <v>5129.63</v>
      </c>
      <c r="AG163" s="343">
        <v>0</v>
      </c>
      <c r="AH163" s="343">
        <v>171739.57</v>
      </c>
      <c r="AI163" s="343">
        <v>10836.67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233</v>
      </c>
      <c r="G164" s="343" t="s">
        <v>155</v>
      </c>
      <c r="Q164" s="343">
        <v>20260829</v>
      </c>
      <c r="R164" s="343">
        <v>12329.4</v>
      </c>
      <c r="S164" s="343">
        <v>87</v>
      </c>
      <c r="T164" s="343">
        <v>127</v>
      </c>
      <c r="U164" s="384">
        <v>46263</v>
      </c>
      <c r="V164" s="343" t="s">
        <v>244</v>
      </c>
      <c r="W164" s="343" t="s">
        <v>172</v>
      </c>
      <c r="Y164" s="343" t="s">
        <v>146</v>
      </c>
      <c r="Z164" s="343" t="s">
        <v>149</v>
      </c>
      <c r="AA164" s="384">
        <v>46153</v>
      </c>
      <c r="AB164" s="384">
        <v>46159</v>
      </c>
      <c r="AC164" s="343" t="s">
        <v>281</v>
      </c>
      <c r="AD164" s="343">
        <v>2508</v>
      </c>
      <c r="AE164" s="343">
        <v>48739.47</v>
      </c>
      <c r="AF164" s="343">
        <v>1449.03</v>
      </c>
      <c r="AG164" s="343">
        <v>0</v>
      </c>
      <c r="AH164" s="343">
        <v>50188.5</v>
      </c>
      <c r="AI164" s="343">
        <v>3172.52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234</v>
      </c>
      <c r="G165" s="343" t="s">
        <v>155</v>
      </c>
      <c r="Q165" s="343">
        <v>20260901</v>
      </c>
      <c r="R165" s="343">
        <v>0</v>
      </c>
      <c r="S165" s="343">
        <v>2</v>
      </c>
      <c r="T165" s="343">
        <v>2</v>
      </c>
      <c r="U165" s="384">
        <v>46266</v>
      </c>
      <c r="V165" s="343" t="s">
        <v>233</v>
      </c>
      <c r="W165" s="343" t="s">
        <v>101</v>
      </c>
      <c r="Y165" s="343" t="s">
        <v>146</v>
      </c>
      <c r="Z165" s="343" t="s">
        <v>149</v>
      </c>
      <c r="AA165" s="384">
        <v>46153</v>
      </c>
      <c r="AB165" s="384">
        <v>46159</v>
      </c>
      <c r="AC165" s="343" t="s">
        <v>339</v>
      </c>
      <c r="AD165" s="343">
        <v>1117</v>
      </c>
      <c r="AE165" s="343">
        <v>9022.86</v>
      </c>
      <c r="AF165" s="343">
        <v>260.14</v>
      </c>
      <c r="AG165" s="343">
        <v>0</v>
      </c>
      <c r="AH165" s="343">
        <v>9283</v>
      </c>
      <c r="AI165" s="343">
        <v>588.01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235</v>
      </c>
      <c r="G166" s="343" t="s">
        <v>155</v>
      </c>
      <c r="Q166" s="343">
        <v>20260902</v>
      </c>
      <c r="R166" s="343">
        <v>4193</v>
      </c>
      <c r="S166" s="343">
        <v>18</v>
      </c>
      <c r="T166" s="343">
        <v>37</v>
      </c>
      <c r="U166" s="384">
        <v>46267</v>
      </c>
      <c r="V166" s="343" t="s">
        <v>234</v>
      </c>
      <c r="W166" s="343" t="s">
        <v>101</v>
      </c>
      <c r="Y166" s="343" t="s">
        <v>146</v>
      </c>
      <c r="Z166" s="343" t="s">
        <v>149</v>
      </c>
      <c r="AA166" s="384">
        <v>46153</v>
      </c>
      <c r="AB166" s="384">
        <v>46159</v>
      </c>
      <c r="AC166" s="343" t="s">
        <v>277</v>
      </c>
      <c r="AD166" s="343">
        <v>933</v>
      </c>
      <c r="AE166" s="343">
        <v>25706.41</v>
      </c>
      <c r="AF166" s="343">
        <v>711.59</v>
      </c>
      <c r="AG166" s="343">
        <v>0</v>
      </c>
      <c r="AH166" s="343">
        <v>26418</v>
      </c>
      <c r="AI166" s="343">
        <v>1672.61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236</v>
      </c>
      <c r="G167" s="343" t="s">
        <v>155</v>
      </c>
      <c r="Q167" s="343">
        <v>20260903</v>
      </c>
      <c r="R167" s="343">
        <v>4590.79</v>
      </c>
      <c r="S167" s="343">
        <v>27</v>
      </c>
      <c r="T167" s="343">
        <v>43</v>
      </c>
      <c r="U167" s="384">
        <v>46268</v>
      </c>
      <c r="V167" s="343" t="s">
        <v>235</v>
      </c>
      <c r="W167" s="343" t="s">
        <v>101</v>
      </c>
      <c r="Y167" s="343" t="s">
        <v>146</v>
      </c>
      <c r="Z167" s="343" t="s">
        <v>150</v>
      </c>
      <c r="AA167" s="384">
        <v>46160</v>
      </c>
      <c r="AB167" s="384">
        <v>46166</v>
      </c>
      <c r="AC167" s="343" t="s">
        <v>340</v>
      </c>
      <c r="AD167" s="343">
        <v>1</v>
      </c>
      <c r="AE167" s="343">
        <v>489.5</v>
      </c>
      <c r="AF167" s="343">
        <v>0</v>
      </c>
      <c r="AG167" s="343">
        <v>0</v>
      </c>
      <c r="AH167" s="343">
        <v>489.5</v>
      </c>
      <c r="AI167" s="343">
        <v>31.82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244</v>
      </c>
      <c r="G168" s="343" t="s">
        <v>155</v>
      </c>
      <c r="Q168" s="343">
        <v>20260904</v>
      </c>
      <c r="R168" s="343">
        <v>7643</v>
      </c>
      <c r="S168" s="343">
        <v>61</v>
      </c>
      <c r="T168" s="343">
        <v>105</v>
      </c>
      <c r="U168" s="384">
        <v>46269</v>
      </c>
      <c r="V168" s="343" t="s">
        <v>236</v>
      </c>
      <c r="W168" s="343" t="s">
        <v>101</v>
      </c>
      <c r="Y168" s="343" t="s">
        <v>146</v>
      </c>
      <c r="Z168" s="343" t="s">
        <v>150</v>
      </c>
      <c r="AA168" s="384">
        <v>46160</v>
      </c>
      <c r="AB168" s="384">
        <v>46166</v>
      </c>
      <c r="AC168" s="343" t="s">
        <v>279</v>
      </c>
      <c r="AD168" s="343">
        <v>209</v>
      </c>
      <c r="AE168" s="343">
        <v>2123</v>
      </c>
      <c r="AF168" s="343">
        <v>0</v>
      </c>
      <c r="AG168" s="343">
        <v>0</v>
      </c>
      <c r="AH168" s="343">
        <v>2123</v>
      </c>
      <c r="AI168" s="343">
        <v>138.5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245</v>
      </c>
      <c r="G169" s="343" t="s">
        <v>155</v>
      </c>
      <c r="Q169" s="343">
        <v>20260905</v>
      </c>
      <c r="R169" s="343">
        <v>9830</v>
      </c>
      <c r="S169" s="343">
        <v>50</v>
      </c>
      <c r="T169" s="343">
        <v>88</v>
      </c>
      <c r="U169" s="384">
        <v>46270</v>
      </c>
      <c r="V169" s="343" t="s">
        <v>244</v>
      </c>
      <c r="W169" s="343" t="s">
        <v>101</v>
      </c>
      <c r="Y169" s="343" t="s">
        <v>146</v>
      </c>
      <c r="Z169" s="343" t="s">
        <v>150</v>
      </c>
      <c r="AA169" s="384">
        <v>46160</v>
      </c>
      <c r="AB169" s="384">
        <v>46166</v>
      </c>
      <c r="AC169" s="343" t="s">
        <v>335</v>
      </c>
      <c r="AD169" s="343">
        <v>0</v>
      </c>
      <c r="AE169" s="343">
        <v>-83.36</v>
      </c>
      <c r="AF169" s="343">
        <v>0</v>
      </c>
      <c r="AG169" s="343">
        <v>83.36</v>
      </c>
      <c r="AH169" s="343">
        <v>0</v>
      </c>
      <c r="AI169" s="343">
        <v>0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232</v>
      </c>
      <c r="G170" s="343" t="s">
        <v>156</v>
      </c>
      <c r="Q170" s="343">
        <v>20260906</v>
      </c>
      <c r="R170" s="343">
        <v>4361</v>
      </c>
      <c r="S170" s="343">
        <v>22</v>
      </c>
      <c r="T170" s="343">
        <v>55</v>
      </c>
      <c r="U170" s="384">
        <v>46271</v>
      </c>
      <c r="V170" s="343" t="s">
        <v>245</v>
      </c>
      <c r="W170" s="343" t="s">
        <v>101</v>
      </c>
      <c r="Y170" s="343" t="s">
        <v>146</v>
      </c>
      <c r="Z170" s="343" t="s">
        <v>150</v>
      </c>
      <c r="AA170" s="384">
        <v>46160</v>
      </c>
      <c r="AB170" s="384">
        <v>46166</v>
      </c>
      <c r="AC170" s="343" t="s">
        <v>106</v>
      </c>
      <c r="AD170" s="343">
        <v>18</v>
      </c>
      <c r="AE170" s="343">
        <v>1946.88</v>
      </c>
      <c r="AF170" s="343">
        <v>0</v>
      </c>
      <c r="AG170" s="343">
        <v>0</v>
      </c>
      <c r="AH170" s="343">
        <v>1946.88</v>
      </c>
      <c r="AI170" s="343">
        <v>0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233</v>
      </c>
      <c r="G171" s="343" t="s">
        <v>156</v>
      </c>
      <c r="Y171" s="343" t="s">
        <v>146</v>
      </c>
      <c r="Z171" s="343" t="s">
        <v>150</v>
      </c>
      <c r="AA171" s="384">
        <v>46160</v>
      </c>
      <c r="AB171" s="384">
        <v>46166</v>
      </c>
      <c r="AC171" s="343" t="s">
        <v>338</v>
      </c>
      <c r="AD171" s="343">
        <v>3</v>
      </c>
      <c r="AE171" s="343">
        <v>955</v>
      </c>
      <c r="AF171" s="343">
        <v>0</v>
      </c>
      <c r="AG171" s="343">
        <v>0</v>
      </c>
      <c r="AH171" s="343">
        <v>955</v>
      </c>
      <c r="AI171" s="343">
        <v>62.08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234</v>
      </c>
      <c r="G172" s="343" t="s">
        <v>156</v>
      </c>
      <c r="Y172" s="343" t="s">
        <v>146</v>
      </c>
      <c r="Z172" s="343" t="s">
        <v>150</v>
      </c>
      <c r="AA172" s="384">
        <v>46160</v>
      </c>
      <c r="AB172" s="384">
        <v>46166</v>
      </c>
      <c r="AC172" s="343" t="s">
        <v>285</v>
      </c>
      <c r="AD172" s="343">
        <v>6315</v>
      </c>
      <c r="AE172" s="343">
        <v>173885.06</v>
      </c>
      <c r="AF172" s="343">
        <v>4068.4</v>
      </c>
      <c r="AG172" s="343">
        <v>0</v>
      </c>
      <c r="AH172" s="343">
        <v>177953.46</v>
      </c>
      <c r="AI172" s="343">
        <v>11251.1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235</v>
      </c>
      <c r="G173" s="343" t="s">
        <v>156</v>
      </c>
      <c r="Y173" s="343" t="s">
        <v>146</v>
      </c>
      <c r="Z173" s="343" t="s">
        <v>150</v>
      </c>
      <c r="AA173" s="384">
        <v>46160</v>
      </c>
      <c r="AB173" s="384">
        <v>46166</v>
      </c>
      <c r="AC173" s="343" t="s">
        <v>281</v>
      </c>
      <c r="AD173" s="343">
        <v>2535</v>
      </c>
      <c r="AE173" s="343">
        <v>50336.34</v>
      </c>
      <c r="AF173" s="343">
        <v>576.66</v>
      </c>
      <c r="AG173" s="343">
        <v>0</v>
      </c>
      <c r="AH173" s="343">
        <v>50913</v>
      </c>
      <c r="AI173" s="343">
        <v>3274.35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236</v>
      </c>
      <c r="G174" s="343" t="s">
        <v>156</v>
      </c>
      <c r="Y174" s="343" t="s">
        <v>146</v>
      </c>
      <c r="Z174" s="343" t="s">
        <v>150</v>
      </c>
      <c r="AA174" s="384">
        <v>46160</v>
      </c>
      <c r="AB174" s="384">
        <v>46166</v>
      </c>
      <c r="AC174" s="343" t="s">
        <v>339</v>
      </c>
      <c r="AD174" s="343">
        <v>1159</v>
      </c>
      <c r="AE174" s="343">
        <v>9525.6</v>
      </c>
      <c r="AF174" s="343">
        <v>76.400000000000006</v>
      </c>
      <c r="AG174" s="343">
        <v>0</v>
      </c>
      <c r="AH174" s="343">
        <v>9602</v>
      </c>
      <c r="AI174" s="343">
        <v>620.83000000000004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244</v>
      </c>
      <c r="G175" s="343" t="s">
        <v>156</v>
      </c>
      <c r="Y175" s="343" t="s">
        <v>146</v>
      </c>
      <c r="Z175" s="343" t="s">
        <v>150</v>
      </c>
      <c r="AA175" s="384">
        <v>46160</v>
      </c>
      <c r="AB175" s="384">
        <v>46166</v>
      </c>
      <c r="AC175" s="343" t="s">
        <v>277</v>
      </c>
      <c r="AD175" s="343">
        <v>867</v>
      </c>
      <c r="AE175" s="343">
        <v>28892.17</v>
      </c>
      <c r="AF175" s="343">
        <v>649.84</v>
      </c>
      <c r="AG175" s="343">
        <v>0</v>
      </c>
      <c r="AH175" s="343">
        <v>29542.01</v>
      </c>
      <c r="AI175" s="343">
        <v>1812.41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245</v>
      </c>
      <c r="G176" s="343" t="s">
        <v>156</v>
      </c>
      <c r="Y176" s="343" t="s">
        <v>152</v>
      </c>
      <c r="Z176" s="343" t="s">
        <v>153</v>
      </c>
      <c r="AA176" s="384">
        <v>46167</v>
      </c>
      <c r="AB176" s="384">
        <v>46173</v>
      </c>
      <c r="AC176" s="343" t="s">
        <v>279</v>
      </c>
      <c r="AD176" s="343">
        <v>154</v>
      </c>
      <c r="AE176" s="343">
        <v>1529</v>
      </c>
      <c r="AF176" s="343">
        <v>0</v>
      </c>
      <c r="AG176" s="343">
        <v>0</v>
      </c>
      <c r="AH176" s="343">
        <v>1529</v>
      </c>
      <c r="AI176" s="343">
        <v>99.8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232</v>
      </c>
      <c r="G177" s="343" t="s">
        <v>157</v>
      </c>
      <c r="Y177" s="343" t="s">
        <v>152</v>
      </c>
      <c r="Z177" s="343" t="s">
        <v>153</v>
      </c>
      <c r="AA177" s="384">
        <v>46167</v>
      </c>
      <c r="AB177" s="384">
        <v>46173</v>
      </c>
      <c r="AC177" s="343" t="s">
        <v>293</v>
      </c>
      <c r="AD177" s="343">
        <v>1</v>
      </c>
      <c r="AE177" s="343">
        <v>65</v>
      </c>
      <c r="AF177" s="343">
        <v>0</v>
      </c>
      <c r="AG177" s="343">
        <v>0</v>
      </c>
      <c r="AH177" s="343">
        <v>65</v>
      </c>
      <c r="AI177" s="343">
        <v>4.2300000000000004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233</v>
      </c>
      <c r="G178" s="343" t="s">
        <v>157</v>
      </c>
      <c r="Y178" s="343" t="s">
        <v>152</v>
      </c>
      <c r="Z178" s="343" t="s">
        <v>153</v>
      </c>
      <c r="AA178" s="384">
        <v>46167</v>
      </c>
      <c r="AB178" s="384">
        <v>46173</v>
      </c>
      <c r="AC178" s="343" t="s">
        <v>106</v>
      </c>
      <c r="AD178" s="343">
        <v>5</v>
      </c>
      <c r="AE178" s="343">
        <v>254.5</v>
      </c>
      <c r="AF178" s="343">
        <v>0</v>
      </c>
      <c r="AG178" s="343">
        <v>0</v>
      </c>
      <c r="AH178" s="343">
        <v>254.5</v>
      </c>
      <c r="AI178" s="343">
        <v>0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234</v>
      </c>
      <c r="G179" s="343" t="s">
        <v>157</v>
      </c>
      <c r="Y179" s="343" t="s">
        <v>152</v>
      </c>
      <c r="Z179" s="343" t="s">
        <v>153</v>
      </c>
      <c r="AA179" s="384">
        <v>46167</v>
      </c>
      <c r="AB179" s="384">
        <v>46173</v>
      </c>
      <c r="AC179" s="343" t="s">
        <v>338</v>
      </c>
      <c r="AD179" s="343">
        <v>3</v>
      </c>
      <c r="AE179" s="343">
        <v>1207.23</v>
      </c>
      <c r="AF179" s="343">
        <v>0</v>
      </c>
      <c r="AG179" s="343">
        <v>0</v>
      </c>
      <c r="AH179" s="343">
        <v>1207.23</v>
      </c>
      <c r="AI179" s="343">
        <v>78.47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235</v>
      </c>
      <c r="G180" s="343" t="s">
        <v>157</v>
      </c>
      <c r="Y180" s="343" t="s">
        <v>152</v>
      </c>
      <c r="Z180" s="343" t="s">
        <v>153</v>
      </c>
      <c r="AA180" s="384">
        <v>46167</v>
      </c>
      <c r="AB180" s="384">
        <v>46173</v>
      </c>
      <c r="AC180" s="343" t="s">
        <v>285</v>
      </c>
      <c r="AD180" s="343">
        <v>5251</v>
      </c>
      <c r="AE180" s="343">
        <v>129194.67</v>
      </c>
      <c r="AF180" s="343">
        <v>3002.33</v>
      </c>
      <c r="AG180" s="343">
        <v>0</v>
      </c>
      <c r="AH180" s="343">
        <v>132197</v>
      </c>
      <c r="AI180" s="343">
        <v>8406.02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236</v>
      </c>
      <c r="G181" s="343" t="s">
        <v>157</v>
      </c>
      <c r="Y181" s="343" t="s">
        <v>152</v>
      </c>
      <c r="Z181" s="343" t="s">
        <v>153</v>
      </c>
      <c r="AA181" s="384">
        <v>46167</v>
      </c>
      <c r="AB181" s="384">
        <v>46173</v>
      </c>
      <c r="AC181" s="343" t="s">
        <v>281</v>
      </c>
      <c r="AD181" s="343">
        <v>2096</v>
      </c>
      <c r="AE181" s="343">
        <v>41733.699999999997</v>
      </c>
      <c r="AF181" s="343">
        <v>586.29999999999995</v>
      </c>
      <c r="AG181" s="343">
        <v>0</v>
      </c>
      <c r="AH181" s="343">
        <v>42320</v>
      </c>
      <c r="AI181" s="343">
        <v>2717.07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244</v>
      </c>
      <c r="G182" s="343" t="s">
        <v>157</v>
      </c>
      <c r="Y182" s="343" t="s">
        <v>152</v>
      </c>
      <c r="Z182" s="343" t="s">
        <v>153</v>
      </c>
      <c r="AA182" s="384">
        <v>46167</v>
      </c>
      <c r="AB182" s="384">
        <v>46173</v>
      </c>
      <c r="AC182" s="343" t="s">
        <v>339</v>
      </c>
      <c r="AD182" s="343">
        <v>880</v>
      </c>
      <c r="AE182" s="343">
        <v>7031.18</v>
      </c>
      <c r="AF182" s="343">
        <v>53.82</v>
      </c>
      <c r="AG182" s="343">
        <v>0</v>
      </c>
      <c r="AH182" s="343">
        <v>7085</v>
      </c>
      <c r="AI182" s="343">
        <v>459.16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245</v>
      </c>
      <c r="G183" s="343" t="s">
        <v>157</v>
      </c>
      <c r="Y183" s="343" t="s">
        <v>152</v>
      </c>
      <c r="Z183" s="343" t="s">
        <v>153</v>
      </c>
      <c r="AA183" s="384">
        <v>46167</v>
      </c>
      <c r="AB183" s="384">
        <v>46173</v>
      </c>
      <c r="AC183" s="343" t="s">
        <v>277</v>
      </c>
      <c r="AD183" s="343">
        <v>679</v>
      </c>
      <c r="AE183" s="343">
        <v>22425</v>
      </c>
      <c r="AF183" s="343">
        <v>385</v>
      </c>
      <c r="AG183" s="343">
        <v>0</v>
      </c>
      <c r="AH183" s="343">
        <v>22810</v>
      </c>
      <c r="AI183" s="343">
        <v>1459.1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232</v>
      </c>
      <c r="G184" s="343" t="s">
        <v>160</v>
      </c>
      <c r="Y184" s="343" t="s">
        <v>152</v>
      </c>
      <c r="Z184" s="343" t="s">
        <v>154</v>
      </c>
      <c r="AA184" s="384">
        <v>46174</v>
      </c>
      <c r="AB184" s="384">
        <v>46180</v>
      </c>
      <c r="AC184" s="343" t="s">
        <v>340</v>
      </c>
      <c r="AD184" s="343">
        <v>2</v>
      </c>
      <c r="AE184" s="343">
        <v>6327</v>
      </c>
      <c r="AF184" s="343">
        <v>0</v>
      </c>
      <c r="AG184" s="343">
        <v>0</v>
      </c>
      <c r="AH184" s="343">
        <v>6327</v>
      </c>
      <c r="AI184" s="343">
        <v>411.26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233</v>
      </c>
      <c r="G185" s="343" t="s">
        <v>160</v>
      </c>
      <c r="Y185" s="343" t="s">
        <v>152</v>
      </c>
      <c r="Z185" s="343" t="s">
        <v>154</v>
      </c>
      <c r="AA185" s="384">
        <v>46174</v>
      </c>
      <c r="AB185" s="384">
        <v>46180</v>
      </c>
      <c r="AC185" s="343" t="s">
        <v>293</v>
      </c>
      <c r="AD185" s="343">
        <v>1</v>
      </c>
      <c r="AE185" s="343">
        <v>350</v>
      </c>
      <c r="AF185" s="343">
        <v>0</v>
      </c>
      <c r="AG185" s="343">
        <v>0</v>
      </c>
      <c r="AH185" s="343">
        <v>350</v>
      </c>
      <c r="AI185" s="343">
        <v>22.75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234</v>
      </c>
      <c r="G186" s="343" t="s">
        <v>160</v>
      </c>
      <c r="Y186" s="343" t="s">
        <v>152</v>
      </c>
      <c r="Z186" s="343" t="s">
        <v>154</v>
      </c>
      <c r="AA186" s="384">
        <v>46174</v>
      </c>
      <c r="AB186" s="384">
        <v>46180</v>
      </c>
      <c r="AC186" s="343" t="s">
        <v>106</v>
      </c>
      <c r="AD186" s="343">
        <v>5</v>
      </c>
      <c r="AE186" s="343">
        <v>797.4</v>
      </c>
      <c r="AF186" s="343">
        <v>0</v>
      </c>
      <c r="AG186" s="343">
        <v>0</v>
      </c>
      <c r="AH186" s="343">
        <v>797.4</v>
      </c>
      <c r="AI186" s="343">
        <v>0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235</v>
      </c>
      <c r="G187" s="343" t="s">
        <v>160</v>
      </c>
      <c r="Y187" s="343" t="s">
        <v>152</v>
      </c>
      <c r="Z187" s="343" t="s">
        <v>154</v>
      </c>
      <c r="AA187" s="384">
        <v>46174</v>
      </c>
      <c r="AB187" s="384">
        <v>46180</v>
      </c>
      <c r="AC187" s="343" t="s">
        <v>279</v>
      </c>
      <c r="AD187" s="343">
        <v>99</v>
      </c>
      <c r="AE187" s="343">
        <v>932.5</v>
      </c>
      <c r="AF187" s="343">
        <v>19</v>
      </c>
      <c r="AG187" s="343">
        <v>0</v>
      </c>
      <c r="AH187" s="343">
        <v>951.5</v>
      </c>
      <c r="AI187" s="343">
        <v>60.85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236</v>
      </c>
      <c r="G188" s="343" t="s">
        <v>160</v>
      </c>
      <c r="Y188" s="343" t="s">
        <v>152</v>
      </c>
      <c r="Z188" s="343" t="s">
        <v>154</v>
      </c>
      <c r="AA188" s="384">
        <v>46174</v>
      </c>
      <c r="AB188" s="384">
        <v>46180</v>
      </c>
      <c r="AC188" s="343" t="s">
        <v>285</v>
      </c>
      <c r="AD188" s="343">
        <v>5025</v>
      </c>
      <c r="AE188" s="343">
        <v>131650.34</v>
      </c>
      <c r="AF188" s="343">
        <v>4384.1499999999996</v>
      </c>
      <c r="AG188" s="343">
        <v>0</v>
      </c>
      <c r="AH188" s="343">
        <v>136034.49</v>
      </c>
      <c r="AI188" s="343">
        <v>8564.9699999999993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244</v>
      </c>
      <c r="G189" s="343" t="s">
        <v>160</v>
      </c>
      <c r="Y189" s="343" t="s">
        <v>152</v>
      </c>
      <c r="Z189" s="343" t="s">
        <v>154</v>
      </c>
      <c r="AA189" s="384">
        <v>46174</v>
      </c>
      <c r="AB189" s="384">
        <v>46180</v>
      </c>
      <c r="AC189" s="343" t="s">
        <v>281</v>
      </c>
      <c r="AD189" s="343">
        <v>2427</v>
      </c>
      <c r="AE189" s="343">
        <v>44980.47</v>
      </c>
      <c r="AF189" s="343">
        <v>1443.6</v>
      </c>
      <c r="AG189" s="343">
        <v>0</v>
      </c>
      <c r="AH189" s="343">
        <v>46424.07</v>
      </c>
      <c r="AI189" s="343">
        <v>2928.79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245</v>
      </c>
      <c r="G190" s="343" t="s">
        <v>160</v>
      </c>
      <c r="Y190" s="343" t="s">
        <v>152</v>
      </c>
      <c r="Z190" s="343" t="s">
        <v>154</v>
      </c>
      <c r="AA190" s="384">
        <v>46174</v>
      </c>
      <c r="AB190" s="384">
        <v>46180</v>
      </c>
      <c r="AC190" s="343" t="s">
        <v>339</v>
      </c>
      <c r="AD190" s="343">
        <v>872</v>
      </c>
      <c r="AE190" s="343">
        <v>6931.61</v>
      </c>
      <c r="AF190" s="343">
        <v>236.39</v>
      </c>
      <c r="AG190" s="343">
        <v>0</v>
      </c>
      <c r="AH190" s="343">
        <v>7168</v>
      </c>
      <c r="AI190" s="343">
        <v>452.47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232</v>
      </c>
      <c r="G191" s="343" t="s">
        <v>161</v>
      </c>
      <c r="Y191" s="343" t="s">
        <v>152</v>
      </c>
      <c r="Z191" s="343" t="s">
        <v>154</v>
      </c>
      <c r="AA191" s="384">
        <v>46174</v>
      </c>
      <c r="AB191" s="384">
        <v>46180</v>
      </c>
      <c r="AC191" s="343" t="s">
        <v>277</v>
      </c>
      <c r="AD191" s="343">
        <v>828</v>
      </c>
      <c r="AE191" s="343">
        <v>19285.12</v>
      </c>
      <c r="AF191" s="343">
        <v>1431.91</v>
      </c>
      <c r="AG191" s="343">
        <v>0</v>
      </c>
      <c r="AH191" s="343">
        <v>20717.03</v>
      </c>
      <c r="AI191" s="343">
        <v>1255.01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233</v>
      </c>
      <c r="G192" s="343" t="s">
        <v>161</v>
      </c>
      <c r="Y192" s="343" t="s">
        <v>152</v>
      </c>
      <c r="Z192" s="343" t="s">
        <v>155</v>
      </c>
      <c r="AA192" s="384">
        <v>46181</v>
      </c>
      <c r="AB192" s="384">
        <v>46187</v>
      </c>
      <c r="AC192" s="343" t="s">
        <v>293</v>
      </c>
      <c r="AD192" s="343">
        <v>1</v>
      </c>
      <c r="AE192" s="343">
        <v>65</v>
      </c>
      <c r="AF192" s="343">
        <v>0</v>
      </c>
      <c r="AG192" s="343">
        <v>0</v>
      </c>
      <c r="AH192" s="343">
        <v>65</v>
      </c>
      <c r="AI192" s="343">
        <v>4.2300000000000004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234</v>
      </c>
      <c r="G193" s="343" t="s">
        <v>161</v>
      </c>
      <c r="Y193" s="343" t="s">
        <v>152</v>
      </c>
      <c r="Z193" s="343" t="s">
        <v>155</v>
      </c>
      <c r="AA193" s="384">
        <v>46181</v>
      </c>
      <c r="AB193" s="384">
        <v>46187</v>
      </c>
      <c r="AC193" s="343" t="s">
        <v>106</v>
      </c>
      <c r="AD193" s="343">
        <v>6</v>
      </c>
      <c r="AE193" s="343">
        <v>487.2</v>
      </c>
      <c r="AF193" s="343">
        <v>0</v>
      </c>
      <c r="AG193" s="343">
        <v>0</v>
      </c>
      <c r="AH193" s="343">
        <v>487.2</v>
      </c>
      <c r="AI193" s="343">
        <v>0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235</v>
      </c>
      <c r="G194" s="343" t="s">
        <v>161</v>
      </c>
      <c r="Y194" s="343" t="s">
        <v>152</v>
      </c>
      <c r="Z194" s="343" t="s">
        <v>155</v>
      </c>
      <c r="AA194" s="384">
        <v>46181</v>
      </c>
      <c r="AB194" s="384">
        <v>46187</v>
      </c>
      <c r="AC194" s="343" t="s">
        <v>338</v>
      </c>
      <c r="AD194" s="343">
        <v>1</v>
      </c>
      <c r="AE194" s="343">
        <v>47</v>
      </c>
      <c r="AF194" s="343">
        <v>0</v>
      </c>
      <c r="AG194" s="343">
        <v>0</v>
      </c>
      <c r="AH194" s="343">
        <v>47</v>
      </c>
      <c r="AI194" s="343">
        <v>3.06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236</v>
      </c>
      <c r="G195" s="343" t="s">
        <v>161</v>
      </c>
      <c r="Y195" s="343" t="s">
        <v>152</v>
      </c>
      <c r="Z195" s="343" t="s">
        <v>155</v>
      </c>
      <c r="AA195" s="384">
        <v>46181</v>
      </c>
      <c r="AB195" s="384">
        <v>46187</v>
      </c>
      <c r="AC195" s="343" t="s">
        <v>279</v>
      </c>
      <c r="AD195" s="343">
        <v>156</v>
      </c>
      <c r="AE195" s="343">
        <v>1579</v>
      </c>
      <c r="AF195" s="343">
        <v>24.5</v>
      </c>
      <c r="AG195" s="343">
        <v>0</v>
      </c>
      <c r="AH195" s="343">
        <v>1603.5</v>
      </c>
      <c r="AI195" s="343">
        <v>103.04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244</v>
      </c>
      <c r="G196" s="343" t="s">
        <v>161</v>
      </c>
      <c r="Y196" s="343" t="s">
        <v>152</v>
      </c>
      <c r="Z196" s="343" t="s">
        <v>155</v>
      </c>
      <c r="AA196" s="384">
        <v>46181</v>
      </c>
      <c r="AB196" s="384">
        <v>46187</v>
      </c>
      <c r="AC196" s="343" t="s">
        <v>285</v>
      </c>
      <c r="AD196" s="343">
        <v>4771</v>
      </c>
      <c r="AE196" s="343">
        <v>121995.47</v>
      </c>
      <c r="AF196" s="343">
        <v>3357.07</v>
      </c>
      <c r="AG196" s="343">
        <v>0</v>
      </c>
      <c r="AH196" s="343">
        <v>125352.54</v>
      </c>
      <c r="AI196" s="343">
        <v>7937.21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245</v>
      </c>
      <c r="G197" s="343" t="s">
        <v>161</v>
      </c>
      <c r="Y197" s="343" t="s">
        <v>152</v>
      </c>
      <c r="Z197" s="343" t="s">
        <v>155</v>
      </c>
      <c r="AA197" s="384">
        <v>46181</v>
      </c>
      <c r="AB197" s="384">
        <v>46187</v>
      </c>
      <c r="AC197" s="343" t="s">
        <v>281</v>
      </c>
      <c r="AD197" s="343">
        <v>2169</v>
      </c>
      <c r="AE197" s="343">
        <v>42674.67</v>
      </c>
      <c r="AF197" s="343">
        <v>1380.33</v>
      </c>
      <c r="AG197" s="343">
        <v>0</v>
      </c>
      <c r="AH197" s="343">
        <v>44055</v>
      </c>
      <c r="AI197" s="343">
        <v>2778.36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232</v>
      </c>
      <c r="G198" s="343" t="s">
        <v>162</v>
      </c>
      <c r="Y198" s="343" t="s">
        <v>152</v>
      </c>
      <c r="Z198" s="343" t="s">
        <v>155</v>
      </c>
      <c r="AA198" s="384">
        <v>46181</v>
      </c>
      <c r="AB198" s="384">
        <v>46187</v>
      </c>
      <c r="AC198" s="343" t="s">
        <v>339</v>
      </c>
      <c r="AD198" s="343">
        <v>852</v>
      </c>
      <c r="AE198" s="343">
        <v>6830.56</v>
      </c>
      <c r="AF198" s="343">
        <v>148.44</v>
      </c>
      <c r="AG198" s="343">
        <v>0</v>
      </c>
      <c r="AH198" s="343">
        <v>6979</v>
      </c>
      <c r="AI198" s="343">
        <v>445.83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233</v>
      </c>
      <c r="G199" s="343" t="s">
        <v>162</v>
      </c>
      <c r="Y199" s="343" t="s">
        <v>152</v>
      </c>
      <c r="Z199" s="343" t="s">
        <v>155</v>
      </c>
      <c r="AA199" s="384">
        <v>46181</v>
      </c>
      <c r="AB199" s="384">
        <v>46187</v>
      </c>
      <c r="AC199" s="343" t="s">
        <v>277</v>
      </c>
      <c r="AD199" s="343">
        <v>596</v>
      </c>
      <c r="AE199" s="343">
        <v>18101.79</v>
      </c>
      <c r="AF199" s="343">
        <v>722.21</v>
      </c>
      <c r="AG199" s="343">
        <v>0</v>
      </c>
      <c r="AH199" s="343">
        <v>18824</v>
      </c>
      <c r="AI199" s="343">
        <v>1177.74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234</v>
      </c>
      <c r="G200" s="343" t="s">
        <v>162</v>
      </c>
      <c r="Y200" s="343" t="s">
        <v>152</v>
      </c>
      <c r="Z200" s="343" t="s">
        <v>156</v>
      </c>
      <c r="AA200" s="384">
        <v>46188</v>
      </c>
      <c r="AB200" s="384">
        <v>46194</v>
      </c>
      <c r="AC200" s="343" t="s">
        <v>335</v>
      </c>
      <c r="AD200" s="343">
        <v>0</v>
      </c>
      <c r="AE200" s="343">
        <v>-178.92</v>
      </c>
      <c r="AF200" s="343">
        <v>0</v>
      </c>
      <c r="AG200" s="343">
        <v>178.92</v>
      </c>
      <c r="AH200" s="343">
        <v>0</v>
      </c>
      <c r="AI200" s="343">
        <v>0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235</v>
      </c>
      <c r="G201" s="343" t="s">
        <v>162</v>
      </c>
      <c r="Y201" s="343" t="s">
        <v>152</v>
      </c>
      <c r="Z201" s="343" t="s">
        <v>156</v>
      </c>
      <c r="AA201" s="384">
        <v>46188</v>
      </c>
      <c r="AB201" s="384">
        <v>46194</v>
      </c>
      <c r="AC201" s="343" t="s">
        <v>106</v>
      </c>
      <c r="AD201" s="343">
        <v>3</v>
      </c>
      <c r="AE201" s="343">
        <v>484.05</v>
      </c>
      <c r="AF201" s="343">
        <v>0</v>
      </c>
      <c r="AG201" s="343">
        <v>0</v>
      </c>
      <c r="AH201" s="343">
        <v>484.05</v>
      </c>
      <c r="AI201" s="343">
        <v>0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236</v>
      </c>
      <c r="G202" s="343" t="s">
        <v>162</v>
      </c>
      <c r="Y202" s="343" t="s">
        <v>152</v>
      </c>
      <c r="Z202" s="343" t="s">
        <v>156</v>
      </c>
      <c r="AA202" s="384">
        <v>46188</v>
      </c>
      <c r="AB202" s="384">
        <v>46194</v>
      </c>
      <c r="AC202" s="343" t="s">
        <v>338</v>
      </c>
      <c r="AD202" s="343">
        <v>1</v>
      </c>
      <c r="AE202" s="343">
        <v>1672.26</v>
      </c>
      <c r="AF202" s="343">
        <v>0</v>
      </c>
      <c r="AG202" s="343">
        <v>0</v>
      </c>
      <c r="AH202" s="343">
        <v>1672.26</v>
      </c>
      <c r="AI202" s="343">
        <v>108.7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244</v>
      </c>
      <c r="G203" s="343" t="s">
        <v>162</v>
      </c>
      <c r="Y203" s="343" t="s">
        <v>152</v>
      </c>
      <c r="Z203" s="343" t="s">
        <v>156</v>
      </c>
      <c r="AA203" s="384">
        <v>46188</v>
      </c>
      <c r="AB203" s="384">
        <v>46194</v>
      </c>
      <c r="AC203" s="343" t="s">
        <v>279</v>
      </c>
      <c r="AD203" s="343">
        <v>150</v>
      </c>
      <c r="AE203" s="343">
        <v>1470.5</v>
      </c>
      <c r="AF203" s="343">
        <v>9.5</v>
      </c>
      <c r="AG203" s="343">
        <v>0</v>
      </c>
      <c r="AH203" s="343">
        <v>1480</v>
      </c>
      <c r="AI203" s="343">
        <v>95.98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245</v>
      </c>
      <c r="G204" s="343" t="s">
        <v>162</v>
      </c>
      <c r="Y204" s="343" t="s">
        <v>152</v>
      </c>
      <c r="Z204" s="343" t="s">
        <v>156</v>
      </c>
      <c r="AA204" s="384">
        <v>46188</v>
      </c>
      <c r="AB204" s="384">
        <v>46194</v>
      </c>
      <c r="AC204" s="343" t="s">
        <v>285</v>
      </c>
      <c r="AD204" s="343">
        <v>5028</v>
      </c>
      <c r="AE204" s="343">
        <v>131588.1</v>
      </c>
      <c r="AF204" s="343">
        <v>4533.8900000000003</v>
      </c>
      <c r="AG204" s="343">
        <v>0</v>
      </c>
      <c r="AH204" s="343">
        <v>136121.99</v>
      </c>
      <c r="AI204" s="343">
        <v>8561.01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232</v>
      </c>
      <c r="G205" s="343" t="s">
        <v>163</v>
      </c>
      <c r="Y205" s="343" t="s">
        <v>152</v>
      </c>
      <c r="Z205" s="343" t="s">
        <v>156</v>
      </c>
      <c r="AA205" s="384">
        <v>46188</v>
      </c>
      <c r="AB205" s="384">
        <v>46194</v>
      </c>
      <c r="AC205" s="343" t="s">
        <v>281</v>
      </c>
      <c r="AD205" s="343">
        <v>2408</v>
      </c>
      <c r="AE205" s="343">
        <v>46272.99</v>
      </c>
      <c r="AF205" s="343">
        <v>1201.01</v>
      </c>
      <c r="AG205" s="343">
        <v>0</v>
      </c>
      <c r="AH205" s="343">
        <v>47474</v>
      </c>
      <c r="AI205" s="343">
        <v>3012.51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233</v>
      </c>
      <c r="G206" s="343" t="s">
        <v>163</v>
      </c>
      <c r="Y206" s="343" t="s">
        <v>152</v>
      </c>
      <c r="Z206" s="343" t="s">
        <v>156</v>
      </c>
      <c r="AA206" s="384">
        <v>46188</v>
      </c>
      <c r="AB206" s="384">
        <v>46194</v>
      </c>
      <c r="AC206" s="343" t="s">
        <v>339</v>
      </c>
      <c r="AD206" s="343">
        <v>997</v>
      </c>
      <c r="AE206" s="343">
        <v>7941.75</v>
      </c>
      <c r="AF206" s="343">
        <v>139.25</v>
      </c>
      <c r="AG206" s="343">
        <v>0</v>
      </c>
      <c r="AH206" s="343">
        <v>8081</v>
      </c>
      <c r="AI206" s="343">
        <v>518.51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234</v>
      </c>
      <c r="G207" s="343" t="s">
        <v>163</v>
      </c>
      <c r="Y207" s="343" t="s">
        <v>152</v>
      </c>
      <c r="Z207" s="343" t="s">
        <v>156</v>
      </c>
      <c r="AA207" s="384">
        <v>46188</v>
      </c>
      <c r="AB207" s="384">
        <v>46194</v>
      </c>
      <c r="AC207" s="343" t="s">
        <v>293</v>
      </c>
      <c r="AD207" s="343">
        <v>971</v>
      </c>
      <c r="AE207" s="343">
        <v>13640</v>
      </c>
      <c r="AF207" s="343">
        <v>317</v>
      </c>
      <c r="AG207" s="343">
        <v>0</v>
      </c>
      <c r="AH207" s="343">
        <v>13957</v>
      </c>
      <c r="AI207" s="343">
        <v>887.34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235</v>
      </c>
      <c r="G208" s="343" t="s">
        <v>163</v>
      </c>
      <c r="Y208" s="343" t="s">
        <v>152</v>
      </c>
      <c r="Z208" s="343" t="s">
        <v>156</v>
      </c>
      <c r="AA208" s="384">
        <v>46188</v>
      </c>
      <c r="AB208" s="384">
        <v>46194</v>
      </c>
      <c r="AC208" s="343" t="s">
        <v>277</v>
      </c>
      <c r="AD208" s="343">
        <v>726</v>
      </c>
      <c r="AE208" s="343">
        <v>23098.400000000001</v>
      </c>
      <c r="AF208" s="343">
        <v>852.6</v>
      </c>
      <c r="AG208" s="343">
        <v>0</v>
      </c>
      <c r="AH208" s="343">
        <v>23951</v>
      </c>
      <c r="AI208" s="343">
        <v>1502.32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236</v>
      </c>
      <c r="G209" s="343" t="s">
        <v>163</v>
      </c>
      <c r="Y209" s="343" t="s">
        <v>152</v>
      </c>
      <c r="Z209" s="343" t="s">
        <v>157</v>
      </c>
      <c r="AA209" s="384">
        <v>46195</v>
      </c>
      <c r="AB209" s="384">
        <v>46201</v>
      </c>
      <c r="AC209" s="343" t="s">
        <v>293</v>
      </c>
      <c r="AD209" s="343">
        <v>1</v>
      </c>
      <c r="AE209" s="343">
        <v>345</v>
      </c>
      <c r="AF209" s="343">
        <v>0</v>
      </c>
      <c r="AG209" s="343">
        <v>0</v>
      </c>
      <c r="AH209" s="343">
        <v>345</v>
      </c>
      <c r="AI209" s="343">
        <v>22.43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244</v>
      </c>
      <c r="G210" s="343" t="s">
        <v>163</v>
      </c>
      <c r="Y210" s="343" t="s">
        <v>152</v>
      </c>
      <c r="Z210" s="343" t="s">
        <v>157</v>
      </c>
      <c r="AA210" s="384">
        <v>46195</v>
      </c>
      <c r="AB210" s="384">
        <v>46201</v>
      </c>
      <c r="AC210" s="343" t="s">
        <v>106</v>
      </c>
      <c r="AD210" s="343">
        <v>7</v>
      </c>
      <c r="AE210" s="343">
        <v>1246.22</v>
      </c>
      <c r="AF210" s="343">
        <v>0</v>
      </c>
      <c r="AG210" s="343">
        <v>0</v>
      </c>
      <c r="AH210" s="343">
        <v>1246.22</v>
      </c>
      <c r="AI210" s="343">
        <v>0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245</v>
      </c>
      <c r="G211" s="343" t="s">
        <v>163</v>
      </c>
      <c r="Y211" s="343" t="s">
        <v>152</v>
      </c>
      <c r="Z211" s="343" t="s">
        <v>157</v>
      </c>
      <c r="AA211" s="384">
        <v>46195</v>
      </c>
      <c r="AB211" s="384">
        <v>46201</v>
      </c>
      <c r="AC211" s="343" t="s">
        <v>338</v>
      </c>
      <c r="AD211" s="343">
        <v>1</v>
      </c>
      <c r="AE211" s="343">
        <v>177</v>
      </c>
      <c r="AF211" s="343">
        <v>0</v>
      </c>
      <c r="AG211" s="343">
        <v>0</v>
      </c>
      <c r="AH211" s="343">
        <v>177</v>
      </c>
      <c r="AI211" s="343">
        <v>11.51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232</v>
      </c>
      <c r="G212" s="343" t="s">
        <v>166</v>
      </c>
      <c r="Y212" s="343" t="s">
        <v>152</v>
      </c>
      <c r="Z212" s="343" t="s">
        <v>157</v>
      </c>
      <c r="AA212" s="384">
        <v>46195</v>
      </c>
      <c r="AB212" s="384">
        <v>46201</v>
      </c>
      <c r="AC212" s="343" t="s">
        <v>279</v>
      </c>
      <c r="AD212" s="343">
        <v>150</v>
      </c>
      <c r="AE212" s="343">
        <v>1514.5</v>
      </c>
      <c r="AF212" s="343">
        <v>15</v>
      </c>
      <c r="AG212" s="343">
        <v>0</v>
      </c>
      <c r="AH212" s="343">
        <v>1529.5</v>
      </c>
      <c r="AI212" s="343">
        <v>98.84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233</v>
      </c>
      <c r="G213" s="343" t="s">
        <v>166</v>
      </c>
      <c r="Y213" s="343" t="s">
        <v>152</v>
      </c>
      <c r="Z213" s="343" t="s">
        <v>157</v>
      </c>
      <c r="AA213" s="384">
        <v>46195</v>
      </c>
      <c r="AB213" s="384">
        <v>46201</v>
      </c>
      <c r="AC213" s="343" t="s">
        <v>285</v>
      </c>
      <c r="AD213" s="343">
        <v>5601</v>
      </c>
      <c r="AE213" s="343">
        <v>140782.06</v>
      </c>
      <c r="AF213" s="343">
        <v>4302.5</v>
      </c>
      <c r="AG213" s="343">
        <v>0</v>
      </c>
      <c r="AH213" s="343">
        <v>145084.56</v>
      </c>
      <c r="AI213" s="343">
        <v>9158.5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234</v>
      </c>
      <c r="G214" s="343" t="s">
        <v>166</v>
      </c>
      <c r="Y214" s="343" t="s">
        <v>152</v>
      </c>
      <c r="Z214" s="343" t="s">
        <v>157</v>
      </c>
      <c r="AA214" s="384">
        <v>46195</v>
      </c>
      <c r="AB214" s="384">
        <v>46201</v>
      </c>
      <c r="AC214" s="343" t="s">
        <v>281</v>
      </c>
      <c r="AD214" s="343">
        <v>2337</v>
      </c>
      <c r="AE214" s="343">
        <v>43991.94</v>
      </c>
      <c r="AF214" s="343">
        <v>1525.06</v>
      </c>
      <c r="AG214" s="343">
        <v>0</v>
      </c>
      <c r="AH214" s="343">
        <v>45517</v>
      </c>
      <c r="AI214" s="343">
        <v>2864.69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235</v>
      </c>
      <c r="G215" s="343" t="s">
        <v>166</v>
      </c>
      <c r="Y215" s="343" t="s">
        <v>152</v>
      </c>
      <c r="Z215" s="343" t="s">
        <v>157</v>
      </c>
      <c r="AA215" s="384">
        <v>46195</v>
      </c>
      <c r="AB215" s="384">
        <v>46201</v>
      </c>
      <c r="AC215" s="343" t="s">
        <v>339</v>
      </c>
      <c r="AD215" s="343">
        <v>894</v>
      </c>
      <c r="AE215" s="343">
        <v>7256.61</v>
      </c>
      <c r="AF215" s="343">
        <v>79.39</v>
      </c>
      <c r="AG215" s="343">
        <v>0</v>
      </c>
      <c r="AH215" s="343">
        <v>7336</v>
      </c>
      <c r="AI215" s="343">
        <v>473.64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236</v>
      </c>
      <c r="G216" s="343" t="s">
        <v>166</v>
      </c>
      <c r="Y216" s="343" t="s">
        <v>152</v>
      </c>
      <c r="Z216" s="343" t="s">
        <v>157</v>
      </c>
      <c r="AA216" s="384">
        <v>46195</v>
      </c>
      <c r="AB216" s="384">
        <v>46201</v>
      </c>
      <c r="AC216" s="343" t="s">
        <v>277</v>
      </c>
      <c r="AD216" s="343">
        <v>819</v>
      </c>
      <c r="AE216" s="343">
        <v>26321.200000000001</v>
      </c>
      <c r="AF216" s="343">
        <v>882.8</v>
      </c>
      <c r="AG216" s="343">
        <v>0</v>
      </c>
      <c r="AH216" s="343">
        <v>27204</v>
      </c>
      <c r="AI216" s="343">
        <v>1712.02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244</v>
      </c>
      <c r="G217" s="343" t="s">
        <v>166</v>
      </c>
      <c r="Y217" s="343" t="s">
        <v>159</v>
      </c>
      <c r="Z217" s="343" t="s">
        <v>160</v>
      </c>
      <c r="AA217" s="384">
        <v>46202</v>
      </c>
      <c r="AB217" s="384">
        <v>46208</v>
      </c>
      <c r="AC217" s="343" t="s">
        <v>340</v>
      </c>
      <c r="AD217" s="343">
        <v>1</v>
      </c>
      <c r="AE217" s="343">
        <v>2400</v>
      </c>
      <c r="AF217" s="343">
        <v>0</v>
      </c>
      <c r="AG217" s="343">
        <v>0</v>
      </c>
      <c r="AH217" s="343">
        <v>2400</v>
      </c>
      <c r="AI217" s="343">
        <v>156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245</v>
      </c>
      <c r="G218" s="343" t="s">
        <v>166</v>
      </c>
      <c r="Y218" s="343" t="s">
        <v>159</v>
      </c>
      <c r="Z218" s="343" t="s">
        <v>160</v>
      </c>
      <c r="AA218" s="384">
        <v>46202</v>
      </c>
      <c r="AB218" s="384">
        <v>46208</v>
      </c>
      <c r="AC218" s="343" t="s">
        <v>279</v>
      </c>
      <c r="AD218" s="343">
        <v>125</v>
      </c>
      <c r="AE218" s="343">
        <v>1253.5</v>
      </c>
      <c r="AF218" s="343">
        <v>0</v>
      </c>
      <c r="AG218" s="343">
        <v>0</v>
      </c>
      <c r="AH218" s="343">
        <v>1253.5</v>
      </c>
      <c r="AI218" s="343">
        <v>81.760000000000005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232</v>
      </c>
      <c r="G219" s="343" t="s">
        <v>167</v>
      </c>
      <c r="Y219" s="343" t="s">
        <v>159</v>
      </c>
      <c r="Z219" s="343" t="s">
        <v>160</v>
      </c>
      <c r="AA219" s="384">
        <v>46202</v>
      </c>
      <c r="AB219" s="384">
        <v>46208</v>
      </c>
      <c r="AC219" s="343" t="s">
        <v>293</v>
      </c>
      <c r="AD219" s="343">
        <v>1</v>
      </c>
      <c r="AE219" s="343">
        <v>90</v>
      </c>
      <c r="AF219" s="343">
        <v>0</v>
      </c>
      <c r="AG219" s="343">
        <v>0</v>
      </c>
      <c r="AH219" s="343">
        <v>90</v>
      </c>
      <c r="AI219" s="343">
        <v>5.85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233</v>
      </c>
      <c r="G220" s="343" t="s">
        <v>167</v>
      </c>
      <c r="Y220" s="343" t="s">
        <v>159</v>
      </c>
      <c r="Z220" s="343" t="s">
        <v>160</v>
      </c>
      <c r="AA220" s="384">
        <v>46202</v>
      </c>
      <c r="AB220" s="384">
        <v>46208</v>
      </c>
      <c r="AC220" s="343" t="s">
        <v>106</v>
      </c>
      <c r="AD220" s="343">
        <v>2</v>
      </c>
      <c r="AE220" s="343">
        <v>468.97</v>
      </c>
      <c r="AF220" s="343">
        <v>0</v>
      </c>
      <c r="AG220" s="343">
        <v>0</v>
      </c>
      <c r="AH220" s="343">
        <v>468.97</v>
      </c>
      <c r="AI220" s="343">
        <v>0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234</v>
      </c>
      <c r="G221" s="343" t="s">
        <v>167</v>
      </c>
      <c r="Y221" s="343" t="s">
        <v>159</v>
      </c>
      <c r="Z221" s="343" t="s">
        <v>160</v>
      </c>
      <c r="AA221" s="384">
        <v>46202</v>
      </c>
      <c r="AB221" s="384">
        <v>46208</v>
      </c>
      <c r="AC221" s="343" t="s">
        <v>285</v>
      </c>
      <c r="AD221" s="343">
        <v>4154</v>
      </c>
      <c r="AE221" s="343">
        <v>106810.78</v>
      </c>
      <c r="AF221" s="343">
        <v>4727.76</v>
      </c>
      <c r="AG221" s="343">
        <v>0</v>
      </c>
      <c r="AH221" s="343">
        <v>111538.54</v>
      </c>
      <c r="AI221" s="343">
        <v>6949.05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235</v>
      </c>
      <c r="G222" s="343" t="s">
        <v>167</v>
      </c>
      <c r="Y222" s="343" t="s">
        <v>159</v>
      </c>
      <c r="Z222" s="343" t="s">
        <v>160</v>
      </c>
      <c r="AA222" s="384">
        <v>46202</v>
      </c>
      <c r="AB222" s="384">
        <v>46208</v>
      </c>
      <c r="AC222" s="343" t="s">
        <v>281</v>
      </c>
      <c r="AD222" s="343">
        <v>1505</v>
      </c>
      <c r="AE222" s="343">
        <v>28556.63</v>
      </c>
      <c r="AF222" s="343">
        <v>722.37</v>
      </c>
      <c r="AG222" s="343">
        <v>0</v>
      </c>
      <c r="AH222" s="343">
        <v>29279</v>
      </c>
      <c r="AI222" s="343">
        <v>1859.48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236</v>
      </c>
      <c r="G223" s="343" t="s">
        <v>167</v>
      </c>
      <c r="Y223" s="343" t="s">
        <v>159</v>
      </c>
      <c r="Z223" s="343" t="s">
        <v>160</v>
      </c>
      <c r="AA223" s="384">
        <v>46202</v>
      </c>
      <c r="AB223" s="384">
        <v>46208</v>
      </c>
      <c r="AC223" s="343" t="s">
        <v>339</v>
      </c>
      <c r="AD223" s="343">
        <v>737</v>
      </c>
      <c r="AE223" s="343">
        <v>6145.21</v>
      </c>
      <c r="AF223" s="343">
        <v>96.79</v>
      </c>
      <c r="AG223" s="343">
        <v>0</v>
      </c>
      <c r="AH223" s="343">
        <v>6242</v>
      </c>
      <c r="AI223" s="343">
        <v>400.71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244</v>
      </c>
      <c r="G224" s="343" t="s">
        <v>167</v>
      </c>
      <c r="Y224" s="343" t="s">
        <v>159</v>
      </c>
      <c r="Z224" s="343" t="s">
        <v>161</v>
      </c>
      <c r="AA224" s="384">
        <v>46209</v>
      </c>
      <c r="AB224" s="384">
        <v>46215</v>
      </c>
      <c r="AC224" s="343" t="s">
        <v>293</v>
      </c>
      <c r="AD224" s="343">
        <v>2</v>
      </c>
      <c r="AE224" s="343">
        <v>530</v>
      </c>
      <c r="AF224" s="343">
        <v>0</v>
      </c>
      <c r="AG224" s="343">
        <v>0</v>
      </c>
      <c r="AH224" s="343">
        <v>530</v>
      </c>
      <c r="AI224" s="343">
        <v>34.46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245</v>
      </c>
      <c r="G225" s="343" t="s">
        <v>167</v>
      </c>
      <c r="Y225" s="343" t="s">
        <v>159</v>
      </c>
      <c r="Z225" s="343" t="s">
        <v>161</v>
      </c>
      <c r="AA225" s="384">
        <v>46209</v>
      </c>
      <c r="AB225" s="384">
        <v>46215</v>
      </c>
      <c r="AC225" s="343" t="s">
        <v>106</v>
      </c>
      <c r="AD225" s="343">
        <v>3</v>
      </c>
      <c r="AE225" s="343">
        <v>580.35</v>
      </c>
      <c r="AF225" s="343">
        <v>0</v>
      </c>
      <c r="AG225" s="343">
        <v>0</v>
      </c>
      <c r="AH225" s="343">
        <v>580.35</v>
      </c>
      <c r="AI225" s="343">
        <v>0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232</v>
      </c>
      <c r="G226" s="343" t="s">
        <v>168</v>
      </c>
      <c r="Y226" s="343" t="s">
        <v>159</v>
      </c>
      <c r="Z226" s="343" t="s">
        <v>162</v>
      </c>
      <c r="AA226" s="384">
        <v>46216</v>
      </c>
      <c r="AB226" s="384">
        <v>46222</v>
      </c>
      <c r="AC226" s="343" t="s">
        <v>293</v>
      </c>
      <c r="AD226" s="343">
        <v>13</v>
      </c>
      <c r="AE226" s="343">
        <v>572.5</v>
      </c>
      <c r="AF226" s="343">
        <v>0</v>
      </c>
      <c r="AG226" s="343">
        <v>0</v>
      </c>
      <c r="AH226" s="343">
        <v>572.5</v>
      </c>
      <c r="AI226" s="343">
        <v>37.22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233</v>
      </c>
      <c r="G227" s="343" t="s">
        <v>168</v>
      </c>
      <c r="Y227" s="343" t="s">
        <v>159</v>
      </c>
      <c r="Z227" s="343" t="s">
        <v>162</v>
      </c>
      <c r="AA227" s="384">
        <v>46216</v>
      </c>
      <c r="AB227" s="384">
        <v>46222</v>
      </c>
      <c r="AC227" s="343" t="s">
        <v>106</v>
      </c>
      <c r="AD227" s="343">
        <v>6</v>
      </c>
      <c r="AE227" s="343">
        <v>1200.08</v>
      </c>
      <c r="AF227" s="343">
        <v>0</v>
      </c>
      <c r="AG227" s="343">
        <v>0</v>
      </c>
      <c r="AH227" s="343">
        <v>1200.08</v>
      </c>
      <c r="AI227" s="343">
        <v>0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234</v>
      </c>
      <c r="G228" s="343" t="s">
        <v>168</v>
      </c>
      <c r="Y228" s="343" t="s">
        <v>159</v>
      </c>
      <c r="Z228" s="343" t="s">
        <v>163</v>
      </c>
      <c r="AA228" s="384">
        <v>46223</v>
      </c>
      <c r="AB228" s="384">
        <v>46229</v>
      </c>
      <c r="AC228" s="343" t="s">
        <v>106</v>
      </c>
      <c r="AD228" s="343">
        <v>4</v>
      </c>
      <c r="AE228" s="343">
        <v>647.70000000000005</v>
      </c>
      <c r="AF228" s="343">
        <v>0</v>
      </c>
      <c r="AG228" s="343">
        <v>0</v>
      </c>
      <c r="AH228" s="343">
        <v>647.70000000000005</v>
      </c>
      <c r="AI228" s="343">
        <v>0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235</v>
      </c>
      <c r="G229" s="343" t="s">
        <v>168</v>
      </c>
      <c r="Y229" s="343" t="s">
        <v>159</v>
      </c>
      <c r="Z229" s="343" t="s">
        <v>163</v>
      </c>
      <c r="AA229" s="384">
        <v>46223</v>
      </c>
      <c r="AB229" s="384">
        <v>46229</v>
      </c>
      <c r="AC229" s="343" t="s">
        <v>293</v>
      </c>
      <c r="AD229" s="343">
        <v>5</v>
      </c>
      <c r="AE229" s="343">
        <v>111.6</v>
      </c>
      <c r="AF229" s="343">
        <v>5.4</v>
      </c>
      <c r="AG229" s="343">
        <v>0</v>
      </c>
      <c r="AH229" s="343">
        <v>117</v>
      </c>
      <c r="AI229" s="343">
        <v>7.27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236</v>
      </c>
      <c r="G230" s="343" t="s">
        <v>168</v>
      </c>
      <c r="Y230" s="343" t="s">
        <v>159</v>
      </c>
      <c r="Z230" s="343" t="s">
        <v>163</v>
      </c>
      <c r="AA230" s="384">
        <v>46223</v>
      </c>
      <c r="AB230" s="384">
        <v>46229</v>
      </c>
      <c r="AC230" s="343" t="s">
        <v>277</v>
      </c>
      <c r="AD230" s="343">
        <v>815</v>
      </c>
      <c r="AE230" s="343">
        <v>26336.77</v>
      </c>
      <c r="AF230" s="343">
        <v>1128.23</v>
      </c>
      <c r="AG230" s="343">
        <v>0</v>
      </c>
      <c r="AH230" s="343">
        <v>27465</v>
      </c>
      <c r="AI230" s="343">
        <v>1713.03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244</v>
      </c>
      <c r="G231" s="343" t="s">
        <v>168</v>
      </c>
      <c r="Y231" s="343" t="s">
        <v>165</v>
      </c>
      <c r="Z231" s="343" t="s">
        <v>166</v>
      </c>
      <c r="AA231" s="384">
        <v>46230</v>
      </c>
      <c r="AB231" s="384">
        <v>46236</v>
      </c>
      <c r="AC231" s="343" t="s">
        <v>279</v>
      </c>
      <c r="AD231" s="343">
        <v>198</v>
      </c>
      <c r="AE231" s="343">
        <v>1980</v>
      </c>
      <c r="AF231" s="343">
        <v>0</v>
      </c>
      <c r="AG231" s="343">
        <v>0</v>
      </c>
      <c r="AH231" s="343">
        <v>1980</v>
      </c>
      <c r="AI231" s="343">
        <v>127.96</v>
      </c>
    </row>
    <row r="232" spans="1:35">
      <c r="A232" s="343">
        <v>20260816</v>
      </c>
      <c r="C232" s="343">
        <v>124</v>
      </c>
      <c r="D232" s="343">
        <v>268</v>
      </c>
      <c r="E232" s="384">
        <v>46250</v>
      </c>
      <c r="F232" s="343" t="s">
        <v>245</v>
      </c>
      <c r="G232" s="343" t="s">
        <v>168</v>
      </c>
      <c r="Y232" s="343" t="s">
        <v>165</v>
      </c>
      <c r="Z232" s="343" t="s">
        <v>166</v>
      </c>
      <c r="AA232" s="384">
        <v>46230</v>
      </c>
      <c r="AB232" s="384">
        <v>46236</v>
      </c>
      <c r="AC232" s="343" t="s">
        <v>106</v>
      </c>
      <c r="AD232" s="343">
        <v>15</v>
      </c>
      <c r="AE232" s="343">
        <v>527.15</v>
      </c>
      <c r="AF232" s="343">
        <v>0</v>
      </c>
      <c r="AG232" s="343">
        <v>0</v>
      </c>
      <c r="AH232" s="343">
        <v>527.15</v>
      </c>
      <c r="AI232" s="343">
        <v>0</v>
      </c>
    </row>
    <row r="233" spans="1:35">
      <c r="A233" s="343">
        <v>20260817</v>
      </c>
      <c r="B233" s="343">
        <v>14971.5</v>
      </c>
      <c r="C233" s="343">
        <v>78</v>
      </c>
      <c r="D233" s="343">
        <v>165</v>
      </c>
      <c r="E233" s="384">
        <v>46251</v>
      </c>
      <c r="F233" s="343" t="s">
        <v>232</v>
      </c>
      <c r="G233" s="343" t="s">
        <v>169</v>
      </c>
      <c r="Y233" s="343" t="s">
        <v>165</v>
      </c>
      <c r="Z233" s="343" t="s">
        <v>166</v>
      </c>
      <c r="AA233" s="384">
        <v>46230</v>
      </c>
      <c r="AB233" s="384">
        <v>46236</v>
      </c>
      <c r="AC233" s="343" t="s">
        <v>285</v>
      </c>
      <c r="AD233" s="343">
        <v>6006</v>
      </c>
      <c r="AE233" s="343">
        <v>147755.89000000001</v>
      </c>
      <c r="AF233" s="343">
        <v>4466.63</v>
      </c>
      <c r="AG233" s="343">
        <v>0</v>
      </c>
      <c r="AH233" s="343">
        <v>152222.51999999999</v>
      </c>
      <c r="AI233" s="343">
        <v>9528.58</v>
      </c>
    </row>
    <row r="234" spans="1:35">
      <c r="A234" s="343">
        <v>20260818</v>
      </c>
      <c r="B234" s="343">
        <v>23339.5</v>
      </c>
      <c r="C234" s="343">
        <v>93</v>
      </c>
      <c r="D234" s="343">
        <v>211</v>
      </c>
      <c r="E234" s="384">
        <v>46252</v>
      </c>
      <c r="F234" s="343" t="s">
        <v>233</v>
      </c>
      <c r="G234" s="343" t="s">
        <v>169</v>
      </c>
      <c r="Y234" s="343" t="s">
        <v>165</v>
      </c>
      <c r="Z234" s="343" t="s">
        <v>166</v>
      </c>
      <c r="AA234" s="384">
        <v>46230</v>
      </c>
      <c r="AB234" s="384">
        <v>46236</v>
      </c>
      <c r="AC234" s="343" t="s">
        <v>281</v>
      </c>
      <c r="AD234" s="343">
        <v>2608</v>
      </c>
      <c r="AE234" s="343">
        <v>52083.21</v>
      </c>
      <c r="AF234" s="343">
        <v>1285.29</v>
      </c>
      <c r="AG234" s="343">
        <v>0</v>
      </c>
      <c r="AH234" s="343">
        <v>53368.5</v>
      </c>
      <c r="AI234" s="343">
        <v>3322.7</v>
      </c>
    </row>
    <row r="235" spans="1:35">
      <c r="A235" s="343">
        <v>20260819</v>
      </c>
      <c r="B235" s="343">
        <v>27429.5</v>
      </c>
      <c r="C235" s="343">
        <v>126</v>
      </c>
      <c r="D235" s="343">
        <v>279</v>
      </c>
      <c r="E235" s="384">
        <v>46253</v>
      </c>
      <c r="F235" s="343" t="s">
        <v>234</v>
      </c>
      <c r="G235" s="343" t="s">
        <v>169</v>
      </c>
      <c r="Y235" s="343" t="s">
        <v>165</v>
      </c>
      <c r="Z235" s="343" t="s">
        <v>166</v>
      </c>
      <c r="AA235" s="384">
        <v>46230</v>
      </c>
      <c r="AB235" s="384">
        <v>46236</v>
      </c>
      <c r="AC235" s="343" t="s">
        <v>339</v>
      </c>
      <c r="AD235" s="343">
        <v>973</v>
      </c>
      <c r="AE235" s="343">
        <v>7590.02</v>
      </c>
      <c r="AF235" s="343">
        <v>122.98</v>
      </c>
      <c r="AG235" s="343">
        <v>0</v>
      </c>
      <c r="AH235" s="343">
        <v>7713</v>
      </c>
      <c r="AI235" s="343">
        <v>491.85</v>
      </c>
    </row>
    <row r="236" spans="1:35">
      <c r="A236" s="343">
        <v>20260820</v>
      </c>
      <c r="B236" s="343">
        <v>28735.5</v>
      </c>
      <c r="C236" s="343">
        <v>150</v>
      </c>
      <c r="D236" s="343">
        <v>291</v>
      </c>
      <c r="E236" s="384">
        <v>46254</v>
      </c>
      <c r="F236" s="343" t="s">
        <v>235</v>
      </c>
      <c r="G236" s="343" t="s">
        <v>169</v>
      </c>
      <c r="Y236" s="343" t="s">
        <v>165</v>
      </c>
      <c r="Z236" s="343" t="s">
        <v>166</v>
      </c>
      <c r="AA236" s="384">
        <v>46230</v>
      </c>
      <c r="AB236" s="384">
        <v>46236</v>
      </c>
      <c r="AC236" s="343" t="s">
        <v>293</v>
      </c>
      <c r="AD236" s="343">
        <v>3</v>
      </c>
      <c r="AE236" s="343">
        <v>19</v>
      </c>
      <c r="AF236" s="343">
        <v>33</v>
      </c>
      <c r="AG236" s="343">
        <v>0</v>
      </c>
      <c r="AH236" s="343">
        <v>52</v>
      </c>
      <c r="AI236" s="343">
        <v>1.24</v>
      </c>
    </row>
    <row r="237" spans="1:35">
      <c r="A237" s="343">
        <v>20260821</v>
      </c>
      <c r="B237" s="343">
        <v>44008.480000000003</v>
      </c>
      <c r="C237" s="343">
        <v>208</v>
      </c>
      <c r="D237" s="343">
        <v>474</v>
      </c>
      <c r="E237" s="384">
        <v>46255</v>
      </c>
      <c r="F237" s="343" t="s">
        <v>236</v>
      </c>
      <c r="G237" s="343" t="s">
        <v>169</v>
      </c>
      <c r="Y237" s="343" t="s">
        <v>165</v>
      </c>
      <c r="Z237" s="343" t="s">
        <v>167</v>
      </c>
      <c r="AA237" s="384">
        <v>46237</v>
      </c>
      <c r="AB237" s="384">
        <v>46243</v>
      </c>
      <c r="AC237" s="343" t="s">
        <v>106</v>
      </c>
      <c r="AD237" s="343">
        <v>7</v>
      </c>
      <c r="AE237" s="343">
        <v>748.77</v>
      </c>
      <c r="AF237" s="343">
        <v>0</v>
      </c>
      <c r="AG237" s="343">
        <v>0</v>
      </c>
      <c r="AH237" s="343">
        <v>748.77</v>
      </c>
      <c r="AI237" s="343">
        <v>0</v>
      </c>
    </row>
    <row r="238" spans="1:35">
      <c r="A238" s="343">
        <v>20260822</v>
      </c>
      <c r="B238" s="343">
        <v>44577.75</v>
      </c>
      <c r="C238" s="343">
        <v>226</v>
      </c>
      <c r="D238" s="343">
        <v>489</v>
      </c>
      <c r="E238" s="384">
        <v>46256</v>
      </c>
      <c r="F238" s="343" t="s">
        <v>244</v>
      </c>
      <c r="G238" s="343" t="s">
        <v>169</v>
      </c>
      <c r="Y238" s="343" t="s">
        <v>165</v>
      </c>
      <c r="Z238" s="343" t="s">
        <v>168</v>
      </c>
      <c r="AA238" s="384">
        <v>46244</v>
      </c>
      <c r="AB238" s="384">
        <v>46250</v>
      </c>
      <c r="AC238" s="343" t="s">
        <v>106</v>
      </c>
      <c r="AD238" s="343">
        <v>6</v>
      </c>
      <c r="AE238" s="343">
        <v>877.03</v>
      </c>
      <c r="AF238" s="343">
        <v>0</v>
      </c>
      <c r="AG238" s="343">
        <v>0</v>
      </c>
      <c r="AH238" s="343">
        <v>877.03</v>
      </c>
      <c r="AI238" s="343">
        <v>0</v>
      </c>
    </row>
    <row r="239" spans="1:35">
      <c r="A239" s="343">
        <v>20260823</v>
      </c>
      <c r="B239" s="343">
        <v>24076.5</v>
      </c>
      <c r="C239" s="343">
        <v>114</v>
      </c>
      <c r="D239" s="343">
        <v>262</v>
      </c>
      <c r="E239" s="384">
        <v>46257</v>
      </c>
      <c r="F239" s="343" t="s">
        <v>245</v>
      </c>
      <c r="G239" s="343" t="s">
        <v>169</v>
      </c>
      <c r="Y239" s="343" t="s">
        <v>165</v>
      </c>
      <c r="Z239" s="343" t="s">
        <v>169</v>
      </c>
      <c r="AA239" s="384">
        <v>46251</v>
      </c>
      <c r="AB239" s="384">
        <v>46257</v>
      </c>
      <c r="AC239" s="343" t="s">
        <v>106</v>
      </c>
      <c r="AD239" s="343">
        <v>7</v>
      </c>
      <c r="AE239" s="343">
        <v>745.53</v>
      </c>
      <c r="AF239" s="343">
        <v>0</v>
      </c>
      <c r="AG239" s="343">
        <v>0</v>
      </c>
      <c r="AH239" s="343">
        <v>745.53</v>
      </c>
      <c r="AI239" s="343">
        <v>0</v>
      </c>
    </row>
    <row r="240" spans="1:35">
      <c r="A240" s="343">
        <v>20260824</v>
      </c>
      <c r="B240" s="343">
        <v>18872.3</v>
      </c>
      <c r="C240" s="343">
        <v>81</v>
      </c>
      <c r="D240" s="343">
        <v>203</v>
      </c>
      <c r="E240" s="384">
        <v>46258</v>
      </c>
      <c r="F240" s="343" t="s">
        <v>232</v>
      </c>
      <c r="G240" s="343" t="s">
        <v>172</v>
      </c>
      <c r="Y240" s="343" t="s">
        <v>171</v>
      </c>
      <c r="Z240" s="343" t="s">
        <v>172</v>
      </c>
      <c r="AA240" s="384">
        <v>46258</v>
      </c>
      <c r="AB240" s="384">
        <v>46264</v>
      </c>
      <c r="AC240" s="343" t="s">
        <v>106</v>
      </c>
      <c r="AD240" s="343">
        <v>5</v>
      </c>
      <c r="AE240" s="343">
        <v>548.70000000000005</v>
      </c>
      <c r="AF240" s="343">
        <v>0</v>
      </c>
      <c r="AG240" s="343">
        <v>0</v>
      </c>
      <c r="AH240" s="343">
        <v>548.70000000000005</v>
      </c>
      <c r="AI240" s="343">
        <v>0</v>
      </c>
    </row>
    <row r="241" spans="1:35">
      <c r="A241" s="343">
        <v>20260825</v>
      </c>
      <c r="B241" s="343">
        <v>22855.95</v>
      </c>
      <c r="C241" s="343">
        <v>100</v>
      </c>
      <c r="D241" s="343">
        <v>223</v>
      </c>
      <c r="E241" s="384">
        <v>46259</v>
      </c>
      <c r="F241" s="343" t="s">
        <v>233</v>
      </c>
      <c r="G241" s="343" t="s">
        <v>172</v>
      </c>
      <c r="Y241" s="343" t="s">
        <v>171</v>
      </c>
      <c r="Z241" s="343" t="s">
        <v>101</v>
      </c>
      <c r="AA241" s="384">
        <v>46265</v>
      </c>
      <c r="AB241" s="384">
        <v>46271</v>
      </c>
      <c r="AC241" s="343" t="s">
        <v>106</v>
      </c>
      <c r="AD241" s="343">
        <v>6</v>
      </c>
      <c r="AE241" s="343">
        <v>429.37</v>
      </c>
      <c r="AF241" s="343">
        <v>0</v>
      </c>
      <c r="AG241" s="343">
        <v>0</v>
      </c>
      <c r="AH241" s="343">
        <v>429.37</v>
      </c>
      <c r="AI241" s="343">
        <v>0</v>
      </c>
    </row>
    <row r="242" spans="1:35">
      <c r="A242" s="343">
        <v>20260826</v>
      </c>
      <c r="B242" s="343">
        <v>24602.25</v>
      </c>
      <c r="C242" s="343">
        <v>131</v>
      </c>
      <c r="D242" s="343">
        <v>255</v>
      </c>
      <c r="E242" s="384">
        <v>46260</v>
      </c>
      <c r="F242" s="343" t="s">
        <v>234</v>
      </c>
      <c r="G242" s="343" t="s">
        <v>172</v>
      </c>
    </row>
    <row r="243" spans="1:35">
      <c r="A243" s="343">
        <v>20260827</v>
      </c>
      <c r="B243" s="343">
        <v>21730.75</v>
      </c>
      <c r="C243" s="343">
        <v>127</v>
      </c>
      <c r="D243" s="343">
        <v>251</v>
      </c>
      <c r="E243" s="384">
        <v>46261</v>
      </c>
      <c r="F243" s="343" t="s">
        <v>235</v>
      </c>
      <c r="G243" s="343" t="s">
        <v>172</v>
      </c>
    </row>
    <row r="244" spans="1:35">
      <c r="A244" s="343">
        <v>20260828</v>
      </c>
      <c r="B244" s="343">
        <v>37068.5</v>
      </c>
      <c r="C244" s="343">
        <v>211</v>
      </c>
      <c r="D244" s="343">
        <v>396</v>
      </c>
      <c r="E244" s="384">
        <v>46262</v>
      </c>
      <c r="F244" s="343" t="s">
        <v>236</v>
      </c>
      <c r="G244" s="343" t="s">
        <v>172</v>
      </c>
    </row>
    <row r="245" spans="1:35">
      <c r="A245" s="343">
        <v>20260829</v>
      </c>
      <c r="B245" s="343">
        <v>42647</v>
      </c>
      <c r="C245" s="343">
        <v>243</v>
      </c>
      <c r="D245" s="343">
        <v>492</v>
      </c>
      <c r="E245" s="384">
        <v>46263</v>
      </c>
      <c r="F245" s="343" t="s">
        <v>244</v>
      </c>
      <c r="G245" s="343" t="s">
        <v>172</v>
      </c>
    </row>
    <row r="246" spans="1:35">
      <c r="A246" s="343">
        <v>20260830</v>
      </c>
      <c r="B246" s="343">
        <v>23395</v>
      </c>
      <c r="C246" s="343">
        <v>118</v>
      </c>
      <c r="D246" s="343">
        <v>261</v>
      </c>
      <c r="E246" s="384">
        <v>46264</v>
      </c>
      <c r="F246" s="343" t="s">
        <v>245</v>
      </c>
      <c r="G246" s="343" t="s">
        <v>172</v>
      </c>
    </row>
    <row r="247" spans="1:35">
      <c r="A247" s="343">
        <v>20260831</v>
      </c>
      <c r="B247" s="343">
        <v>18265.5</v>
      </c>
      <c r="C247" s="343">
        <v>78</v>
      </c>
      <c r="D247" s="343">
        <v>196</v>
      </c>
      <c r="E247" s="384">
        <v>46265</v>
      </c>
      <c r="F247" s="343" t="s">
        <v>232</v>
      </c>
      <c r="G247" s="343" t="s">
        <v>101</v>
      </c>
    </row>
    <row r="248" spans="1:35">
      <c r="A248" s="343">
        <v>20260901</v>
      </c>
      <c r="B248" s="343">
        <v>23253.02</v>
      </c>
      <c r="C248" s="343">
        <v>118</v>
      </c>
      <c r="D248" s="343">
        <v>267</v>
      </c>
      <c r="E248" s="384">
        <v>46266</v>
      </c>
      <c r="F248" s="343" t="s">
        <v>233</v>
      </c>
      <c r="G248" s="343" t="s">
        <v>101</v>
      </c>
    </row>
    <row r="249" spans="1:35">
      <c r="A249" s="343">
        <v>20260902</v>
      </c>
      <c r="B249" s="343">
        <v>22813.02</v>
      </c>
      <c r="C249" s="343">
        <v>122</v>
      </c>
      <c r="D249" s="343">
        <v>261</v>
      </c>
      <c r="E249" s="384">
        <v>46267</v>
      </c>
      <c r="F249" s="343" t="s">
        <v>234</v>
      </c>
      <c r="G249" s="343" t="s">
        <v>101</v>
      </c>
    </row>
    <row r="250" spans="1:35">
      <c r="A250" s="343">
        <v>20260903</v>
      </c>
      <c r="B250" s="343">
        <v>21542.2</v>
      </c>
      <c r="C250" s="343">
        <v>126</v>
      </c>
      <c r="D250" s="343">
        <v>223</v>
      </c>
      <c r="E250" s="384">
        <v>46268</v>
      </c>
      <c r="F250" s="343" t="s">
        <v>235</v>
      </c>
      <c r="G250" s="343" t="s">
        <v>101</v>
      </c>
    </row>
    <row r="251" spans="1:35">
      <c r="A251" s="343">
        <v>20260904</v>
      </c>
      <c r="B251" s="343">
        <v>41226</v>
      </c>
      <c r="C251" s="343">
        <v>201</v>
      </c>
      <c r="D251" s="343">
        <v>411</v>
      </c>
      <c r="E251" s="384">
        <v>46269</v>
      </c>
      <c r="F251" s="343" t="s">
        <v>236</v>
      </c>
      <c r="G251" s="343" t="s">
        <v>101</v>
      </c>
    </row>
    <row r="252" spans="1:35">
      <c r="A252" s="343">
        <v>20260905</v>
      </c>
      <c r="B252" s="343">
        <v>39258.9</v>
      </c>
      <c r="C252" s="343">
        <v>205</v>
      </c>
      <c r="D252" s="343">
        <v>448</v>
      </c>
      <c r="E252" s="384">
        <v>46270</v>
      </c>
      <c r="F252" s="343" t="s">
        <v>244</v>
      </c>
      <c r="G252" s="343" t="s">
        <v>101</v>
      </c>
    </row>
    <row r="253" spans="1:35">
      <c r="A253" s="343">
        <v>20260906</v>
      </c>
      <c r="B253" s="343">
        <v>28150</v>
      </c>
      <c r="C253" s="343">
        <v>163</v>
      </c>
      <c r="D253" s="343">
        <v>321</v>
      </c>
      <c r="E253" s="384">
        <v>46271</v>
      </c>
      <c r="F253" s="343" t="s">
        <v>245</v>
      </c>
      <c r="G253" s="343" t="s">
        <v>101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89"/>
  <sheetViews>
    <sheetView topLeftCell="C102" workbookViewId="0">
      <selection activeCell="R289" sqref="R289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244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245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244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245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244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245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245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244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233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245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234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244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235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245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236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244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244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245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245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244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232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245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233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244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234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245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235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244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236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245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244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233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245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235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233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244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234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245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235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233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236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244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244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245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245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234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232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235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233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236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234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244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235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245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236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234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244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235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245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244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232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245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233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232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234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233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235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235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236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244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244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245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245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232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232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235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233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244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234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245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235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234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236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235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244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244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245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245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233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233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234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235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235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236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236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244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244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245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245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233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232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236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233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244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234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245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235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232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236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233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244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236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245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244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232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245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233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232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234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244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235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245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236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235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245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244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233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245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234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232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235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233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236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234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244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235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245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244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232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245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233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236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234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244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235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245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236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233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244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234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245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235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232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236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233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244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234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245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235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235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236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236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244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244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245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245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232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232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233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233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234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234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235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236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236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244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244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245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245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244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232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245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233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235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234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236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235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244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236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245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244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233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245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244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232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245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233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232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234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236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235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244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236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245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244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236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245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244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232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245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233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234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234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236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235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244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236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245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244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232</v>
      </c>
      <c r="O114" s="343" t="s">
        <v>168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245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234</v>
      </c>
      <c r="O115" s="343" t="s">
        <v>168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233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235</v>
      </c>
      <c r="O116" s="343" t="s">
        <v>168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234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236</v>
      </c>
      <c r="O117" s="343" t="s">
        <v>168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235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244</v>
      </c>
      <c r="O118" s="343" t="s">
        <v>168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236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245</v>
      </c>
      <c r="O119" s="343" t="s">
        <v>168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244</v>
      </c>
      <c r="G120" s="343" t="s">
        <v>147</v>
      </c>
      <c r="I120" s="343">
        <v>20260817</v>
      </c>
      <c r="J120" s="343">
        <v>0</v>
      </c>
      <c r="K120" s="343">
        <v>3</v>
      </c>
      <c r="L120" s="343">
        <v>3</v>
      </c>
      <c r="M120" s="384">
        <v>46251</v>
      </c>
      <c r="N120" s="343" t="s">
        <v>232</v>
      </c>
      <c r="O120" s="343" t="s">
        <v>169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245</v>
      </c>
      <c r="G121" s="343" t="s">
        <v>147</v>
      </c>
      <c r="I121" s="343">
        <v>20260821</v>
      </c>
      <c r="J121" s="343">
        <v>0</v>
      </c>
      <c r="K121" s="343">
        <v>1</v>
      </c>
      <c r="L121" s="343">
        <v>1</v>
      </c>
      <c r="M121" s="384">
        <v>46255</v>
      </c>
      <c r="N121" s="343" t="s">
        <v>236</v>
      </c>
      <c r="O121" s="343" t="s">
        <v>169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233</v>
      </c>
      <c r="G122" s="343" t="s">
        <v>148</v>
      </c>
      <c r="I122" s="343">
        <v>20260822</v>
      </c>
      <c r="J122" s="343">
        <v>34350.300000000003</v>
      </c>
      <c r="K122" s="343">
        <v>79</v>
      </c>
      <c r="L122" s="343">
        <v>226</v>
      </c>
      <c r="M122" s="384">
        <v>46256</v>
      </c>
      <c r="N122" s="343" t="s">
        <v>244</v>
      </c>
      <c r="O122" s="343" t="s">
        <v>169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234</v>
      </c>
      <c r="G123" s="343" t="s">
        <v>148</v>
      </c>
      <c r="I123" s="343">
        <v>20260823</v>
      </c>
      <c r="J123" s="343">
        <v>29205</v>
      </c>
      <c r="K123" s="343">
        <v>124</v>
      </c>
      <c r="L123" s="343">
        <v>356</v>
      </c>
      <c r="M123" s="384">
        <v>46257</v>
      </c>
      <c r="N123" s="343" t="s">
        <v>245</v>
      </c>
      <c r="O123" s="343" t="s">
        <v>169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235</v>
      </c>
      <c r="G124" s="343" t="s">
        <v>148</v>
      </c>
      <c r="I124" s="343">
        <v>20260828</v>
      </c>
      <c r="J124" s="343">
        <v>0</v>
      </c>
      <c r="K124" s="343">
        <v>12</v>
      </c>
      <c r="L124" s="343">
        <v>11</v>
      </c>
      <c r="M124" s="384">
        <v>46262</v>
      </c>
      <c r="N124" s="343" t="s">
        <v>236</v>
      </c>
      <c r="O124" s="343" t="s">
        <v>172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236</v>
      </c>
      <c r="G125" s="343" t="s">
        <v>148</v>
      </c>
      <c r="I125" s="343">
        <v>20260829</v>
      </c>
      <c r="J125" s="343">
        <v>23976.65</v>
      </c>
      <c r="K125" s="343">
        <v>65</v>
      </c>
      <c r="L125" s="343">
        <v>194</v>
      </c>
      <c r="M125" s="384">
        <v>46263</v>
      </c>
      <c r="N125" s="343" t="s">
        <v>244</v>
      </c>
      <c r="O125" s="343" t="s">
        <v>172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244</v>
      </c>
      <c r="G126" s="343" t="s">
        <v>148</v>
      </c>
      <c r="I126" s="343">
        <v>20260830</v>
      </c>
      <c r="J126" s="343">
        <v>41334.42</v>
      </c>
      <c r="K126" s="343">
        <v>155</v>
      </c>
      <c r="L126" s="343">
        <v>405</v>
      </c>
      <c r="M126" s="384">
        <v>46264</v>
      </c>
      <c r="N126" s="343" t="s">
        <v>245</v>
      </c>
      <c r="O126" s="343" t="s">
        <v>172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245</v>
      </c>
      <c r="G127" s="343" t="s">
        <v>148</v>
      </c>
      <c r="I127" s="343">
        <v>20260901</v>
      </c>
      <c r="J127" s="343">
        <v>0</v>
      </c>
      <c r="K127" s="343">
        <v>1</v>
      </c>
      <c r="L127" s="343">
        <v>1</v>
      </c>
      <c r="M127" s="384">
        <v>46266</v>
      </c>
      <c r="N127" s="343" t="s">
        <v>233</v>
      </c>
      <c r="O127" s="343" t="s">
        <v>101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232</v>
      </c>
      <c r="G128" s="343" t="s">
        <v>149</v>
      </c>
      <c r="I128" s="343">
        <v>20260903</v>
      </c>
      <c r="J128" s="343">
        <v>0</v>
      </c>
      <c r="K128" s="343">
        <v>2</v>
      </c>
      <c r="L128" s="343">
        <v>2</v>
      </c>
      <c r="M128" s="384">
        <v>46268</v>
      </c>
      <c r="N128" s="343" t="s">
        <v>235</v>
      </c>
      <c r="O128" s="343" t="s">
        <v>101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233</v>
      </c>
      <c r="G129" s="343" t="s">
        <v>149</v>
      </c>
      <c r="I129" s="343">
        <v>20260904</v>
      </c>
      <c r="J129" s="343">
        <v>0</v>
      </c>
      <c r="K129" s="343">
        <v>5</v>
      </c>
      <c r="L129" s="343">
        <v>5</v>
      </c>
      <c r="M129" s="384">
        <v>46269</v>
      </c>
      <c r="N129" s="343" t="s">
        <v>236</v>
      </c>
      <c r="O129" s="343" t="s">
        <v>101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234</v>
      </c>
      <c r="G130" s="343" t="s">
        <v>149</v>
      </c>
      <c r="I130" s="343">
        <v>20260905</v>
      </c>
      <c r="J130" s="343">
        <v>10241</v>
      </c>
      <c r="K130" s="343">
        <v>55</v>
      </c>
      <c r="L130" s="343">
        <v>125</v>
      </c>
      <c r="M130" s="384">
        <v>46270</v>
      </c>
      <c r="N130" s="343" t="s">
        <v>244</v>
      </c>
      <c r="O130" s="343" t="s">
        <v>101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235</v>
      </c>
      <c r="G131" s="343" t="s">
        <v>149</v>
      </c>
      <c r="I131" s="343">
        <v>20260906</v>
      </c>
      <c r="J131" s="343">
        <v>67774.399999999994</v>
      </c>
      <c r="K131" s="343">
        <v>193</v>
      </c>
      <c r="L131" s="343">
        <v>552</v>
      </c>
      <c r="M131" s="384">
        <v>46271</v>
      </c>
      <c r="N131" s="343" t="s">
        <v>245</v>
      </c>
      <c r="O131" s="343" t="s">
        <v>101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236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244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245</v>
      </c>
      <c r="G134" s="343" t="s">
        <v>149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232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233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234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235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236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244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245</v>
      </c>
      <c r="G141" s="343" t="s">
        <v>150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232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233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234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235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236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244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245</v>
      </c>
      <c r="G148" s="343" t="s">
        <v>153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342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343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341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342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244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343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341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342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343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233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341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234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342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235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236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343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245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233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234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235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236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341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244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342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245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293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233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234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343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235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285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236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339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244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281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245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279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233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277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234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341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235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342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236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293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244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245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343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232</v>
      </c>
      <c r="G214" s="343" t="s">
        <v>168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285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233</v>
      </c>
      <c r="G215" s="343" t="s">
        <v>168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339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234</v>
      </c>
      <c r="G216" s="343" t="s">
        <v>168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281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235</v>
      </c>
      <c r="G217" s="343" t="s">
        <v>168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279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236</v>
      </c>
      <c r="G218" s="343" t="s">
        <v>168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277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244</v>
      </c>
      <c r="G219" s="343" t="s">
        <v>168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341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245</v>
      </c>
      <c r="G220" s="343" t="s">
        <v>168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342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A221" s="343">
        <v>20260817</v>
      </c>
      <c r="B221" s="343">
        <v>0</v>
      </c>
      <c r="C221" s="343">
        <v>1</v>
      </c>
      <c r="D221" s="343">
        <v>1</v>
      </c>
      <c r="E221" s="384">
        <v>46251</v>
      </c>
      <c r="F221" s="343" t="s">
        <v>232</v>
      </c>
      <c r="G221" s="343" t="s">
        <v>169</v>
      </c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A222" s="343">
        <v>20260818</v>
      </c>
      <c r="B222" s="343">
        <v>29666.45</v>
      </c>
      <c r="C222" s="343">
        <v>76</v>
      </c>
      <c r="D222" s="343">
        <v>226</v>
      </c>
      <c r="E222" s="384">
        <v>46252</v>
      </c>
      <c r="F222" s="343" t="s">
        <v>233</v>
      </c>
      <c r="G222" s="343" t="s">
        <v>169</v>
      </c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344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A223" s="343">
        <v>20260819</v>
      </c>
      <c r="B223" s="343">
        <v>27777</v>
      </c>
      <c r="C223" s="343">
        <v>97</v>
      </c>
      <c r="D223" s="343">
        <v>262</v>
      </c>
      <c r="E223" s="384">
        <v>46253</v>
      </c>
      <c r="F223" s="343" t="s">
        <v>234</v>
      </c>
      <c r="G223" s="343" t="s">
        <v>169</v>
      </c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343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A224" s="343">
        <v>20260820</v>
      </c>
      <c r="B224" s="343">
        <v>33057</v>
      </c>
      <c r="C224" s="343">
        <v>169</v>
      </c>
      <c r="D224" s="343">
        <v>365</v>
      </c>
      <c r="E224" s="384">
        <v>46254</v>
      </c>
      <c r="F224" s="343" t="s">
        <v>235</v>
      </c>
      <c r="G224" s="343" t="s">
        <v>169</v>
      </c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285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:27">
      <c r="A225" s="343">
        <v>20260821</v>
      </c>
      <c r="B225" s="343">
        <v>75923.199999999997</v>
      </c>
      <c r="C225" s="343">
        <v>196</v>
      </c>
      <c r="D225" s="343">
        <v>499</v>
      </c>
      <c r="E225" s="384">
        <v>46255</v>
      </c>
      <c r="F225" s="343" t="s">
        <v>236</v>
      </c>
      <c r="G225" s="343" t="s">
        <v>169</v>
      </c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339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:27">
      <c r="A226" s="343">
        <v>20260822</v>
      </c>
      <c r="B226" s="343">
        <v>72042.100000000006</v>
      </c>
      <c r="C226" s="343">
        <v>353</v>
      </c>
      <c r="D226" s="343">
        <v>673</v>
      </c>
      <c r="E226" s="384">
        <v>46256</v>
      </c>
      <c r="F226" s="343" t="s">
        <v>244</v>
      </c>
      <c r="G226" s="343" t="s">
        <v>169</v>
      </c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281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:27">
      <c r="A227" s="343">
        <v>20260823</v>
      </c>
      <c r="B227" s="343">
        <v>86385.86</v>
      </c>
      <c r="C227" s="343">
        <v>326</v>
      </c>
      <c r="D227" s="343">
        <v>533</v>
      </c>
      <c r="E227" s="384">
        <v>46257</v>
      </c>
      <c r="F227" s="343" t="s">
        <v>245</v>
      </c>
      <c r="G227" s="343" t="s">
        <v>169</v>
      </c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279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:27">
      <c r="A228" s="343">
        <v>20260824</v>
      </c>
      <c r="B228" s="343">
        <v>0</v>
      </c>
      <c r="C228" s="343">
        <v>1</v>
      </c>
      <c r="D228" s="343">
        <v>1</v>
      </c>
      <c r="E228" s="384">
        <v>46258</v>
      </c>
      <c r="F228" s="343" t="s">
        <v>232</v>
      </c>
      <c r="G228" s="343" t="s">
        <v>172</v>
      </c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277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:27">
      <c r="A229" s="343">
        <v>20260825</v>
      </c>
      <c r="B229" s="343">
        <v>22292.25</v>
      </c>
      <c r="C229" s="343">
        <v>65</v>
      </c>
      <c r="D229" s="343">
        <v>183</v>
      </c>
      <c r="E229" s="384">
        <v>46259</v>
      </c>
      <c r="F229" s="343" t="s">
        <v>233</v>
      </c>
      <c r="G229" s="343" t="s">
        <v>172</v>
      </c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341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:27">
      <c r="A230" s="343">
        <v>20260826</v>
      </c>
      <c r="B230" s="343">
        <v>14618</v>
      </c>
      <c r="C230" s="343">
        <v>65</v>
      </c>
      <c r="D230" s="343">
        <v>136</v>
      </c>
      <c r="E230" s="384">
        <v>46260</v>
      </c>
      <c r="F230" s="343" t="s">
        <v>234</v>
      </c>
      <c r="G230" s="343" t="s">
        <v>172</v>
      </c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342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:27">
      <c r="A231" s="343">
        <v>20260827</v>
      </c>
      <c r="B231" s="343">
        <v>38938.75</v>
      </c>
      <c r="C231" s="343">
        <v>127</v>
      </c>
      <c r="D231" s="343">
        <v>285</v>
      </c>
      <c r="E231" s="384">
        <v>46261</v>
      </c>
      <c r="F231" s="343" t="s">
        <v>235</v>
      </c>
      <c r="G231" s="343" t="s">
        <v>172</v>
      </c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:27">
      <c r="A232" s="343">
        <v>20260828</v>
      </c>
      <c r="B232" s="343">
        <v>56725.19</v>
      </c>
      <c r="C232" s="343">
        <v>186</v>
      </c>
      <c r="D232" s="343">
        <v>482</v>
      </c>
      <c r="E232" s="384">
        <v>46262</v>
      </c>
      <c r="F232" s="343" t="s">
        <v>236</v>
      </c>
      <c r="G232" s="343" t="s">
        <v>172</v>
      </c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344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:27">
      <c r="A233" s="343">
        <v>20260829</v>
      </c>
      <c r="B233" s="343">
        <v>83638.05</v>
      </c>
      <c r="C233" s="343">
        <v>310</v>
      </c>
      <c r="D233" s="343">
        <v>623</v>
      </c>
      <c r="E233" s="384">
        <v>46263</v>
      </c>
      <c r="F233" s="343" t="s">
        <v>244</v>
      </c>
      <c r="G233" s="343" t="s">
        <v>172</v>
      </c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343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:27">
      <c r="A234" s="343">
        <v>20260830</v>
      </c>
      <c r="B234" s="343">
        <v>129488.06</v>
      </c>
      <c r="C234" s="343">
        <v>460</v>
      </c>
      <c r="D234" s="343">
        <v>801</v>
      </c>
      <c r="E234" s="384">
        <v>46264</v>
      </c>
      <c r="F234" s="343" t="s">
        <v>245</v>
      </c>
      <c r="G234" s="343" t="s">
        <v>172</v>
      </c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285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:27">
      <c r="A235" s="343">
        <v>20260831</v>
      </c>
      <c r="B235" s="343">
        <v>0</v>
      </c>
      <c r="C235" s="343">
        <v>0</v>
      </c>
      <c r="D235" s="343">
        <v>0</v>
      </c>
      <c r="E235" s="384">
        <v>46265</v>
      </c>
      <c r="F235" s="343" t="s">
        <v>232</v>
      </c>
      <c r="G235" s="343" t="s">
        <v>101</v>
      </c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339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:27">
      <c r="A236" s="343">
        <v>20260901</v>
      </c>
      <c r="B236" s="343">
        <v>10546</v>
      </c>
      <c r="C236" s="343">
        <v>56</v>
      </c>
      <c r="D236" s="343">
        <v>109</v>
      </c>
      <c r="E236" s="384">
        <v>46266</v>
      </c>
      <c r="F236" s="343" t="s">
        <v>233</v>
      </c>
      <c r="G236" s="343" t="s">
        <v>101</v>
      </c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281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:27">
      <c r="A237" s="343">
        <v>20260902</v>
      </c>
      <c r="B237" s="343">
        <v>19821.5</v>
      </c>
      <c r="C237" s="343">
        <v>70</v>
      </c>
      <c r="D237" s="343">
        <v>735</v>
      </c>
      <c r="E237" s="384">
        <v>46267</v>
      </c>
      <c r="F237" s="343" t="s">
        <v>234</v>
      </c>
      <c r="G237" s="343" t="s">
        <v>101</v>
      </c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279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:27">
      <c r="A238" s="343">
        <v>20260903</v>
      </c>
      <c r="B238" s="343">
        <v>21608.75</v>
      </c>
      <c r="C238" s="343">
        <v>103</v>
      </c>
      <c r="D238" s="343">
        <v>194</v>
      </c>
      <c r="E238" s="384">
        <v>46268</v>
      </c>
      <c r="F238" s="343" t="s">
        <v>235</v>
      </c>
      <c r="G238" s="343" t="s">
        <v>101</v>
      </c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277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:27">
      <c r="A239" s="343">
        <v>20260904</v>
      </c>
      <c r="B239" s="343">
        <v>54001.55</v>
      </c>
      <c r="C239" s="343">
        <v>183</v>
      </c>
      <c r="D239" s="343">
        <v>407</v>
      </c>
      <c r="E239" s="384">
        <v>46269</v>
      </c>
      <c r="F239" s="343" t="s">
        <v>236</v>
      </c>
      <c r="G239" s="343" t="s">
        <v>101</v>
      </c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341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:27">
      <c r="A240" s="343">
        <v>20260905</v>
      </c>
      <c r="B240" s="343">
        <v>88536.65</v>
      </c>
      <c r="C240" s="343">
        <v>343</v>
      </c>
      <c r="D240" s="343">
        <v>672</v>
      </c>
      <c r="E240" s="384">
        <v>46270</v>
      </c>
      <c r="F240" s="343" t="s">
        <v>244</v>
      </c>
      <c r="G240" s="343" t="s">
        <v>101</v>
      </c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342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:27">
      <c r="A241" s="343">
        <v>20260906</v>
      </c>
      <c r="B241" s="343">
        <v>107588.54</v>
      </c>
      <c r="C241" s="343">
        <v>557</v>
      </c>
      <c r="D241" s="343">
        <v>915</v>
      </c>
      <c r="E241" s="384">
        <v>46271</v>
      </c>
      <c r="F241" s="343" t="s">
        <v>245</v>
      </c>
      <c r="G241" s="343" t="s">
        <v>101</v>
      </c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:27"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344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:27"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343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285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339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281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:27"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279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:27"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277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:27"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341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:27"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342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:27"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293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:27"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:27"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343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285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339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281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7:27"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279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7:27"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277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7:27"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341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7:27"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335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7:27"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342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7:27"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293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7:27"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7:27"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344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7:27"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343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7:27"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285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7:27"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339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7:27"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281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7:27"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279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7:27"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277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7:27"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341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7:27"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342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7:27"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293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7:27"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7:27"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343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7:27"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285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7:27"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339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7:27"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281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7:27"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279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7:27"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277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7:27"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341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7:27"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293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7:27"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7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344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7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343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7:27">
      <c r="Q286" s="343" t="s">
        <v>165</v>
      </c>
      <c r="R286" s="343" t="s">
        <v>168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  <row r="287" spans="17:27">
      <c r="Q287" s="343" t="s">
        <v>165</v>
      </c>
      <c r="R287" s="343" t="s">
        <v>169</v>
      </c>
      <c r="S287" s="384">
        <v>46251</v>
      </c>
      <c r="T287" s="384">
        <v>46257</v>
      </c>
      <c r="U287" s="343" t="s">
        <v>106</v>
      </c>
      <c r="V287" s="343">
        <v>8</v>
      </c>
      <c r="W287" s="343">
        <v>1841.05</v>
      </c>
      <c r="X287" s="343">
        <v>0</v>
      </c>
      <c r="Y287" s="343">
        <v>0</v>
      </c>
      <c r="Z287" s="343">
        <v>1841.05</v>
      </c>
      <c r="AA287" s="343">
        <v>0</v>
      </c>
    </row>
    <row r="288" spans="17:27">
      <c r="Q288" s="343" t="s">
        <v>171</v>
      </c>
      <c r="R288" s="343" t="s">
        <v>172</v>
      </c>
      <c r="S288" s="384">
        <v>46258</v>
      </c>
      <c r="T288" s="384">
        <v>46264</v>
      </c>
      <c r="U288" s="343" t="s">
        <v>106</v>
      </c>
      <c r="V288" s="343">
        <v>6</v>
      </c>
      <c r="W288" s="343">
        <v>836.85</v>
      </c>
      <c r="X288" s="343">
        <v>0</v>
      </c>
      <c r="Y288" s="343">
        <v>0</v>
      </c>
      <c r="Z288" s="343">
        <v>836.85</v>
      </c>
      <c r="AA288" s="343">
        <v>0</v>
      </c>
    </row>
    <row r="289" spans="17:27">
      <c r="Q289" s="343" t="s">
        <v>171</v>
      </c>
      <c r="R289" s="343" t="s">
        <v>101</v>
      </c>
      <c r="S289" s="384">
        <v>46265</v>
      </c>
      <c r="T289" s="384">
        <v>46271</v>
      </c>
      <c r="U289" s="343" t="s">
        <v>106</v>
      </c>
      <c r="V289" s="343">
        <v>5</v>
      </c>
      <c r="W289" s="343">
        <v>444.3</v>
      </c>
      <c r="X289" s="343">
        <v>0</v>
      </c>
      <c r="Y289" s="343">
        <v>0</v>
      </c>
      <c r="Z289" s="343">
        <v>444.3</v>
      </c>
      <c r="AA289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571"/>
  <sheetViews>
    <sheetView topLeftCell="A237" workbookViewId="0">
      <selection activeCell="S177" sqref="S177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234</v>
      </c>
      <c r="G2" s="343" t="s">
        <v>122</v>
      </c>
      <c r="I2" s="343">
        <v>20250203</v>
      </c>
      <c r="J2" s="343">
        <v>51</v>
      </c>
      <c r="K2" s="343">
        <v>54</v>
      </c>
      <c r="L2" s="343">
        <v>154</v>
      </c>
      <c r="M2" s="384">
        <v>45691</v>
      </c>
      <c r="N2" s="343" t="s">
        <v>232</v>
      </c>
      <c r="O2" s="343" t="s">
        <v>282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236</v>
      </c>
      <c r="G3" s="343" t="s">
        <v>122</v>
      </c>
      <c r="I3" s="343">
        <v>20250204</v>
      </c>
      <c r="J3" s="343">
        <v>7628</v>
      </c>
      <c r="K3" s="343">
        <v>89</v>
      </c>
      <c r="L3" s="343">
        <v>1095</v>
      </c>
      <c r="M3" s="384">
        <v>45692</v>
      </c>
      <c r="N3" s="343" t="s">
        <v>233</v>
      </c>
      <c r="O3" s="343" t="s">
        <v>282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244</v>
      </c>
      <c r="G4" s="343" t="s">
        <v>122</v>
      </c>
      <c r="I4" s="343">
        <v>20250205</v>
      </c>
      <c r="K4" s="343">
        <v>1</v>
      </c>
      <c r="L4" s="343">
        <v>1</v>
      </c>
      <c r="M4" s="384">
        <v>45693</v>
      </c>
      <c r="N4" s="343" t="s">
        <v>234</v>
      </c>
      <c r="O4" s="343" t="s">
        <v>282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234</v>
      </c>
      <c r="G5" s="343" t="s">
        <v>123</v>
      </c>
      <c r="I5" s="343">
        <v>20250206</v>
      </c>
      <c r="J5" s="343">
        <v>40059.85</v>
      </c>
      <c r="K5" s="343">
        <v>224</v>
      </c>
      <c r="L5" s="343">
        <v>234</v>
      </c>
      <c r="M5" s="384">
        <v>45694</v>
      </c>
      <c r="N5" s="343" t="s">
        <v>235</v>
      </c>
      <c r="O5" s="343" t="s">
        <v>282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235</v>
      </c>
      <c r="G6" s="343" t="s">
        <v>123</v>
      </c>
      <c r="I6" s="343">
        <v>20250207</v>
      </c>
      <c r="J6" s="343">
        <v>50558.33</v>
      </c>
      <c r="K6" s="343">
        <v>225</v>
      </c>
      <c r="L6" s="343">
        <v>1472</v>
      </c>
      <c r="M6" s="384">
        <v>45695</v>
      </c>
      <c r="N6" s="343" t="s">
        <v>236</v>
      </c>
      <c r="O6" s="343" t="s">
        <v>282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236</v>
      </c>
      <c r="G7" s="343" t="s">
        <v>123</v>
      </c>
      <c r="I7" s="343">
        <v>20250208</v>
      </c>
      <c r="J7" s="343">
        <v>52158.25</v>
      </c>
      <c r="K7" s="343">
        <v>243</v>
      </c>
      <c r="L7" s="343">
        <v>537</v>
      </c>
      <c r="M7" s="384">
        <v>45696</v>
      </c>
      <c r="N7" s="343" t="s">
        <v>244</v>
      </c>
      <c r="O7" s="343" t="s">
        <v>282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244</v>
      </c>
      <c r="G8" s="343" t="s">
        <v>123</v>
      </c>
      <c r="I8" s="343">
        <v>20250209</v>
      </c>
      <c r="J8" s="343">
        <v>12817</v>
      </c>
      <c r="K8" s="343">
        <v>65</v>
      </c>
      <c r="L8" s="343">
        <v>132</v>
      </c>
      <c r="M8" s="384">
        <v>45697</v>
      </c>
      <c r="N8" s="343" t="s">
        <v>245</v>
      </c>
      <c r="O8" s="343" t="s">
        <v>282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234</v>
      </c>
      <c r="G9" s="343" t="s">
        <v>124</v>
      </c>
      <c r="I9" s="343">
        <v>20250211</v>
      </c>
      <c r="K9" s="343">
        <v>23</v>
      </c>
      <c r="L9" s="343">
        <v>23</v>
      </c>
      <c r="M9" s="384">
        <v>45699</v>
      </c>
      <c r="N9" s="343" t="s">
        <v>233</v>
      </c>
      <c r="O9" s="343" t="s">
        <v>284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235</v>
      </c>
      <c r="G10" s="343" t="s">
        <v>124</v>
      </c>
      <c r="I10" s="343">
        <v>20250212</v>
      </c>
      <c r="J10" s="343">
        <v>38760</v>
      </c>
      <c r="K10" s="343">
        <v>178</v>
      </c>
      <c r="L10" s="343">
        <v>410</v>
      </c>
      <c r="M10" s="384">
        <v>45700</v>
      </c>
      <c r="N10" s="343" t="s">
        <v>234</v>
      </c>
      <c r="O10" s="343" t="s">
        <v>284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236</v>
      </c>
      <c r="G11" s="343" t="s">
        <v>124</v>
      </c>
      <c r="I11" s="343">
        <v>20250213</v>
      </c>
      <c r="J11" s="343">
        <v>55626.45</v>
      </c>
      <c r="K11" s="343">
        <v>236</v>
      </c>
      <c r="L11" s="343">
        <v>516</v>
      </c>
      <c r="M11" s="384">
        <v>45701</v>
      </c>
      <c r="N11" s="343" t="s">
        <v>235</v>
      </c>
      <c r="O11" s="343" t="s">
        <v>284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244</v>
      </c>
      <c r="G12" s="343" t="s">
        <v>124</v>
      </c>
      <c r="I12" s="343">
        <v>20250214</v>
      </c>
      <c r="J12" s="343">
        <v>73800.25</v>
      </c>
      <c r="K12" s="343">
        <v>245</v>
      </c>
      <c r="L12" s="343">
        <v>500</v>
      </c>
      <c r="M12" s="384">
        <v>45702</v>
      </c>
      <c r="N12" s="343" t="s">
        <v>236</v>
      </c>
      <c r="O12" s="343" t="s">
        <v>284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235</v>
      </c>
      <c r="G13" s="343" t="s">
        <v>125</v>
      </c>
      <c r="I13" s="343">
        <v>20250215</v>
      </c>
      <c r="J13" s="343">
        <v>62245.45</v>
      </c>
      <c r="K13" s="343">
        <v>244</v>
      </c>
      <c r="L13" s="343">
        <v>563</v>
      </c>
      <c r="M13" s="384">
        <v>45703</v>
      </c>
      <c r="N13" s="343" t="s">
        <v>244</v>
      </c>
      <c r="O13" s="343" t="s">
        <v>284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236</v>
      </c>
      <c r="G14" s="343" t="s">
        <v>125</v>
      </c>
      <c r="I14" s="343">
        <v>20250216</v>
      </c>
      <c r="J14" s="343">
        <v>48364.5</v>
      </c>
      <c r="K14" s="343">
        <v>174</v>
      </c>
      <c r="L14" s="343">
        <v>439</v>
      </c>
      <c r="M14" s="384">
        <v>45704</v>
      </c>
      <c r="N14" s="343" t="s">
        <v>245</v>
      </c>
      <c r="O14" s="343" t="s">
        <v>284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244</v>
      </c>
      <c r="G15" s="343" t="s">
        <v>125</v>
      </c>
      <c r="I15" s="343">
        <v>20250218</v>
      </c>
      <c r="J15" s="343">
        <v>-817</v>
      </c>
      <c r="K15" s="343">
        <v>13</v>
      </c>
      <c r="L15" s="343">
        <v>13</v>
      </c>
      <c r="M15" s="384">
        <v>45706</v>
      </c>
      <c r="N15" s="343" t="s">
        <v>233</v>
      </c>
      <c r="O15" s="343" t="s">
        <v>286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234</v>
      </c>
      <c r="G16" s="343" t="s">
        <v>128</v>
      </c>
      <c r="I16" s="343">
        <v>20250219</v>
      </c>
      <c r="J16" s="343">
        <v>45769.75</v>
      </c>
      <c r="K16" s="343">
        <v>186</v>
      </c>
      <c r="L16" s="343">
        <v>453</v>
      </c>
      <c r="M16" s="384">
        <v>45707</v>
      </c>
      <c r="N16" s="343" t="s">
        <v>234</v>
      </c>
      <c r="O16" s="343" t="s">
        <v>286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235</v>
      </c>
      <c r="G17" s="343" t="s">
        <v>128</v>
      </c>
      <c r="I17" s="343">
        <v>20250220</v>
      </c>
      <c r="J17" s="343">
        <v>56490.5</v>
      </c>
      <c r="K17" s="343">
        <v>264</v>
      </c>
      <c r="L17" s="343">
        <v>1378</v>
      </c>
      <c r="M17" s="384">
        <v>45708</v>
      </c>
      <c r="N17" s="343" t="s">
        <v>235</v>
      </c>
      <c r="O17" s="343" t="s">
        <v>286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236</v>
      </c>
      <c r="G18" s="343" t="s">
        <v>128</v>
      </c>
      <c r="I18" s="343">
        <v>20250221</v>
      </c>
      <c r="J18" s="343">
        <v>71129.67</v>
      </c>
      <c r="K18" s="343">
        <v>338</v>
      </c>
      <c r="L18" s="343">
        <v>785</v>
      </c>
      <c r="M18" s="384">
        <v>45709</v>
      </c>
      <c r="N18" s="343" t="s">
        <v>236</v>
      </c>
      <c r="O18" s="343" t="s">
        <v>286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244</v>
      </c>
      <c r="G19" s="343" t="s">
        <v>128</v>
      </c>
      <c r="I19" s="343">
        <v>20250222</v>
      </c>
      <c r="J19" s="343">
        <v>82547.759999999995</v>
      </c>
      <c r="K19" s="343">
        <v>269</v>
      </c>
      <c r="L19" s="343">
        <v>593</v>
      </c>
      <c r="M19" s="384">
        <v>45710</v>
      </c>
      <c r="N19" s="343" t="s">
        <v>244</v>
      </c>
      <c r="O19" s="343" t="s">
        <v>286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234</v>
      </c>
      <c r="G20" s="343" t="s">
        <v>129</v>
      </c>
      <c r="I20" s="343">
        <v>20250223</v>
      </c>
      <c r="J20" s="343">
        <v>33103</v>
      </c>
      <c r="K20" s="343">
        <v>130</v>
      </c>
      <c r="L20" s="343">
        <v>307</v>
      </c>
      <c r="M20" s="384">
        <v>45711</v>
      </c>
      <c r="N20" s="343" t="s">
        <v>245</v>
      </c>
      <c r="O20" s="343" t="s">
        <v>286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235</v>
      </c>
      <c r="G21" s="343" t="s">
        <v>129</v>
      </c>
      <c r="I21" s="343">
        <v>20250225</v>
      </c>
      <c r="K21" s="343">
        <v>5</v>
      </c>
      <c r="L21" s="343">
        <v>5</v>
      </c>
      <c r="M21" s="384">
        <v>45713</v>
      </c>
      <c r="N21" s="343" t="s">
        <v>233</v>
      </c>
      <c r="O21" s="343" t="s">
        <v>288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236</v>
      </c>
      <c r="G22" s="343" t="s">
        <v>129</v>
      </c>
      <c r="I22" s="343">
        <v>20250226</v>
      </c>
      <c r="J22" s="343">
        <v>54596</v>
      </c>
      <c r="K22" s="343">
        <v>215</v>
      </c>
      <c r="L22" s="343">
        <v>536</v>
      </c>
      <c r="M22" s="384">
        <v>45714</v>
      </c>
      <c r="N22" s="343" t="s">
        <v>234</v>
      </c>
      <c r="O22" s="343" t="s">
        <v>288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244</v>
      </c>
      <c r="G23" s="343" t="s">
        <v>129</v>
      </c>
      <c r="I23" s="343">
        <v>20250227</v>
      </c>
      <c r="J23" s="343">
        <v>69759.75</v>
      </c>
      <c r="K23" s="343">
        <v>259</v>
      </c>
      <c r="L23" s="343">
        <v>632</v>
      </c>
      <c r="M23" s="384">
        <v>45715</v>
      </c>
      <c r="N23" s="343" t="s">
        <v>235</v>
      </c>
      <c r="O23" s="343" t="s">
        <v>288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234</v>
      </c>
      <c r="G24" s="343" t="s">
        <v>130</v>
      </c>
      <c r="I24" s="343">
        <v>20250228</v>
      </c>
      <c r="J24" s="343">
        <v>71913.55</v>
      </c>
      <c r="K24" s="343">
        <v>301</v>
      </c>
      <c r="L24" s="343">
        <v>642</v>
      </c>
      <c r="M24" s="384">
        <v>45716</v>
      </c>
      <c r="N24" s="343" t="s">
        <v>236</v>
      </c>
      <c r="O24" s="343" t="s">
        <v>288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235</v>
      </c>
      <c r="G25" s="343" t="s">
        <v>130</v>
      </c>
      <c r="I25" s="343">
        <v>20250301</v>
      </c>
      <c r="J25" s="343">
        <v>76580.75</v>
      </c>
      <c r="K25" s="343">
        <v>270</v>
      </c>
      <c r="L25" s="343">
        <v>636</v>
      </c>
      <c r="M25" s="384">
        <v>45717</v>
      </c>
      <c r="N25" s="343" t="s">
        <v>244</v>
      </c>
      <c r="O25" s="343" t="s">
        <v>288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236</v>
      </c>
      <c r="G26" s="343" t="s">
        <v>130</v>
      </c>
      <c r="I26" s="343">
        <v>20250302</v>
      </c>
      <c r="J26" s="343">
        <v>33756</v>
      </c>
      <c r="K26" s="343">
        <v>121</v>
      </c>
      <c r="L26" s="343">
        <v>281</v>
      </c>
      <c r="M26" s="384">
        <v>45718</v>
      </c>
      <c r="N26" s="343" t="s">
        <v>245</v>
      </c>
      <c r="O26" s="343" t="s">
        <v>288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244</v>
      </c>
      <c r="G27" s="343" t="s">
        <v>130</v>
      </c>
      <c r="I27" s="343">
        <v>20250303</v>
      </c>
      <c r="K27" s="343">
        <v>2</v>
      </c>
      <c r="L27" s="343">
        <v>2</v>
      </c>
      <c r="M27" s="384">
        <v>45719</v>
      </c>
      <c r="N27" s="343" t="s">
        <v>232</v>
      </c>
      <c r="O27" s="343" t="s">
        <v>290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234</v>
      </c>
      <c r="G28" s="343" t="s">
        <v>131</v>
      </c>
      <c r="I28" s="343">
        <v>20250304</v>
      </c>
      <c r="J28" s="343">
        <v>-38.82</v>
      </c>
      <c r="M28" s="384">
        <v>45720</v>
      </c>
      <c r="N28" s="343" t="s">
        <v>233</v>
      </c>
      <c r="O28" s="343" t="s">
        <v>290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235</v>
      </c>
      <c r="G29" s="343" t="s">
        <v>131</v>
      </c>
      <c r="I29" s="343">
        <v>20250305</v>
      </c>
      <c r="J29" s="343">
        <v>45868.9</v>
      </c>
      <c r="K29" s="343">
        <v>189</v>
      </c>
      <c r="L29" s="343">
        <v>419</v>
      </c>
      <c r="M29" s="384">
        <v>45721</v>
      </c>
      <c r="N29" s="343" t="s">
        <v>234</v>
      </c>
      <c r="O29" s="343" t="s">
        <v>290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236</v>
      </c>
      <c r="G30" s="343" t="s">
        <v>131</v>
      </c>
      <c r="I30" s="343">
        <v>20250306</v>
      </c>
      <c r="J30" s="343">
        <v>64635.33</v>
      </c>
      <c r="K30" s="343">
        <v>286</v>
      </c>
      <c r="L30" s="343">
        <v>647</v>
      </c>
      <c r="M30" s="384">
        <v>45722</v>
      </c>
      <c r="N30" s="343" t="s">
        <v>235</v>
      </c>
      <c r="O30" s="343" t="s">
        <v>290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234</v>
      </c>
      <c r="G31" s="343" t="s">
        <v>134</v>
      </c>
      <c r="I31" s="343">
        <v>20250307</v>
      </c>
      <c r="J31" s="343">
        <v>86395.42</v>
      </c>
      <c r="K31" s="343">
        <v>335</v>
      </c>
      <c r="L31" s="343">
        <v>839</v>
      </c>
      <c r="M31" s="384">
        <v>45723</v>
      </c>
      <c r="N31" s="343" t="s">
        <v>236</v>
      </c>
      <c r="O31" s="343" t="s">
        <v>290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235</v>
      </c>
      <c r="G32" s="343" t="s">
        <v>134</v>
      </c>
      <c r="I32" s="343">
        <v>20250308</v>
      </c>
      <c r="J32" s="343">
        <v>94845.8</v>
      </c>
      <c r="K32" s="343">
        <v>408</v>
      </c>
      <c r="L32" s="343">
        <v>947</v>
      </c>
      <c r="M32" s="384">
        <v>45724</v>
      </c>
      <c r="N32" s="343" t="s">
        <v>244</v>
      </c>
      <c r="O32" s="343" t="s">
        <v>290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236</v>
      </c>
      <c r="G33" s="343" t="s">
        <v>134</v>
      </c>
      <c r="I33" s="343">
        <v>20250309</v>
      </c>
      <c r="J33" s="343">
        <v>32598.25</v>
      </c>
      <c r="K33" s="343">
        <v>118</v>
      </c>
      <c r="L33" s="343">
        <v>278</v>
      </c>
      <c r="M33" s="384">
        <v>45725</v>
      </c>
      <c r="N33" s="343" t="s">
        <v>245</v>
      </c>
      <c r="O33" s="343" t="s">
        <v>290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245</v>
      </c>
      <c r="G34" s="343" t="s">
        <v>134</v>
      </c>
      <c r="I34" s="343">
        <v>20250310</v>
      </c>
      <c r="K34" s="343">
        <v>3</v>
      </c>
      <c r="L34" s="343">
        <v>3</v>
      </c>
      <c r="M34" s="384">
        <v>45726</v>
      </c>
      <c r="N34" s="343" t="s">
        <v>232</v>
      </c>
      <c r="O34" s="343" t="s">
        <v>292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233</v>
      </c>
      <c r="G35" s="343" t="s">
        <v>135</v>
      </c>
      <c r="I35" s="343">
        <v>20250312</v>
      </c>
      <c r="J35" s="343">
        <v>43328.56</v>
      </c>
      <c r="K35" s="343">
        <v>166</v>
      </c>
      <c r="L35" s="343">
        <v>392</v>
      </c>
      <c r="M35" s="384">
        <v>45728</v>
      </c>
      <c r="N35" s="343" t="s">
        <v>234</v>
      </c>
      <c r="O35" s="343" t="s">
        <v>292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234</v>
      </c>
      <c r="G36" s="343" t="s">
        <v>135</v>
      </c>
      <c r="I36" s="343">
        <v>20250313</v>
      </c>
      <c r="J36" s="343">
        <v>51447.5</v>
      </c>
      <c r="K36" s="343">
        <v>221</v>
      </c>
      <c r="L36" s="343">
        <v>511</v>
      </c>
      <c r="M36" s="384">
        <v>45729</v>
      </c>
      <c r="N36" s="343" t="s">
        <v>235</v>
      </c>
      <c r="O36" s="343" t="s">
        <v>292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235</v>
      </c>
      <c r="G37" s="343" t="s">
        <v>135</v>
      </c>
      <c r="I37" s="343">
        <v>20250314</v>
      </c>
      <c r="J37" s="343">
        <v>89133.75</v>
      </c>
      <c r="K37" s="343">
        <v>319</v>
      </c>
      <c r="L37" s="343">
        <v>728</v>
      </c>
      <c r="M37" s="384">
        <v>45730</v>
      </c>
      <c r="N37" s="343" t="s">
        <v>236</v>
      </c>
      <c r="O37" s="343" t="s">
        <v>292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236</v>
      </c>
      <c r="G38" s="343" t="s">
        <v>135</v>
      </c>
      <c r="I38" s="343">
        <v>20250315</v>
      </c>
      <c r="J38" s="343">
        <v>86799.06</v>
      </c>
      <c r="K38" s="343">
        <v>342</v>
      </c>
      <c r="L38" s="343">
        <v>1574</v>
      </c>
      <c r="M38" s="384">
        <v>45731</v>
      </c>
      <c r="N38" s="343" t="s">
        <v>244</v>
      </c>
      <c r="O38" s="343" t="s">
        <v>292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244</v>
      </c>
      <c r="G39" s="343" t="s">
        <v>135</v>
      </c>
      <c r="I39" s="343">
        <v>20250316</v>
      </c>
      <c r="J39" s="343">
        <v>37570</v>
      </c>
      <c r="K39" s="343">
        <v>130</v>
      </c>
      <c r="L39" s="343">
        <v>342</v>
      </c>
      <c r="M39" s="384">
        <v>45732</v>
      </c>
      <c r="N39" s="343" t="s">
        <v>245</v>
      </c>
      <c r="O39" s="343" t="s">
        <v>292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232</v>
      </c>
      <c r="G40" s="343" t="s">
        <v>136</v>
      </c>
      <c r="I40" s="343">
        <v>20250318</v>
      </c>
      <c r="K40" s="343">
        <v>1</v>
      </c>
      <c r="L40" s="343">
        <v>1</v>
      </c>
      <c r="M40" s="384">
        <v>45734</v>
      </c>
      <c r="N40" s="343" t="s">
        <v>233</v>
      </c>
      <c r="O40" s="343" t="s">
        <v>294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233</v>
      </c>
      <c r="G41" s="343" t="s">
        <v>136</v>
      </c>
      <c r="I41" s="343">
        <v>20250319</v>
      </c>
      <c r="J41" s="343">
        <v>51587.5</v>
      </c>
      <c r="K41" s="343">
        <v>206</v>
      </c>
      <c r="L41" s="343">
        <v>458</v>
      </c>
      <c r="M41" s="384">
        <v>45735</v>
      </c>
      <c r="N41" s="343" t="s">
        <v>234</v>
      </c>
      <c r="O41" s="343" t="s">
        <v>294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234</v>
      </c>
      <c r="G42" s="343" t="s">
        <v>136</v>
      </c>
      <c r="I42" s="343">
        <v>20250320</v>
      </c>
      <c r="J42" s="343">
        <v>74494.850000000006</v>
      </c>
      <c r="K42" s="343">
        <v>272</v>
      </c>
      <c r="L42" s="343">
        <v>616</v>
      </c>
      <c r="M42" s="384">
        <v>45736</v>
      </c>
      <c r="N42" s="343" t="s">
        <v>235</v>
      </c>
      <c r="O42" s="343" t="s">
        <v>294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235</v>
      </c>
      <c r="G43" s="343" t="s">
        <v>136</v>
      </c>
      <c r="I43" s="343">
        <v>20250321</v>
      </c>
      <c r="J43" s="343">
        <v>85317.5</v>
      </c>
      <c r="K43" s="343">
        <v>342</v>
      </c>
      <c r="L43" s="343">
        <v>833</v>
      </c>
      <c r="M43" s="384">
        <v>45737</v>
      </c>
      <c r="N43" s="343" t="s">
        <v>236</v>
      </c>
      <c r="O43" s="343" t="s">
        <v>294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236</v>
      </c>
      <c r="G44" s="343" t="s">
        <v>136</v>
      </c>
      <c r="I44" s="343">
        <v>20250322</v>
      </c>
      <c r="J44" s="343">
        <v>78853.5</v>
      </c>
      <c r="K44" s="343">
        <v>271</v>
      </c>
      <c r="L44" s="343">
        <v>685</v>
      </c>
      <c r="M44" s="384">
        <v>45738</v>
      </c>
      <c r="N44" s="343" t="s">
        <v>244</v>
      </c>
      <c r="O44" s="343" t="s">
        <v>294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244</v>
      </c>
      <c r="G45" s="343" t="s">
        <v>136</v>
      </c>
      <c r="I45" s="343">
        <v>20250323</v>
      </c>
      <c r="J45" s="343">
        <v>47552.5</v>
      </c>
      <c r="K45" s="343">
        <v>146</v>
      </c>
      <c r="L45" s="343">
        <v>360</v>
      </c>
      <c r="M45" s="384">
        <v>45739</v>
      </c>
      <c r="N45" s="343" t="s">
        <v>245</v>
      </c>
      <c r="O45" s="343" t="s">
        <v>294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232</v>
      </c>
      <c r="G46" s="343" t="s">
        <v>137</v>
      </c>
      <c r="I46" s="343">
        <v>20250325</v>
      </c>
      <c r="J46" s="343">
        <v>-24</v>
      </c>
      <c r="K46" s="343">
        <v>1</v>
      </c>
      <c r="L46" s="343">
        <v>1</v>
      </c>
      <c r="M46" s="384">
        <v>45741</v>
      </c>
      <c r="N46" s="343" t="s">
        <v>233</v>
      </c>
      <c r="O46" s="343" t="s">
        <v>295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233</v>
      </c>
      <c r="G47" s="343" t="s">
        <v>137</v>
      </c>
      <c r="I47" s="343">
        <v>20250326</v>
      </c>
      <c r="J47" s="343">
        <v>48726.21</v>
      </c>
      <c r="K47" s="343">
        <v>154</v>
      </c>
      <c r="L47" s="343">
        <v>427</v>
      </c>
      <c r="M47" s="384">
        <v>45742</v>
      </c>
      <c r="N47" s="343" t="s">
        <v>234</v>
      </c>
      <c r="O47" s="343" t="s">
        <v>295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234</v>
      </c>
      <c r="G48" s="343" t="s">
        <v>137</v>
      </c>
      <c r="I48" s="343">
        <v>20250327</v>
      </c>
      <c r="J48" s="343">
        <v>62281</v>
      </c>
      <c r="K48" s="343">
        <v>181</v>
      </c>
      <c r="L48" s="343">
        <v>485</v>
      </c>
      <c r="M48" s="384">
        <v>45743</v>
      </c>
      <c r="N48" s="343" t="s">
        <v>235</v>
      </c>
      <c r="O48" s="343" t="s">
        <v>295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235</v>
      </c>
      <c r="G49" s="343" t="s">
        <v>137</v>
      </c>
      <c r="I49" s="343">
        <v>20250328</v>
      </c>
      <c r="J49" s="343">
        <v>73167.61</v>
      </c>
      <c r="K49" s="343">
        <v>266</v>
      </c>
      <c r="L49" s="343">
        <v>687</v>
      </c>
      <c r="M49" s="384">
        <v>45744</v>
      </c>
      <c r="N49" s="343" t="s">
        <v>236</v>
      </c>
      <c r="O49" s="343" t="s">
        <v>295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236</v>
      </c>
      <c r="G50" s="343" t="s">
        <v>137</v>
      </c>
      <c r="I50" s="343">
        <v>20250329</v>
      </c>
      <c r="J50" s="343">
        <v>96013.2</v>
      </c>
      <c r="K50" s="343">
        <v>286</v>
      </c>
      <c r="L50" s="343">
        <v>670</v>
      </c>
      <c r="M50" s="384">
        <v>45745</v>
      </c>
      <c r="N50" s="343" t="s">
        <v>244</v>
      </c>
      <c r="O50" s="343" t="s">
        <v>295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232</v>
      </c>
      <c r="G51" s="343" t="s">
        <v>138</v>
      </c>
      <c r="I51" s="343">
        <v>20250330</v>
      </c>
      <c r="J51" s="343">
        <v>24714</v>
      </c>
      <c r="K51" s="343">
        <v>85</v>
      </c>
      <c r="L51" s="343">
        <v>226</v>
      </c>
      <c r="M51" s="384">
        <v>45746</v>
      </c>
      <c r="N51" s="343" t="s">
        <v>245</v>
      </c>
      <c r="O51" s="343" t="s">
        <v>295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233</v>
      </c>
      <c r="G52" s="343" t="s">
        <v>138</v>
      </c>
      <c r="I52" s="343">
        <v>20250331</v>
      </c>
      <c r="K52" s="343">
        <v>1</v>
      </c>
      <c r="L52" s="343">
        <v>1</v>
      </c>
      <c r="M52" s="384">
        <v>45747</v>
      </c>
      <c r="N52" s="343" t="s">
        <v>232</v>
      </c>
      <c r="O52" s="343" t="s">
        <v>296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234</v>
      </c>
      <c r="G53" s="343" t="s">
        <v>138</v>
      </c>
      <c r="I53" s="343">
        <v>20250402</v>
      </c>
      <c r="J53" s="343">
        <v>61235.5</v>
      </c>
      <c r="K53" s="343">
        <v>199</v>
      </c>
      <c r="L53" s="343">
        <v>483</v>
      </c>
      <c r="M53" s="384">
        <v>45749</v>
      </c>
      <c r="N53" s="343" t="s">
        <v>234</v>
      </c>
      <c r="O53" s="343" t="s">
        <v>296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235</v>
      </c>
      <c r="G54" s="343" t="s">
        <v>138</v>
      </c>
      <c r="I54" s="343">
        <v>20250403</v>
      </c>
      <c r="J54" s="343">
        <v>89334</v>
      </c>
      <c r="K54" s="343">
        <v>6</v>
      </c>
      <c r="L54" s="343">
        <v>190</v>
      </c>
      <c r="M54" s="384">
        <v>45750</v>
      </c>
      <c r="N54" s="343" t="s">
        <v>235</v>
      </c>
      <c r="O54" s="343" t="s">
        <v>296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236</v>
      </c>
      <c r="G55" s="343" t="s">
        <v>138</v>
      </c>
      <c r="I55" s="343">
        <v>20250404</v>
      </c>
      <c r="J55" s="343">
        <v>75383.05</v>
      </c>
      <c r="K55" s="343">
        <v>322</v>
      </c>
      <c r="L55" s="343">
        <v>696</v>
      </c>
      <c r="M55" s="384">
        <v>45751</v>
      </c>
      <c r="N55" s="343" t="s">
        <v>236</v>
      </c>
      <c r="O55" s="343" t="s">
        <v>296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244</v>
      </c>
      <c r="G56" s="343" t="s">
        <v>138</v>
      </c>
      <c r="I56" s="343">
        <v>20250405</v>
      </c>
      <c r="J56" s="343">
        <v>97817.25</v>
      </c>
      <c r="K56" s="343">
        <v>340</v>
      </c>
      <c r="L56" s="343">
        <v>819</v>
      </c>
      <c r="M56" s="384">
        <v>45752</v>
      </c>
      <c r="N56" s="343" t="s">
        <v>244</v>
      </c>
      <c r="O56" s="343" t="s">
        <v>296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232</v>
      </c>
      <c r="G57" s="343" t="s">
        <v>141</v>
      </c>
      <c r="I57" s="343">
        <v>20250406</v>
      </c>
      <c r="J57" s="343">
        <v>28977.66</v>
      </c>
      <c r="K57" s="343">
        <v>124</v>
      </c>
      <c r="L57" s="343">
        <v>287</v>
      </c>
      <c r="M57" s="384">
        <v>45753</v>
      </c>
      <c r="N57" s="343" t="s">
        <v>245</v>
      </c>
      <c r="O57" s="343" t="s">
        <v>296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233</v>
      </c>
      <c r="G58" s="343" t="s">
        <v>141</v>
      </c>
      <c r="I58" s="343">
        <v>20250407</v>
      </c>
      <c r="J58" s="343">
        <v>45053.75</v>
      </c>
      <c r="K58" s="343">
        <v>95</v>
      </c>
      <c r="L58" s="343">
        <v>250</v>
      </c>
      <c r="M58" s="384">
        <v>45754</v>
      </c>
      <c r="N58" s="343" t="s">
        <v>232</v>
      </c>
      <c r="O58" s="343" t="s">
        <v>297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234</v>
      </c>
      <c r="G59" s="343" t="s">
        <v>141</v>
      </c>
      <c r="I59" s="343">
        <v>20250408</v>
      </c>
      <c r="J59" s="343">
        <v>28502.880000000001</v>
      </c>
      <c r="K59" s="343">
        <v>97</v>
      </c>
      <c r="L59" s="343">
        <v>253</v>
      </c>
      <c r="M59" s="384">
        <v>45755</v>
      </c>
      <c r="N59" s="343" t="s">
        <v>233</v>
      </c>
      <c r="O59" s="343" t="s">
        <v>297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235</v>
      </c>
      <c r="G60" s="343" t="s">
        <v>141</v>
      </c>
      <c r="I60" s="343">
        <v>20250409</v>
      </c>
      <c r="J60" s="343">
        <v>49067</v>
      </c>
      <c r="K60" s="343">
        <v>139</v>
      </c>
      <c r="L60" s="343">
        <v>354</v>
      </c>
      <c r="M60" s="384">
        <v>45756</v>
      </c>
      <c r="N60" s="343" t="s">
        <v>234</v>
      </c>
      <c r="O60" s="343" t="s">
        <v>297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236</v>
      </c>
      <c r="G61" s="343" t="s">
        <v>141</v>
      </c>
      <c r="I61" s="343">
        <v>20250410</v>
      </c>
      <c r="J61" s="343">
        <v>65727</v>
      </c>
      <c r="K61" s="343">
        <v>239</v>
      </c>
      <c r="L61" s="343">
        <v>607</v>
      </c>
      <c r="M61" s="384">
        <v>45757</v>
      </c>
      <c r="N61" s="343" t="s">
        <v>235</v>
      </c>
      <c r="O61" s="343" t="s">
        <v>297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232</v>
      </c>
      <c r="G62" s="343" t="s">
        <v>142</v>
      </c>
      <c r="I62" s="343">
        <v>20250411</v>
      </c>
      <c r="J62" s="343">
        <v>91150.5</v>
      </c>
      <c r="K62" s="343">
        <v>346</v>
      </c>
      <c r="L62" s="343">
        <v>794</v>
      </c>
      <c r="M62" s="384">
        <v>45758</v>
      </c>
      <c r="N62" s="343" t="s">
        <v>236</v>
      </c>
      <c r="O62" s="343" t="s">
        <v>297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233</v>
      </c>
      <c r="G63" s="343" t="s">
        <v>142</v>
      </c>
      <c r="I63" s="343">
        <v>20250412</v>
      </c>
      <c r="J63" s="343">
        <v>78410.58</v>
      </c>
      <c r="K63" s="343">
        <v>300</v>
      </c>
      <c r="L63" s="343">
        <v>677</v>
      </c>
      <c r="M63" s="384">
        <v>45759</v>
      </c>
      <c r="N63" s="343" t="s">
        <v>244</v>
      </c>
      <c r="O63" s="343" t="s">
        <v>297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234</v>
      </c>
      <c r="G64" s="343" t="s">
        <v>142</v>
      </c>
      <c r="I64" s="343">
        <v>20250413</v>
      </c>
      <c r="J64" s="343">
        <v>26120</v>
      </c>
      <c r="K64" s="343">
        <v>88</v>
      </c>
      <c r="L64" s="343">
        <v>208</v>
      </c>
      <c r="M64" s="384">
        <v>45760</v>
      </c>
      <c r="N64" s="343" t="s">
        <v>245</v>
      </c>
      <c r="O64" s="343" t="s">
        <v>297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235</v>
      </c>
      <c r="G65" s="343" t="s">
        <v>142</v>
      </c>
      <c r="I65" s="343">
        <v>20250414</v>
      </c>
      <c r="J65" s="343">
        <v>34238.5</v>
      </c>
      <c r="K65" s="343">
        <v>105</v>
      </c>
      <c r="L65" s="343">
        <v>288</v>
      </c>
      <c r="M65" s="384">
        <v>45761</v>
      </c>
      <c r="N65" s="343" t="s">
        <v>232</v>
      </c>
      <c r="O65" s="343" t="s">
        <v>298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236</v>
      </c>
      <c r="G66" s="343" t="s">
        <v>142</v>
      </c>
      <c r="I66" s="343">
        <v>20250415</v>
      </c>
      <c r="J66" s="343">
        <v>39902.25</v>
      </c>
      <c r="K66" s="343">
        <v>120</v>
      </c>
      <c r="L66" s="343">
        <v>299</v>
      </c>
      <c r="M66" s="384">
        <v>45762</v>
      </c>
      <c r="N66" s="343" t="s">
        <v>233</v>
      </c>
      <c r="O66" s="343" t="s">
        <v>298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281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244</v>
      </c>
      <c r="G67" s="343" t="s">
        <v>142</v>
      </c>
      <c r="I67" s="343">
        <v>20250416</v>
      </c>
      <c r="J67" s="343">
        <v>58172.45</v>
      </c>
      <c r="K67" s="343">
        <v>213</v>
      </c>
      <c r="L67" s="343">
        <v>502</v>
      </c>
      <c r="M67" s="384">
        <v>45763</v>
      </c>
      <c r="N67" s="343" t="s">
        <v>234</v>
      </c>
      <c r="O67" s="343" t="s">
        <v>298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285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245</v>
      </c>
      <c r="G68" s="343" t="s">
        <v>142</v>
      </c>
      <c r="I68" s="343">
        <v>20250417</v>
      </c>
      <c r="J68" s="343">
        <v>74834.460000000006</v>
      </c>
      <c r="K68" s="343">
        <v>264</v>
      </c>
      <c r="L68" s="343">
        <v>640</v>
      </c>
      <c r="M68" s="384">
        <v>45764</v>
      </c>
      <c r="N68" s="343" t="s">
        <v>235</v>
      </c>
      <c r="O68" s="343" t="s">
        <v>298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339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232</v>
      </c>
      <c r="G69" s="343" t="s">
        <v>143</v>
      </c>
      <c r="I69" s="343">
        <v>20250418</v>
      </c>
      <c r="J69" s="343">
        <v>85190.51</v>
      </c>
      <c r="K69" s="343">
        <v>331</v>
      </c>
      <c r="L69" s="343">
        <v>805</v>
      </c>
      <c r="M69" s="384">
        <v>45765</v>
      </c>
      <c r="N69" s="343" t="s">
        <v>236</v>
      </c>
      <c r="O69" s="343" t="s">
        <v>298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281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233</v>
      </c>
      <c r="G70" s="343" t="s">
        <v>143</v>
      </c>
      <c r="I70" s="343">
        <v>20250419</v>
      </c>
      <c r="J70" s="343">
        <v>92338</v>
      </c>
      <c r="K70" s="343">
        <v>303</v>
      </c>
      <c r="L70" s="343">
        <v>757</v>
      </c>
      <c r="M70" s="384">
        <v>45766</v>
      </c>
      <c r="N70" s="343" t="s">
        <v>244</v>
      </c>
      <c r="O70" s="343" t="s">
        <v>298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277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234</v>
      </c>
      <c r="G71" s="343" t="s">
        <v>143</v>
      </c>
      <c r="I71" s="343">
        <v>20250420</v>
      </c>
      <c r="J71" s="343">
        <v>33534</v>
      </c>
      <c r="K71" s="343">
        <v>95</v>
      </c>
      <c r="L71" s="343">
        <v>233</v>
      </c>
      <c r="M71" s="384">
        <v>45767</v>
      </c>
      <c r="N71" s="343" t="s">
        <v>245</v>
      </c>
      <c r="O71" s="343" t="s">
        <v>298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285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235</v>
      </c>
      <c r="G72" s="343" t="s">
        <v>143</v>
      </c>
      <c r="I72" s="343">
        <v>20250421</v>
      </c>
      <c r="J72" s="343">
        <v>23407</v>
      </c>
      <c r="K72" s="343">
        <v>85</v>
      </c>
      <c r="L72" s="343">
        <v>198</v>
      </c>
      <c r="M72" s="384">
        <v>45768</v>
      </c>
      <c r="N72" s="343" t="s">
        <v>232</v>
      </c>
      <c r="O72" s="343" t="s">
        <v>299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339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236</v>
      </c>
      <c r="G73" s="343" t="s">
        <v>143</v>
      </c>
      <c r="I73" s="343">
        <v>20250422</v>
      </c>
      <c r="J73" s="343">
        <v>39446</v>
      </c>
      <c r="K73" s="343">
        <v>113</v>
      </c>
      <c r="L73" s="343">
        <v>287</v>
      </c>
      <c r="M73" s="384">
        <v>45769</v>
      </c>
      <c r="N73" s="343" t="s">
        <v>233</v>
      </c>
      <c r="O73" s="343" t="s">
        <v>299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281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232</v>
      </c>
      <c r="G74" s="343" t="s">
        <v>144</v>
      </c>
      <c r="I74" s="343">
        <v>20250423</v>
      </c>
      <c r="J74" s="343">
        <v>45483.66</v>
      </c>
      <c r="K74" s="343">
        <v>146</v>
      </c>
      <c r="L74" s="343">
        <v>364</v>
      </c>
      <c r="M74" s="384">
        <v>45770</v>
      </c>
      <c r="N74" s="343" t="s">
        <v>234</v>
      </c>
      <c r="O74" s="343" t="s">
        <v>299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279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233</v>
      </c>
      <c r="G75" s="343" t="s">
        <v>144</v>
      </c>
      <c r="I75" s="343">
        <v>20250424</v>
      </c>
      <c r="J75" s="343">
        <v>57978.25</v>
      </c>
      <c r="K75" s="343">
        <v>206</v>
      </c>
      <c r="L75" s="343">
        <v>430</v>
      </c>
      <c r="M75" s="384">
        <v>45771</v>
      </c>
      <c r="N75" s="343" t="s">
        <v>235</v>
      </c>
      <c r="O75" s="343" t="s">
        <v>299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287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234</v>
      </c>
      <c r="G76" s="343" t="s">
        <v>144</v>
      </c>
      <c r="I76" s="343">
        <v>20250425</v>
      </c>
      <c r="J76" s="343">
        <v>78944.5</v>
      </c>
      <c r="K76" s="343">
        <v>382</v>
      </c>
      <c r="L76" s="343">
        <v>790</v>
      </c>
      <c r="M76" s="384">
        <v>45772</v>
      </c>
      <c r="N76" s="343" t="s">
        <v>236</v>
      </c>
      <c r="O76" s="343" t="s">
        <v>299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285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235</v>
      </c>
      <c r="G77" s="343" t="s">
        <v>144</v>
      </c>
      <c r="I77" s="343">
        <v>20250426</v>
      </c>
      <c r="J77" s="343">
        <v>77195</v>
      </c>
      <c r="K77" s="343">
        <v>341</v>
      </c>
      <c r="L77" s="343">
        <v>703</v>
      </c>
      <c r="M77" s="384">
        <v>45773</v>
      </c>
      <c r="N77" s="343" t="s">
        <v>244</v>
      </c>
      <c r="O77" s="343" t="s">
        <v>299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339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236</v>
      </c>
      <c r="G78" s="343" t="s">
        <v>144</v>
      </c>
      <c r="I78" s="343">
        <v>20250428</v>
      </c>
      <c r="J78" s="343">
        <v>28167.25</v>
      </c>
      <c r="K78" s="343">
        <v>96</v>
      </c>
      <c r="L78" s="343">
        <v>232</v>
      </c>
      <c r="M78" s="384">
        <v>45775</v>
      </c>
      <c r="N78" s="343" t="s">
        <v>232</v>
      </c>
      <c r="O78" s="343" t="s">
        <v>300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281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245</v>
      </c>
      <c r="G79" s="343" t="s">
        <v>144</v>
      </c>
      <c r="I79" s="343">
        <v>20250430</v>
      </c>
      <c r="J79" s="343">
        <v>45161.5</v>
      </c>
      <c r="K79" s="343">
        <v>167</v>
      </c>
      <c r="L79" s="343">
        <v>396</v>
      </c>
      <c r="M79" s="384">
        <v>45777</v>
      </c>
      <c r="N79" s="343" t="s">
        <v>234</v>
      </c>
      <c r="O79" s="343" t="s">
        <v>300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277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232</v>
      </c>
      <c r="G80" s="343" t="s">
        <v>147</v>
      </c>
      <c r="I80" s="343">
        <v>20250501</v>
      </c>
      <c r="J80" s="343">
        <v>70139.5</v>
      </c>
      <c r="K80" s="343">
        <v>295</v>
      </c>
      <c r="L80" s="343">
        <v>597</v>
      </c>
      <c r="M80" s="384">
        <v>45778</v>
      </c>
      <c r="N80" s="343" t="s">
        <v>235</v>
      </c>
      <c r="O80" s="343" t="s">
        <v>300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287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233</v>
      </c>
      <c r="G81" s="343" t="s">
        <v>147</v>
      </c>
      <c r="I81" s="343">
        <v>20250502</v>
      </c>
      <c r="J81" s="343">
        <v>97086.95</v>
      </c>
      <c r="K81" s="343">
        <v>377</v>
      </c>
      <c r="L81" s="343">
        <v>959</v>
      </c>
      <c r="M81" s="384">
        <v>45779</v>
      </c>
      <c r="N81" s="343" t="s">
        <v>236</v>
      </c>
      <c r="O81" s="343" t="s">
        <v>300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285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234</v>
      </c>
      <c r="G82" s="343" t="s">
        <v>147</v>
      </c>
      <c r="I82" s="343">
        <v>20250503</v>
      </c>
      <c r="J82" s="343">
        <v>84194.25</v>
      </c>
      <c r="K82" s="343">
        <v>304</v>
      </c>
      <c r="L82" s="343">
        <v>658</v>
      </c>
      <c r="M82" s="384">
        <v>45780</v>
      </c>
      <c r="N82" s="343" t="s">
        <v>244</v>
      </c>
      <c r="O82" s="343" t="s">
        <v>300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339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235</v>
      </c>
      <c r="G83" s="343" t="s">
        <v>147</v>
      </c>
      <c r="I83" s="343">
        <v>20250504</v>
      </c>
      <c r="J83" s="343">
        <v>42431</v>
      </c>
      <c r="K83" s="343">
        <v>123</v>
      </c>
      <c r="L83" s="343">
        <v>312</v>
      </c>
      <c r="M83" s="384">
        <v>45781</v>
      </c>
      <c r="N83" s="343" t="s">
        <v>245</v>
      </c>
      <c r="O83" s="343" t="s">
        <v>300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281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236</v>
      </c>
      <c r="G84" s="343" t="s">
        <v>147</v>
      </c>
      <c r="I84" s="343">
        <v>20250505</v>
      </c>
      <c r="J84" s="343">
        <v>26914.7</v>
      </c>
      <c r="K84" s="343">
        <v>92</v>
      </c>
      <c r="L84" s="343">
        <v>220</v>
      </c>
      <c r="M84" s="384">
        <v>45782</v>
      </c>
      <c r="N84" s="343" t="s">
        <v>232</v>
      </c>
      <c r="O84" s="343" t="s">
        <v>301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287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244</v>
      </c>
      <c r="G85" s="343" t="s">
        <v>147</v>
      </c>
      <c r="I85" s="343">
        <v>20250506</v>
      </c>
      <c r="J85" s="343">
        <v>29241.75</v>
      </c>
      <c r="K85" s="343">
        <v>101</v>
      </c>
      <c r="L85" s="343">
        <v>247</v>
      </c>
      <c r="M85" s="384">
        <v>45783</v>
      </c>
      <c r="N85" s="343" t="s">
        <v>233</v>
      </c>
      <c r="O85" s="343" t="s">
        <v>301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285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245</v>
      </c>
      <c r="G86" s="343" t="s">
        <v>147</v>
      </c>
      <c r="I86" s="343">
        <v>20250507</v>
      </c>
      <c r="J86" s="343">
        <v>38396.25</v>
      </c>
      <c r="K86" s="343">
        <v>133</v>
      </c>
      <c r="L86" s="343">
        <v>313</v>
      </c>
      <c r="M86" s="384">
        <v>45784</v>
      </c>
      <c r="N86" s="343" t="s">
        <v>234</v>
      </c>
      <c r="O86" s="343" t="s">
        <v>301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339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232</v>
      </c>
      <c r="G87" s="343" t="s">
        <v>148</v>
      </c>
      <c r="I87" s="343">
        <v>20250508</v>
      </c>
      <c r="J87" s="343">
        <v>57215.25</v>
      </c>
      <c r="K87" s="343">
        <v>238</v>
      </c>
      <c r="L87" s="343">
        <v>544</v>
      </c>
      <c r="M87" s="384">
        <v>45785</v>
      </c>
      <c r="N87" s="343" t="s">
        <v>235</v>
      </c>
      <c r="O87" s="343" t="s">
        <v>301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281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233</v>
      </c>
      <c r="G88" s="343" t="s">
        <v>148</v>
      </c>
      <c r="I88" s="343">
        <v>20250509</v>
      </c>
      <c r="J88" s="343">
        <v>68990.5</v>
      </c>
      <c r="K88" s="343">
        <v>285</v>
      </c>
      <c r="L88" s="343">
        <v>625</v>
      </c>
      <c r="M88" s="384">
        <v>45786</v>
      </c>
      <c r="N88" s="343" t="s">
        <v>236</v>
      </c>
      <c r="O88" s="343" t="s">
        <v>301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279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234</v>
      </c>
      <c r="G89" s="343" t="s">
        <v>148</v>
      </c>
      <c r="I89" s="343">
        <v>20250510</v>
      </c>
      <c r="J89" s="343">
        <v>82109</v>
      </c>
      <c r="K89" s="343">
        <v>302</v>
      </c>
      <c r="L89" s="343">
        <v>727</v>
      </c>
      <c r="M89" s="384">
        <v>45787</v>
      </c>
      <c r="N89" s="343" t="s">
        <v>244</v>
      </c>
      <c r="O89" s="343" t="s">
        <v>301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277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235</v>
      </c>
      <c r="G90" s="343" t="s">
        <v>148</v>
      </c>
      <c r="I90" s="343">
        <v>20250511</v>
      </c>
      <c r="J90" s="343">
        <v>51336.5</v>
      </c>
      <c r="K90" s="343">
        <v>144</v>
      </c>
      <c r="L90" s="343">
        <v>405</v>
      </c>
      <c r="M90" s="384">
        <v>45788</v>
      </c>
      <c r="N90" s="343" t="s">
        <v>245</v>
      </c>
      <c r="O90" s="343" t="s">
        <v>301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287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236</v>
      </c>
      <c r="G91" s="343" t="s">
        <v>148</v>
      </c>
      <c r="I91" s="343">
        <v>20250512</v>
      </c>
      <c r="K91" s="343">
        <v>1</v>
      </c>
      <c r="L91" s="343">
        <v>1</v>
      </c>
      <c r="M91" s="384">
        <v>45789</v>
      </c>
      <c r="N91" s="343" t="s">
        <v>232</v>
      </c>
      <c r="O91" s="343" t="s">
        <v>302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285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245</v>
      </c>
      <c r="G92" s="343" t="s">
        <v>148</v>
      </c>
      <c r="I92" s="343">
        <v>20250513</v>
      </c>
      <c r="J92" s="343">
        <v>38544.199999999997</v>
      </c>
      <c r="K92" s="343">
        <v>151</v>
      </c>
      <c r="L92" s="343">
        <v>308</v>
      </c>
      <c r="M92" s="384">
        <v>45790</v>
      </c>
      <c r="N92" s="343" t="s">
        <v>233</v>
      </c>
      <c r="O92" s="343" t="s">
        <v>302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339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232</v>
      </c>
      <c r="G93" s="343" t="s">
        <v>149</v>
      </c>
      <c r="I93" s="343">
        <v>20250514</v>
      </c>
      <c r="J93" s="343">
        <v>38111.199999999997</v>
      </c>
      <c r="K93" s="343">
        <v>136</v>
      </c>
      <c r="L93" s="343">
        <v>289</v>
      </c>
      <c r="M93" s="384">
        <v>45791</v>
      </c>
      <c r="N93" s="343" t="s">
        <v>234</v>
      </c>
      <c r="O93" s="343" t="s">
        <v>302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279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233</v>
      </c>
      <c r="G94" s="343" t="s">
        <v>149</v>
      </c>
      <c r="I94" s="343">
        <v>20250515</v>
      </c>
      <c r="J94" s="343">
        <v>66175.539999999994</v>
      </c>
      <c r="K94" s="343">
        <v>220</v>
      </c>
      <c r="L94" s="343">
        <v>541</v>
      </c>
      <c r="M94" s="384">
        <v>45792</v>
      </c>
      <c r="N94" s="343" t="s">
        <v>235</v>
      </c>
      <c r="O94" s="343" t="s">
        <v>302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287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234</v>
      </c>
      <c r="G95" s="343" t="s">
        <v>149</v>
      </c>
      <c r="I95" s="343">
        <v>20250516</v>
      </c>
      <c r="J95" s="343">
        <v>85107</v>
      </c>
      <c r="K95" s="343">
        <v>318</v>
      </c>
      <c r="L95" s="343">
        <v>711</v>
      </c>
      <c r="M95" s="384">
        <v>45793</v>
      </c>
      <c r="N95" s="343" t="s">
        <v>236</v>
      </c>
      <c r="O95" s="343" t="s">
        <v>302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285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235</v>
      </c>
      <c r="G96" s="343" t="s">
        <v>149</v>
      </c>
      <c r="I96" s="343">
        <v>20250517</v>
      </c>
      <c r="J96" s="343">
        <v>84316.5</v>
      </c>
      <c r="K96" s="343">
        <v>310</v>
      </c>
      <c r="L96" s="343">
        <v>662</v>
      </c>
      <c r="M96" s="384">
        <v>45794</v>
      </c>
      <c r="N96" s="343" t="s">
        <v>244</v>
      </c>
      <c r="O96" s="343" t="s">
        <v>302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339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236</v>
      </c>
      <c r="G97" s="343" t="s">
        <v>149</v>
      </c>
      <c r="I97" s="343">
        <v>20250519</v>
      </c>
      <c r="J97" s="343">
        <v>-97.05</v>
      </c>
      <c r="K97" s="343">
        <v>1</v>
      </c>
      <c r="L97" s="343">
        <v>1</v>
      </c>
      <c r="M97" s="384">
        <v>45796</v>
      </c>
      <c r="N97" s="343" t="s">
        <v>232</v>
      </c>
      <c r="O97" s="343" t="s">
        <v>303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281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245</v>
      </c>
      <c r="G98" s="343" t="s">
        <v>149</v>
      </c>
      <c r="I98" s="343">
        <v>20250520</v>
      </c>
      <c r="J98" s="343">
        <v>47034.9</v>
      </c>
      <c r="K98" s="343">
        <v>157</v>
      </c>
      <c r="L98" s="343">
        <v>379</v>
      </c>
      <c r="M98" s="384">
        <v>45797</v>
      </c>
      <c r="N98" s="343" t="s">
        <v>233</v>
      </c>
      <c r="O98" s="343" t="s">
        <v>303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277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232</v>
      </c>
      <c r="G99" s="343" t="s">
        <v>150</v>
      </c>
      <c r="I99" s="343">
        <v>20250521</v>
      </c>
      <c r="J99" s="343">
        <v>48073.93</v>
      </c>
      <c r="K99" s="343">
        <v>145</v>
      </c>
      <c r="L99" s="343">
        <v>324</v>
      </c>
      <c r="M99" s="384">
        <v>45798</v>
      </c>
      <c r="N99" s="343" t="s">
        <v>234</v>
      </c>
      <c r="O99" s="343" t="s">
        <v>303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287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233</v>
      </c>
      <c r="G100" s="343" t="s">
        <v>150</v>
      </c>
      <c r="I100" s="343">
        <v>20250522</v>
      </c>
      <c r="J100" s="343">
        <v>47504.3</v>
      </c>
      <c r="K100" s="343">
        <v>171</v>
      </c>
      <c r="L100" s="343">
        <v>379</v>
      </c>
      <c r="M100" s="384">
        <v>45799</v>
      </c>
      <c r="N100" s="343" t="s">
        <v>235</v>
      </c>
      <c r="O100" s="343" t="s">
        <v>303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285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234</v>
      </c>
      <c r="G101" s="343" t="s">
        <v>150</v>
      </c>
      <c r="I101" s="343">
        <v>20250523</v>
      </c>
      <c r="J101" s="343">
        <v>75253.899999999994</v>
      </c>
      <c r="K101" s="343">
        <v>284</v>
      </c>
      <c r="L101" s="343">
        <v>640</v>
      </c>
      <c r="M101" s="384">
        <v>45800</v>
      </c>
      <c r="N101" s="343" t="s">
        <v>236</v>
      </c>
      <c r="O101" s="343" t="s">
        <v>303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339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235</v>
      </c>
      <c r="G102" s="343" t="s">
        <v>150</v>
      </c>
      <c r="I102" s="343">
        <v>20250524</v>
      </c>
      <c r="J102" s="343">
        <v>71907.75</v>
      </c>
      <c r="K102" s="343">
        <v>257</v>
      </c>
      <c r="L102" s="343">
        <v>584</v>
      </c>
      <c r="M102" s="384">
        <v>45801</v>
      </c>
      <c r="N102" s="343" t="s">
        <v>244</v>
      </c>
      <c r="O102" s="343" t="s">
        <v>303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281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236</v>
      </c>
      <c r="G103" s="343" t="s">
        <v>150</v>
      </c>
      <c r="I103" s="343">
        <v>20250525</v>
      </c>
      <c r="J103" s="343">
        <v>51788.25</v>
      </c>
      <c r="K103" s="343">
        <v>175</v>
      </c>
      <c r="L103" s="343">
        <v>403</v>
      </c>
      <c r="M103" s="384">
        <v>45802</v>
      </c>
      <c r="N103" s="343" t="s">
        <v>245</v>
      </c>
      <c r="O103" s="343" t="s">
        <v>303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287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232</v>
      </c>
      <c r="G104" s="343" t="s">
        <v>153</v>
      </c>
      <c r="I104" s="343">
        <v>20250526</v>
      </c>
      <c r="J104" s="343">
        <v>22552.5</v>
      </c>
      <c r="K104" s="343">
        <v>69</v>
      </c>
      <c r="L104" s="343">
        <v>157</v>
      </c>
      <c r="M104" s="384">
        <v>45803</v>
      </c>
      <c r="N104" s="343" t="s">
        <v>232</v>
      </c>
      <c r="O104" s="343" t="s">
        <v>304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285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233</v>
      </c>
      <c r="G105" s="343" t="s">
        <v>153</v>
      </c>
      <c r="I105" s="343">
        <v>20250527</v>
      </c>
      <c r="J105" s="343">
        <v>30932.63</v>
      </c>
      <c r="K105" s="343">
        <v>79</v>
      </c>
      <c r="L105" s="343">
        <v>195</v>
      </c>
      <c r="M105" s="384">
        <v>45804</v>
      </c>
      <c r="N105" s="343" t="s">
        <v>233</v>
      </c>
      <c r="O105" s="343" t="s">
        <v>304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339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234</v>
      </c>
      <c r="G106" s="343" t="s">
        <v>153</v>
      </c>
      <c r="I106" s="343">
        <v>20250528</v>
      </c>
      <c r="J106" s="343">
        <v>24950.25</v>
      </c>
      <c r="K106" s="343">
        <v>80</v>
      </c>
      <c r="L106" s="343">
        <v>189</v>
      </c>
      <c r="M106" s="384">
        <v>45805</v>
      </c>
      <c r="N106" s="343" t="s">
        <v>234</v>
      </c>
      <c r="O106" s="343" t="s">
        <v>304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281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235</v>
      </c>
      <c r="G107" s="343" t="s">
        <v>153</v>
      </c>
      <c r="I107" s="343">
        <v>20250529</v>
      </c>
      <c r="J107" s="343">
        <v>43676.25</v>
      </c>
      <c r="K107" s="343">
        <v>164</v>
      </c>
      <c r="L107" s="343">
        <v>344</v>
      </c>
      <c r="M107" s="384">
        <v>45806</v>
      </c>
      <c r="N107" s="343" t="s">
        <v>235</v>
      </c>
      <c r="O107" s="343" t="s">
        <v>304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287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236</v>
      </c>
      <c r="G108" s="343" t="s">
        <v>153</v>
      </c>
      <c r="I108" s="343">
        <v>20250530</v>
      </c>
      <c r="J108" s="343">
        <v>74359</v>
      </c>
      <c r="K108" s="343">
        <v>269</v>
      </c>
      <c r="L108" s="343">
        <v>550</v>
      </c>
      <c r="M108" s="384">
        <v>45807</v>
      </c>
      <c r="N108" s="343" t="s">
        <v>236</v>
      </c>
      <c r="O108" s="343" t="s">
        <v>304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285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244</v>
      </c>
      <c r="G109" s="343" t="s">
        <v>153</v>
      </c>
      <c r="I109" s="343">
        <v>20250531</v>
      </c>
      <c r="J109" s="343">
        <v>78557.75</v>
      </c>
      <c r="K109" s="343">
        <v>288</v>
      </c>
      <c r="L109" s="343">
        <v>603</v>
      </c>
      <c r="M109" s="384">
        <v>45808</v>
      </c>
      <c r="N109" s="343" t="s">
        <v>244</v>
      </c>
      <c r="O109" s="343" t="s">
        <v>304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339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245</v>
      </c>
      <c r="G110" s="343" t="s">
        <v>153</v>
      </c>
      <c r="I110" s="343">
        <v>20250602</v>
      </c>
      <c r="J110" s="343">
        <v>32387.5</v>
      </c>
      <c r="K110" s="343">
        <v>67</v>
      </c>
      <c r="L110" s="343">
        <v>176</v>
      </c>
      <c r="M110" s="384">
        <v>45810</v>
      </c>
      <c r="N110" s="343" t="s">
        <v>232</v>
      </c>
      <c r="O110" s="343" t="s">
        <v>305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281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232</v>
      </c>
      <c r="G111" s="343" t="s">
        <v>154</v>
      </c>
      <c r="I111" s="343">
        <v>20250603</v>
      </c>
      <c r="J111" s="343">
        <v>28139.3</v>
      </c>
      <c r="K111" s="343">
        <v>68</v>
      </c>
      <c r="L111" s="343">
        <v>216</v>
      </c>
      <c r="M111" s="384">
        <v>45811</v>
      </c>
      <c r="N111" s="343" t="s">
        <v>233</v>
      </c>
      <c r="O111" s="343" t="s">
        <v>305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279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233</v>
      </c>
      <c r="G112" s="343" t="s">
        <v>154</v>
      </c>
      <c r="I112" s="343">
        <v>20250604</v>
      </c>
      <c r="J112" s="343">
        <v>38540.699999999997</v>
      </c>
      <c r="K112" s="343">
        <v>122</v>
      </c>
      <c r="L112" s="343">
        <v>334</v>
      </c>
      <c r="M112" s="384">
        <v>45812</v>
      </c>
      <c r="N112" s="343" t="s">
        <v>234</v>
      </c>
      <c r="O112" s="343" t="s">
        <v>305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277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234</v>
      </c>
      <c r="G113" s="343" t="s">
        <v>154</v>
      </c>
      <c r="I113" s="343">
        <v>20250605</v>
      </c>
      <c r="J113" s="343">
        <v>46416</v>
      </c>
      <c r="K113" s="343">
        <v>174</v>
      </c>
      <c r="L113" s="343">
        <v>382</v>
      </c>
      <c r="M113" s="384">
        <v>45813</v>
      </c>
      <c r="N113" s="343" t="s">
        <v>235</v>
      </c>
      <c r="O113" s="343" t="s">
        <v>305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287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235</v>
      </c>
      <c r="G114" s="343" t="s">
        <v>154</v>
      </c>
      <c r="I114" s="343">
        <v>20250606</v>
      </c>
      <c r="J114" s="343">
        <v>69135.3</v>
      </c>
      <c r="K114" s="343">
        <v>278</v>
      </c>
      <c r="L114" s="343">
        <v>558</v>
      </c>
      <c r="M114" s="384">
        <v>45814</v>
      </c>
      <c r="N114" s="343" t="s">
        <v>236</v>
      </c>
      <c r="O114" s="343" t="s">
        <v>305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285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236</v>
      </c>
      <c r="G115" s="343" t="s">
        <v>154</v>
      </c>
      <c r="I115" s="343">
        <v>20250607</v>
      </c>
      <c r="J115" s="343">
        <v>75096.75</v>
      </c>
      <c r="K115" s="343">
        <v>267</v>
      </c>
      <c r="L115" s="343">
        <v>571</v>
      </c>
      <c r="M115" s="384">
        <v>45815</v>
      </c>
      <c r="N115" s="343" t="s">
        <v>244</v>
      </c>
      <c r="O115" s="343" t="s">
        <v>305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339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244</v>
      </c>
      <c r="G116" s="343" t="s">
        <v>154</v>
      </c>
      <c r="I116" s="343">
        <v>20250608</v>
      </c>
      <c r="J116" s="343">
        <v>24078.25</v>
      </c>
      <c r="K116" s="343">
        <v>78</v>
      </c>
      <c r="L116" s="343">
        <v>197</v>
      </c>
      <c r="M116" s="384">
        <v>45816</v>
      </c>
      <c r="N116" s="343" t="s">
        <v>245</v>
      </c>
      <c r="O116" s="343" t="s">
        <v>305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281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232</v>
      </c>
      <c r="G117" s="343" t="s">
        <v>155</v>
      </c>
      <c r="I117" s="343">
        <v>20250609</v>
      </c>
      <c r="J117" s="343">
        <v>27376.25</v>
      </c>
      <c r="K117" s="343">
        <v>87</v>
      </c>
      <c r="L117" s="343">
        <v>995</v>
      </c>
      <c r="M117" s="384">
        <v>45817</v>
      </c>
      <c r="N117" s="343" t="s">
        <v>232</v>
      </c>
      <c r="O117" s="343" t="s">
        <v>306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277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233</v>
      </c>
      <c r="G118" s="343" t="s">
        <v>155</v>
      </c>
      <c r="I118" s="343">
        <v>20250610</v>
      </c>
      <c r="J118" s="343">
        <v>23884.25</v>
      </c>
      <c r="K118" s="343">
        <v>75</v>
      </c>
      <c r="L118" s="343">
        <v>182</v>
      </c>
      <c r="M118" s="384">
        <v>45818</v>
      </c>
      <c r="N118" s="343" t="s">
        <v>233</v>
      </c>
      <c r="O118" s="343" t="s">
        <v>306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287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234</v>
      </c>
      <c r="G119" s="343" t="s">
        <v>155</v>
      </c>
      <c r="I119" s="343">
        <v>20250611</v>
      </c>
      <c r="J119" s="343">
        <v>44328.61</v>
      </c>
      <c r="K119" s="343">
        <v>124</v>
      </c>
      <c r="L119" s="343">
        <v>320</v>
      </c>
      <c r="M119" s="384">
        <v>45819</v>
      </c>
      <c r="N119" s="343" t="s">
        <v>234</v>
      </c>
      <c r="O119" s="343" t="s">
        <v>306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285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235</v>
      </c>
      <c r="G120" s="343" t="s">
        <v>155</v>
      </c>
      <c r="I120" s="343">
        <v>20250612</v>
      </c>
      <c r="J120" s="343">
        <v>44628.95</v>
      </c>
      <c r="K120" s="343">
        <v>138</v>
      </c>
      <c r="L120" s="343">
        <v>331</v>
      </c>
      <c r="M120" s="384">
        <v>45820</v>
      </c>
      <c r="N120" s="343" t="s">
        <v>235</v>
      </c>
      <c r="O120" s="343" t="s">
        <v>306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339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236</v>
      </c>
      <c r="G121" s="343" t="s">
        <v>155</v>
      </c>
      <c r="I121" s="343">
        <v>20250613</v>
      </c>
      <c r="J121" s="343">
        <v>64473.5</v>
      </c>
      <c r="K121" s="343">
        <v>255</v>
      </c>
      <c r="L121" s="343">
        <v>554</v>
      </c>
      <c r="M121" s="384">
        <v>45821</v>
      </c>
      <c r="N121" s="343" t="s">
        <v>236</v>
      </c>
      <c r="O121" s="343" t="s">
        <v>306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281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245</v>
      </c>
      <c r="G122" s="343" t="s">
        <v>155</v>
      </c>
      <c r="I122" s="343">
        <v>20250614</v>
      </c>
      <c r="J122" s="343">
        <v>75699</v>
      </c>
      <c r="K122" s="343">
        <v>292</v>
      </c>
      <c r="L122" s="343">
        <v>652</v>
      </c>
      <c r="M122" s="384">
        <v>45822</v>
      </c>
      <c r="N122" s="343" t="s">
        <v>244</v>
      </c>
      <c r="O122" s="343" t="s">
        <v>306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279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232</v>
      </c>
      <c r="G123" s="343" t="s">
        <v>156</v>
      </c>
      <c r="I123" s="343">
        <v>20250615</v>
      </c>
      <c r="J123" s="343">
        <v>30050.5</v>
      </c>
      <c r="K123" s="343">
        <v>80</v>
      </c>
      <c r="L123" s="343">
        <v>230</v>
      </c>
      <c r="M123" s="384">
        <v>45823</v>
      </c>
      <c r="N123" s="343" t="s">
        <v>245</v>
      </c>
      <c r="O123" s="343" t="s">
        <v>306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277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233</v>
      </c>
      <c r="G124" s="343" t="s">
        <v>156</v>
      </c>
      <c r="I124" s="343">
        <v>20250616</v>
      </c>
      <c r="J124" s="343">
        <v>24902.6</v>
      </c>
      <c r="K124" s="343">
        <v>66</v>
      </c>
      <c r="L124" s="343">
        <v>155</v>
      </c>
      <c r="M124" s="384">
        <v>45824</v>
      </c>
      <c r="N124" s="343" t="s">
        <v>232</v>
      </c>
      <c r="O124" s="343" t="s">
        <v>307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287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234</v>
      </c>
      <c r="G125" s="343" t="s">
        <v>156</v>
      </c>
      <c r="I125" s="343">
        <v>20250617</v>
      </c>
      <c r="J125" s="343">
        <v>28551.7</v>
      </c>
      <c r="K125" s="343">
        <v>84</v>
      </c>
      <c r="L125" s="343">
        <v>221</v>
      </c>
      <c r="M125" s="384">
        <v>45825</v>
      </c>
      <c r="N125" s="343" t="s">
        <v>233</v>
      </c>
      <c r="O125" s="343" t="s">
        <v>307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287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235</v>
      </c>
      <c r="G126" s="343" t="s">
        <v>156</v>
      </c>
      <c r="I126" s="343">
        <v>20250618</v>
      </c>
      <c r="J126" s="343">
        <v>23543.5</v>
      </c>
      <c r="K126" s="343">
        <v>97</v>
      </c>
      <c r="L126" s="343">
        <v>211</v>
      </c>
      <c r="M126" s="384">
        <v>45826</v>
      </c>
      <c r="N126" s="343" t="s">
        <v>234</v>
      </c>
      <c r="O126" s="343" t="s">
        <v>307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285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236</v>
      </c>
      <c r="G127" s="343" t="s">
        <v>156</v>
      </c>
      <c r="I127" s="343">
        <v>20250619</v>
      </c>
      <c r="J127" s="343">
        <v>50439</v>
      </c>
      <c r="K127" s="343">
        <v>139</v>
      </c>
      <c r="L127" s="343">
        <v>323</v>
      </c>
      <c r="M127" s="384">
        <v>45827</v>
      </c>
      <c r="N127" s="343" t="s">
        <v>235</v>
      </c>
      <c r="O127" s="343" t="s">
        <v>307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339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244</v>
      </c>
      <c r="G128" s="343" t="s">
        <v>156</v>
      </c>
      <c r="I128" s="343">
        <v>20250620</v>
      </c>
      <c r="J128" s="343">
        <v>68986.7</v>
      </c>
      <c r="K128" s="343">
        <v>230</v>
      </c>
      <c r="L128" s="343">
        <v>537</v>
      </c>
      <c r="M128" s="384">
        <v>45828</v>
      </c>
      <c r="N128" s="343" t="s">
        <v>236</v>
      </c>
      <c r="O128" s="343" t="s">
        <v>307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281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245</v>
      </c>
      <c r="G129" s="343" t="s">
        <v>156</v>
      </c>
      <c r="I129" s="343">
        <v>20250621</v>
      </c>
      <c r="J129" s="343">
        <v>73450.5</v>
      </c>
      <c r="K129" s="343">
        <v>256</v>
      </c>
      <c r="L129" s="343">
        <v>586</v>
      </c>
      <c r="M129" s="384">
        <v>45829</v>
      </c>
      <c r="N129" s="343" t="s">
        <v>244</v>
      </c>
      <c r="O129" s="343" t="s">
        <v>307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279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232</v>
      </c>
      <c r="G130" s="343" t="s">
        <v>157</v>
      </c>
      <c r="I130" s="343">
        <v>20250622</v>
      </c>
      <c r="J130" s="343">
        <v>21352.35</v>
      </c>
      <c r="K130" s="343">
        <v>71</v>
      </c>
      <c r="L130" s="343">
        <v>187</v>
      </c>
      <c r="M130" s="384">
        <v>45830</v>
      </c>
      <c r="N130" s="343" t="s">
        <v>245</v>
      </c>
      <c r="O130" s="343" t="s">
        <v>307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287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233</v>
      </c>
      <c r="G131" s="343" t="s">
        <v>157</v>
      </c>
      <c r="I131" s="343">
        <v>20250623</v>
      </c>
      <c r="J131" s="343">
        <v>20903</v>
      </c>
      <c r="K131" s="343">
        <v>77</v>
      </c>
      <c r="L131" s="343">
        <v>170</v>
      </c>
      <c r="M131" s="384">
        <v>45831</v>
      </c>
      <c r="N131" s="343" t="s">
        <v>232</v>
      </c>
      <c r="O131" s="343" t="s">
        <v>308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285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234</v>
      </c>
      <c r="G132" s="343" t="s">
        <v>157</v>
      </c>
      <c r="I132" s="343">
        <v>20250624</v>
      </c>
      <c r="J132" s="343">
        <v>23330.75</v>
      </c>
      <c r="K132" s="343">
        <v>82</v>
      </c>
      <c r="L132" s="343">
        <v>187</v>
      </c>
      <c r="M132" s="384">
        <v>45832</v>
      </c>
      <c r="N132" s="343" t="s">
        <v>233</v>
      </c>
      <c r="O132" s="343" t="s">
        <v>308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339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235</v>
      </c>
      <c r="G133" s="343" t="s">
        <v>157</v>
      </c>
      <c r="I133" s="343">
        <v>20250625</v>
      </c>
      <c r="J133" s="343">
        <v>34081.75</v>
      </c>
      <c r="K133" s="343">
        <v>92</v>
      </c>
      <c r="L133" s="343">
        <v>322</v>
      </c>
      <c r="M133" s="384">
        <v>45833</v>
      </c>
      <c r="N133" s="343" t="s">
        <v>234</v>
      </c>
      <c r="O133" s="343" t="s">
        <v>308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281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236</v>
      </c>
      <c r="G134" s="343" t="s">
        <v>157</v>
      </c>
      <c r="I134" s="343">
        <v>20250626</v>
      </c>
      <c r="J134" s="343">
        <v>41238.449999999997</v>
      </c>
      <c r="K134" s="343">
        <v>130</v>
      </c>
      <c r="L134" s="343">
        <v>317</v>
      </c>
      <c r="M134" s="384">
        <v>45834</v>
      </c>
      <c r="N134" s="343" t="s">
        <v>235</v>
      </c>
      <c r="O134" s="343" t="s">
        <v>308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279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244</v>
      </c>
      <c r="G135" s="343" t="s">
        <v>157</v>
      </c>
      <c r="I135" s="343">
        <v>20250627</v>
      </c>
      <c r="J135" s="343">
        <v>65217.25</v>
      </c>
      <c r="K135" s="343">
        <v>250</v>
      </c>
      <c r="L135" s="343">
        <v>511</v>
      </c>
      <c r="M135" s="384">
        <v>45835</v>
      </c>
      <c r="N135" s="343" t="s">
        <v>236</v>
      </c>
      <c r="O135" s="343" t="s">
        <v>308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277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232</v>
      </c>
      <c r="G136" s="343" t="s">
        <v>160</v>
      </c>
      <c r="I136" s="343">
        <v>20250628</v>
      </c>
      <c r="J136" s="343">
        <v>61297.25</v>
      </c>
      <c r="K136" s="343">
        <v>254</v>
      </c>
      <c r="L136" s="343">
        <v>583</v>
      </c>
      <c r="M136" s="384">
        <v>45836</v>
      </c>
      <c r="N136" s="343" t="s">
        <v>244</v>
      </c>
      <c r="O136" s="343" t="s">
        <v>308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287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233</v>
      </c>
      <c r="G137" s="343" t="s">
        <v>160</v>
      </c>
      <c r="I137" s="343">
        <v>20250629</v>
      </c>
      <c r="J137" s="343">
        <v>17995.5</v>
      </c>
      <c r="K137" s="343">
        <v>61</v>
      </c>
      <c r="L137" s="343">
        <v>153</v>
      </c>
      <c r="M137" s="384">
        <v>45837</v>
      </c>
      <c r="N137" s="343" t="s">
        <v>245</v>
      </c>
      <c r="O137" s="343" t="s">
        <v>308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285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234</v>
      </c>
      <c r="G138" s="343" t="s">
        <v>160</v>
      </c>
      <c r="I138" s="343">
        <v>20250630</v>
      </c>
      <c r="J138" s="343">
        <v>26648.75</v>
      </c>
      <c r="K138" s="343">
        <v>74</v>
      </c>
      <c r="L138" s="343">
        <v>184</v>
      </c>
      <c r="M138" s="384">
        <v>45838</v>
      </c>
      <c r="N138" s="343" t="s">
        <v>232</v>
      </c>
      <c r="O138" s="343" t="s">
        <v>309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339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235</v>
      </c>
      <c r="G139" s="343" t="s">
        <v>160</v>
      </c>
      <c r="I139" s="343">
        <v>20250701</v>
      </c>
      <c r="J139" s="343">
        <v>32874.35</v>
      </c>
      <c r="K139" s="343">
        <v>75</v>
      </c>
      <c r="L139" s="343">
        <v>237</v>
      </c>
      <c r="M139" s="384">
        <v>45839</v>
      </c>
      <c r="N139" s="343" t="s">
        <v>233</v>
      </c>
      <c r="O139" s="343" t="s">
        <v>309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281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236</v>
      </c>
      <c r="G140" s="343" t="s">
        <v>160</v>
      </c>
      <c r="I140" s="343">
        <v>20250702</v>
      </c>
      <c r="J140" s="343">
        <v>18537.75</v>
      </c>
      <c r="K140" s="343">
        <v>62</v>
      </c>
      <c r="L140" s="343">
        <v>128</v>
      </c>
      <c r="M140" s="384">
        <v>45840</v>
      </c>
      <c r="N140" s="343" t="s">
        <v>234</v>
      </c>
      <c r="O140" s="343" t="s">
        <v>309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277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244</v>
      </c>
      <c r="G141" s="343" t="s">
        <v>160</v>
      </c>
      <c r="I141" s="343">
        <v>20250703</v>
      </c>
      <c r="J141" s="343">
        <v>41091.5</v>
      </c>
      <c r="K141" s="343">
        <v>165</v>
      </c>
      <c r="L141" s="343">
        <v>353</v>
      </c>
      <c r="M141" s="384">
        <v>45841</v>
      </c>
      <c r="N141" s="343" t="s">
        <v>235</v>
      </c>
      <c r="O141" s="343" t="s">
        <v>309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287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232</v>
      </c>
      <c r="G142" s="343" t="s">
        <v>161</v>
      </c>
      <c r="I142" s="343">
        <v>20250704</v>
      </c>
      <c r="J142" s="343">
        <v>28401</v>
      </c>
      <c r="K142" s="343">
        <v>96</v>
      </c>
      <c r="L142" s="343">
        <v>209</v>
      </c>
      <c r="M142" s="384">
        <v>45842</v>
      </c>
      <c r="N142" s="343" t="s">
        <v>236</v>
      </c>
      <c r="O142" s="343" t="s">
        <v>309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285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233</v>
      </c>
      <c r="G143" s="343" t="s">
        <v>161</v>
      </c>
      <c r="I143" s="343">
        <v>20250705</v>
      </c>
      <c r="J143" s="343">
        <v>56799.01</v>
      </c>
      <c r="K143" s="343">
        <v>218</v>
      </c>
      <c r="L143" s="343">
        <v>491</v>
      </c>
      <c r="M143" s="384">
        <v>45843</v>
      </c>
      <c r="N143" s="343" t="s">
        <v>244</v>
      </c>
      <c r="O143" s="343" t="s">
        <v>309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339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234</v>
      </c>
      <c r="G144" s="343" t="s">
        <v>161</v>
      </c>
      <c r="I144" s="343">
        <v>20250706</v>
      </c>
      <c r="J144" s="343">
        <v>14672.25</v>
      </c>
      <c r="K144" s="343">
        <v>50</v>
      </c>
      <c r="L144" s="343">
        <v>114</v>
      </c>
      <c r="M144" s="384">
        <v>45844</v>
      </c>
      <c r="N144" s="343" t="s">
        <v>245</v>
      </c>
      <c r="O144" s="343" t="s">
        <v>309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281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235</v>
      </c>
      <c r="G145" s="343" t="s">
        <v>161</v>
      </c>
      <c r="I145" s="343">
        <v>20250707</v>
      </c>
      <c r="J145" s="343">
        <v>17582</v>
      </c>
      <c r="K145" s="343">
        <v>65</v>
      </c>
      <c r="L145" s="343">
        <v>163</v>
      </c>
      <c r="M145" s="384">
        <v>45845</v>
      </c>
      <c r="N145" s="343" t="s">
        <v>232</v>
      </c>
      <c r="O145" s="343" t="s">
        <v>310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277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236</v>
      </c>
      <c r="G146" s="343" t="s">
        <v>161</v>
      </c>
      <c r="I146" s="343">
        <v>20250708</v>
      </c>
      <c r="J146" s="343">
        <v>22381.25</v>
      </c>
      <c r="K146" s="343">
        <v>75</v>
      </c>
      <c r="L146" s="343">
        <v>175</v>
      </c>
      <c r="M146" s="384">
        <v>45846</v>
      </c>
      <c r="N146" s="343" t="s">
        <v>233</v>
      </c>
      <c r="O146" s="343" t="s">
        <v>310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287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232</v>
      </c>
      <c r="G147" s="343" t="s">
        <v>162</v>
      </c>
      <c r="I147" s="343">
        <v>20250709</v>
      </c>
      <c r="J147" s="343">
        <v>25313.5</v>
      </c>
      <c r="K147" s="343">
        <v>90</v>
      </c>
      <c r="L147" s="343">
        <v>204</v>
      </c>
      <c r="M147" s="384">
        <v>45847</v>
      </c>
      <c r="N147" s="343" t="s">
        <v>234</v>
      </c>
      <c r="O147" s="343" t="s">
        <v>310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285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233</v>
      </c>
      <c r="G148" s="343" t="s">
        <v>162</v>
      </c>
      <c r="I148" s="343">
        <v>20250710</v>
      </c>
      <c r="J148" s="343">
        <v>43466.5</v>
      </c>
      <c r="K148" s="343">
        <v>129</v>
      </c>
      <c r="L148" s="343">
        <v>334</v>
      </c>
      <c r="M148" s="384">
        <v>45848</v>
      </c>
      <c r="N148" s="343" t="s">
        <v>235</v>
      </c>
      <c r="O148" s="343" t="s">
        <v>310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339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234</v>
      </c>
      <c r="G149" s="343" t="s">
        <v>162</v>
      </c>
      <c r="I149" s="343">
        <v>20250711</v>
      </c>
      <c r="J149" s="343">
        <v>55790.25</v>
      </c>
      <c r="K149" s="343">
        <v>196</v>
      </c>
      <c r="L149" s="343">
        <v>469</v>
      </c>
      <c r="M149" s="384">
        <v>45849</v>
      </c>
      <c r="N149" s="343" t="s">
        <v>236</v>
      </c>
      <c r="O149" s="343" t="s">
        <v>310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281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235</v>
      </c>
      <c r="G150" s="343" t="s">
        <v>162</v>
      </c>
      <c r="I150" s="343">
        <v>20250712</v>
      </c>
      <c r="J150" s="343">
        <v>67832.75</v>
      </c>
      <c r="K150" s="343">
        <v>228</v>
      </c>
      <c r="L150" s="343">
        <v>566</v>
      </c>
      <c r="M150" s="384">
        <v>45850</v>
      </c>
      <c r="N150" s="343" t="s">
        <v>244</v>
      </c>
      <c r="O150" s="343" t="s">
        <v>310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277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236</v>
      </c>
      <c r="G151" s="343" t="s">
        <v>162</v>
      </c>
      <c r="I151" s="343">
        <v>20250713</v>
      </c>
      <c r="J151" s="343">
        <v>17778</v>
      </c>
      <c r="K151" s="343">
        <v>58</v>
      </c>
      <c r="L151" s="343">
        <v>147</v>
      </c>
      <c r="M151" s="384">
        <v>45851</v>
      </c>
      <c r="N151" s="343" t="s">
        <v>245</v>
      </c>
      <c r="O151" s="343" t="s">
        <v>310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287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244</v>
      </c>
      <c r="G152" s="343" t="s">
        <v>162</v>
      </c>
      <c r="I152" s="343">
        <v>20250714</v>
      </c>
      <c r="J152" s="343">
        <v>30643.75</v>
      </c>
      <c r="K152" s="343">
        <v>83</v>
      </c>
      <c r="L152" s="343">
        <v>208</v>
      </c>
      <c r="M152" s="384">
        <v>45852</v>
      </c>
      <c r="N152" s="343" t="s">
        <v>232</v>
      </c>
      <c r="O152" s="343" t="s">
        <v>311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285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232</v>
      </c>
      <c r="G153" s="343" t="s">
        <v>163</v>
      </c>
      <c r="I153" s="343">
        <v>20250715</v>
      </c>
      <c r="J153" s="343">
        <v>21268</v>
      </c>
      <c r="K153" s="343">
        <v>76</v>
      </c>
      <c r="L153" s="343">
        <v>170</v>
      </c>
      <c r="M153" s="384">
        <v>45853</v>
      </c>
      <c r="N153" s="343" t="s">
        <v>233</v>
      </c>
      <c r="O153" s="343" t="s">
        <v>311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339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233</v>
      </c>
      <c r="G154" s="343" t="s">
        <v>163</v>
      </c>
      <c r="I154" s="343">
        <v>20250716</v>
      </c>
      <c r="J154" s="343">
        <v>29520.75</v>
      </c>
      <c r="K154" s="343">
        <v>77</v>
      </c>
      <c r="L154" s="343">
        <v>190</v>
      </c>
      <c r="M154" s="384">
        <v>45854</v>
      </c>
      <c r="N154" s="343" t="s">
        <v>234</v>
      </c>
      <c r="O154" s="343" t="s">
        <v>311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281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234</v>
      </c>
      <c r="G155" s="343" t="s">
        <v>163</v>
      </c>
      <c r="I155" s="343">
        <v>20250717</v>
      </c>
      <c r="J155" s="343">
        <v>27763.279999999999</v>
      </c>
      <c r="K155" s="343">
        <v>112</v>
      </c>
      <c r="L155" s="343">
        <v>250</v>
      </c>
      <c r="M155" s="384">
        <v>45855</v>
      </c>
      <c r="N155" s="343" t="s">
        <v>235</v>
      </c>
      <c r="O155" s="343" t="s">
        <v>311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287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235</v>
      </c>
      <c r="G156" s="343" t="s">
        <v>163</v>
      </c>
      <c r="I156" s="343">
        <v>20250718</v>
      </c>
      <c r="J156" s="343">
        <v>63862.75</v>
      </c>
      <c r="K156" s="343">
        <v>203</v>
      </c>
      <c r="L156" s="343">
        <v>468</v>
      </c>
      <c r="M156" s="384">
        <v>45856</v>
      </c>
      <c r="N156" s="343" t="s">
        <v>236</v>
      </c>
      <c r="O156" s="343" t="s">
        <v>311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285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236</v>
      </c>
      <c r="G157" s="343" t="s">
        <v>163</v>
      </c>
      <c r="I157" s="343">
        <v>20250719</v>
      </c>
      <c r="J157" s="343">
        <v>67640.25</v>
      </c>
      <c r="K157" s="343">
        <v>212</v>
      </c>
      <c r="L157" s="343">
        <v>532</v>
      </c>
      <c r="M157" s="384">
        <v>45857</v>
      </c>
      <c r="N157" s="343" t="s">
        <v>244</v>
      </c>
      <c r="O157" s="343" t="s">
        <v>311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339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244</v>
      </c>
      <c r="G158" s="343" t="s">
        <v>163</v>
      </c>
      <c r="I158" s="343">
        <v>20250720</v>
      </c>
      <c r="J158" s="343">
        <v>21647.5</v>
      </c>
      <c r="K158" s="343">
        <v>76</v>
      </c>
      <c r="L158" s="343">
        <v>178</v>
      </c>
      <c r="M158" s="384">
        <v>45858</v>
      </c>
      <c r="N158" s="343" t="s">
        <v>245</v>
      </c>
      <c r="O158" s="343" t="s">
        <v>311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281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232</v>
      </c>
      <c r="G159" s="343" t="s">
        <v>166</v>
      </c>
      <c r="I159" s="343">
        <v>20250721</v>
      </c>
      <c r="J159" s="343">
        <v>29137</v>
      </c>
      <c r="K159" s="343">
        <v>73</v>
      </c>
      <c r="L159" s="343">
        <v>209</v>
      </c>
      <c r="M159" s="384">
        <v>45859</v>
      </c>
      <c r="N159" s="343" t="s">
        <v>232</v>
      </c>
      <c r="O159" s="343" t="s">
        <v>312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277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233</v>
      </c>
      <c r="G160" s="343" t="s">
        <v>166</v>
      </c>
      <c r="I160" s="343">
        <v>20250722</v>
      </c>
      <c r="J160" s="343">
        <v>26458.94</v>
      </c>
      <c r="K160" s="343">
        <v>75</v>
      </c>
      <c r="L160" s="343">
        <v>191</v>
      </c>
      <c r="M160" s="384">
        <v>45860</v>
      </c>
      <c r="N160" s="343" t="s">
        <v>233</v>
      </c>
      <c r="O160" s="343" t="s">
        <v>312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287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234</v>
      </c>
      <c r="G161" s="343" t="s">
        <v>166</v>
      </c>
      <c r="I161" s="343">
        <v>20250723</v>
      </c>
      <c r="J161" s="343">
        <v>24860.25</v>
      </c>
      <c r="K161" s="343">
        <v>97</v>
      </c>
      <c r="L161" s="343">
        <v>203</v>
      </c>
      <c r="M161" s="384">
        <v>45861</v>
      </c>
      <c r="N161" s="343" t="s">
        <v>234</v>
      </c>
      <c r="O161" s="343" t="s">
        <v>312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285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235</v>
      </c>
      <c r="G162" s="343" t="s">
        <v>166</v>
      </c>
      <c r="I162" s="343">
        <v>20250724</v>
      </c>
      <c r="J162" s="343">
        <v>50137.93</v>
      </c>
      <c r="K162" s="343">
        <v>151</v>
      </c>
      <c r="L162" s="343">
        <v>356</v>
      </c>
      <c r="M162" s="384">
        <v>45862</v>
      </c>
      <c r="N162" s="343" t="s">
        <v>235</v>
      </c>
      <c r="O162" s="343" t="s">
        <v>312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339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236</v>
      </c>
      <c r="G163" s="343" t="s">
        <v>166</v>
      </c>
      <c r="I163" s="343">
        <v>20250725</v>
      </c>
      <c r="J163" s="343">
        <v>67917.91</v>
      </c>
      <c r="K163" s="343">
        <v>246</v>
      </c>
      <c r="L163" s="343">
        <v>565</v>
      </c>
      <c r="M163" s="384">
        <v>45863</v>
      </c>
      <c r="N163" s="343" t="s">
        <v>236</v>
      </c>
      <c r="O163" s="343" t="s">
        <v>312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281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232</v>
      </c>
      <c r="G164" s="343" t="s">
        <v>167</v>
      </c>
      <c r="I164" s="343">
        <v>20250726</v>
      </c>
      <c r="J164" s="343">
        <v>58127.85</v>
      </c>
      <c r="K164" s="343">
        <v>210</v>
      </c>
      <c r="L164" s="343">
        <v>495</v>
      </c>
      <c r="M164" s="384">
        <v>45864</v>
      </c>
      <c r="N164" s="343" t="s">
        <v>244</v>
      </c>
      <c r="O164" s="343" t="s">
        <v>312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279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233</v>
      </c>
      <c r="G165" s="343" t="s">
        <v>167</v>
      </c>
      <c r="I165" s="343">
        <v>20250727</v>
      </c>
      <c r="J165" s="343">
        <v>19448.75</v>
      </c>
      <c r="K165" s="343">
        <v>56</v>
      </c>
      <c r="L165" s="343">
        <v>156</v>
      </c>
      <c r="M165" s="384">
        <v>45865</v>
      </c>
      <c r="N165" s="343" t="s">
        <v>245</v>
      </c>
      <c r="O165" s="343" t="s">
        <v>312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287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234</v>
      </c>
      <c r="G166" s="343" t="s">
        <v>167</v>
      </c>
      <c r="I166" s="343">
        <v>20250728</v>
      </c>
      <c r="J166" s="343">
        <v>26029.49</v>
      </c>
      <c r="K166" s="343">
        <v>70</v>
      </c>
      <c r="L166" s="343">
        <v>231</v>
      </c>
      <c r="M166" s="384">
        <v>45866</v>
      </c>
      <c r="N166" s="343" t="s">
        <v>232</v>
      </c>
      <c r="O166" s="343" t="s">
        <v>313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285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235</v>
      </c>
      <c r="G167" s="343" t="s">
        <v>167</v>
      </c>
      <c r="I167" s="343">
        <v>20250729</v>
      </c>
      <c r="J167" s="343">
        <v>22935.75</v>
      </c>
      <c r="K167" s="343">
        <v>77</v>
      </c>
      <c r="L167" s="343">
        <v>199</v>
      </c>
      <c r="M167" s="384">
        <v>45867</v>
      </c>
      <c r="N167" s="343" t="s">
        <v>233</v>
      </c>
      <c r="O167" s="343" t="s">
        <v>313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339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236</v>
      </c>
      <c r="G168" s="343" t="s">
        <v>167</v>
      </c>
      <c r="I168" s="343">
        <v>20250730</v>
      </c>
      <c r="J168" s="343">
        <v>19397.25</v>
      </c>
      <c r="K168" s="343">
        <v>74</v>
      </c>
      <c r="L168" s="343">
        <v>184</v>
      </c>
      <c r="M168" s="384">
        <v>45868</v>
      </c>
      <c r="N168" s="343" t="s">
        <v>234</v>
      </c>
      <c r="O168" s="343" t="s">
        <v>313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281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244</v>
      </c>
      <c r="G169" s="343" t="s">
        <v>167</v>
      </c>
      <c r="I169" s="343">
        <v>20250731</v>
      </c>
      <c r="J169" s="343">
        <v>31352.9</v>
      </c>
      <c r="K169" s="343">
        <v>122</v>
      </c>
      <c r="L169" s="343">
        <v>268</v>
      </c>
      <c r="M169" s="384">
        <v>45869</v>
      </c>
      <c r="N169" s="343" t="s">
        <v>235</v>
      </c>
      <c r="O169" s="343" t="s">
        <v>313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277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232</v>
      </c>
      <c r="G170" s="343" t="s">
        <v>168</v>
      </c>
      <c r="I170" s="343">
        <v>20250801</v>
      </c>
      <c r="J170" s="343">
        <v>47861.75</v>
      </c>
      <c r="K170" s="343">
        <v>202</v>
      </c>
      <c r="L170" s="343">
        <v>434</v>
      </c>
      <c r="M170" s="384">
        <v>45870</v>
      </c>
      <c r="N170" s="343" t="s">
        <v>236</v>
      </c>
      <c r="O170" s="343" t="s">
        <v>313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287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233</v>
      </c>
      <c r="G171" s="343" t="s">
        <v>168</v>
      </c>
      <c r="I171" s="343">
        <v>20250802</v>
      </c>
      <c r="J171" s="343">
        <v>74931.899999999994</v>
      </c>
      <c r="K171" s="343">
        <v>250</v>
      </c>
      <c r="L171" s="343">
        <v>587</v>
      </c>
      <c r="M171" s="384">
        <v>45871</v>
      </c>
      <c r="N171" s="343" t="s">
        <v>244</v>
      </c>
      <c r="O171" s="343" t="s">
        <v>313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285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234</v>
      </c>
      <c r="G172" s="343" t="s">
        <v>168</v>
      </c>
      <c r="I172" s="343">
        <v>20250803</v>
      </c>
      <c r="J172" s="343">
        <v>18639.5</v>
      </c>
      <c r="K172" s="343">
        <v>55</v>
      </c>
      <c r="L172" s="343">
        <v>152</v>
      </c>
      <c r="M172" s="384">
        <v>45872</v>
      </c>
      <c r="N172" s="343" t="s">
        <v>245</v>
      </c>
      <c r="O172" s="343" t="s">
        <v>313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339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235</v>
      </c>
      <c r="G173" s="343" t="s">
        <v>168</v>
      </c>
      <c r="I173" s="343">
        <v>20250804</v>
      </c>
      <c r="J173" s="343">
        <v>18742</v>
      </c>
      <c r="K173" s="343">
        <v>81</v>
      </c>
      <c r="L173" s="343">
        <v>180</v>
      </c>
      <c r="M173" s="384">
        <v>45873</v>
      </c>
      <c r="N173" s="343" t="s">
        <v>232</v>
      </c>
      <c r="O173" s="343" t="s">
        <v>314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281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236</v>
      </c>
      <c r="G174" s="343" t="s">
        <v>168</v>
      </c>
      <c r="I174" s="343">
        <v>20250805</v>
      </c>
      <c r="J174" s="343">
        <v>33741.75</v>
      </c>
      <c r="K174" s="343">
        <v>102</v>
      </c>
      <c r="L174" s="343">
        <v>277</v>
      </c>
      <c r="M174" s="384">
        <v>45874</v>
      </c>
      <c r="N174" s="343" t="s">
        <v>233</v>
      </c>
      <c r="O174" s="343" t="s">
        <v>314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277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244</v>
      </c>
      <c r="G175" s="343" t="s">
        <v>168</v>
      </c>
      <c r="I175" s="343">
        <v>20250806</v>
      </c>
      <c r="J175" s="343">
        <v>34613.75</v>
      </c>
      <c r="K175" s="343">
        <v>137</v>
      </c>
      <c r="L175" s="343">
        <v>270</v>
      </c>
      <c r="M175" s="384">
        <v>45875</v>
      </c>
      <c r="N175" s="343" t="s">
        <v>234</v>
      </c>
      <c r="O175" s="343" t="s">
        <v>314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287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245</v>
      </c>
      <c r="G176" s="343" t="s">
        <v>168</v>
      </c>
      <c r="I176" s="343">
        <v>20250807</v>
      </c>
      <c r="J176" s="343">
        <v>40463</v>
      </c>
      <c r="K176" s="343">
        <v>160</v>
      </c>
      <c r="L176" s="343">
        <v>364</v>
      </c>
      <c r="M176" s="384">
        <v>45876</v>
      </c>
      <c r="N176" s="343" t="s">
        <v>235</v>
      </c>
      <c r="O176" s="343" t="s">
        <v>314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285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1:27">
      <c r="A177" s="343">
        <v>20260817</v>
      </c>
      <c r="B177" s="343">
        <v>5432</v>
      </c>
      <c r="C177" s="343">
        <v>28</v>
      </c>
      <c r="D177" s="343">
        <v>71</v>
      </c>
      <c r="E177" s="384">
        <v>46251</v>
      </c>
      <c r="F177" s="343" t="s">
        <v>232</v>
      </c>
      <c r="G177" s="343" t="s">
        <v>169</v>
      </c>
      <c r="I177" s="343">
        <v>20250808</v>
      </c>
      <c r="J177" s="343">
        <v>57214.8</v>
      </c>
      <c r="K177" s="343">
        <v>179</v>
      </c>
      <c r="L177" s="343">
        <v>440</v>
      </c>
      <c r="M177" s="384">
        <v>45877</v>
      </c>
      <c r="N177" s="343" t="s">
        <v>236</v>
      </c>
      <c r="O177" s="343" t="s">
        <v>314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339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1:27">
      <c r="A178" s="343">
        <v>20260818</v>
      </c>
      <c r="B178" s="343">
        <v>10380.120000000001</v>
      </c>
      <c r="C178" s="343">
        <v>35</v>
      </c>
      <c r="D178" s="343">
        <v>136</v>
      </c>
      <c r="E178" s="384">
        <v>46252</v>
      </c>
      <c r="F178" s="343" t="s">
        <v>233</v>
      </c>
      <c r="G178" s="343" t="s">
        <v>169</v>
      </c>
      <c r="I178" s="343">
        <v>20250809</v>
      </c>
      <c r="J178" s="343">
        <v>70696.08</v>
      </c>
      <c r="K178" s="343">
        <v>243</v>
      </c>
      <c r="L178" s="343">
        <v>581</v>
      </c>
      <c r="M178" s="384">
        <v>45878</v>
      </c>
      <c r="N178" s="343" t="s">
        <v>244</v>
      </c>
      <c r="O178" s="343" t="s">
        <v>314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281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1:27">
      <c r="A179" s="343">
        <v>20260819</v>
      </c>
      <c r="B179" s="343">
        <v>11999.34</v>
      </c>
      <c r="C179" s="343">
        <v>36</v>
      </c>
      <c r="D179" s="343">
        <v>422</v>
      </c>
      <c r="E179" s="384">
        <v>46253</v>
      </c>
      <c r="F179" s="343" t="s">
        <v>234</v>
      </c>
      <c r="G179" s="343" t="s">
        <v>169</v>
      </c>
      <c r="I179" s="343">
        <v>20250810</v>
      </c>
      <c r="J179" s="343">
        <v>20462.5</v>
      </c>
      <c r="K179" s="343">
        <v>68</v>
      </c>
      <c r="L179" s="343">
        <v>173</v>
      </c>
      <c r="M179" s="384">
        <v>45879</v>
      </c>
      <c r="N179" s="343" t="s">
        <v>245</v>
      </c>
      <c r="O179" s="343" t="s">
        <v>314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277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1:27">
      <c r="A180" s="343">
        <v>20260820</v>
      </c>
      <c r="B180" s="343">
        <v>4605</v>
      </c>
      <c r="C180" s="343">
        <v>33</v>
      </c>
      <c r="D180" s="343">
        <v>76</v>
      </c>
      <c r="E180" s="384">
        <v>46254</v>
      </c>
      <c r="F180" s="343" t="s">
        <v>235</v>
      </c>
      <c r="G180" s="343" t="s">
        <v>169</v>
      </c>
      <c r="I180" s="343">
        <v>20250811</v>
      </c>
      <c r="J180" s="343">
        <v>20866.25</v>
      </c>
      <c r="K180" s="343">
        <v>66</v>
      </c>
      <c r="L180" s="343">
        <v>191</v>
      </c>
      <c r="M180" s="384">
        <v>45880</v>
      </c>
      <c r="N180" s="343" t="s">
        <v>232</v>
      </c>
      <c r="O180" s="343" t="s">
        <v>315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287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1:27">
      <c r="A181" s="343">
        <v>20260821</v>
      </c>
      <c r="B181" s="343">
        <v>6080</v>
      </c>
      <c r="C181" s="343">
        <v>37</v>
      </c>
      <c r="D181" s="343">
        <v>90</v>
      </c>
      <c r="E181" s="384">
        <v>46255</v>
      </c>
      <c r="F181" s="343" t="s">
        <v>236</v>
      </c>
      <c r="G181" s="343" t="s">
        <v>169</v>
      </c>
      <c r="I181" s="343">
        <v>20250812</v>
      </c>
      <c r="J181" s="343">
        <v>29946.25</v>
      </c>
      <c r="K181" s="343">
        <v>131</v>
      </c>
      <c r="L181" s="343">
        <v>267</v>
      </c>
      <c r="M181" s="384">
        <v>45881</v>
      </c>
      <c r="N181" s="343" t="s">
        <v>233</v>
      </c>
      <c r="O181" s="343" t="s">
        <v>315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285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1:27">
      <c r="A182" s="343">
        <v>20260822</v>
      </c>
      <c r="B182" s="343">
        <v>180</v>
      </c>
      <c r="C182" s="343">
        <v>1</v>
      </c>
      <c r="D182" s="343">
        <v>2</v>
      </c>
      <c r="E182" s="384">
        <v>46256</v>
      </c>
      <c r="F182" s="343" t="s">
        <v>244</v>
      </c>
      <c r="G182" s="343" t="s">
        <v>169</v>
      </c>
      <c r="I182" s="343">
        <v>20250813</v>
      </c>
      <c r="J182" s="343">
        <v>34319.599999999999</v>
      </c>
      <c r="K182" s="343">
        <v>122</v>
      </c>
      <c r="L182" s="343">
        <v>301</v>
      </c>
      <c r="M182" s="384">
        <v>45882</v>
      </c>
      <c r="N182" s="343" t="s">
        <v>234</v>
      </c>
      <c r="O182" s="343" t="s">
        <v>315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339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1:27">
      <c r="A183" s="343">
        <v>20260824</v>
      </c>
      <c r="B183" s="343">
        <v>3325</v>
      </c>
      <c r="C183" s="343">
        <v>18</v>
      </c>
      <c r="D183" s="343">
        <v>44</v>
      </c>
      <c r="E183" s="384">
        <v>46258</v>
      </c>
      <c r="F183" s="343" t="s">
        <v>232</v>
      </c>
      <c r="G183" s="343" t="s">
        <v>172</v>
      </c>
      <c r="I183" s="343">
        <v>20250814</v>
      </c>
      <c r="J183" s="343">
        <v>33601</v>
      </c>
      <c r="K183" s="343">
        <v>137</v>
      </c>
      <c r="L183" s="343">
        <v>305</v>
      </c>
      <c r="M183" s="384">
        <v>45883</v>
      </c>
      <c r="N183" s="343" t="s">
        <v>235</v>
      </c>
      <c r="O183" s="343" t="s">
        <v>315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281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1:27">
      <c r="A184" s="343">
        <v>20260825</v>
      </c>
      <c r="B184" s="343">
        <v>4800.6000000000004</v>
      </c>
      <c r="C184" s="343">
        <v>27</v>
      </c>
      <c r="D184" s="343">
        <v>71</v>
      </c>
      <c r="E184" s="384">
        <v>46259</v>
      </c>
      <c r="F184" s="343" t="s">
        <v>233</v>
      </c>
      <c r="G184" s="343" t="s">
        <v>172</v>
      </c>
      <c r="I184" s="343">
        <v>20250815</v>
      </c>
      <c r="J184" s="343">
        <v>74971.009999999995</v>
      </c>
      <c r="K184" s="343">
        <v>265</v>
      </c>
      <c r="L184" s="343">
        <v>624</v>
      </c>
      <c r="M184" s="384">
        <v>45884</v>
      </c>
      <c r="N184" s="343" t="s">
        <v>236</v>
      </c>
      <c r="O184" s="343" t="s">
        <v>315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277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1:27">
      <c r="A185" s="343">
        <v>20260826</v>
      </c>
      <c r="B185" s="343">
        <v>8054.15</v>
      </c>
      <c r="C185" s="343">
        <v>25</v>
      </c>
      <c r="D185" s="343">
        <v>116</v>
      </c>
      <c r="E185" s="384">
        <v>46260</v>
      </c>
      <c r="F185" s="343" t="s">
        <v>234</v>
      </c>
      <c r="G185" s="343" t="s">
        <v>172</v>
      </c>
      <c r="I185" s="343">
        <v>20250816</v>
      </c>
      <c r="J185" s="343">
        <v>81588.05</v>
      </c>
      <c r="K185" s="343">
        <v>265</v>
      </c>
      <c r="L185" s="343">
        <v>647</v>
      </c>
      <c r="M185" s="384">
        <v>45885</v>
      </c>
      <c r="N185" s="343" t="s">
        <v>244</v>
      </c>
      <c r="O185" s="343" t="s">
        <v>315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287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1:27">
      <c r="A186" s="343">
        <v>20260827</v>
      </c>
      <c r="B186" s="343">
        <v>11978.1</v>
      </c>
      <c r="C186" s="343">
        <v>38</v>
      </c>
      <c r="D186" s="343">
        <v>162</v>
      </c>
      <c r="E186" s="384">
        <v>46261</v>
      </c>
      <c r="F186" s="343" t="s">
        <v>235</v>
      </c>
      <c r="G186" s="343" t="s">
        <v>172</v>
      </c>
      <c r="I186" s="343">
        <v>20250817</v>
      </c>
      <c r="J186" s="343">
        <v>30047.5</v>
      </c>
      <c r="K186" s="343">
        <v>112</v>
      </c>
      <c r="L186" s="343">
        <v>302</v>
      </c>
      <c r="M186" s="384">
        <v>45886</v>
      </c>
      <c r="N186" s="343" t="s">
        <v>245</v>
      </c>
      <c r="O186" s="343" t="s">
        <v>315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277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1:27">
      <c r="A187" s="343">
        <v>20260828</v>
      </c>
      <c r="B187" s="343">
        <v>5642</v>
      </c>
      <c r="C187" s="343">
        <v>39</v>
      </c>
      <c r="D187" s="343">
        <v>79</v>
      </c>
      <c r="E187" s="384">
        <v>46262</v>
      </c>
      <c r="F187" s="343" t="s">
        <v>236</v>
      </c>
      <c r="G187" s="343" t="s">
        <v>172</v>
      </c>
      <c r="I187" s="343">
        <v>20250818</v>
      </c>
      <c r="J187" s="343">
        <v>18777.5</v>
      </c>
      <c r="K187" s="343">
        <v>71</v>
      </c>
      <c r="L187" s="343">
        <v>168</v>
      </c>
      <c r="M187" s="384">
        <v>45887</v>
      </c>
      <c r="N187" s="343" t="s">
        <v>232</v>
      </c>
      <c r="O187" s="343" t="s">
        <v>316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341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1:27">
      <c r="A188" s="343">
        <v>20260830</v>
      </c>
      <c r="B188" s="343">
        <v>0</v>
      </c>
      <c r="C188" s="343">
        <v>1</v>
      </c>
      <c r="D188" s="343">
        <v>1</v>
      </c>
      <c r="E188" s="384">
        <v>46264</v>
      </c>
      <c r="F188" s="343" t="s">
        <v>245</v>
      </c>
      <c r="G188" s="343" t="s">
        <v>172</v>
      </c>
      <c r="I188" s="343">
        <v>20250819</v>
      </c>
      <c r="J188" s="343">
        <v>22272</v>
      </c>
      <c r="K188" s="343">
        <v>79</v>
      </c>
      <c r="L188" s="343">
        <v>194</v>
      </c>
      <c r="M188" s="384">
        <v>45888</v>
      </c>
      <c r="N188" s="343" t="s">
        <v>233</v>
      </c>
      <c r="O188" s="343" t="s">
        <v>316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1:27">
      <c r="A189" s="343">
        <v>20260831</v>
      </c>
      <c r="B189" s="343">
        <v>9137.1</v>
      </c>
      <c r="C189" s="343">
        <v>29</v>
      </c>
      <c r="D189" s="343">
        <v>73</v>
      </c>
      <c r="E189" s="384">
        <v>46265</v>
      </c>
      <c r="F189" s="343" t="s">
        <v>232</v>
      </c>
      <c r="G189" s="343" t="s">
        <v>101</v>
      </c>
      <c r="I189" s="343">
        <v>20250820</v>
      </c>
      <c r="J189" s="343">
        <v>42154.5</v>
      </c>
      <c r="K189" s="343">
        <v>160</v>
      </c>
      <c r="L189" s="343">
        <v>378</v>
      </c>
      <c r="M189" s="384">
        <v>45889</v>
      </c>
      <c r="N189" s="343" t="s">
        <v>234</v>
      </c>
      <c r="O189" s="343" t="s">
        <v>316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279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1:27">
      <c r="A190" s="343">
        <v>20260901</v>
      </c>
      <c r="B190" s="343">
        <v>6658</v>
      </c>
      <c r="C190" s="343">
        <v>29</v>
      </c>
      <c r="D190" s="343">
        <v>81</v>
      </c>
      <c r="E190" s="384">
        <v>46266</v>
      </c>
      <c r="F190" s="343" t="s">
        <v>233</v>
      </c>
      <c r="G190" s="343" t="s">
        <v>101</v>
      </c>
      <c r="I190" s="343">
        <v>20250821</v>
      </c>
      <c r="J190" s="343">
        <v>53387.62</v>
      </c>
      <c r="K190" s="343">
        <v>202</v>
      </c>
      <c r="L190" s="343">
        <v>479</v>
      </c>
      <c r="M190" s="384">
        <v>45890</v>
      </c>
      <c r="N190" s="343" t="s">
        <v>235</v>
      </c>
      <c r="O190" s="343" t="s">
        <v>316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341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1:27">
      <c r="A191" s="343">
        <v>20260902</v>
      </c>
      <c r="B191" s="343">
        <v>3722</v>
      </c>
      <c r="C191" s="343">
        <v>20</v>
      </c>
      <c r="D191" s="343">
        <v>54</v>
      </c>
      <c r="E191" s="384">
        <v>46267</v>
      </c>
      <c r="F191" s="343" t="s">
        <v>234</v>
      </c>
      <c r="G191" s="343" t="s">
        <v>101</v>
      </c>
      <c r="I191" s="343">
        <v>20250822</v>
      </c>
      <c r="J191" s="343">
        <v>63972.28</v>
      </c>
      <c r="K191" s="343">
        <v>212</v>
      </c>
      <c r="L191" s="343">
        <v>549</v>
      </c>
      <c r="M191" s="384">
        <v>45891</v>
      </c>
      <c r="N191" s="343" t="s">
        <v>236</v>
      </c>
      <c r="O191" s="343" t="s">
        <v>316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1:27">
      <c r="A192" s="343">
        <v>20260903</v>
      </c>
      <c r="B192" s="343">
        <v>4600</v>
      </c>
      <c r="C192" s="343">
        <v>27</v>
      </c>
      <c r="D192" s="343">
        <v>70</v>
      </c>
      <c r="E192" s="384">
        <v>46268</v>
      </c>
      <c r="F192" s="343" t="s">
        <v>235</v>
      </c>
      <c r="G192" s="343" t="s">
        <v>101</v>
      </c>
      <c r="I192" s="343">
        <v>20250823</v>
      </c>
      <c r="J192" s="343">
        <v>74872.25</v>
      </c>
      <c r="K192" s="343">
        <v>225</v>
      </c>
      <c r="L192" s="343">
        <v>593</v>
      </c>
      <c r="M192" s="384">
        <v>45892</v>
      </c>
      <c r="N192" s="343" t="s">
        <v>244</v>
      </c>
      <c r="O192" s="343" t="s">
        <v>316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279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1:27">
      <c r="A193" s="343">
        <v>20260904</v>
      </c>
      <c r="B193" s="343">
        <v>5490.7</v>
      </c>
      <c r="C193" s="343">
        <v>26</v>
      </c>
      <c r="D193" s="343">
        <v>73</v>
      </c>
      <c r="E193" s="384">
        <v>46269</v>
      </c>
      <c r="F193" s="343" t="s">
        <v>236</v>
      </c>
      <c r="G193" s="343" t="s">
        <v>101</v>
      </c>
      <c r="I193" s="343">
        <v>20250824</v>
      </c>
      <c r="J193" s="343">
        <v>26665.19</v>
      </c>
      <c r="K193" s="343">
        <v>86</v>
      </c>
      <c r="L193" s="343">
        <v>216</v>
      </c>
      <c r="M193" s="384">
        <v>45893</v>
      </c>
      <c r="N193" s="343" t="s">
        <v>245</v>
      </c>
      <c r="O193" s="343" t="s">
        <v>316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277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1:27">
      <c r="A194" s="343">
        <v>20260905</v>
      </c>
      <c r="B194" s="343">
        <v>0</v>
      </c>
      <c r="C194" s="343">
        <v>1</v>
      </c>
      <c r="D194" s="343">
        <v>1</v>
      </c>
      <c r="E194" s="384">
        <v>46270</v>
      </c>
      <c r="F194" s="343" t="s">
        <v>244</v>
      </c>
      <c r="G194" s="343" t="s">
        <v>101</v>
      </c>
      <c r="I194" s="343">
        <v>20250825</v>
      </c>
      <c r="J194" s="343">
        <v>20756.5</v>
      </c>
      <c r="K194" s="343">
        <v>68</v>
      </c>
      <c r="L194" s="343">
        <v>174</v>
      </c>
      <c r="M194" s="384">
        <v>45894</v>
      </c>
      <c r="N194" s="343" t="s">
        <v>232</v>
      </c>
      <c r="O194" s="343" t="s">
        <v>317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341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1:27">
      <c r="A195" s="343">
        <v>20260906</v>
      </c>
      <c r="B195" s="343">
        <v>0</v>
      </c>
      <c r="C195" s="343">
        <v>2</v>
      </c>
      <c r="D195" s="343">
        <v>2</v>
      </c>
      <c r="E195" s="384">
        <v>46271</v>
      </c>
      <c r="F195" s="343" t="s">
        <v>245</v>
      </c>
      <c r="G195" s="343" t="s">
        <v>101</v>
      </c>
      <c r="I195" s="343">
        <v>20250826</v>
      </c>
      <c r="J195" s="343">
        <v>23607.65</v>
      </c>
      <c r="K195" s="343">
        <v>85</v>
      </c>
      <c r="L195" s="343">
        <v>248</v>
      </c>
      <c r="M195" s="384">
        <v>45895</v>
      </c>
      <c r="N195" s="343" t="s">
        <v>233</v>
      </c>
      <c r="O195" s="343" t="s">
        <v>317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1:27">
      <c r="I196" s="343">
        <v>20250827</v>
      </c>
      <c r="J196" s="343">
        <v>33482.9</v>
      </c>
      <c r="K196" s="343">
        <v>133</v>
      </c>
      <c r="L196" s="343">
        <v>301</v>
      </c>
      <c r="M196" s="384">
        <v>45896</v>
      </c>
      <c r="N196" s="343" t="s">
        <v>234</v>
      </c>
      <c r="O196" s="343" t="s">
        <v>317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1:27">
      <c r="I197" s="343">
        <v>20250828</v>
      </c>
      <c r="J197" s="343">
        <v>50030.25</v>
      </c>
      <c r="K197" s="343">
        <v>155</v>
      </c>
      <c r="L197" s="343">
        <v>364</v>
      </c>
      <c r="M197" s="384">
        <v>45897</v>
      </c>
      <c r="N197" s="343" t="s">
        <v>235</v>
      </c>
      <c r="O197" s="343" t="s">
        <v>317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277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1:27">
      <c r="I198" s="343">
        <v>20250829</v>
      </c>
      <c r="J198" s="343">
        <v>64123.25</v>
      </c>
      <c r="K198" s="343">
        <v>205</v>
      </c>
      <c r="L198" s="343">
        <v>451</v>
      </c>
      <c r="M198" s="384">
        <v>45898</v>
      </c>
      <c r="N198" s="343" t="s">
        <v>236</v>
      </c>
      <c r="O198" s="343" t="s">
        <v>317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341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1:27">
      <c r="I199" s="343">
        <v>20250830</v>
      </c>
      <c r="J199" s="343">
        <v>84711.45</v>
      </c>
      <c r="K199" s="343">
        <v>280</v>
      </c>
      <c r="L199" s="343">
        <v>708</v>
      </c>
      <c r="M199" s="384">
        <v>45899</v>
      </c>
      <c r="N199" s="343" t="s">
        <v>244</v>
      </c>
      <c r="O199" s="343" t="s">
        <v>317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335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1:27">
      <c r="I200" s="343">
        <v>20250831</v>
      </c>
      <c r="J200" s="343">
        <v>46232.25</v>
      </c>
      <c r="K200" s="343">
        <v>138</v>
      </c>
      <c r="L200" s="343">
        <v>345</v>
      </c>
      <c r="M200" s="384">
        <v>45900</v>
      </c>
      <c r="N200" s="343" t="s">
        <v>245</v>
      </c>
      <c r="O200" s="343" t="s">
        <v>317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1:27">
      <c r="I201" s="343">
        <v>20250901</v>
      </c>
      <c r="J201" s="343">
        <v>22259.5</v>
      </c>
      <c r="K201" s="343">
        <v>77</v>
      </c>
      <c r="L201" s="343">
        <v>180</v>
      </c>
      <c r="M201" s="384">
        <v>45901</v>
      </c>
      <c r="N201" s="343" t="s">
        <v>232</v>
      </c>
      <c r="O201" s="343" t="s">
        <v>318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279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1:27">
      <c r="I202" s="343">
        <v>20250902</v>
      </c>
      <c r="J202" s="343">
        <v>20453.259999999998</v>
      </c>
      <c r="K202" s="343">
        <v>72</v>
      </c>
      <c r="L202" s="343">
        <v>162</v>
      </c>
      <c r="M202" s="384">
        <v>45902</v>
      </c>
      <c r="N202" s="343" t="s">
        <v>233</v>
      </c>
      <c r="O202" s="343" t="s">
        <v>318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341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1:27">
      <c r="I203" s="343">
        <v>20250903</v>
      </c>
      <c r="J203" s="343">
        <v>28912</v>
      </c>
      <c r="K203" s="343">
        <v>90</v>
      </c>
      <c r="L203" s="343">
        <v>207</v>
      </c>
      <c r="M203" s="384">
        <v>45903</v>
      </c>
      <c r="N203" s="343" t="s">
        <v>234</v>
      </c>
      <c r="O203" s="343" t="s">
        <v>318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1:27">
      <c r="I204" s="343">
        <v>20250904</v>
      </c>
      <c r="J204" s="343">
        <v>39392.25</v>
      </c>
      <c r="K204" s="343">
        <v>128</v>
      </c>
      <c r="L204" s="343">
        <v>317</v>
      </c>
      <c r="M204" s="384">
        <v>45904</v>
      </c>
      <c r="N204" s="343" t="s">
        <v>235</v>
      </c>
      <c r="O204" s="343" t="s">
        <v>318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279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1:27">
      <c r="I205" s="343">
        <v>20250905</v>
      </c>
      <c r="J205" s="343">
        <v>51619.26</v>
      </c>
      <c r="K205" s="343">
        <v>160</v>
      </c>
      <c r="L205" s="343">
        <v>380</v>
      </c>
      <c r="M205" s="384">
        <v>45905</v>
      </c>
      <c r="N205" s="343" t="s">
        <v>236</v>
      </c>
      <c r="O205" s="343" t="s">
        <v>318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277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1:27">
      <c r="I206" s="343">
        <v>20250906</v>
      </c>
      <c r="J206" s="343">
        <v>67967.3</v>
      </c>
      <c r="K206" s="343">
        <v>224</v>
      </c>
      <c r="L206" s="343">
        <v>563</v>
      </c>
      <c r="M206" s="384">
        <v>45906</v>
      </c>
      <c r="N206" s="343" t="s">
        <v>244</v>
      </c>
      <c r="O206" s="343" t="s">
        <v>318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341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1:27">
      <c r="I207" s="343">
        <v>20250907</v>
      </c>
      <c r="J207" s="343">
        <v>22986</v>
      </c>
      <c r="K207" s="343">
        <v>84</v>
      </c>
      <c r="L207" s="343">
        <v>206</v>
      </c>
      <c r="M207" s="384">
        <v>45907</v>
      </c>
      <c r="N207" s="343" t="s">
        <v>245</v>
      </c>
      <c r="O207" s="343" t="s">
        <v>318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1:27">
      <c r="I208" s="343">
        <v>20250908</v>
      </c>
      <c r="J208" s="343">
        <v>17716.759999999998</v>
      </c>
      <c r="K208" s="343">
        <v>71</v>
      </c>
      <c r="L208" s="343">
        <v>141</v>
      </c>
      <c r="M208" s="384">
        <v>45908</v>
      </c>
      <c r="N208" s="343" t="s">
        <v>232</v>
      </c>
      <c r="O208" s="343" t="s">
        <v>319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279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9:27">
      <c r="I209" s="343">
        <v>20250909</v>
      </c>
      <c r="J209" s="343">
        <v>20307.25</v>
      </c>
      <c r="K209" s="343">
        <v>64</v>
      </c>
      <c r="L209" s="343">
        <v>160</v>
      </c>
      <c r="M209" s="384">
        <v>45909</v>
      </c>
      <c r="N209" s="343" t="s">
        <v>233</v>
      </c>
      <c r="O209" s="343" t="s">
        <v>319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277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9:27">
      <c r="I210" s="343">
        <v>20250910</v>
      </c>
      <c r="J210" s="343">
        <v>43016.25</v>
      </c>
      <c r="K210" s="343">
        <v>153</v>
      </c>
      <c r="L210" s="343">
        <v>405</v>
      </c>
      <c r="M210" s="384">
        <v>45910</v>
      </c>
      <c r="N210" s="343" t="s">
        <v>234</v>
      </c>
      <c r="O210" s="343" t="s">
        <v>319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341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9:27">
      <c r="I211" s="343">
        <v>20250911</v>
      </c>
      <c r="J211" s="343">
        <v>29122.76</v>
      </c>
      <c r="K211" s="343">
        <v>125</v>
      </c>
      <c r="L211" s="343">
        <v>246</v>
      </c>
      <c r="M211" s="384">
        <v>45911</v>
      </c>
      <c r="N211" s="343" t="s">
        <v>235</v>
      </c>
      <c r="O211" s="343" t="s">
        <v>319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9:27">
      <c r="I212" s="343">
        <v>20250912</v>
      </c>
      <c r="J212" s="343">
        <v>71142.25</v>
      </c>
      <c r="K212" s="343">
        <v>282</v>
      </c>
      <c r="L212" s="343">
        <v>679</v>
      </c>
      <c r="M212" s="384">
        <v>45912</v>
      </c>
      <c r="N212" s="343" t="s">
        <v>236</v>
      </c>
      <c r="O212" s="343" t="s">
        <v>319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341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9:27">
      <c r="I213" s="343">
        <v>20250913</v>
      </c>
      <c r="J213" s="343">
        <v>64325</v>
      </c>
      <c r="K213" s="343">
        <v>212</v>
      </c>
      <c r="L213" s="343">
        <v>508</v>
      </c>
      <c r="M213" s="384">
        <v>45913</v>
      </c>
      <c r="N213" s="343" t="s">
        <v>244</v>
      </c>
      <c r="O213" s="343" t="s">
        <v>319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9:27">
      <c r="I214" s="343">
        <v>20250914</v>
      </c>
      <c r="J214" s="343">
        <v>21732.25</v>
      </c>
      <c r="K214" s="343">
        <v>62</v>
      </c>
      <c r="L214" s="343">
        <v>148</v>
      </c>
      <c r="M214" s="384">
        <v>45914</v>
      </c>
      <c r="N214" s="343" t="s">
        <v>245</v>
      </c>
      <c r="O214" s="343" t="s">
        <v>319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279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9:27">
      <c r="I215" s="343">
        <v>20250915</v>
      </c>
      <c r="J215" s="343">
        <v>27232.45</v>
      </c>
      <c r="K215" s="343">
        <v>60</v>
      </c>
      <c r="L215" s="343">
        <v>162</v>
      </c>
      <c r="M215" s="384">
        <v>45915</v>
      </c>
      <c r="N215" s="343" t="s">
        <v>232</v>
      </c>
      <c r="O215" s="343" t="s">
        <v>320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341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9:27">
      <c r="I216" s="343">
        <v>20250916</v>
      </c>
      <c r="J216" s="343">
        <v>29220.5</v>
      </c>
      <c r="K216" s="343">
        <v>88</v>
      </c>
      <c r="L216" s="343">
        <v>218</v>
      </c>
      <c r="M216" s="384">
        <v>45916</v>
      </c>
      <c r="N216" s="343" t="s">
        <v>233</v>
      </c>
      <c r="O216" s="343" t="s">
        <v>320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9:27">
      <c r="I217" s="343">
        <v>20250917</v>
      </c>
      <c r="J217" s="343">
        <v>36004.400000000001</v>
      </c>
      <c r="K217" s="343">
        <v>140</v>
      </c>
      <c r="L217" s="343">
        <v>289</v>
      </c>
      <c r="M217" s="384">
        <v>45917</v>
      </c>
      <c r="N217" s="343" t="s">
        <v>234</v>
      </c>
      <c r="O217" s="343" t="s">
        <v>320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341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9:27">
      <c r="I218" s="343">
        <v>20250918</v>
      </c>
      <c r="J218" s="343">
        <v>35474.35</v>
      </c>
      <c r="K218" s="343">
        <v>145</v>
      </c>
      <c r="L218" s="343">
        <v>318</v>
      </c>
      <c r="M218" s="384">
        <v>45918</v>
      </c>
      <c r="N218" s="343" t="s">
        <v>235</v>
      </c>
      <c r="O218" s="343" t="s">
        <v>320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9:27">
      <c r="I219" s="343">
        <v>20250919</v>
      </c>
      <c r="J219" s="343">
        <v>74212.25</v>
      </c>
      <c r="K219" s="343">
        <v>275</v>
      </c>
      <c r="L219" s="343">
        <v>668</v>
      </c>
      <c r="M219" s="384">
        <v>45919</v>
      </c>
      <c r="N219" s="343" t="s">
        <v>236</v>
      </c>
      <c r="O219" s="343" t="s">
        <v>320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279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9:27">
      <c r="I220" s="343">
        <v>20250920</v>
      </c>
      <c r="J220" s="343">
        <v>69886.75</v>
      </c>
      <c r="K220" s="343">
        <v>249</v>
      </c>
      <c r="L220" s="343">
        <v>602</v>
      </c>
      <c r="M220" s="384">
        <v>45920</v>
      </c>
      <c r="N220" s="343" t="s">
        <v>244</v>
      </c>
      <c r="O220" s="343" t="s">
        <v>320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341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9:27">
      <c r="I221" s="343">
        <v>20250921</v>
      </c>
      <c r="J221" s="343">
        <v>22581.75</v>
      </c>
      <c r="K221" s="343">
        <v>92</v>
      </c>
      <c r="L221" s="343">
        <v>185</v>
      </c>
      <c r="M221" s="384">
        <v>45921</v>
      </c>
      <c r="N221" s="343" t="s">
        <v>245</v>
      </c>
      <c r="O221" s="343" t="s">
        <v>320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335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9:27">
      <c r="I222" s="343">
        <v>20250922</v>
      </c>
      <c r="J222" s="343">
        <v>20439.5</v>
      </c>
      <c r="K222" s="343">
        <v>64</v>
      </c>
      <c r="L222" s="343">
        <v>133</v>
      </c>
      <c r="M222" s="384">
        <v>45922</v>
      </c>
      <c r="N222" s="343" t="s">
        <v>232</v>
      </c>
      <c r="O222" s="343" t="s">
        <v>321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9:27">
      <c r="I223" s="343">
        <v>20250923</v>
      </c>
      <c r="J223" s="343">
        <v>34121.300000000003</v>
      </c>
      <c r="K223" s="343">
        <v>98</v>
      </c>
      <c r="L223" s="343">
        <v>246</v>
      </c>
      <c r="M223" s="384">
        <v>45923</v>
      </c>
      <c r="N223" s="343" t="s">
        <v>233</v>
      </c>
      <c r="O223" s="343" t="s">
        <v>321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277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9:27">
      <c r="I224" s="343">
        <v>20250924</v>
      </c>
      <c r="J224" s="343">
        <v>29587.25</v>
      </c>
      <c r="K224" s="343">
        <v>154</v>
      </c>
      <c r="L224" s="343">
        <v>301</v>
      </c>
      <c r="M224" s="384">
        <v>45924</v>
      </c>
      <c r="N224" s="343" t="s">
        <v>234</v>
      </c>
      <c r="O224" s="343" t="s">
        <v>321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341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9:27">
      <c r="I225" s="343">
        <v>20250925</v>
      </c>
      <c r="J225" s="343">
        <v>57331.25</v>
      </c>
      <c r="K225" s="343">
        <v>206</v>
      </c>
      <c r="L225" s="343">
        <v>482</v>
      </c>
      <c r="M225" s="384">
        <v>45925</v>
      </c>
      <c r="N225" s="343" t="s">
        <v>235</v>
      </c>
      <c r="O225" s="343" t="s">
        <v>321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9:27">
      <c r="I226" s="343">
        <v>20250926</v>
      </c>
      <c r="J226" s="343">
        <v>69968.25</v>
      </c>
      <c r="K226" s="343">
        <v>279</v>
      </c>
      <c r="L226" s="343">
        <v>631</v>
      </c>
      <c r="M226" s="384">
        <v>45926</v>
      </c>
      <c r="N226" s="343" t="s">
        <v>236</v>
      </c>
      <c r="O226" s="343" t="s">
        <v>321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341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9:27">
      <c r="I227" s="343">
        <v>20250927</v>
      </c>
      <c r="J227" s="343">
        <v>76341.399999999994</v>
      </c>
      <c r="K227" s="343">
        <v>317</v>
      </c>
      <c r="L227" s="343">
        <v>680</v>
      </c>
      <c r="M227" s="384">
        <v>45927</v>
      </c>
      <c r="N227" s="343" t="s">
        <v>244</v>
      </c>
      <c r="O227" s="343" t="s">
        <v>321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9:27">
      <c r="I228" s="343">
        <v>20250928</v>
      </c>
      <c r="J228" s="343">
        <v>21093</v>
      </c>
      <c r="K228" s="343">
        <v>84</v>
      </c>
      <c r="L228" s="343">
        <v>209</v>
      </c>
      <c r="M228" s="384">
        <v>45928</v>
      </c>
      <c r="N228" s="343" t="s">
        <v>245</v>
      </c>
      <c r="O228" s="343" t="s">
        <v>321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279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9:27">
      <c r="I229" s="343">
        <v>20250929</v>
      </c>
      <c r="J229" s="343">
        <v>22338.75</v>
      </c>
      <c r="K229" s="343">
        <v>66</v>
      </c>
      <c r="L229" s="343">
        <v>157</v>
      </c>
      <c r="M229" s="384">
        <v>45929</v>
      </c>
      <c r="N229" s="343" t="s">
        <v>232</v>
      </c>
      <c r="O229" s="343" t="s">
        <v>322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341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9:27">
      <c r="I230" s="343">
        <v>20250930</v>
      </c>
      <c r="J230" s="343">
        <v>38670.35</v>
      </c>
      <c r="K230" s="343">
        <v>126</v>
      </c>
      <c r="L230" s="343">
        <v>292</v>
      </c>
      <c r="M230" s="384">
        <v>45930</v>
      </c>
      <c r="N230" s="343" t="s">
        <v>233</v>
      </c>
      <c r="O230" s="343" t="s">
        <v>322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9:27">
      <c r="I231" s="343">
        <v>20251001</v>
      </c>
      <c r="J231" s="343">
        <v>19464.830000000002</v>
      </c>
      <c r="K231" s="343">
        <v>70</v>
      </c>
      <c r="L231" s="343">
        <v>143</v>
      </c>
      <c r="M231" s="384">
        <v>45931</v>
      </c>
      <c r="N231" s="343" t="s">
        <v>234</v>
      </c>
      <c r="O231" s="343" t="s">
        <v>322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279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9:27">
      <c r="I232" s="343">
        <v>20251002</v>
      </c>
      <c r="J232" s="343">
        <v>34052.5</v>
      </c>
      <c r="K232" s="343">
        <v>128</v>
      </c>
      <c r="L232" s="343">
        <v>271</v>
      </c>
      <c r="M232" s="384">
        <v>45932</v>
      </c>
      <c r="N232" s="343" t="s">
        <v>235</v>
      </c>
      <c r="O232" s="343" t="s">
        <v>322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341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9:27">
      <c r="I233" s="343">
        <v>20251003</v>
      </c>
      <c r="J233" s="343">
        <v>67353.25</v>
      </c>
      <c r="K233" s="343">
        <v>298</v>
      </c>
      <c r="L233" s="343">
        <v>1447</v>
      </c>
      <c r="M233" s="384">
        <v>45933</v>
      </c>
      <c r="N233" s="343" t="s">
        <v>236</v>
      </c>
      <c r="O233" s="343" t="s">
        <v>322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335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9:27">
      <c r="I234" s="343">
        <v>20251004</v>
      </c>
      <c r="J234" s="343">
        <v>66459.009999999995</v>
      </c>
      <c r="K234" s="343">
        <v>278</v>
      </c>
      <c r="L234" s="343">
        <v>589</v>
      </c>
      <c r="M234" s="384">
        <v>45934</v>
      </c>
      <c r="N234" s="343" t="s">
        <v>244</v>
      </c>
      <c r="O234" s="343" t="s">
        <v>322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9:27">
      <c r="I235" s="343">
        <v>20251005</v>
      </c>
      <c r="J235" s="343">
        <v>16394.75</v>
      </c>
      <c r="K235" s="343">
        <v>76</v>
      </c>
      <c r="L235" s="343">
        <v>144</v>
      </c>
      <c r="M235" s="384">
        <v>45935</v>
      </c>
      <c r="N235" s="343" t="s">
        <v>245</v>
      </c>
      <c r="O235" s="343" t="s">
        <v>322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279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9:27">
      <c r="I236" s="343">
        <v>20251006</v>
      </c>
      <c r="J236" s="343">
        <v>15667.25</v>
      </c>
      <c r="K236" s="343">
        <v>53</v>
      </c>
      <c r="L236" s="343">
        <v>115</v>
      </c>
      <c r="M236" s="384">
        <v>45936</v>
      </c>
      <c r="N236" s="343" t="s">
        <v>232</v>
      </c>
      <c r="O236" s="343" t="s">
        <v>323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341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9:27">
      <c r="I237" s="343">
        <v>20251007</v>
      </c>
      <c r="J237" s="343">
        <v>25591.119999999999</v>
      </c>
      <c r="K237" s="343">
        <v>80</v>
      </c>
      <c r="L237" s="343">
        <v>190</v>
      </c>
      <c r="M237" s="384">
        <v>45937</v>
      </c>
      <c r="N237" s="343" t="s">
        <v>233</v>
      </c>
      <c r="O237" s="343" t="s">
        <v>323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9:27">
      <c r="I238" s="343">
        <v>20251008</v>
      </c>
      <c r="J238" s="343">
        <v>25097.25</v>
      </c>
      <c r="K238" s="343">
        <v>89</v>
      </c>
      <c r="L238" s="343">
        <v>238</v>
      </c>
      <c r="M238" s="384">
        <v>45938</v>
      </c>
      <c r="N238" s="343" t="s">
        <v>234</v>
      </c>
      <c r="O238" s="343" t="s">
        <v>323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279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9:27">
      <c r="I239" s="343">
        <v>20251009</v>
      </c>
      <c r="J239" s="343">
        <v>59993.75</v>
      </c>
      <c r="K239" s="343">
        <v>139</v>
      </c>
      <c r="L239" s="343">
        <v>343</v>
      </c>
      <c r="M239" s="384">
        <v>45939</v>
      </c>
      <c r="N239" s="343" t="s">
        <v>235</v>
      </c>
      <c r="O239" s="343" t="s">
        <v>323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277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9:27">
      <c r="I240" s="343">
        <v>20251010</v>
      </c>
      <c r="J240" s="343">
        <v>91807.13</v>
      </c>
      <c r="K240" s="343">
        <v>269</v>
      </c>
      <c r="L240" s="343">
        <v>663</v>
      </c>
      <c r="M240" s="384">
        <v>45940</v>
      </c>
      <c r="N240" s="343" t="s">
        <v>236</v>
      </c>
      <c r="O240" s="343" t="s">
        <v>323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20251011</v>
      </c>
      <c r="J241" s="343">
        <v>83128.45</v>
      </c>
      <c r="K241" s="343">
        <v>282</v>
      </c>
      <c r="L241" s="343">
        <v>649</v>
      </c>
      <c r="M241" s="384">
        <v>45941</v>
      </c>
      <c r="N241" s="343" t="s">
        <v>244</v>
      </c>
      <c r="O241" s="343" t="s">
        <v>323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279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20251012</v>
      </c>
      <c r="J242" s="343">
        <v>22937.75</v>
      </c>
      <c r="K242" s="343">
        <v>67</v>
      </c>
      <c r="L242" s="343">
        <v>170</v>
      </c>
      <c r="M242" s="384">
        <v>45942</v>
      </c>
      <c r="N242" s="343" t="s">
        <v>245</v>
      </c>
      <c r="O242" s="343" t="s">
        <v>323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20251013</v>
      </c>
      <c r="J243" s="343">
        <v>21026.75</v>
      </c>
      <c r="K243" s="343">
        <v>67</v>
      </c>
      <c r="L243" s="343">
        <v>158</v>
      </c>
      <c r="M243" s="384">
        <v>45943</v>
      </c>
      <c r="N243" s="343" t="s">
        <v>232</v>
      </c>
      <c r="O243" s="343" t="s">
        <v>324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277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20251014</v>
      </c>
      <c r="J244" s="343">
        <v>21999</v>
      </c>
      <c r="K244" s="343">
        <v>92</v>
      </c>
      <c r="L244" s="343">
        <v>175</v>
      </c>
      <c r="M244" s="384">
        <v>45944</v>
      </c>
      <c r="N244" s="343" t="s">
        <v>233</v>
      </c>
      <c r="O244" s="343" t="s">
        <v>324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341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20251015</v>
      </c>
      <c r="J245" s="343">
        <v>35973</v>
      </c>
      <c r="K245" s="343">
        <v>102</v>
      </c>
      <c r="L245" s="343">
        <v>250</v>
      </c>
      <c r="M245" s="384">
        <v>45945</v>
      </c>
      <c r="N245" s="343" t="s">
        <v>234</v>
      </c>
      <c r="O245" s="343" t="s">
        <v>324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279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20251016</v>
      </c>
      <c r="J246" s="343">
        <v>44934.85</v>
      </c>
      <c r="K246" s="343">
        <v>169</v>
      </c>
      <c r="L246" s="343">
        <v>379</v>
      </c>
      <c r="M246" s="384">
        <v>45946</v>
      </c>
      <c r="N246" s="343" t="s">
        <v>235</v>
      </c>
      <c r="O246" s="343" t="s">
        <v>324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341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20251017</v>
      </c>
      <c r="J247" s="343">
        <v>73978.75</v>
      </c>
      <c r="K247" s="343">
        <v>233</v>
      </c>
      <c r="L247" s="343">
        <v>526</v>
      </c>
      <c r="M247" s="384">
        <v>45947</v>
      </c>
      <c r="N247" s="343" t="s">
        <v>236</v>
      </c>
      <c r="O247" s="343" t="s">
        <v>324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20251018</v>
      </c>
      <c r="J248" s="343">
        <v>83571.649999999994</v>
      </c>
      <c r="K248" s="343">
        <v>304</v>
      </c>
      <c r="L248" s="343">
        <v>707</v>
      </c>
      <c r="M248" s="384">
        <v>45948</v>
      </c>
      <c r="N248" s="343" t="s">
        <v>244</v>
      </c>
      <c r="O248" s="343" t="s">
        <v>324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279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20251019</v>
      </c>
      <c r="J249" s="343">
        <v>15408</v>
      </c>
      <c r="K249" s="343">
        <v>58</v>
      </c>
      <c r="L249" s="343">
        <v>125</v>
      </c>
      <c r="M249" s="384">
        <v>45949</v>
      </c>
      <c r="N249" s="343" t="s">
        <v>245</v>
      </c>
      <c r="O249" s="343" t="s">
        <v>324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20251020</v>
      </c>
      <c r="J250" s="343">
        <v>27158.25</v>
      </c>
      <c r="K250" s="343">
        <v>69</v>
      </c>
      <c r="L250" s="343">
        <v>181</v>
      </c>
      <c r="M250" s="384">
        <v>45950</v>
      </c>
      <c r="N250" s="343" t="s">
        <v>232</v>
      </c>
      <c r="O250" s="343" t="s">
        <v>325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279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20251021</v>
      </c>
      <c r="J251" s="343">
        <v>40538.25</v>
      </c>
      <c r="K251" s="343">
        <v>102</v>
      </c>
      <c r="L251" s="343">
        <v>264</v>
      </c>
      <c r="M251" s="384">
        <v>45951</v>
      </c>
      <c r="N251" s="343" t="s">
        <v>233</v>
      </c>
      <c r="O251" s="343" t="s">
        <v>325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341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20251022</v>
      </c>
      <c r="J252" s="343">
        <v>36583.25</v>
      </c>
      <c r="K252" s="343">
        <v>123</v>
      </c>
      <c r="L252" s="343">
        <v>269</v>
      </c>
      <c r="M252" s="384">
        <v>45952</v>
      </c>
      <c r="N252" s="343" t="s">
        <v>234</v>
      </c>
      <c r="O252" s="343" t="s">
        <v>325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20251023</v>
      </c>
      <c r="J253" s="343">
        <v>53620.89</v>
      </c>
      <c r="K253" s="343">
        <v>152</v>
      </c>
      <c r="L253" s="343">
        <v>391</v>
      </c>
      <c r="M253" s="384">
        <v>45953</v>
      </c>
      <c r="N253" s="343" t="s">
        <v>235</v>
      </c>
      <c r="O253" s="343" t="s">
        <v>325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279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20251024</v>
      </c>
      <c r="J254" s="343">
        <v>48451.25</v>
      </c>
      <c r="K254" s="343">
        <v>162</v>
      </c>
      <c r="L254" s="343">
        <v>378</v>
      </c>
      <c r="M254" s="384">
        <v>45954</v>
      </c>
      <c r="N254" s="343" t="s">
        <v>236</v>
      </c>
      <c r="O254" s="343" t="s">
        <v>325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341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20251025</v>
      </c>
      <c r="J255" s="343">
        <v>80006.5</v>
      </c>
      <c r="K255" s="343">
        <v>277</v>
      </c>
      <c r="L255" s="343">
        <v>672</v>
      </c>
      <c r="M255" s="384">
        <v>45955</v>
      </c>
      <c r="N255" s="343" t="s">
        <v>244</v>
      </c>
      <c r="O255" s="343" t="s">
        <v>325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20251026</v>
      </c>
      <c r="J256" s="343">
        <v>25096.75</v>
      </c>
      <c r="K256" s="343">
        <v>86</v>
      </c>
      <c r="L256" s="343">
        <v>210</v>
      </c>
      <c r="M256" s="384">
        <v>45956</v>
      </c>
      <c r="N256" s="343" t="s">
        <v>245</v>
      </c>
      <c r="O256" s="343" t="s">
        <v>325</v>
      </c>
      <c r="Q256" s="343" t="s">
        <v>165</v>
      </c>
      <c r="R256" s="343" t="s">
        <v>168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27">
      <c r="I257" s="343">
        <v>20251027</v>
      </c>
      <c r="J257" s="343">
        <v>22588.75</v>
      </c>
      <c r="K257" s="343">
        <v>73</v>
      </c>
      <c r="L257" s="343">
        <v>177</v>
      </c>
      <c r="M257" s="384">
        <v>45957</v>
      </c>
      <c r="N257" s="343" t="s">
        <v>232</v>
      </c>
      <c r="O257" s="343" t="s">
        <v>326</v>
      </c>
      <c r="Q257" s="343" t="s">
        <v>165</v>
      </c>
      <c r="R257" s="343" t="s">
        <v>169</v>
      </c>
      <c r="S257" s="384">
        <v>46251</v>
      </c>
      <c r="T257" s="384">
        <v>46257</v>
      </c>
      <c r="U257" s="343" t="s">
        <v>106</v>
      </c>
      <c r="V257" s="343">
        <v>5</v>
      </c>
      <c r="W257" s="343">
        <v>722.86</v>
      </c>
      <c r="X257" s="343">
        <v>0</v>
      </c>
      <c r="Y257" s="343">
        <v>0</v>
      </c>
      <c r="Z257" s="343">
        <v>722.86</v>
      </c>
      <c r="AA257" s="343">
        <v>0</v>
      </c>
    </row>
    <row r="258" spans="9:27">
      <c r="I258" s="343">
        <v>20251028</v>
      </c>
      <c r="J258" s="343">
        <v>33551.160000000003</v>
      </c>
      <c r="K258" s="343">
        <v>92</v>
      </c>
      <c r="L258" s="343">
        <v>287</v>
      </c>
      <c r="M258" s="384">
        <v>45958</v>
      </c>
      <c r="N258" s="343" t="s">
        <v>233</v>
      </c>
      <c r="O258" s="343" t="s">
        <v>326</v>
      </c>
      <c r="Q258" s="343" t="s">
        <v>171</v>
      </c>
      <c r="R258" s="343" t="s">
        <v>172</v>
      </c>
      <c r="S258" s="384">
        <v>46258</v>
      </c>
      <c r="T258" s="384">
        <v>46264</v>
      </c>
      <c r="U258" s="343" t="s">
        <v>106</v>
      </c>
      <c r="V258" s="343">
        <v>5</v>
      </c>
      <c r="W258" s="343">
        <v>686.15</v>
      </c>
      <c r="X258" s="343">
        <v>0</v>
      </c>
      <c r="Y258" s="343">
        <v>0</v>
      </c>
      <c r="Z258" s="343">
        <v>686.15</v>
      </c>
      <c r="AA258" s="343">
        <v>0</v>
      </c>
    </row>
    <row r="259" spans="9:27">
      <c r="I259" s="343">
        <v>20251029</v>
      </c>
      <c r="J259" s="343">
        <v>33462</v>
      </c>
      <c r="K259" s="343">
        <v>120</v>
      </c>
      <c r="L259" s="343">
        <v>265</v>
      </c>
      <c r="M259" s="384">
        <v>45959</v>
      </c>
      <c r="N259" s="343" t="s">
        <v>234</v>
      </c>
      <c r="O259" s="343" t="s">
        <v>326</v>
      </c>
      <c r="Q259" s="343" t="s">
        <v>171</v>
      </c>
      <c r="R259" s="343" t="s">
        <v>101</v>
      </c>
      <c r="S259" s="384">
        <v>46265</v>
      </c>
      <c r="T259" s="384">
        <v>46271</v>
      </c>
      <c r="U259" s="343" t="s">
        <v>106</v>
      </c>
      <c r="V259" s="343">
        <v>2</v>
      </c>
      <c r="W259" s="343">
        <v>318.8</v>
      </c>
      <c r="X259" s="343">
        <v>0</v>
      </c>
      <c r="Y259" s="343">
        <v>0</v>
      </c>
      <c r="Z259" s="343">
        <v>318.8</v>
      </c>
      <c r="AA259" s="343">
        <v>0</v>
      </c>
    </row>
    <row r="260" spans="9:27">
      <c r="I260" s="343">
        <v>20251030</v>
      </c>
      <c r="J260" s="343">
        <v>48664.21</v>
      </c>
      <c r="K260" s="343">
        <v>138</v>
      </c>
      <c r="L260" s="343">
        <v>315</v>
      </c>
      <c r="M260" s="384">
        <v>45960</v>
      </c>
      <c r="N260" s="343" t="s">
        <v>235</v>
      </c>
      <c r="O260" s="343" t="s">
        <v>326</v>
      </c>
    </row>
    <row r="261" spans="9:27">
      <c r="I261" s="343">
        <v>20251031</v>
      </c>
      <c r="J261" s="343">
        <v>49039.11</v>
      </c>
      <c r="K261" s="343">
        <v>175</v>
      </c>
      <c r="L261" s="343">
        <v>414</v>
      </c>
      <c r="M261" s="384">
        <v>45961</v>
      </c>
      <c r="N261" s="343" t="s">
        <v>236</v>
      </c>
      <c r="O261" s="343" t="s">
        <v>326</v>
      </c>
    </row>
    <row r="262" spans="9:27">
      <c r="I262" s="343">
        <v>20251101</v>
      </c>
      <c r="J262" s="343">
        <v>71437</v>
      </c>
      <c r="K262" s="343">
        <v>255</v>
      </c>
      <c r="L262" s="343">
        <v>586</v>
      </c>
      <c r="M262" s="384">
        <v>45962</v>
      </c>
      <c r="N262" s="343" t="s">
        <v>244</v>
      </c>
      <c r="O262" s="343" t="s">
        <v>326</v>
      </c>
    </row>
    <row r="263" spans="9:27">
      <c r="I263" s="343">
        <v>20251102</v>
      </c>
      <c r="J263" s="343">
        <v>25097.25</v>
      </c>
      <c r="K263" s="343">
        <v>63</v>
      </c>
      <c r="L263" s="343">
        <v>152</v>
      </c>
      <c r="M263" s="384">
        <v>45963</v>
      </c>
      <c r="N263" s="343" t="s">
        <v>245</v>
      </c>
      <c r="O263" s="343" t="s">
        <v>326</v>
      </c>
    </row>
    <row r="264" spans="9:27">
      <c r="I264" s="343">
        <v>20251103</v>
      </c>
      <c r="J264" s="343">
        <v>26911</v>
      </c>
      <c r="K264" s="343">
        <v>74</v>
      </c>
      <c r="L264" s="343">
        <v>178</v>
      </c>
      <c r="M264" s="384">
        <v>45964</v>
      </c>
      <c r="N264" s="343" t="s">
        <v>232</v>
      </c>
      <c r="O264" s="343" t="s">
        <v>327</v>
      </c>
    </row>
    <row r="265" spans="9:27">
      <c r="I265" s="343">
        <v>20251104</v>
      </c>
      <c r="J265" s="343">
        <v>30438.95</v>
      </c>
      <c r="K265" s="343">
        <v>84</v>
      </c>
      <c r="L265" s="343">
        <v>188</v>
      </c>
      <c r="M265" s="384">
        <v>45965</v>
      </c>
      <c r="N265" s="343" t="s">
        <v>233</v>
      </c>
      <c r="O265" s="343" t="s">
        <v>327</v>
      </c>
    </row>
    <row r="266" spans="9:27">
      <c r="I266" s="343">
        <v>20251105</v>
      </c>
      <c r="J266" s="343">
        <v>46471.93</v>
      </c>
      <c r="K266" s="343">
        <v>138</v>
      </c>
      <c r="L266" s="343">
        <v>315</v>
      </c>
      <c r="M266" s="384">
        <v>45966</v>
      </c>
      <c r="N266" s="343" t="s">
        <v>234</v>
      </c>
      <c r="O266" s="343" t="s">
        <v>327</v>
      </c>
    </row>
    <row r="267" spans="9:27">
      <c r="I267" s="343">
        <v>20251106</v>
      </c>
      <c r="J267" s="343">
        <v>51471.25</v>
      </c>
      <c r="K267" s="343">
        <v>168</v>
      </c>
      <c r="L267" s="343">
        <v>416</v>
      </c>
      <c r="M267" s="384">
        <v>45967</v>
      </c>
      <c r="N267" s="343" t="s">
        <v>235</v>
      </c>
      <c r="O267" s="343" t="s">
        <v>327</v>
      </c>
    </row>
    <row r="268" spans="9:27">
      <c r="I268" s="343">
        <v>20251107</v>
      </c>
      <c r="J268" s="343">
        <v>82738.5</v>
      </c>
      <c r="K268" s="343">
        <v>329</v>
      </c>
      <c r="L268" s="343">
        <v>754</v>
      </c>
      <c r="M268" s="384">
        <v>45968</v>
      </c>
      <c r="N268" s="343" t="s">
        <v>236</v>
      </c>
      <c r="O268" s="343" t="s">
        <v>327</v>
      </c>
    </row>
    <row r="269" spans="9:27">
      <c r="I269" s="343">
        <v>20251108</v>
      </c>
      <c r="J269" s="343">
        <v>79875</v>
      </c>
      <c r="K269" s="343">
        <v>320</v>
      </c>
      <c r="L269" s="343">
        <v>744</v>
      </c>
      <c r="M269" s="384">
        <v>45969</v>
      </c>
      <c r="N269" s="343" t="s">
        <v>244</v>
      </c>
      <c r="O269" s="343" t="s">
        <v>327</v>
      </c>
    </row>
    <row r="270" spans="9:27">
      <c r="I270" s="343">
        <v>20251109</v>
      </c>
      <c r="J270" s="343">
        <v>26131.5</v>
      </c>
      <c r="K270" s="343">
        <v>74</v>
      </c>
      <c r="L270" s="343">
        <v>174</v>
      </c>
      <c r="M270" s="384">
        <v>45970</v>
      </c>
      <c r="N270" s="343" t="s">
        <v>245</v>
      </c>
      <c r="O270" s="343" t="s">
        <v>327</v>
      </c>
    </row>
    <row r="271" spans="9:27">
      <c r="I271" s="343">
        <v>20251110</v>
      </c>
      <c r="J271" s="343">
        <v>35161.25</v>
      </c>
      <c r="K271" s="343">
        <v>96</v>
      </c>
      <c r="L271" s="343">
        <v>290</v>
      </c>
      <c r="M271" s="384">
        <v>45971</v>
      </c>
      <c r="N271" s="343" t="s">
        <v>232</v>
      </c>
      <c r="O271" s="343" t="s">
        <v>328</v>
      </c>
    </row>
    <row r="272" spans="9:27">
      <c r="I272" s="343">
        <v>20251111</v>
      </c>
      <c r="J272" s="343">
        <v>58922.39</v>
      </c>
      <c r="K272" s="343">
        <v>117</v>
      </c>
      <c r="L272" s="343">
        <v>439</v>
      </c>
      <c r="M272" s="384">
        <v>45972</v>
      </c>
      <c r="N272" s="343" t="s">
        <v>233</v>
      </c>
      <c r="O272" s="343" t="s">
        <v>328</v>
      </c>
    </row>
    <row r="273" spans="9:15">
      <c r="I273" s="343">
        <v>20251112</v>
      </c>
      <c r="J273" s="343">
        <v>41563.83</v>
      </c>
      <c r="K273" s="343">
        <v>119</v>
      </c>
      <c r="L273" s="343">
        <v>320</v>
      </c>
      <c r="M273" s="384">
        <v>45973</v>
      </c>
      <c r="N273" s="343" t="s">
        <v>234</v>
      </c>
      <c r="O273" s="343" t="s">
        <v>328</v>
      </c>
    </row>
    <row r="274" spans="9:15">
      <c r="I274" s="343">
        <v>20251113</v>
      </c>
      <c r="J274" s="343">
        <v>34916.5</v>
      </c>
      <c r="K274" s="343">
        <v>130</v>
      </c>
      <c r="L274" s="343">
        <v>315</v>
      </c>
      <c r="M274" s="384">
        <v>45974</v>
      </c>
      <c r="N274" s="343" t="s">
        <v>235</v>
      </c>
      <c r="O274" s="343" t="s">
        <v>328</v>
      </c>
    </row>
    <row r="275" spans="9:15">
      <c r="I275" s="343">
        <v>20251114</v>
      </c>
      <c r="J275" s="343">
        <v>88371.51</v>
      </c>
      <c r="K275" s="343">
        <v>311</v>
      </c>
      <c r="L275" s="343">
        <v>722</v>
      </c>
      <c r="M275" s="384">
        <v>45975</v>
      </c>
      <c r="N275" s="343" t="s">
        <v>236</v>
      </c>
      <c r="O275" s="343" t="s">
        <v>328</v>
      </c>
    </row>
    <row r="276" spans="9:15">
      <c r="I276" s="343">
        <v>20251115</v>
      </c>
      <c r="J276" s="343">
        <v>79465.009999999995</v>
      </c>
      <c r="K276" s="343">
        <v>272</v>
      </c>
      <c r="L276" s="343">
        <v>776</v>
      </c>
      <c r="M276" s="384">
        <v>45976</v>
      </c>
      <c r="N276" s="343" t="s">
        <v>244</v>
      </c>
      <c r="O276" s="343" t="s">
        <v>328</v>
      </c>
    </row>
    <row r="277" spans="9:15">
      <c r="I277" s="343">
        <v>20251116</v>
      </c>
      <c r="J277" s="343">
        <v>34465</v>
      </c>
      <c r="K277" s="343">
        <v>99</v>
      </c>
      <c r="L277" s="343">
        <v>255</v>
      </c>
      <c r="M277" s="384">
        <v>45977</v>
      </c>
      <c r="N277" s="343" t="s">
        <v>245</v>
      </c>
      <c r="O277" s="343" t="s">
        <v>328</v>
      </c>
    </row>
    <row r="278" spans="9:15">
      <c r="I278" s="343">
        <v>20251117</v>
      </c>
      <c r="J278" s="343">
        <v>24398.36</v>
      </c>
      <c r="K278" s="343">
        <v>80</v>
      </c>
      <c r="L278" s="343">
        <v>192</v>
      </c>
      <c r="M278" s="384">
        <v>45978</v>
      </c>
      <c r="N278" s="343" t="s">
        <v>232</v>
      </c>
      <c r="O278" s="343" t="s">
        <v>329</v>
      </c>
    </row>
    <row r="279" spans="9:15">
      <c r="I279" s="343">
        <v>20251118</v>
      </c>
      <c r="J279" s="343">
        <v>47393</v>
      </c>
      <c r="K279" s="343">
        <v>105</v>
      </c>
      <c r="L279" s="343">
        <v>288</v>
      </c>
      <c r="M279" s="384">
        <v>45979</v>
      </c>
      <c r="N279" s="343" t="s">
        <v>233</v>
      </c>
      <c r="O279" s="343" t="s">
        <v>329</v>
      </c>
    </row>
    <row r="280" spans="9:15">
      <c r="I280" s="343">
        <v>20251119</v>
      </c>
      <c r="J280" s="343">
        <v>27811.25</v>
      </c>
      <c r="K280" s="343">
        <v>93</v>
      </c>
      <c r="L280" s="343">
        <v>236</v>
      </c>
      <c r="M280" s="384">
        <v>45980</v>
      </c>
      <c r="N280" s="343" t="s">
        <v>234</v>
      </c>
      <c r="O280" s="343" t="s">
        <v>329</v>
      </c>
    </row>
    <row r="281" spans="9:15">
      <c r="I281" s="343">
        <v>20251120</v>
      </c>
      <c r="J281" s="343">
        <v>40589.49</v>
      </c>
      <c r="K281" s="343">
        <v>134</v>
      </c>
      <c r="L281" s="343">
        <v>316</v>
      </c>
      <c r="M281" s="384">
        <v>45981</v>
      </c>
      <c r="N281" s="343" t="s">
        <v>235</v>
      </c>
      <c r="O281" s="343" t="s">
        <v>329</v>
      </c>
    </row>
    <row r="282" spans="9:15">
      <c r="I282" s="343">
        <v>20251121</v>
      </c>
      <c r="J282" s="343">
        <v>70684</v>
      </c>
      <c r="K282" s="343">
        <v>212</v>
      </c>
      <c r="L282" s="343">
        <v>524</v>
      </c>
      <c r="M282" s="384">
        <v>45982</v>
      </c>
      <c r="N282" s="343" t="s">
        <v>236</v>
      </c>
      <c r="O282" s="343" t="s">
        <v>329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244</v>
      </c>
      <c r="O283" s="343" t="s">
        <v>329</v>
      </c>
    </row>
    <row r="284" spans="9:15">
      <c r="I284" s="343">
        <v>20251123</v>
      </c>
      <c r="J284" s="343">
        <v>28834.5</v>
      </c>
      <c r="K284" s="343">
        <v>84</v>
      </c>
      <c r="L284" s="343">
        <v>243</v>
      </c>
      <c r="M284" s="384">
        <v>45984</v>
      </c>
      <c r="N284" s="343" t="s">
        <v>245</v>
      </c>
      <c r="O284" s="343" t="s">
        <v>329</v>
      </c>
    </row>
    <row r="285" spans="9:15">
      <c r="I285" s="343">
        <v>20251124</v>
      </c>
      <c r="J285" s="343">
        <v>24047.25</v>
      </c>
      <c r="K285" s="343">
        <v>60</v>
      </c>
      <c r="L285" s="343">
        <v>151</v>
      </c>
      <c r="M285" s="384">
        <v>45985</v>
      </c>
      <c r="N285" s="343" t="s">
        <v>232</v>
      </c>
      <c r="O285" s="343" t="s">
        <v>330</v>
      </c>
    </row>
    <row r="286" spans="9:15">
      <c r="I286" s="343">
        <v>20251125</v>
      </c>
      <c r="J286" s="343">
        <v>32710.25</v>
      </c>
      <c r="K286" s="343">
        <v>94</v>
      </c>
      <c r="L286" s="343">
        <v>233</v>
      </c>
      <c r="M286" s="384">
        <v>45986</v>
      </c>
      <c r="N286" s="343" t="s">
        <v>233</v>
      </c>
      <c r="O286" s="343" t="s">
        <v>330</v>
      </c>
    </row>
    <row r="287" spans="9:15">
      <c r="I287" s="343">
        <v>20251126</v>
      </c>
      <c r="J287" s="343">
        <v>30260.5</v>
      </c>
      <c r="K287" s="343">
        <v>105</v>
      </c>
      <c r="L287" s="343">
        <v>246</v>
      </c>
      <c r="M287" s="384">
        <v>45987</v>
      </c>
      <c r="N287" s="343" t="s">
        <v>234</v>
      </c>
      <c r="O287" s="343" t="s">
        <v>330</v>
      </c>
    </row>
    <row r="288" spans="9:15">
      <c r="I288" s="343">
        <v>20251127</v>
      </c>
      <c r="J288" s="343">
        <v>46430.5</v>
      </c>
      <c r="K288" s="343">
        <v>133</v>
      </c>
      <c r="L288" s="343">
        <v>351</v>
      </c>
      <c r="M288" s="384">
        <v>45988</v>
      </c>
      <c r="N288" s="343" t="s">
        <v>235</v>
      </c>
      <c r="O288" s="343" t="s">
        <v>330</v>
      </c>
    </row>
    <row r="289" spans="9:15">
      <c r="I289" s="343">
        <v>20251128</v>
      </c>
      <c r="J289" s="343">
        <v>54073.5</v>
      </c>
      <c r="K289" s="343">
        <v>149</v>
      </c>
      <c r="L289" s="343">
        <v>440</v>
      </c>
      <c r="M289" s="384">
        <v>45989</v>
      </c>
      <c r="N289" s="343" t="s">
        <v>236</v>
      </c>
      <c r="O289" s="343" t="s">
        <v>330</v>
      </c>
    </row>
    <row r="290" spans="9:15">
      <c r="I290" s="343">
        <v>20251129</v>
      </c>
      <c r="J290" s="343">
        <v>65434.6</v>
      </c>
      <c r="K290" s="343">
        <v>211</v>
      </c>
      <c r="L290" s="343">
        <v>541</v>
      </c>
      <c r="M290" s="384">
        <v>45990</v>
      </c>
      <c r="N290" s="343" t="s">
        <v>244</v>
      </c>
      <c r="O290" s="343" t="s">
        <v>330</v>
      </c>
    </row>
    <row r="291" spans="9:15">
      <c r="I291" s="343">
        <v>20251130</v>
      </c>
      <c r="J291" s="343">
        <v>18138.25</v>
      </c>
      <c r="K291" s="343">
        <v>62</v>
      </c>
      <c r="L291" s="343">
        <v>151</v>
      </c>
      <c r="M291" s="384">
        <v>45991</v>
      </c>
      <c r="N291" s="343" t="s">
        <v>245</v>
      </c>
      <c r="O291" s="343" t="s">
        <v>330</v>
      </c>
    </row>
    <row r="292" spans="9:15">
      <c r="I292" s="343">
        <v>20251201</v>
      </c>
      <c r="J292" s="343">
        <v>45207.55</v>
      </c>
      <c r="K292" s="343">
        <v>133</v>
      </c>
      <c r="L292" s="343">
        <v>393</v>
      </c>
      <c r="M292" s="384">
        <v>45992</v>
      </c>
      <c r="N292" s="343" t="s">
        <v>232</v>
      </c>
      <c r="O292" s="343" t="s">
        <v>331</v>
      </c>
    </row>
    <row r="293" spans="9:15">
      <c r="I293" s="343">
        <v>20251202</v>
      </c>
      <c r="J293" s="343">
        <v>35389.699999999997</v>
      </c>
      <c r="K293" s="343">
        <v>91</v>
      </c>
      <c r="L293" s="343">
        <v>226</v>
      </c>
      <c r="M293" s="384">
        <v>45993</v>
      </c>
      <c r="N293" s="343" t="s">
        <v>233</v>
      </c>
      <c r="O293" s="343" t="s">
        <v>331</v>
      </c>
    </row>
    <row r="294" spans="9:15">
      <c r="I294" s="343">
        <v>20251203</v>
      </c>
      <c r="J294" s="343">
        <v>66601.7</v>
      </c>
      <c r="K294" s="343">
        <v>202</v>
      </c>
      <c r="L294" s="343">
        <v>490</v>
      </c>
      <c r="M294" s="384">
        <v>45994</v>
      </c>
      <c r="N294" s="343" t="s">
        <v>234</v>
      </c>
      <c r="O294" s="343" t="s">
        <v>331</v>
      </c>
    </row>
    <row r="295" spans="9:15">
      <c r="I295" s="343">
        <v>20251204</v>
      </c>
      <c r="J295" s="343">
        <v>61382.7</v>
      </c>
      <c r="K295" s="343">
        <v>174</v>
      </c>
      <c r="L295" s="343">
        <v>403</v>
      </c>
      <c r="M295" s="384">
        <v>45995</v>
      </c>
      <c r="N295" s="343" t="s">
        <v>235</v>
      </c>
      <c r="O295" s="343" t="s">
        <v>331</v>
      </c>
    </row>
    <row r="296" spans="9:15">
      <c r="I296" s="343">
        <v>20251205</v>
      </c>
      <c r="J296" s="343">
        <v>81428.350000000006</v>
      </c>
      <c r="K296" s="343">
        <v>271</v>
      </c>
      <c r="L296" s="343">
        <v>644</v>
      </c>
      <c r="M296" s="384">
        <v>45996</v>
      </c>
      <c r="N296" s="343" t="s">
        <v>236</v>
      </c>
      <c r="O296" s="343" t="s">
        <v>331</v>
      </c>
    </row>
    <row r="297" spans="9:15">
      <c r="I297" s="343">
        <v>20251206</v>
      </c>
      <c r="J297" s="343">
        <v>85965.25</v>
      </c>
      <c r="K297" s="343">
        <v>286</v>
      </c>
      <c r="L297" s="343">
        <v>651</v>
      </c>
      <c r="M297" s="384">
        <v>45997</v>
      </c>
      <c r="N297" s="343" t="s">
        <v>244</v>
      </c>
      <c r="O297" s="343" t="s">
        <v>331</v>
      </c>
    </row>
    <row r="298" spans="9:15">
      <c r="I298" s="343">
        <v>20251207</v>
      </c>
      <c r="J298" s="343">
        <v>35555.300000000003</v>
      </c>
      <c r="K298" s="343">
        <v>106</v>
      </c>
      <c r="L298" s="343">
        <v>264</v>
      </c>
      <c r="M298" s="384">
        <v>45998</v>
      </c>
      <c r="N298" s="343" t="s">
        <v>245</v>
      </c>
      <c r="O298" s="343" t="s">
        <v>331</v>
      </c>
    </row>
    <row r="299" spans="9:15">
      <c r="I299" s="343">
        <v>20251208</v>
      </c>
      <c r="J299" s="343">
        <v>33681.25</v>
      </c>
      <c r="K299" s="343">
        <v>78</v>
      </c>
      <c r="L299" s="343">
        <v>199</v>
      </c>
      <c r="M299" s="384">
        <v>45999</v>
      </c>
      <c r="N299" s="343" t="s">
        <v>232</v>
      </c>
      <c r="O299" s="343" t="s">
        <v>332</v>
      </c>
    </row>
    <row r="300" spans="9:15">
      <c r="I300" s="343">
        <v>20251209</v>
      </c>
      <c r="J300" s="343">
        <v>31349.35</v>
      </c>
      <c r="K300" s="343">
        <v>80</v>
      </c>
      <c r="L300" s="343">
        <v>236</v>
      </c>
      <c r="M300" s="384">
        <v>46000</v>
      </c>
      <c r="N300" s="343" t="s">
        <v>233</v>
      </c>
      <c r="O300" s="343" t="s">
        <v>332</v>
      </c>
    </row>
    <row r="301" spans="9:15">
      <c r="I301" s="343">
        <v>20251210</v>
      </c>
      <c r="J301" s="343">
        <v>81694.61</v>
      </c>
      <c r="K301" s="343">
        <v>13</v>
      </c>
      <c r="L301" s="343">
        <v>350</v>
      </c>
      <c r="M301" s="384">
        <v>46001</v>
      </c>
      <c r="N301" s="343" t="s">
        <v>234</v>
      </c>
      <c r="O301" s="343" t="s">
        <v>332</v>
      </c>
    </row>
    <row r="302" spans="9:15">
      <c r="I302" s="343">
        <v>20251211</v>
      </c>
      <c r="J302" s="343">
        <v>85504.52</v>
      </c>
      <c r="K302" s="343">
        <v>63</v>
      </c>
      <c r="L302" s="343">
        <v>307</v>
      </c>
      <c r="M302" s="384">
        <v>46002</v>
      </c>
      <c r="N302" s="343" t="s">
        <v>235</v>
      </c>
      <c r="O302" s="343" t="s">
        <v>332</v>
      </c>
    </row>
    <row r="303" spans="9:15">
      <c r="I303" s="343">
        <v>20251212</v>
      </c>
      <c r="J303" s="343">
        <v>63433.75</v>
      </c>
      <c r="K303" s="343">
        <v>250</v>
      </c>
      <c r="L303" s="343">
        <v>548</v>
      </c>
      <c r="M303" s="384">
        <v>46003</v>
      </c>
      <c r="N303" s="343" t="s">
        <v>236</v>
      </c>
      <c r="O303" s="343" t="s">
        <v>332</v>
      </c>
    </row>
    <row r="304" spans="9:15">
      <c r="I304" s="343">
        <v>20251213</v>
      </c>
      <c r="J304" s="343">
        <v>86669.94</v>
      </c>
      <c r="K304" s="343">
        <v>249</v>
      </c>
      <c r="L304" s="343">
        <v>630</v>
      </c>
      <c r="M304" s="384">
        <v>46004</v>
      </c>
      <c r="N304" s="343" t="s">
        <v>244</v>
      </c>
      <c r="O304" s="343" t="s">
        <v>332</v>
      </c>
    </row>
    <row r="305" spans="9:15">
      <c r="I305" s="343">
        <v>20251214</v>
      </c>
      <c r="J305" s="343">
        <v>22530.25</v>
      </c>
      <c r="K305" s="343">
        <v>80</v>
      </c>
      <c r="L305" s="343">
        <v>196</v>
      </c>
      <c r="M305" s="384">
        <v>46005</v>
      </c>
      <c r="N305" s="343" t="s">
        <v>245</v>
      </c>
      <c r="O305" s="343" t="s">
        <v>332</v>
      </c>
    </row>
    <row r="306" spans="9:15">
      <c r="I306" s="343">
        <v>20251215</v>
      </c>
      <c r="J306" s="343">
        <v>27759.5</v>
      </c>
      <c r="K306" s="343">
        <v>66</v>
      </c>
      <c r="L306" s="343">
        <v>222</v>
      </c>
      <c r="M306" s="384">
        <v>46006</v>
      </c>
      <c r="N306" s="343" t="s">
        <v>232</v>
      </c>
      <c r="O306" s="343" t="s">
        <v>333</v>
      </c>
    </row>
    <row r="307" spans="9:15">
      <c r="I307" s="343">
        <v>20251216</v>
      </c>
      <c r="J307" s="343">
        <v>39990.6</v>
      </c>
      <c r="K307" s="343">
        <v>122</v>
      </c>
      <c r="L307" s="343">
        <v>304</v>
      </c>
      <c r="M307" s="384">
        <v>46007</v>
      </c>
      <c r="N307" s="343" t="s">
        <v>233</v>
      </c>
      <c r="O307" s="343" t="s">
        <v>333</v>
      </c>
    </row>
    <row r="308" spans="9:15">
      <c r="I308" s="343">
        <v>20251217</v>
      </c>
      <c r="J308" s="343">
        <v>39726.269999999997</v>
      </c>
      <c r="K308" s="343">
        <v>86</v>
      </c>
      <c r="L308" s="343">
        <v>250</v>
      </c>
      <c r="M308" s="384">
        <v>46008</v>
      </c>
      <c r="N308" s="343" t="s">
        <v>234</v>
      </c>
      <c r="O308" s="343" t="s">
        <v>333</v>
      </c>
    </row>
    <row r="309" spans="9:15">
      <c r="I309" s="343">
        <v>20251218</v>
      </c>
      <c r="J309" s="343">
        <v>39036</v>
      </c>
      <c r="K309" s="343">
        <v>138</v>
      </c>
      <c r="L309" s="343">
        <v>327</v>
      </c>
      <c r="M309" s="384">
        <v>46009</v>
      </c>
      <c r="N309" s="343" t="s">
        <v>235</v>
      </c>
      <c r="O309" s="343" t="s">
        <v>333</v>
      </c>
    </row>
    <row r="310" spans="9:15">
      <c r="I310" s="343">
        <v>20251219</v>
      </c>
      <c r="J310" s="343">
        <v>73862.5</v>
      </c>
      <c r="K310" s="343">
        <v>208</v>
      </c>
      <c r="L310" s="343">
        <v>464</v>
      </c>
      <c r="M310" s="384">
        <v>46010</v>
      </c>
      <c r="N310" s="343" t="s">
        <v>236</v>
      </c>
      <c r="O310" s="343" t="s">
        <v>333</v>
      </c>
    </row>
    <row r="311" spans="9:15">
      <c r="I311" s="343">
        <v>20251220</v>
      </c>
      <c r="J311" s="343">
        <v>63619.66</v>
      </c>
      <c r="K311" s="343">
        <v>213</v>
      </c>
      <c r="L311" s="343">
        <v>511</v>
      </c>
      <c r="M311" s="384">
        <v>46011</v>
      </c>
      <c r="N311" s="343" t="s">
        <v>244</v>
      </c>
      <c r="O311" s="343" t="s">
        <v>333</v>
      </c>
    </row>
    <row r="312" spans="9:15">
      <c r="I312" s="343">
        <v>20251221</v>
      </c>
      <c r="J312" s="343">
        <v>25337</v>
      </c>
      <c r="K312" s="343">
        <v>79</v>
      </c>
      <c r="L312" s="343">
        <v>188</v>
      </c>
      <c r="M312" s="384">
        <v>46012</v>
      </c>
      <c r="N312" s="343" t="s">
        <v>245</v>
      </c>
      <c r="O312" s="343" t="s">
        <v>333</v>
      </c>
    </row>
    <row r="313" spans="9:15">
      <c r="I313" s="343">
        <v>20251222</v>
      </c>
      <c r="J313" s="343">
        <v>41853.550000000003</v>
      </c>
      <c r="K313" s="343">
        <v>110</v>
      </c>
      <c r="L313" s="343">
        <v>303</v>
      </c>
      <c r="M313" s="384">
        <v>46013</v>
      </c>
      <c r="N313" s="343" t="s">
        <v>232</v>
      </c>
      <c r="O313" s="343" t="s">
        <v>334</v>
      </c>
    </row>
    <row r="314" spans="9:15">
      <c r="I314" s="343">
        <v>20251223</v>
      </c>
      <c r="J314" s="343">
        <v>42127.61</v>
      </c>
      <c r="K314" s="343">
        <v>112</v>
      </c>
      <c r="L314" s="343">
        <v>304</v>
      </c>
      <c r="M314" s="384">
        <v>46014</v>
      </c>
      <c r="N314" s="343" t="s">
        <v>233</v>
      </c>
      <c r="O314" s="343" t="s">
        <v>334</v>
      </c>
    </row>
    <row r="315" spans="9:15">
      <c r="I315" s="343">
        <v>20251224</v>
      </c>
      <c r="J315" s="343">
        <v>63116.28</v>
      </c>
      <c r="K315" s="343">
        <v>203</v>
      </c>
      <c r="L315" s="343">
        <v>547</v>
      </c>
      <c r="M315" s="384">
        <v>46015</v>
      </c>
      <c r="N315" s="343" t="s">
        <v>234</v>
      </c>
      <c r="O315" s="343" t="s">
        <v>334</v>
      </c>
    </row>
    <row r="316" spans="9:15">
      <c r="I316" s="343">
        <v>20251225</v>
      </c>
      <c r="J316" s="343">
        <v>45680.25</v>
      </c>
      <c r="K316" s="343">
        <v>120</v>
      </c>
      <c r="L316" s="343">
        <v>339</v>
      </c>
      <c r="M316" s="384">
        <v>46016</v>
      </c>
      <c r="N316" s="343" t="s">
        <v>235</v>
      </c>
      <c r="O316" s="343" t="s">
        <v>334</v>
      </c>
    </row>
    <row r="317" spans="9:15">
      <c r="I317" s="343">
        <v>20251226</v>
      </c>
      <c r="J317" s="343">
        <v>52373</v>
      </c>
      <c r="K317" s="343">
        <v>166</v>
      </c>
      <c r="L317" s="343">
        <v>1427</v>
      </c>
      <c r="M317" s="384">
        <v>46017</v>
      </c>
      <c r="N317" s="343" t="s">
        <v>236</v>
      </c>
      <c r="O317" s="343" t="s">
        <v>334</v>
      </c>
    </row>
    <row r="318" spans="9:15">
      <c r="I318" s="343">
        <v>20251227</v>
      </c>
      <c r="J318" s="343">
        <v>73858</v>
      </c>
      <c r="K318" s="343">
        <v>210</v>
      </c>
      <c r="L318" s="343">
        <v>604</v>
      </c>
      <c r="M318" s="384">
        <v>46018</v>
      </c>
      <c r="N318" s="343" t="s">
        <v>244</v>
      </c>
      <c r="O318" s="343" t="s">
        <v>334</v>
      </c>
    </row>
    <row r="319" spans="9:15">
      <c r="I319" s="343">
        <v>20251228</v>
      </c>
      <c r="J319" s="343">
        <v>57914.65</v>
      </c>
      <c r="K319" s="343">
        <v>166</v>
      </c>
      <c r="L319" s="343">
        <v>467</v>
      </c>
      <c r="M319" s="384">
        <v>46019</v>
      </c>
      <c r="N319" s="343" t="s">
        <v>245</v>
      </c>
      <c r="O319" s="343" t="s">
        <v>334</v>
      </c>
    </row>
    <row r="320" spans="9:15">
      <c r="I320" s="343">
        <v>20251229</v>
      </c>
      <c r="J320" s="343">
        <v>56473.5</v>
      </c>
      <c r="K320" s="343">
        <v>167</v>
      </c>
      <c r="L320" s="343">
        <v>444</v>
      </c>
      <c r="M320" s="384">
        <v>46020</v>
      </c>
      <c r="N320" s="343" t="s">
        <v>232</v>
      </c>
      <c r="O320" s="343" t="s">
        <v>122</v>
      </c>
    </row>
    <row r="321" spans="9:15">
      <c r="I321" s="343">
        <v>20251230</v>
      </c>
      <c r="J321" s="343">
        <v>87200.55</v>
      </c>
      <c r="K321" s="343">
        <v>246</v>
      </c>
      <c r="L321" s="343">
        <v>622</v>
      </c>
      <c r="M321" s="384">
        <v>46021</v>
      </c>
      <c r="N321" s="343" t="s">
        <v>233</v>
      </c>
      <c r="O321" s="343" t="s">
        <v>122</v>
      </c>
    </row>
    <row r="322" spans="9:15">
      <c r="I322" s="343">
        <v>20251231</v>
      </c>
      <c r="J322" s="343">
        <v>175240.09</v>
      </c>
      <c r="K322" s="343">
        <v>230</v>
      </c>
      <c r="L322" s="343">
        <v>632</v>
      </c>
      <c r="M322" s="384">
        <v>46022</v>
      </c>
      <c r="N322" s="343" t="s">
        <v>234</v>
      </c>
      <c r="O322" s="343" t="s">
        <v>122</v>
      </c>
    </row>
    <row r="323" spans="9:15">
      <c r="I323" s="343">
        <v>20260101</v>
      </c>
      <c r="J323" s="343">
        <v>61577.25</v>
      </c>
      <c r="K323" s="343">
        <v>147</v>
      </c>
      <c r="L323" s="343">
        <v>486</v>
      </c>
      <c r="M323" s="384">
        <v>46023</v>
      </c>
      <c r="N323" s="343" t="s">
        <v>235</v>
      </c>
      <c r="O323" s="343" t="s">
        <v>122</v>
      </c>
    </row>
    <row r="324" spans="9:15">
      <c r="I324" s="343">
        <v>20260102</v>
      </c>
      <c r="J324" s="343">
        <v>76794.05</v>
      </c>
      <c r="K324" s="343">
        <v>225</v>
      </c>
      <c r="L324" s="343">
        <v>582</v>
      </c>
      <c r="M324" s="384">
        <v>46024</v>
      </c>
      <c r="N324" s="343" t="s">
        <v>236</v>
      </c>
      <c r="O324" s="343" t="s">
        <v>122</v>
      </c>
    </row>
    <row r="325" spans="9:15">
      <c r="I325" s="343">
        <v>20260103</v>
      </c>
      <c r="J325" s="343">
        <v>76669.5</v>
      </c>
      <c r="K325" s="343">
        <v>259</v>
      </c>
      <c r="L325" s="343">
        <v>659</v>
      </c>
      <c r="M325" s="384">
        <v>46025</v>
      </c>
      <c r="N325" s="343" t="s">
        <v>244</v>
      </c>
      <c r="O325" s="343" t="s">
        <v>122</v>
      </c>
    </row>
    <row r="326" spans="9:15">
      <c r="I326" s="343">
        <v>20260104</v>
      </c>
      <c r="J326" s="343">
        <v>39641.25</v>
      </c>
      <c r="K326" s="343">
        <v>94</v>
      </c>
      <c r="L326" s="343">
        <v>266</v>
      </c>
      <c r="M326" s="384">
        <v>46026</v>
      </c>
      <c r="N326" s="343" t="s">
        <v>245</v>
      </c>
      <c r="O326" s="343" t="s">
        <v>122</v>
      </c>
    </row>
    <row r="327" spans="9:15">
      <c r="I327" s="343">
        <v>20260105</v>
      </c>
      <c r="J327" s="343">
        <v>43155.89</v>
      </c>
      <c r="K327" s="343">
        <v>92</v>
      </c>
      <c r="L327" s="343">
        <v>264</v>
      </c>
      <c r="M327" s="384">
        <v>46027</v>
      </c>
      <c r="N327" s="343" t="s">
        <v>232</v>
      </c>
      <c r="O327" s="343" t="s">
        <v>123</v>
      </c>
    </row>
    <row r="328" spans="9:15">
      <c r="I328" s="343">
        <v>20260106</v>
      </c>
      <c r="J328" s="343">
        <v>25947.75</v>
      </c>
      <c r="K328" s="343">
        <v>121</v>
      </c>
      <c r="L328" s="343">
        <v>247</v>
      </c>
      <c r="M328" s="384">
        <v>46028</v>
      </c>
      <c r="N328" s="343" t="s">
        <v>233</v>
      </c>
      <c r="O328" s="343" t="s">
        <v>123</v>
      </c>
    </row>
    <row r="329" spans="9:15">
      <c r="I329" s="343">
        <v>20260107</v>
      </c>
      <c r="J329" s="343">
        <v>37714.75</v>
      </c>
      <c r="K329" s="343">
        <v>100</v>
      </c>
      <c r="L329" s="343">
        <v>249</v>
      </c>
      <c r="M329" s="384">
        <v>46029</v>
      </c>
      <c r="N329" s="343" t="s">
        <v>234</v>
      </c>
      <c r="O329" s="343" t="s">
        <v>123</v>
      </c>
    </row>
    <row r="330" spans="9:15">
      <c r="I330" s="343">
        <v>20260108</v>
      </c>
      <c r="J330" s="343">
        <v>29085.5</v>
      </c>
      <c r="K330" s="343">
        <v>122</v>
      </c>
      <c r="L330" s="343">
        <v>438</v>
      </c>
      <c r="M330" s="384">
        <v>46030</v>
      </c>
      <c r="N330" s="343" t="s">
        <v>235</v>
      </c>
      <c r="O330" s="343" t="s">
        <v>123</v>
      </c>
    </row>
    <row r="331" spans="9:15">
      <c r="I331" s="343">
        <v>20260109</v>
      </c>
      <c r="J331" s="343">
        <v>64092</v>
      </c>
      <c r="K331" s="343">
        <v>202</v>
      </c>
      <c r="L331" s="343">
        <v>494</v>
      </c>
      <c r="M331" s="384">
        <v>46031</v>
      </c>
      <c r="N331" s="343" t="s">
        <v>236</v>
      </c>
      <c r="O331" s="343" t="s">
        <v>123</v>
      </c>
    </row>
    <row r="332" spans="9:15">
      <c r="I332" s="343">
        <v>20260110</v>
      </c>
      <c r="J332" s="343">
        <v>77517.009999999995</v>
      </c>
      <c r="K332" s="343">
        <v>244</v>
      </c>
      <c r="L332" s="343">
        <v>606</v>
      </c>
      <c r="M332" s="384">
        <v>46032</v>
      </c>
      <c r="N332" s="343" t="s">
        <v>244</v>
      </c>
      <c r="O332" s="343" t="s">
        <v>123</v>
      </c>
    </row>
    <row r="333" spans="9:15">
      <c r="I333" s="343">
        <v>20260111</v>
      </c>
      <c r="J333" s="343">
        <v>17892.25</v>
      </c>
      <c r="K333" s="343">
        <v>73</v>
      </c>
      <c r="L333" s="343">
        <v>150</v>
      </c>
      <c r="M333" s="384">
        <v>46033</v>
      </c>
      <c r="N333" s="343" t="s">
        <v>245</v>
      </c>
      <c r="O333" s="343" t="s">
        <v>123</v>
      </c>
    </row>
    <row r="334" spans="9:15">
      <c r="I334" s="343">
        <v>20260112</v>
      </c>
      <c r="J334" s="343">
        <v>22524.5</v>
      </c>
      <c r="K334" s="343">
        <v>72</v>
      </c>
      <c r="L334" s="343">
        <v>153</v>
      </c>
      <c r="M334" s="384">
        <v>46034</v>
      </c>
      <c r="N334" s="343" t="s">
        <v>232</v>
      </c>
      <c r="O334" s="343" t="s">
        <v>124</v>
      </c>
    </row>
    <row r="335" spans="9:15">
      <c r="I335" s="343">
        <v>20260113</v>
      </c>
      <c r="J335" s="343">
        <v>34658.75</v>
      </c>
      <c r="K335" s="343">
        <v>85</v>
      </c>
      <c r="L335" s="343">
        <v>212</v>
      </c>
      <c r="M335" s="384">
        <v>46035</v>
      </c>
      <c r="N335" s="343" t="s">
        <v>233</v>
      </c>
      <c r="O335" s="343" t="s">
        <v>124</v>
      </c>
    </row>
    <row r="336" spans="9:15">
      <c r="I336" s="343">
        <v>20260114</v>
      </c>
      <c r="J336" s="343">
        <v>37945.75</v>
      </c>
      <c r="K336" s="343">
        <v>118</v>
      </c>
      <c r="L336" s="343">
        <v>308</v>
      </c>
      <c r="M336" s="384">
        <v>46036</v>
      </c>
      <c r="N336" s="343" t="s">
        <v>234</v>
      </c>
      <c r="O336" s="343" t="s">
        <v>124</v>
      </c>
    </row>
    <row r="337" spans="9:15">
      <c r="I337" s="343">
        <v>20260115</v>
      </c>
      <c r="J337" s="343">
        <v>46146.25</v>
      </c>
      <c r="K337" s="343">
        <v>149</v>
      </c>
      <c r="L337" s="343">
        <v>378</v>
      </c>
      <c r="M337" s="384">
        <v>46037</v>
      </c>
      <c r="N337" s="343" t="s">
        <v>235</v>
      </c>
      <c r="O337" s="343" t="s">
        <v>124</v>
      </c>
    </row>
    <row r="338" spans="9:15">
      <c r="I338" s="343">
        <v>20260116</v>
      </c>
      <c r="J338" s="343">
        <v>74935.649999999994</v>
      </c>
      <c r="K338" s="343">
        <v>270</v>
      </c>
      <c r="L338" s="343">
        <v>650</v>
      </c>
      <c r="M338" s="384">
        <v>46038</v>
      </c>
      <c r="N338" s="343" t="s">
        <v>236</v>
      </c>
      <c r="O338" s="343" t="s">
        <v>124</v>
      </c>
    </row>
    <row r="339" spans="9:15">
      <c r="I339" s="343">
        <v>20260117</v>
      </c>
      <c r="J339" s="343">
        <v>81189.289999999994</v>
      </c>
      <c r="K339" s="343">
        <v>257</v>
      </c>
      <c r="L339" s="343">
        <v>664</v>
      </c>
      <c r="M339" s="384">
        <v>46039</v>
      </c>
      <c r="N339" s="343" t="s">
        <v>244</v>
      </c>
      <c r="O339" s="343" t="s">
        <v>124</v>
      </c>
    </row>
    <row r="340" spans="9:15">
      <c r="I340" s="343">
        <v>20260118</v>
      </c>
      <c r="J340" s="343">
        <v>45637.75</v>
      </c>
      <c r="K340" s="343">
        <v>134</v>
      </c>
      <c r="L340" s="343">
        <v>356</v>
      </c>
      <c r="M340" s="384">
        <v>46040</v>
      </c>
      <c r="N340" s="343" t="s">
        <v>245</v>
      </c>
      <c r="O340" s="343" t="s">
        <v>124</v>
      </c>
    </row>
    <row r="341" spans="9:15">
      <c r="I341" s="343">
        <v>20260119</v>
      </c>
      <c r="J341" s="343">
        <v>16322.25</v>
      </c>
      <c r="K341" s="343">
        <v>57</v>
      </c>
      <c r="L341" s="343">
        <v>133</v>
      </c>
      <c r="M341" s="384">
        <v>46041</v>
      </c>
      <c r="N341" s="343" t="s">
        <v>232</v>
      </c>
      <c r="O341" s="343" t="s">
        <v>125</v>
      </c>
    </row>
    <row r="342" spans="9:15">
      <c r="I342" s="343">
        <v>20260120</v>
      </c>
      <c r="J342" s="343">
        <v>49958.1</v>
      </c>
      <c r="K342" s="343">
        <v>96</v>
      </c>
      <c r="L342" s="343">
        <v>275</v>
      </c>
      <c r="M342" s="384">
        <v>46042</v>
      </c>
      <c r="N342" s="343" t="s">
        <v>233</v>
      </c>
      <c r="O342" s="343" t="s">
        <v>125</v>
      </c>
    </row>
    <row r="343" spans="9:15">
      <c r="I343" s="343">
        <v>20260121</v>
      </c>
      <c r="J343" s="343">
        <v>35782.800000000003</v>
      </c>
      <c r="K343" s="343">
        <v>131</v>
      </c>
      <c r="L343" s="343">
        <v>313</v>
      </c>
      <c r="M343" s="384">
        <v>46043</v>
      </c>
      <c r="N343" s="343" t="s">
        <v>234</v>
      </c>
      <c r="O343" s="343" t="s">
        <v>125</v>
      </c>
    </row>
    <row r="344" spans="9:15">
      <c r="I344" s="343">
        <v>20260122</v>
      </c>
      <c r="J344" s="343">
        <v>50786.25</v>
      </c>
      <c r="K344" s="343">
        <v>206</v>
      </c>
      <c r="L344" s="343">
        <v>482</v>
      </c>
      <c r="M344" s="384">
        <v>46044</v>
      </c>
      <c r="N344" s="343" t="s">
        <v>235</v>
      </c>
      <c r="O344" s="343" t="s">
        <v>125</v>
      </c>
    </row>
    <row r="345" spans="9:15">
      <c r="I345" s="343">
        <v>20260123</v>
      </c>
      <c r="J345" s="343">
        <v>76803.8</v>
      </c>
      <c r="K345" s="343">
        <v>291</v>
      </c>
      <c r="L345" s="343">
        <v>678</v>
      </c>
      <c r="M345" s="384">
        <v>46045</v>
      </c>
      <c r="N345" s="343" t="s">
        <v>236</v>
      </c>
      <c r="O345" s="343" t="s">
        <v>125</v>
      </c>
    </row>
    <row r="346" spans="9:15">
      <c r="I346" s="343">
        <v>20260124</v>
      </c>
      <c r="J346" s="343">
        <v>80109</v>
      </c>
      <c r="K346" s="343">
        <v>280</v>
      </c>
      <c r="L346" s="343">
        <v>665</v>
      </c>
      <c r="M346" s="384">
        <v>46046</v>
      </c>
      <c r="N346" s="343" t="s">
        <v>244</v>
      </c>
      <c r="O346" s="343" t="s">
        <v>125</v>
      </c>
    </row>
    <row r="347" spans="9:15">
      <c r="I347" s="343">
        <v>20260125</v>
      </c>
      <c r="J347" s="343">
        <v>30089</v>
      </c>
      <c r="K347" s="343">
        <v>87</v>
      </c>
      <c r="L347" s="343">
        <v>223</v>
      </c>
      <c r="M347" s="384">
        <v>46047</v>
      </c>
      <c r="N347" s="343" t="s">
        <v>245</v>
      </c>
      <c r="O347" s="343" t="s">
        <v>125</v>
      </c>
    </row>
    <row r="348" spans="9:15">
      <c r="I348" s="343">
        <v>20260126</v>
      </c>
      <c r="J348" s="343">
        <v>57551.54</v>
      </c>
      <c r="K348" s="343">
        <v>106</v>
      </c>
      <c r="L348" s="343">
        <v>341</v>
      </c>
      <c r="M348" s="384">
        <v>46048</v>
      </c>
      <c r="N348" s="343" t="s">
        <v>232</v>
      </c>
      <c r="O348" s="343" t="s">
        <v>128</v>
      </c>
    </row>
    <row r="349" spans="9:15">
      <c r="I349" s="343">
        <v>20260127</v>
      </c>
      <c r="J349" s="343">
        <v>59723.69</v>
      </c>
      <c r="K349" s="343">
        <v>120</v>
      </c>
      <c r="L349" s="343">
        <v>374</v>
      </c>
      <c r="M349" s="384">
        <v>46049</v>
      </c>
      <c r="N349" s="343" t="s">
        <v>233</v>
      </c>
      <c r="O349" s="343" t="s">
        <v>128</v>
      </c>
    </row>
    <row r="350" spans="9:15">
      <c r="I350" s="343">
        <v>20260128</v>
      </c>
      <c r="J350" s="343">
        <v>40200.5</v>
      </c>
      <c r="K350" s="343">
        <v>115</v>
      </c>
      <c r="L350" s="343">
        <v>309</v>
      </c>
      <c r="M350" s="384">
        <v>46050</v>
      </c>
      <c r="N350" s="343" t="s">
        <v>234</v>
      </c>
      <c r="O350" s="343" t="s">
        <v>128</v>
      </c>
    </row>
    <row r="351" spans="9:15">
      <c r="I351" s="343">
        <v>20260129</v>
      </c>
      <c r="J351" s="343">
        <v>56346.25</v>
      </c>
      <c r="K351" s="343">
        <v>195</v>
      </c>
      <c r="L351" s="343">
        <v>470</v>
      </c>
      <c r="M351" s="384">
        <v>46051</v>
      </c>
      <c r="N351" s="343" t="s">
        <v>235</v>
      </c>
      <c r="O351" s="343" t="s">
        <v>128</v>
      </c>
    </row>
    <row r="352" spans="9:15">
      <c r="I352" s="343">
        <v>20260130</v>
      </c>
      <c r="J352" s="343">
        <v>63417.75</v>
      </c>
      <c r="K352" s="343">
        <v>233</v>
      </c>
      <c r="L352" s="343">
        <v>542</v>
      </c>
      <c r="M352" s="384">
        <v>46052</v>
      </c>
      <c r="N352" s="343" t="s">
        <v>236</v>
      </c>
      <c r="O352" s="343" t="s">
        <v>128</v>
      </c>
    </row>
    <row r="353" spans="9:15">
      <c r="I353" s="343">
        <v>20260131</v>
      </c>
      <c r="J353" s="343">
        <v>88648.41</v>
      </c>
      <c r="K353" s="343">
        <v>282</v>
      </c>
      <c r="L353" s="343">
        <v>701</v>
      </c>
      <c r="M353" s="384">
        <v>46053</v>
      </c>
      <c r="N353" s="343" t="s">
        <v>244</v>
      </c>
      <c r="O353" s="343" t="s">
        <v>128</v>
      </c>
    </row>
    <row r="354" spans="9:15">
      <c r="I354" s="343">
        <v>20260201</v>
      </c>
      <c r="J354" s="343">
        <v>34488.25</v>
      </c>
      <c r="K354" s="343">
        <v>82</v>
      </c>
      <c r="L354" s="343">
        <v>218</v>
      </c>
      <c r="M354" s="384">
        <v>46054</v>
      </c>
      <c r="N354" s="343" t="s">
        <v>245</v>
      </c>
      <c r="O354" s="343" t="s">
        <v>128</v>
      </c>
    </row>
    <row r="355" spans="9:15">
      <c r="I355" s="343">
        <v>20260202</v>
      </c>
      <c r="J355" s="343">
        <v>29887.75</v>
      </c>
      <c r="K355" s="343">
        <v>70</v>
      </c>
      <c r="L355" s="343">
        <v>194</v>
      </c>
      <c r="M355" s="384">
        <v>46055</v>
      </c>
      <c r="N355" s="343" t="s">
        <v>232</v>
      </c>
      <c r="O355" s="343" t="s">
        <v>129</v>
      </c>
    </row>
    <row r="356" spans="9:15">
      <c r="I356" s="343">
        <v>20260203</v>
      </c>
      <c r="J356" s="343">
        <v>58830.75</v>
      </c>
      <c r="K356" s="343">
        <v>8</v>
      </c>
      <c r="L356" s="343">
        <v>105</v>
      </c>
      <c r="M356" s="384">
        <v>46056</v>
      </c>
      <c r="N356" s="343" t="s">
        <v>233</v>
      </c>
      <c r="O356" s="343" t="s">
        <v>129</v>
      </c>
    </row>
    <row r="357" spans="9:15">
      <c r="I357" s="343">
        <v>20260204</v>
      </c>
      <c r="J357" s="343">
        <v>43523.199999999997</v>
      </c>
      <c r="K357" s="343">
        <v>142</v>
      </c>
      <c r="L357" s="343">
        <v>299</v>
      </c>
      <c r="M357" s="384">
        <v>46057</v>
      </c>
      <c r="N357" s="343" t="s">
        <v>234</v>
      </c>
      <c r="O357" s="343" t="s">
        <v>129</v>
      </c>
    </row>
    <row r="358" spans="9:15">
      <c r="I358" s="343">
        <v>20260205</v>
      </c>
      <c r="J358" s="343">
        <v>71698</v>
      </c>
      <c r="K358" s="343">
        <v>180</v>
      </c>
      <c r="L358" s="343">
        <v>419</v>
      </c>
      <c r="M358" s="384">
        <v>46058</v>
      </c>
      <c r="N358" s="343" t="s">
        <v>235</v>
      </c>
      <c r="O358" s="343" t="s">
        <v>129</v>
      </c>
    </row>
    <row r="359" spans="9:15">
      <c r="I359" s="343">
        <v>20260206</v>
      </c>
      <c r="J359" s="343">
        <v>68670.5</v>
      </c>
      <c r="K359" s="343">
        <v>322</v>
      </c>
      <c r="L359" s="343">
        <v>644</v>
      </c>
      <c r="M359" s="384">
        <v>46059</v>
      </c>
      <c r="N359" s="343" t="s">
        <v>236</v>
      </c>
      <c r="O359" s="343" t="s">
        <v>129</v>
      </c>
    </row>
    <row r="360" spans="9:15">
      <c r="I360" s="343">
        <v>20260207</v>
      </c>
      <c r="J360" s="343">
        <v>76995.75</v>
      </c>
      <c r="K360" s="343">
        <v>273</v>
      </c>
      <c r="L360" s="343">
        <v>638</v>
      </c>
      <c r="M360" s="384">
        <v>46060</v>
      </c>
      <c r="N360" s="343" t="s">
        <v>244</v>
      </c>
      <c r="O360" s="343" t="s">
        <v>129</v>
      </c>
    </row>
    <row r="361" spans="9:15">
      <c r="I361" s="343">
        <v>20260208</v>
      </c>
      <c r="J361" s="343">
        <v>10292.5</v>
      </c>
      <c r="K361" s="343">
        <v>40</v>
      </c>
      <c r="L361" s="343">
        <v>80</v>
      </c>
      <c r="M361" s="384">
        <v>46061</v>
      </c>
      <c r="N361" s="343" t="s">
        <v>245</v>
      </c>
      <c r="O361" s="343" t="s">
        <v>129</v>
      </c>
    </row>
    <row r="362" spans="9:15">
      <c r="I362" s="343">
        <v>20260209</v>
      </c>
      <c r="J362" s="343">
        <v>57210.44</v>
      </c>
      <c r="K362" s="343">
        <v>138</v>
      </c>
      <c r="L362" s="343">
        <v>522</v>
      </c>
      <c r="M362" s="384">
        <v>46062</v>
      </c>
      <c r="N362" s="343" t="s">
        <v>232</v>
      </c>
      <c r="O362" s="343" t="s">
        <v>130</v>
      </c>
    </row>
    <row r="363" spans="9:15">
      <c r="I363" s="343">
        <v>20260210</v>
      </c>
      <c r="J363" s="343">
        <v>32553.5</v>
      </c>
      <c r="K363" s="343">
        <v>113</v>
      </c>
      <c r="L363" s="343">
        <v>266</v>
      </c>
      <c r="M363" s="384">
        <v>46063</v>
      </c>
      <c r="N363" s="343" t="s">
        <v>233</v>
      </c>
      <c r="O363" s="343" t="s">
        <v>130</v>
      </c>
    </row>
    <row r="364" spans="9:15">
      <c r="I364" s="343">
        <v>20260211</v>
      </c>
      <c r="J364" s="343">
        <v>34267.699999999997</v>
      </c>
      <c r="K364" s="343">
        <v>118</v>
      </c>
      <c r="L364" s="343">
        <v>283</v>
      </c>
      <c r="M364" s="384">
        <v>46064</v>
      </c>
      <c r="N364" s="343" t="s">
        <v>234</v>
      </c>
      <c r="O364" s="343" t="s">
        <v>130</v>
      </c>
    </row>
    <row r="365" spans="9:15">
      <c r="I365" s="343">
        <v>20260212</v>
      </c>
      <c r="J365" s="343">
        <v>50891.25</v>
      </c>
      <c r="K365" s="343">
        <v>177</v>
      </c>
      <c r="L365" s="343">
        <v>427</v>
      </c>
      <c r="M365" s="384">
        <v>46065</v>
      </c>
      <c r="N365" s="343" t="s">
        <v>235</v>
      </c>
      <c r="O365" s="343" t="s">
        <v>130</v>
      </c>
    </row>
    <row r="366" spans="9:15">
      <c r="I366" s="343">
        <v>20260213</v>
      </c>
      <c r="J366" s="343">
        <v>91695.5</v>
      </c>
      <c r="K366" s="343">
        <v>303</v>
      </c>
      <c r="L366" s="343">
        <v>707</v>
      </c>
      <c r="M366" s="384">
        <v>46066</v>
      </c>
      <c r="N366" s="343" t="s">
        <v>236</v>
      </c>
      <c r="O366" s="343" t="s">
        <v>130</v>
      </c>
    </row>
    <row r="367" spans="9:15">
      <c r="I367" s="343">
        <v>20260214</v>
      </c>
      <c r="J367" s="343">
        <v>95635.5</v>
      </c>
      <c r="K367" s="343">
        <v>309</v>
      </c>
      <c r="L367" s="343">
        <v>713</v>
      </c>
      <c r="M367" s="384">
        <v>46067</v>
      </c>
      <c r="N367" s="343" t="s">
        <v>244</v>
      </c>
      <c r="O367" s="343" t="s">
        <v>130</v>
      </c>
    </row>
    <row r="368" spans="9:15">
      <c r="I368" s="343">
        <v>20260215</v>
      </c>
      <c r="J368" s="343">
        <v>55114.75</v>
      </c>
      <c r="K368" s="343">
        <v>156</v>
      </c>
      <c r="L368" s="343">
        <v>398</v>
      </c>
      <c r="M368" s="384">
        <v>46068</v>
      </c>
      <c r="N368" s="343" t="s">
        <v>245</v>
      </c>
      <c r="O368" s="343" t="s">
        <v>130</v>
      </c>
    </row>
    <row r="369" spans="9:15">
      <c r="I369" s="343">
        <v>20260216</v>
      </c>
      <c r="J369" s="343">
        <v>34780.25</v>
      </c>
      <c r="K369" s="343">
        <v>112</v>
      </c>
      <c r="L369" s="343">
        <v>343</v>
      </c>
      <c r="M369" s="384">
        <v>46069</v>
      </c>
      <c r="N369" s="343" t="s">
        <v>232</v>
      </c>
      <c r="O369" s="343" t="s">
        <v>131</v>
      </c>
    </row>
    <row r="370" spans="9:15">
      <c r="I370" s="343">
        <v>20260217</v>
      </c>
      <c r="J370" s="343">
        <v>45537.81</v>
      </c>
      <c r="K370" s="343">
        <v>106</v>
      </c>
      <c r="L370" s="343">
        <v>318</v>
      </c>
      <c r="M370" s="384">
        <v>46070</v>
      </c>
      <c r="N370" s="343" t="s">
        <v>233</v>
      </c>
      <c r="O370" s="343" t="s">
        <v>131</v>
      </c>
    </row>
    <row r="371" spans="9:15">
      <c r="I371" s="343">
        <v>20260218</v>
      </c>
      <c r="J371" s="343">
        <v>36826.78</v>
      </c>
      <c r="K371" s="343">
        <v>115</v>
      </c>
      <c r="L371" s="343">
        <v>287</v>
      </c>
      <c r="M371" s="384">
        <v>46071</v>
      </c>
      <c r="N371" s="343" t="s">
        <v>234</v>
      </c>
      <c r="O371" s="343" t="s">
        <v>131</v>
      </c>
    </row>
    <row r="372" spans="9:15">
      <c r="I372" s="343">
        <v>20260219</v>
      </c>
      <c r="J372" s="343">
        <v>80524.350000000006</v>
      </c>
      <c r="K372" s="343">
        <v>216</v>
      </c>
      <c r="L372" s="343">
        <v>487</v>
      </c>
      <c r="M372" s="384">
        <v>46072</v>
      </c>
      <c r="N372" s="343" t="s">
        <v>235</v>
      </c>
      <c r="O372" s="343" t="s">
        <v>131</v>
      </c>
    </row>
    <row r="373" spans="9:15">
      <c r="I373" s="343">
        <v>20260220</v>
      </c>
      <c r="J373" s="343">
        <v>68756</v>
      </c>
      <c r="K373" s="343">
        <v>269</v>
      </c>
      <c r="L373" s="343">
        <v>619</v>
      </c>
      <c r="M373" s="384">
        <v>46073</v>
      </c>
      <c r="N373" s="343" t="s">
        <v>236</v>
      </c>
      <c r="O373" s="343" t="s">
        <v>131</v>
      </c>
    </row>
    <row r="374" spans="9:15">
      <c r="I374" s="343">
        <v>20260221</v>
      </c>
      <c r="J374" s="343">
        <v>82028.5</v>
      </c>
      <c r="K374" s="343">
        <v>290</v>
      </c>
      <c r="L374" s="343">
        <v>703</v>
      </c>
      <c r="M374" s="384">
        <v>46074</v>
      </c>
      <c r="N374" s="343" t="s">
        <v>244</v>
      </c>
      <c r="O374" s="343" t="s">
        <v>131</v>
      </c>
    </row>
    <row r="375" spans="9:15">
      <c r="I375" s="343">
        <v>20260222</v>
      </c>
      <c r="J375" s="343">
        <v>34657.25</v>
      </c>
      <c r="K375" s="343">
        <v>99</v>
      </c>
      <c r="L375" s="343">
        <v>219</v>
      </c>
      <c r="M375" s="384">
        <v>46075</v>
      </c>
      <c r="N375" s="343" t="s">
        <v>245</v>
      </c>
      <c r="O375" s="343" t="s">
        <v>131</v>
      </c>
    </row>
    <row r="376" spans="9:15">
      <c r="I376" s="343">
        <v>20260223</v>
      </c>
      <c r="J376" s="343">
        <v>33035.25</v>
      </c>
      <c r="K376" s="343">
        <v>119</v>
      </c>
      <c r="L376" s="343">
        <v>255</v>
      </c>
      <c r="M376" s="384">
        <v>46076</v>
      </c>
      <c r="N376" s="343" t="s">
        <v>232</v>
      </c>
      <c r="O376" s="343" t="s">
        <v>134</v>
      </c>
    </row>
    <row r="377" spans="9:15">
      <c r="I377" s="343">
        <v>20260224</v>
      </c>
      <c r="J377" s="343">
        <v>56156.95</v>
      </c>
      <c r="K377" s="343">
        <v>127</v>
      </c>
      <c r="L377" s="343">
        <v>312</v>
      </c>
      <c r="M377" s="384">
        <v>46077</v>
      </c>
      <c r="N377" s="343" t="s">
        <v>233</v>
      </c>
      <c r="O377" s="343" t="s">
        <v>134</v>
      </c>
    </row>
    <row r="378" spans="9:15">
      <c r="I378" s="343">
        <v>20260225</v>
      </c>
      <c r="J378" s="343">
        <v>42159.1</v>
      </c>
      <c r="K378" s="343">
        <v>130</v>
      </c>
      <c r="L378" s="343">
        <v>320</v>
      </c>
      <c r="M378" s="384">
        <v>46078</v>
      </c>
      <c r="N378" s="343" t="s">
        <v>234</v>
      </c>
      <c r="O378" s="343" t="s">
        <v>134</v>
      </c>
    </row>
    <row r="379" spans="9:15">
      <c r="I379" s="343">
        <v>20260226</v>
      </c>
      <c r="J379" s="343">
        <v>54017.5</v>
      </c>
      <c r="K379" s="343">
        <v>185</v>
      </c>
      <c r="L379" s="343">
        <v>417</v>
      </c>
      <c r="M379" s="384">
        <v>46079</v>
      </c>
      <c r="N379" s="343" t="s">
        <v>235</v>
      </c>
      <c r="O379" s="343" t="s">
        <v>134</v>
      </c>
    </row>
    <row r="380" spans="9:15">
      <c r="I380" s="343">
        <v>20260227</v>
      </c>
      <c r="J380" s="343">
        <v>86609.26</v>
      </c>
      <c r="K380" s="343">
        <v>319</v>
      </c>
      <c r="L380" s="343">
        <v>721</v>
      </c>
      <c r="M380" s="384">
        <v>46080</v>
      </c>
      <c r="N380" s="343" t="s">
        <v>236</v>
      </c>
      <c r="O380" s="343" t="s">
        <v>134</v>
      </c>
    </row>
    <row r="381" spans="9:15">
      <c r="I381" s="343">
        <v>20260228</v>
      </c>
      <c r="J381" s="343">
        <v>84419.25</v>
      </c>
      <c r="K381" s="343">
        <v>290</v>
      </c>
      <c r="L381" s="343">
        <v>713</v>
      </c>
      <c r="M381" s="384">
        <v>46081</v>
      </c>
      <c r="N381" s="343" t="s">
        <v>244</v>
      </c>
      <c r="O381" s="343" t="s">
        <v>134</v>
      </c>
    </row>
    <row r="382" spans="9:15">
      <c r="I382" s="343">
        <v>20260301</v>
      </c>
      <c r="J382" s="343">
        <v>30007.5</v>
      </c>
      <c r="K382" s="343">
        <v>103</v>
      </c>
      <c r="L382" s="343">
        <v>216</v>
      </c>
      <c r="M382" s="384">
        <v>46082</v>
      </c>
      <c r="N382" s="343" t="s">
        <v>245</v>
      </c>
      <c r="O382" s="343" t="s">
        <v>134</v>
      </c>
    </row>
    <row r="383" spans="9:15">
      <c r="I383" s="343">
        <v>20260302</v>
      </c>
      <c r="J383" s="343">
        <v>39216.35</v>
      </c>
      <c r="K383" s="343">
        <v>122</v>
      </c>
      <c r="L383" s="343">
        <v>311</v>
      </c>
      <c r="M383" s="384">
        <v>46083</v>
      </c>
      <c r="N383" s="343" t="s">
        <v>232</v>
      </c>
      <c r="O383" s="343" t="s">
        <v>135</v>
      </c>
    </row>
    <row r="384" spans="9:15">
      <c r="I384" s="343">
        <v>20260303</v>
      </c>
      <c r="J384" s="343">
        <v>25532.5</v>
      </c>
      <c r="K384" s="343">
        <v>92</v>
      </c>
      <c r="L384" s="343">
        <v>207</v>
      </c>
      <c r="M384" s="384">
        <v>46084</v>
      </c>
      <c r="N384" s="343" t="s">
        <v>233</v>
      </c>
      <c r="O384" s="343" t="s">
        <v>135</v>
      </c>
    </row>
    <row r="385" spans="9:15">
      <c r="I385" s="343">
        <v>20260304</v>
      </c>
      <c r="J385" s="343">
        <v>39622.25</v>
      </c>
      <c r="K385" s="343">
        <v>134</v>
      </c>
      <c r="L385" s="343">
        <v>301</v>
      </c>
      <c r="M385" s="384">
        <v>46085</v>
      </c>
      <c r="N385" s="343" t="s">
        <v>234</v>
      </c>
      <c r="O385" s="343" t="s">
        <v>135</v>
      </c>
    </row>
    <row r="386" spans="9:15">
      <c r="I386" s="343">
        <v>20260305</v>
      </c>
      <c r="J386" s="343">
        <v>58259.95</v>
      </c>
      <c r="K386" s="343">
        <v>169</v>
      </c>
      <c r="L386" s="343">
        <v>451</v>
      </c>
      <c r="M386" s="384">
        <v>46086</v>
      </c>
      <c r="N386" s="343" t="s">
        <v>235</v>
      </c>
      <c r="O386" s="343" t="s">
        <v>135</v>
      </c>
    </row>
    <row r="387" spans="9:15">
      <c r="I387" s="343">
        <v>20260306</v>
      </c>
      <c r="J387" s="343">
        <v>67049.5</v>
      </c>
      <c r="K387" s="343">
        <v>233</v>
      </c>
      <c r="L387" s="343">
        <v>540</v>
      </c>
      <c r="M387" s="384">
        <v>46087</v>
      </c>
      <c r="N387" s="343" t="s">
        <v>236</v>
      </c>
      <c r="O387" s="343" t="s">
        <v>135</v>
      </c>
    </row>
    <row r="388" spans="9:15">
      <c r="I388" s="343">
        <v>20260307</v>
      </c>
      <c r="J388" s="343">
        <v>73963.8</v>
      </c>
      <c r="K388" s="343">
        <v>299</v>
      </c>
      <c r="L388" s="343">
        <v>691</v>
      </c>
      <c r="M388" s="384">
        <v>46088</v>
      </c>
      <c r="N388" s="343" t="s">
        <v>244</v>
      </c>
      <c r="O388" s="343" t="s">
        <v>135</v>
      </c>
    </row>
    <row r="389" spans="9:15">
      <c r="I389" s="343">
        <v>20260308</v>
      </c>
      <c r="J389" s="343">
        <v>34663.25</v>
      </c>
      <c r="K389" s="343">
        <v>99</v>
      </c>
      <c r="L389" s="343">
        <v>258</v>
      </c>
      <c r="M389" s="384">
        <v>46089</v>
      </c>
      <c r="N389" s="343" t="s">
        <v>245</v>
      </c>
      <c r="O389" s="343" t="s">
        <v>135</v>
      </c>
    </row>
    <row r="390" spans="9:15">
      <c r="I390" s="343">
        <v>20260309</v>
      </c>
      <c r="J390" s="343">
        <v>28911.5</v>
      </c>
      <c r="K390" s="343">
        <v>81</v>
      </c>
      <c r="L390" s="343">
        <v>221</v>
      </c>
      <c r="M390" s="384">
        <v>46090</v>
      </c>
      <c r="N390" s="343" t="s">
        <v>232</v>
      </c>
      <c r="O390" s="343" t="s">
        <v>136</v>
      </c>
    </row>
    <row r="391" spans="9:15">
      <c r="I391" s="343">
        <v>20260310</v>
      </c>
      <c r="J391" s="343">
        <v>29199.5</v>
      </c>
      <c r="K391" s="343">
        <v>94</v>
      </c>
      <c r="L391" s="343">
        <v>229</v>
      </c>
      <c r="M391" s="384">
        <v>46091</v>
      </c>
      <c r="N391" s="343" t="s">
        <v>233</v>
      </c>
      <c r="O391" s="343" t="s">
        <v>136</v>
      </c>
    </row>
    <row r="392" spans="9:15">
      <c r="I392" s="343">
        <v>20260311</v>
      </c>
      <c r="J392" s="343">
        <v>34594.300000000003</v>
      </c>
      <c r="K392" s="343">
        <v>97</v>
      </c>
      <c r="L392" s="343">
        <v>247</v>
      </c>
      <c r="M392" s="384">
        <v>46092</v>
      </c>
      <c r="N392" s="343" t="s">
        <v>234</v>
      </c>
      <c r="O392" s="343" t="s">
        <v>136</v>
      </c>
    </row>
    <row r="393" spans="9:15">
      <c r="I393" s="343">
        <v>20260312</v>
      </c>
      <c r="J393" s="343">
        <v>48513</v>
      </c>
      <c r="K393" s="343">
        <v>156</v>
      </c>
      <c r="L393" s="343">
        <v>399</v>
      </c>
      <c r="M393" s="384">
        <v>46093</v>
      </c>
      <c r="N393" s="343" t="s">
        <v>235</v>
      </c>
      <c r="O393" s="343" t="s">
        <v>136</v>
      </c>
    </row>
    <row r="394" spans="9:15">
      <c r="I394" s="343">
        <v>20260313</v>
      </c>
      <c r="J394" s="343">
        <v>67182.350000000006</v>
      </c>
      <c r="K394" s="343">
        <v>249</v>
      </c>
      <c r="L394" s="343">
        <v>584</v>
      </c>
      <c r="M394" s="384">
        <v>46094</v>
      </c>
      <c r="N394" s="343" t="s">
        <v>236</v>
      </c>
      <c r="O394" s="343" t="s">
        <v>136</v>
      </c>
    </row>
    <row r="395" spans="9:15">
      <c r="I395" s="343">
        <v>20260314</v>
      </c>
      <c r="J395" s="343">
        <v>75884.5</v>
      </c>
      <c r="K395" s="343">
        <v>256</v>
      </c>
      <c r="L395" s="343">
        <v>696</v>
      </c>
      <c r="M395" s="384">
        <v>46095</v>
      </c>
      <c r="N395" s="343" t="s">
        <v>244</v>
      </c>
      <c r="O395" s="343" t="s">
        <v>136</v>
      </c>
    </row>
    <row r="396" spans="9:15">
      <c r="I396" s="343">
        <v>20260315</v>
      </c>
      <c r="J396" s="343">
        <v>24384.5</v>
      </c>
      <c r="K396" s="343">
        <v>71</v>
      </c>
      <c r="L396" s="343">
        <v>181</v>
      </c>
      <c r="M396" s="384">
        <v>46096</v>
      </c>
      <c r="N396" s="343" t="s">
        <v>245</v>
      </c>
      <c r="O396" s="343" t="s">
        <v>136</v>
      </c>
    </row>
    <row r="397" spans="9:15">
      <c r="I397" s="343">
        <v>20260316</v>
      </c>
      <c r="J397" s="343">
        <v>30414.75</v>
      </c>
      <c r="K397" s="343">
        <v>105</v>
      </c>
      <c r="L397" s="343">
        <v>223</v>
      </c>
      <c r="M397" s="384">
        <v>46097</v>
      </c>
      <c r="N397" s="343" t="s">
        <v>232</v>
      </c>
      <c r="O397" s="343" t="s">
        <v>137</v>
      </c>
    </row>
    <row r="398" spans="9:15">
      <c r="I398" s="343">
        <v>20260317</v>
      </c>
      <c r="J398" s="343">
        <v>40</v>
      </c>
      <c r="K398" s="343">
        <v>1</v>
      </c>
      <c r="L398" s="343">
        <v>1</v>
      </c>
      <c r="M398" s="384">
        <v>46098</v>
      </c>
      <c r="N398" s="343" t="s">
        <v>233</v>
      </c>
      <c r="O398" s="343" t="s">
        <v>137</v>
      </c>
    </row>
    <row r="399" spans="9:15">
      <c r="I399" s="343">
        <v>20260318</v>
      </c>
      <c r="J399" s="343">
        <v>33405.589999999997</v>
      </c>
      <c r="K399" s="343">
        <v>115</v>
      </c>
      <c r="L399" s="343">
        <v>292</v>
      </c>
      <c r="M399" s="384">
        <v>46099</v>
      </c>
      <c r="N399" s="343" t="s">
        <v>234</v>
      </c>
      <c r="O399" s="343" t="s">
        <v>137</v>
      </c>
    </row>
    <row r="400" spans="9:15">
      <c r="I400" s="343">
        <v>20260319</v>
      </c>
      <c r="J400" s="343">
        <v>41953.75</v>
      </c>
      <c r="K400" s="343">
        <v>140</v>
      </c>
      <c r="L400" s="343">
        <v>330</v>
      </c>
      <c r="M400" s="384">
        <v>46100</v>
      </c>
      <c r="N400" s="343" t="s">
        <v>235</v>
      </c>
      <c r="O400" s="343" t="s">
        <v>137</v>
      </c>
    </row>
    <row r="401" spans="9:15">
      <c r="I401" s="343">
        <v>20260320</v>
      </c>
      <c r="J401" s="343">
        <v>69716.5</v>
      </c>
      <c r="K401" s="343">
        <v>221</v>
      </c>
      <c r="L401" s="343">
        <v>548</v>
      </c>
      <c r="M401" s="384">
        <v>46101</v>
      </c>
      <c r="N401" s="343" t="s">
        <v>236</v>
      </c>
      <c r="O401" s="343" t="s">
        <v>137</v>
      </c>
    </row>
    <row r="402" spans="9:15">
      <c r="I402" s="343">
        <v>20260321</v>
      </c>
      <c r="J402" s="343">
        <v>80232.25</v>
      </c>
      <c r="K402" s="343">
        <v>241</v>
      </c>
      <c r="L402" s="343">
        <v>636</v>
      </c>
      <c r="M402" s="384">
        <v>46102</v>
      </c>
      <c r="N402" s="343" t="s">
        <v>244</v>
      </c>
      <c r="O402" s="343" t="s">
        <v>137</v>
      </c>
    </row>
    <row r="403" spans="9:15">
      <c r="I403" s="343">
        <v>20260322</v>
      </c>
      <c r="J403" s="343">
        <v>22966</v>
      </c>
      <c r="K403" s="343">
        <v>70</v>
      </c>
      <c r="L403" s="343">
        <v>178</v>
      </c>
      <c r="M403" s="384">
        <v>46103</v>
      </c>
      <c r="N403" s="343" t="s">
        <v>245</v>
      </c>
      <c r="O403" s="343" t="s">
        <v>137</v>
      </c>
    </row>
    <row r="404" spans="9:15">
      <c r="I404" s="343">
        <v>20260323</v>
      </c>
      <c r="J404" s="343">
        <v>27893.5</v>
      </c>
      <c r="K404" s="343">
        <v>82</v>
      </c>
      <c r="L404" s="343">
        <v>201</v>
      </c>
      <c r="M404" s="384">
        <v>46104</v>
      </c>
      <c r="N404" s="343" t="s">
        <v>232</v>
      </c>
      <c r="O404" s="343" t="s">
        <v>138</v>
      </c>
    </row>
    <row r="405" spans="9:15">
      <c r="I405" s="343">
        <v>20260324</v>
      </c>
      <c r="J405" s="343">
        <v>32182</v>
      </c>
      <c r="K405" s="343">
        <v>93</v>
      </c>
      <c r="L405" s="343">
        <v>230</v>
      </c>
      <c r="M405" s="384">
        <v>46105</v>
      </c>
      <c r="N405" s="343" t="s">
        <v>233</v>
      </c>
      <c r="O405" s="343" t="s">
        <v>138</v>
      </c>
    </row>
    <row r="406" spans="9:15">
      <c r="I406" s="343">
        <v>20260325</v>
      </c>
      <c r="J406" s="343">
        <v>47029.5</v>
      </c>
      <c r="K406" s="343">
        <v>146</v>
      </c>
      <c r="L406" s="343">
        <v>375</v>
      </c>
      <c r="M406" s="384">
        <v>46106</v>
      </c>
      <c r="N406" s="343" t="s">
        <v>234</v>
      </c>
      <c r="O406" s="343" t="s">
        <v>138</v>
      </c>
    </row>
    <row r="407" spans="9:15">
      <c r="I407" s="343">
        <v>20260326</v>
      </c>
      <c r="J407" s="343">
        <v>53709.1</v>
      </c>
      <c r="K407" s="343">
        <v>136</v>
      </c>
      <c r="L407" s="343">
        <v>400</v>
      </c>
      <c r="M407" s="384">
        <v>46107</v>
      </c>
      <c r="N407" s="343" t="s">
        <v>235</v>
      </c>
      <c r="O407" s="343" t="s">
        <v>138</v>
      </c>
    </row>
    <row r="408" spans="9:15">
      <c r="I408" s="343">
        <v>20260327</v>
      </c>
      <c r="J408" s="343">
        <v>55502</v>
      </c>
      <c r="K408" s="343">
        <v>202</v>
      </c>
      <c r="L408" s="343">
        <v>525</v>
      </c>
      <c r="M408" s="384">
        <v>46108</v>
      </c>
      <c r="N408" s="343" t="s">
        <v>236</v>
      </c>
      <c r="O408" s="343" t="s">
        <v>138</v>
      </c>
    </row>
    <row r="409" spans="9:15">
      <c r="I409" s="343">
        <v>20260328</v>
      </c>
      <c r="J409" s="343">
        <v>82922.7</v>
      </c>
      <c r="K409" s="343">
        <v>245</v>
      </c>
      <c r="L409" s="343">
        <v>654</v>
      </c>
      <c r="M409" s="384">
        <v>46109</v>
      </c>
      <c r="N409" s="343" t="s">
        <v>244</v>
      </c>
      <c r="O409" s="343" t="s">
        <v>138</v>
      </c>
    </row>
    <row r="410" spans="9:15">
      <c r="I410" s="343">
        <v>20260329</v>
      </c>
      <c r="J410" s="343">
        <v>26449.75</v>
      </c>
      <c r="K410" s="343">
        <v>71</v>
      </c>
      <c r="L410" s="343">
        <v>183</v>
      </c>
      <c r="M410" s="384">
        <v>46110</v>
      </c>
      <c r="N410" s="343" t="s">
        <v>245</v>
      </c>
      <c r="O410" s="343" t="s">
        <v>138</v>
      </c>
    </row>
    <row r="411" spans="9:15">
      <c r="I411" s="343">
        <v>20260330</v>
      </c>
      <c r="J411" s="343">
        <v>39721.75</v>
      </c>
      <c r="K411" s="343">
        <v>108</v>
      </c>
      <c r="L411" s="343">
        <v>304</v>
      </c>
      <c r="M411" s="384">
        <v>46111</v>
      </c>
      <c r="N411" s="343" t="s">
        <v>232</v>
      </c>
      <c r="O411" s="343" t="s">
        <v>141</v>
      </c>
    </row>
    <row r="412" spans="9:15">
      <c r="I412" s="343">
        <v>20260331</v>
      </c>
      <c r="J412" s="343">
        <v>35468.5</v>
      </c>
      <c r="K412" s="343">
        <v>105</v>
      </c>
      <c r="L412" s="343">
        <v>289</v>
      </c>
      <c r="M412" s="384">
        <v>46112</v>
      </c>
      <c r="N412" s="343" t="s">
        <v>233</v>
      </c>
      <c r="O412" s="343" t="s">
        <v>141</v>
      </c>
    </row>
    <row r="413" spans="9:15">
      <c r="I413" s="343">
        <v>20260401</v>
      </c>
      <c r="J413" s="343">
        <v>34059</v>
      </c>
      <c r="K413" s="343">
        <v>110</v>
      </c>
      <c r="L413" s="343">
        <v>259</v>
      </c>
      <c r="M413" s="384">
        <v>46113</v>
      </c>
      <c r="N413" s="343" t="s">
        <v>234</v>
      </c>
      <c r="O413" s="343" t="s">
        <v>141</v>
      </c>
    </row>
    <row r="414" spans="9:15">
      <c r="I414" s="343">
        <v>20260402</v>
      </c>
      <c r="J414" s="343">
        <v>44952</v>
      </c>
      <c r="K414" s="343">
        <v>139</v>
      </c>
      <c r="L414" s="343">
        <v>378</v>
      </c>
      <c r="M414" s="384">
        <v>46114</v>
      </c>
      <c r="N414" s="343" t="s">
        <v>235</v>
      </c>
      <c r="O414" s="343" t="s">
        <v>141</v>
      </c>
    </row>
    <row r="415" spans="9:15">
      <c r="I415" s="343">
        <v>20260403</v>
      </c>
      <c r="J415" s="343">
        <v>72043.66</v>
      </c>
      <c r="K415" s="343">
        <v>234</v>
      </c>
      <c r="L415" s="343">
        <v>592</v>
      </c>
      <c r="M415" s="384">
        <v>46115</v>
      </c>
      <c r="N415" s="343" t="s">
        <v>236</v>
      </c>
      <c r="O415" s="343" t="s">
        <v>141</v>
      </c>
    </row>
    <row r="416" spans="9:15">
      <c r="I416" s="343">
        <v>20260404</v>
      </c>
      <c r="J416" s="343">
        <v>81899.789999999994</v>
      </c>
      <c r="K416" s="343">
        <v>260</v>
      </c>
      <c r="L416" s="343">
        <v>748</v>
      </c>
      <c r="M416" s="384">
        <v>46116</v>
      </c>
      <c r="N416" s="343" t="s">
        <v>244</v>
      </c>
      <c r="O416" s="343" t="s">
        <v>141</v>
      </c>
    </row>
    <row r="417" spans="9:15">
      <c r="I417" s="343">
        <v>20260405</v>
      </c>
      <c r="J417" s="343">
        <v>23714.5</v>
      </c>
      <c r="K417" s="343">
        <v>74</v>
      </c>
      <c r="L417" s="343">
        <v>197</v>
      </c>
      <c r="M417" s="384">
        <v>46117</v>
      </c>
      <c r="N417" s="343" t="s">
        <v>245</v>
      </c>
      <c r="O417" s="343" t="s">
        <v>141</v>
      </c>
    </row>
    <row r="418" spans="9:15">
      <c r="I418" s="343">
        <v>20260406</v>
      </c>
      <c r="J418" s="343">
        <v>23920.39</v>
      </c>
      <c r="K418" s="343">
        <v>89</v>
      </c>
      <c r="L418" s="343">
        <v>215</v>
      </c>
      <c r="M418" s="384">
        <v>46118</v>
      </c>
      <c r="N418" s="343" t="s">
        <v>232</v>
      </c>
      <c r="O418" s="343" t="s">
        <v>142</v>
      </c>
    </row>
    <row r="419" spans="9:15">
      <c r="I419" s="343">
        <v>20260407</v>
      </c>
      <c r="J419" s="343">
        <v>19628.400000000001</v>
      </c>
      <c r="K419" s="343">
        <v>74</v>
      </c>
      <c r="L419" s="343">
        <v>173</v>
      </c>
      <c r="M419" s="384">
        <v>46119</v>
      </c>
      <c r="N419" s="343" t="s">
        <v>233</v>
      </c>
      <c r="O419" s="343" t="s">
        <v>142</v>
      </c>
    </row>
    <row r="420" spans="9:15">
      <c r="I420" s="343">
        <v>20260408</v>
      </c>
      <c r="J420" s="343">
        <v>34278</v>
      </c>
      <c r="K420" s="343">
        <v>120</v>
      </c>
      <c r="L420" s="343">
        <v>281</v>
      </c>
      <c r="M420" s="384">
        <v>46120</v>
      </c>
      <c r="N420" s="343" t="s">
        <v>234</v>
      </c>
      <c r="O420" s="343" t="s">
        <v>142</v>
      </c>
    </row>
    <row r="421" spans="9:15">
      <c r="I421" s="343">
        <v>20260409</v>
      </c>
      <c r="J421" s="343">
        <v>49721.75</v>
      </c>
      <c r="K421" s="343">
        <v>130</v>
      </c>
      <c r="L421" s="343">
        <v>389</v>
      </c>
      <c r="M421" s="384">
        <v>46121</v>
      </c>
      <c r="N421" s="343" t="s">
        <v>235</v>
      </c>
      <c r="O421" s="343" t="s">
        <v>142</v>
      </c>
    </row>
    <row r="422" spans="9:15">
      <c r="I422" s="343">
        <v>20260410</v>
      </c>
      <c r="J422" s="343">
        <v>71888.72</v>
      </c>
      <c r="K422" s="343">
        <v>251</v>
      </c>
      <c r="L422" s="343">
        <v>572</v>
      </c>
      <c r="M422" s="384">
        <v>46122</v>
      </c>
      <c r="N422" s="343" t="s">
        <v>236</v>
      </c>
      <c r="O422" s="343" t="s">
        <v>142</v>
      </c>
    </row>
    <row r="423" spans="9:15">
      <c r="I423" s="343">
        <v>20260411</v>
      </c>
      <c r="J423" s="343">
        <v>76147.5</v>
      </c>
      <c r="K423" s="343">
        <v>244</v>
      </c>
      <c r="L423" s="343">
        <v>629</v>
      </c>
      <c r="M423" s="384">
        <v>46123</v>
      </c>
      <c r="N423" s="343" t="s">
        <v>244</v>
      </c>
      <c r="O423" s="343" t="s">
        <v>142</v>
      </c>
    </row>
    <row r="424" spans="9:15">
      <c r="I424" s="343">
        <v>20260412</v>
      </c>
      <c r="J424" s="343">
        <v>17020.75</v>
      </c>
      <c r="K424" s="343">
        <v>60</v>
      </c>
      <c r="L424" s="343">
        <v>151</v>
      </c>
      <c r="M424" s="384">
        <v>46124</v>
      </c>
      <c r="N424" s="343" t="s">
        <v>245</v>
      </c>
      <c r="O424" s="343" t="s">
        <v>142</v>
      </c>
    </row>
    <row r="425" spans="9:15">
      <c r="I425" s="343">
        <v>20260413</v>
      </c>
      <c r="J425" s="343">
        <v>28474</v>
      </c>
      <c r="K425" s="343">
        <v>87</v>
      </c>
      <c r="L425" s="343">
        <v>229</v>
      </c>
      <c r="M425" s="384">
        <v>46125</v>
      </c>
      <c r="N425" s="343" t="s">
        <v>232</v>
      </c>
      <c r="O425" s="343" t="s">
        <v>143</v>
      </c>
    </row>
    <row r="426" spans="9:15">
      <c r="I426" s="343">
        <v>20260414</v>
      </c>
      <c r="J426" s="343">
        <v>24145.75</v>
      </c>
      <c r="K426" s="343">
        <v>88</v>
      </c>
      <c r="L426" s="343">
        <v>196</v>
      </c>
      <c r="M426" s="384">
        <v>46126</v>
      </c>
      <c r="N426" s="343" t="s">
        <v>233</v>
      </c>
      <c r="O426" s="343" t="s">
        <v>143</v>
      </c>
    </row>
    <row r="427" spans="9:15">
      <c r="I427" s="343">
        <v>20260415</v>
      </c>
      <c r="J427" s="343">
        <v>26984.5</v>
      </c>
      <c r="K427" s="343">
        <v>81</v>
      </c>
      <c r="L427" s="343">
        <v>184</v>
      </c>
      <c r="M427" s="384">
        <v>46127</v>
      </c>
      <c r="N427" s="343" t="s">
        <v>234</v>
      </c>
      <c r="O427" s="343" t="s">
        <v>143</v>
      </c>
    </row>
    <row r="428" spans="9:15">
      <c r="I428" s="343">
        <v>20260416</v>
      </c>
      <c r="J428" s="343">
        <v>44674.75</v>
      </c>
      <c r="K428" s="343">
        <v>158</v>
      </c>
      <c r="L428" s="343">
        <v>414</v>
      </c>
      <c r="M428" s="384">
        <v>46128</v>
      </c>
      <c r="N428" s="343" t="s">
        <v>235</v>
      </c>
      <c r="O428" s="343" t="s">
        <v>143</v>
      </c>
    </row>
    <row r="429" spans="9:15">
      <c r="I429" s="343">
        <v>20260417</v>
      </c>
      <c r="J429" s="343">
        <v>56199.5</v>
      </c>
      <c r="K429" s="343">
        <v>220</v>
      </c>
      <c r="L429" s="343">
        <v>563</v>
      </c>
      <c r="M429" s="384">
        <v>46129</v>
      </c>
      <c r="N429" s="343" t="s">
        <v>236</v>
      </c>
      <c r="O429" s="343" t="s">
        <v>143</v>
      </c>
    </row>
    <row r="430" spans="9:15">
      <c r="I430" s="343">
        <v>20260418</v>
      </c>
      <c r="J430" s="343">
        <v>68416.800000000003</v>
      </c>
      <c r="K430" s="343">
        <v>264</v>
      </c>
      <c r="L430" s="343">
        <v>677</v>
      </c>
      <c r="M430" s="384">
        <v>46130</v>
      </c>
      <c r="N430" s="343" t="s">
        <v>244</v>
      </c>
      <c r="O430" s="343" t="s">
        <v>143</v>
      </c>
    </row>
    <row r="431" spans="9:15">
      <c r="I431" s="343">
        <v>20260419</v>
      </c>
      <c r="J431" s="343">
        <v>20744</v>
      </c>
      <c r="K431" s="343">
        <v>62</v>
      </c>
      <c r="L431" s="343">
        <v>163</v>
      </c>
      <c r="M431" s="384">
        <v>46131</v>
      </c>
      <c r="N431" s="343" t="s">
        <v>245</v>
      </c>
      <c r="O431" s="343" t="s">
        <v>143</v>
      </c>
    </row>
    <row r="432" spans="9:15">
      <c r="I432" s="343">
        <v>20260420</v>
      </c>
      <c r="J432" s="343">
        <v>26926.75</v>
      </c>
      <c r="K432" s="343">
        <v>90</v>
      </c>
      <c r="L432" s="343">
        <v>231</v>
      </c>
      <c r="M432" s="384">
        <v>46132</v>
      </c>
      <c r="N432" s="343" t="s">
        <v>232</v>
      </c>
      <c r="O432" s="343" t="s">
        <v>144</v>
      </c>
    </row>
    <row r="433" spans="9:15">
      <c r="I433" s="343">
        <v>20260421</v>
      </c>
      <c r="J433" s="343">
        <v>33445.300000000003</v>
      </c>
      <c r="K433" s="343">
        <v>104</v>
      </c>
      <c r="L433" s="343">
        <v>273</v>
      </c>
      <c r="M433" s="384">
        <v>46133</v>
      </c>
      <c r="N433" s="343" t="s">
        <v>233</v>
      </c>
      <c r="O433" s="343" t="s">
        <v>144</v>
      </c>
    </row>
    <row r="434" spans="9:15">
      <c r="I434" s="343">
        <v>20260422</v>
      </c>
      <c r="J434" s="343">
        <v>82215</v>
      </c>
      <c r="K434" s="343">
        <v>7</v>
      </c>
      <c r="L434" s="343">
        <v>146</v>
      </c>
      <c r="M434" s="384">
        <v>46134</v>
      </c>
      <c r="N434" s="343" t="s">
        <v>234</v>
      </c>
      <c r="O434" s="343" t="s">
        <v>144</v>
      </c>
    </row>
    <row r="435" spans="9:15">
      <c r="I435" s="343">
        <v>20260423</v>
      </c>
      <c r="J435" s="343">
        <v>35561.75</v>
      </c>
      <c r="K435" s="343">
        <v>127</v>
      </c>
      <c r="L435" s="343">
        <v>317</v>
      </c>
      <c r="M435" s="384">
        <v>46135</v>
      </c>
      <c r="N435" s="343" t="s">
        <v>235</v>
      </c>
      <c r="O435" s="343" t="s">
        <v>144</v>
      </c>
    </row>
    <row r="436" spans="9:15">
      <c r="I436" s="343">
        <v>20260424</v>
      </c>
      <c r="J436" s="343">
        <v>66341.899999999994</v>
      </c>
      <c r="K436" s="343">
        <v>235</v>
      </c>
      <c r="L436" s="343">
        <v>593</v>
      </c>
      <c r="M436" s="384">
        <v>46136</v>
      </c>
      <c r="N436" s="343" t="s">
        <v>236</v>
      </c>
      <c r="O436" s="343" t="s">
        <v>144</v>
      </c>
    </row>
    <row r="437" spans="9:15">
      <c r="I437" s="343">
        <v>20260425</v>
      </c>
      <c r="J437" s="343">
        <v>75128.25</v>
      </c>
      <c r="K437" s="343">
        <v>219</v>
      </c>
      <c r="L437" s="343">
        <v>569</v>
      </c>
      <c r="M437" s="384">
        <v>46137</v>
      </c>
      <c r="N437" s="343" t="s">
        <v>244</v>
      </c>
      <c r="O437" s="343" t="s">
        <v>144</v>
      </c>
    </row>
    <row r="438" spans="9:15">
      <c r="I438" s="343">
        <v>20260426</v>
      </c>
      <c r="J438" s="343">
        <v>22109.74</v>
      </c>
      <c r="K438" s="343">
        <v>79</v>
      </c>
      <c r="L438" s="343">
        <v>190</v>
      </c>
      <c r="M438" s="384">
        <v>46138</v>
      </c>
      <c r="N438" s="343" t="s">
        <v>245</v>
      </c>
      <c r="O438" s="343" t="s">
        <v>144</v>
      </c>
    </row>
    <row r="439" spans="9:15">
      <c r="I439" s="343">
        <v>20260427</v>
      </c>
      <c r="J439" s="343">
        <v>36365.65</v>
      </c>
      <c r="K439" s="343">
        <v>98</v>
      </c>
      <c r="L439" s="343">
        <v>263</v>
      </c>
      <c r="M439" s="384">
        <v>46139</v>
      </c>
      <c r="N439" s="343" t="s">
        <v>232</v>
      </c>
      <c r="O439" s="343" t="s">
        <v>147</v>
      </c>
    </row>
    <row r="440" spans="9:15">
      <c r="I440" s="343">
        <v>20260428</v>
      </c>
      <c r="J440" s="343">
        <v>22750</v>
      </c>
      <c r="K440" s="343">
        <v>84</v>
      </c>
      <c r="L440" s="343">
        <v>221</v>
      </c>
      <c r="M440" s="384">
        <v>46140</v>
      </c>
      <c r="N440" s="343" t="s">
        <v>233</v>
      </c>
      <c r="O440" s="343" t="s">
        <v>147</v>
      </c>
    </row>
    <row r="441" spans="9:15">
      <c r="I441" s="343">
        <v>20260429</v>
      </c>
      <c r="J441" s="343">
        <v>45097.66</v>
      </c>
      <c r="K441" s="343">
        <v>149</v>
      </c>
      <c r="L441" s="343">
        <v>414</v>
      </c>
      <c r="M441" s="384">
        <v>46141</v>
      </c>
      <c r="N441" s="343" t="s">
        <v>234</v>
      </c>
      <c r="O441" s="343" t="s">
        <v>147</v>
      </c>
    </row>
    <row r="442" spans="9:15">
      <c r="I442" s="343">
        <v>20260430</v>
      </c>
      <c r="J442" s="343">
        <v>49787.25</v>
      </c>
      <c r="K442" s="343">
        <v>190</v>
      </c>
      <c r="L442" s="343">
        <v>443</v>
      </c>
      <c r="M442" s="384">
        <v>46142</v>
      </c>
      <c r="N442" s="343" t="s">
        <v>235</v>
      </c>
      <c r="O442" s="343" t="s">
        <v>147</v>
      </c>
    </row>
    <row r="443" spans="9:15">
      <c r="I443" s="343">
        <v>20260501</v>
      </c>
      <c r="J443" s="343">
        <v>78138.25</v>
      </c>
      <c r="K443" s="343">
        <v>227</v>
      </c>
      <c r="L443" s="343">
        <v>609</v>
      </c>
      <c r="M443" s="384">
        <v>46143</v>
      </c>
      <c r="N443" s="343" t="s">
        <v>236</v>
      </c>
      <c r="O443" s="343" t="s">
        <v>147</v>
      </c>
    </row>
    <row r="444" spans="9:15">
      <c r="I444" s="343">
        <v>20260502</v>
      </c>
      <c r="J444" s="343">
        <v>89228.1</v>
      </c>
      <c r="K444" s="343">
        <v>256</v>
      </c>
      <c r="L444" s="343">
        <v>688</v>
      </c>
      <c r="M444" s="384">
        <v>46144</v>
      </c>
      <c r="N444" s="343" t="s">
        <v>244</v>
      </c>
      <c r="O444" s="343" t="s">
        <v>147</v>
      </c>
    </row>
    <row r="445" spans="9:15">
      <c r="I445" s="343">
        <v>20260503</v>
      </c>
      <c r="J445" s="343">
        <v>30563.5</v>
      </c>
      <c r="K445" s="343">
        <v>114</v>
      </c>
      <c r="L445" s="343">
        <v>279</v>
      </c>
      <c r="M445" s="384">
        <v>46145</v>
      </c>
      <c r="N445" s="343" t="s">
        <v>245</v>
      </c>
      <c r="O445" s="343" t="s">
        <v>147</v>
      </c>
    </row>
    <row r="446" spans="9:15">
      <c r="I446" s="343">
        <v>20260504</v>
      </c>
      <c r="J446" s="343">
        <v>35358</v>
      </c>
      <c r="K446" s="343">
        <v>112</v>
      </c>
      <c r="L446" s="343">
        <v>314</v>
      </c>
      <c r="M446" s="384">
        <v>46146</v>
      </c>
      <c r="N446" s="343" t="s">
        <v>232</v>
      </c>
      <c r="O446" s="343" t="s">
        <v>148</v>
      </c>
    </row>
    <row r="447" spans="9:15">
      <c r="I447" s="343">
        <v>20260505</v>
      </c>
      <c r="J447" s="343">
        <v>36490.6</v>
      </c>
      <c r="K447" s="343">
        <v>98</v>
      </c>
      <c r="L447" s="343">
        <v>287</v>
      </c>
      <c r="M447" s="384">
        <v>46147</v>
      </c>
      <c r="N447" s="343" t="s">
        <v>233</v>
      </c>
      <c r="O447" s="343" t="s">
        <v>148</v>
      </c>
    </row>
    <row r="448" spans="9:15">
      <c r="I448" s="343">
        <v>20260506</v>
      </c>
      <c r="J448" s="343">
        <v>42085.71</v>
      </c>
      <c r="K448" s="343">
        <v>112</v>
      </c>
      <c r="L448" s="343">
        <v>325</v>
      </c>
      <c r="M448" s="384">
        <v>46148</v>
      </c>
      <c r="N448" s="343" t="s">
        <v>234</v>
      </c>
      <c r="O448" s="343" t="s">
        <v>148</v>
      </c>
    </row>
    <row r="449" spans="9:15">
      <c r="I449" s="343">
        <v>20260507</v>
      </c>
      <c r="J449" s="343">
        <v>46551.85</v>
      </c>
      <c r="K449" s="343">
        <v>141</v>
      </c>
      <c r="L449" s="343">
        <v>359</v>
      </c>
      <c r="M449" s="384">
        <v>46149</v>
      </c>
      <c r="N449" s="343" t="s">
        <v>235</v>
      </c>
      <c r="O449" s="343" t="s">
        <v>148</v>
      </c>
    </row>
    <row r="450" spans="9:15">
      <c r="I450" s="343">
        <v>20260508</v>
      </c>
      <c r="J450" s="343">
        <v>55252.5</v>
      </c>
      <c r="K450" s="343">
        <v>185</v>
      </c>
      <c r="L450" s="343">
        <v>484</v>
      </c>
      <c r="M450" s="384">
        <v>46150</v>
      </c>
      <c r="N450" s="343" t="s">
        <v>236</v>
      </c>
      <c r="O450" s="343" t="s">
        <v>148</v>
      </c>
    </row>
    <row r="451" spans="9:15">
      <c r="I451" s="343">
        <v>20260509</v>
      </c>
      <c r="J451" s="343">
        <v>64460.75</v>
      </c>
      <c r="K451" s="343">
        <v>238</v>
      </c>
      <c r="L451" s="343">
        <v>612</v>
      </c>
      <c r="M451" s="384">
        <v>46151</v>
      </c>
      <c r="N451" s="343" t="s">
        <v>244</v>
      </c>
      <c r="O451" s="343" t="s">
        <v>148</v>
      </c>
    </row>
    <row r="452" spans="9:15">
      <c r="I452" s="343">
        <v>20260510</v>
      </c>
      <c r="J452" s="343">
        <v>31654</v>
      </c>
      <c r="K452" s="343">
        <v>128</v>
      </c>
      <c r="L452" s="343">
        <v>363</v>
      </c>
      <c r="M452" s="384">
        <v>46152</v>
      </c>
      <c r="N452" s="343" t="s">
        <v>245</v>
      </c>
      <c r="O452" s="343" t="s">
        <v>148</v>
      </c>
    </row>
    <row r="453" spans="9:15">
      <c r="I453" s="343">
        <v>20260511</v>
      </c>
      <c r="J453" s="343">
        <v>22458.75</v>
      </c>
      <c r="K453" s="343">
        <v>66</v>
      </c>
      <c r="L453" s="343">
        <v>212</v>
      </c>
      <c r="M453" s="384">
        <v>46153</v>
      </c>
      <c r="N453" s="343" t="s">
        <v>232</v>
      </c>
      <c r="O453" s="343" t="s">
        <v>149</v>
      </c>
    </row>
    <row r="454" spans="9:15">
      <c r="I454" s="343">
        <v>20260512</v>
      </c>
      <c r="J454" s="343">
        <v>17904</v>
      </c>
      <c r="K454" s="343">
        <v>64</v>
      </c>
      <c r="L454" s="343">
        <v>159</v>
      </c>
      <c r="M454" s="384">
        <v>46154</v>
      </c>
      <c r="N454" s="343" t="s">
        <v>233</v>
      </c>
      <c r="O454" s="343" t="s">
        <v>149</v>
      </c>
    </row>
    <row r="455" spans="9:15">
      <c r="I455" s="343">
        <v>20260513</v>
      </c>
      <c r="J455" s="343">
        <v>31810.25</v>
      </c>
      <c r="K455" s="343">
        <v>103</v>
      </c>
      <c r="L455" s="343">
        <v>273</v>
      </c>
      <c r="M455" s="384">
        <v>46155</v>
      </c>
      <c r="N455" s="343" t="s">
        <v>234</v>
      </c>
      <c r="O455" s="343" t="s">
        <v>149</v>
      </c>
    </row>
    <row r="456" spans="9:15">
      <c r="I456" s="343">
        <v>20260514</v>
      </c>
      <c r="J456" s="343">
        <v>29181.5</v>
      </c>
      <c r="K456" s="343">
        <v>117</v>
      </c>
      <c r="L456" s="343">
        <v>289</v>
      </c>
      <c r="M456" s="384">
        <v>46156</v>
      </c>
      <c r="N456" s="343" t="s">
        <v>235</v>
      </c>
      <c r="O456" s="343" t="s">
        <v>149</v>
      </c>
    </row>
    <row r="457" spans="9:15">
      <c r="I457" s="343">
        <v>20260515</v>
      </c>
      <c r="J457" s="343">
        <v>47228.25</v>
      </c>
      <c r="K457" s="343">
        <v>190</v>
      </c>
      <c r="L457" s="343">
        <v>464</v>
      </c>
      <c r="M457" s="384">
        <v>46157</v>
      </c>
      <c r="N457" s="343" t="s">
        <v>236</v>
      </c>
      <c r="O457" s="343" t="s">
        <v>149</v>
      </c>
    </row>
    <row r="458" spans="9:15">
      <c r="I458" s="343">
        <v>20260516</v>
      </c>
      <c r="J458" s="343">
        <v>55438.84</v>
      </c>
      <c r="K458" s="343">
        <v>181</v>
      </c>
      <c r="L458" s="343">
        <v>505</v>
      </c>
      <c r="M458" s="384">
        <v>46158</v>
      </c>
      <c r="N458" s="343" t="s">
        <v>244</v>
      </c>
      <c r="O458" s="343" t="s">
        <v>149</v>
      </c>
    </row>
    <row r="459" spans="9:15">
      <c r="I459" s="343">
        <v>20260517</v>
      </c>
      <c r="J459" s="343">
        <v>14276.5</v>
      </c>
      <c r="K459" s="343">
        <v>59</v>
      </c>
      <c r="L459" s="343">
        <v>148</v>
      </c>
      <c r="M459" s="384">
        <v>46159</v>
      </c>
      <c r="N459" s="343" t="s">
        <v>245</v>
      </c>
      <c r="O459" s="343" t="s">
        <v>149</v>
      </c>
    </row>
    <row r="460" spans="9:15">
      <c r="I460" s="343">
        <v>20260518</v>
      </c>
      <c r="J460" s="343">
        <v>21286.75</v>
      </c>
      <c r="K460" s="343">
        <v>77</v>
      </c>
      <c r="L460" s="343">
        <v>198</v>
      </c>
      <c r="M460" s="384">
        <v>46160</v>
      </c>
      <c r="N460" s="343" t="s">
        <v>232</v>
      </c>
      <c r="O460" s="343" t="s">
        <v>150</v>
      </c>
    </row>
    <row r="461" spans="9:15">
      <c r="I461" s="343">
        <v>20260519</v>
      </c>
      <c r="J461" s="343">
        <v>26402.5</v>
      </c>
      <c r="K461" s="343">
        <v>63</v>
      </c>
      <c r="L461" s="343">
        <v>197</v>
      </c>
      <c r="M461" s="384">
        <v>46161</v>
      </c>
      <c r="N461" s="343" t="s">
        <v>233</v>
      </c>
      <c r="O461" s="343" t="s">
        <v>150</v>
      </c>
    </row>
    <row r="462" spans="9:15">
      <c r="I462" s="343">
        <v>20260520</v>
      </c>
      <c r="J462" s="343">
        <v>28485.65</v>
      </c>
      <c r="K462" s="343">
        <v>90</v>
      </c>
      <c r="L462" s="343">
        <v>259</v>
      </c>
      <c r="M462" s="384">
        <v>46162</v>
      </c>
      <c r="N462" s="343" t="s">
        <v>234</v>
      </c>
      <c r="O462" s="343" t="s">
        <v>150</v>
      </c>
    </row>
    <row r="463" spans="9:15">
      <c r="I463" s="343">
        <v>20260521</v>
      </c>
      <c r="J463" s="343">
        <v>44420.09</v>
      </c>
      <c r="K463" s="343">
        <v>144</v>
      </c>
      <c r="L463" s="343">
        <v>424</v>
      </c>
      <c r="M463" s="384">
        <v>46163</v>
      </c>
      <c r="N463" s="343" t="s">
        <v>235</v>
      </c>
      <c r="O463" s="343" t="s">
        <v>150</v>
      </c>
    </row>
    <row r="464" spans="9:15">
      <c r="I464" s="343">
        <v>20260522</v>
      </c>
      <c r="J464" s="343">
        <v>49627</v>
      </c>
      <c r="K464" s="343">
        <v>196</v>
      </c>
      <c r="L464" s="343">
        <v>484</v>
      </c>
      <c r="M464" s="384">
        <v>46164</v>
      </c>
      <c r="N464" s="343" t="s">
        <v>236</v>
      </c>
      <c r="O464" s="343" t="s">
        <v>150</v>
      </c>
    </row>
    <row r="465" spans="9:15">
      <c r="I465" s="343">
        <v>20260523</v>
      </c>
      <c r="J465" s="343">
        <v>57628.5</v>
      </c>
      <c r="K465" s="343">
        <v>204</v>
      </c>
      <c r="L465" s="343">
        <v>528</v>
      </c>
      <c r="M465" s="384">
        <v>46165</v>
      </c>
      <c r="N465" s="343" t="s">
        <v>244</v>
      </c>
      <c r="O465" s="343" t="s">
        <v>150</v>
      </c>
    </row>
    <row r="466" spans="9:15">
      <c r="I466" s="343">
        <v>20260524</v>
      </c>
      <c r="J466" s="343">
        <v>37849.25</v>
      </c>
      <c r="K466" s="343">
        <v>147</v>
      </c>
      <c r="L466" s="343">
        <v>374</v>
      </c>
      <c r="M466" s="384">
        <v>46166</v>
      </c>
      <c r="N466" s="343" t="s">
        <v>245</v>
      </c>
      <c r="O466" s="343" t="s">
        <v>150</v>
      </c>
    </row>
    <row r="467" spans="9:15">
      <c r="I467" s="343">
        <v>20260525</v>
      </c>
      <c r="J467" s="343">
        <v>20479.25</v>
      </c>
      <c r="K467" s="343">
        <v>78</v>
      </c>
      <c r="L467" s="343">
        <v>200</v>
      </c>
      <c r="M467" s="384">
        <v>46167</v>
      </c>
      <c r="N467" s="343" t="s">
        <v>232</v>
      </c>
      <c r="O467" s="343" t="s">
        <v>153</v>
      </c>
    </row>
    <row r="468" spans="9:15">
      <c r="I468" s="343">
        <v>20260526</v>
      </c>
      <c r="J468" s="343">
        <v>21986</v>
      </c>
      <c r="K468" s="343">
        <v>87</v>
      </c>
      <c r="L468" s="343">
        <v>224</v>
      </c>
      <c r="M468" s="384">
        <v>46168</v>
      </c>
      <c r="N468" s="343" t="s">
        <v>233</v>
      </c>
      <c r="O468" s="343" t="s">
        <v>153</v>
      </c>
    </row>
    <row r="469" spans="9:15">
      <c r="I469" s="343">
        <v>20260527</v>
      </c>
      <c r="J469" s="343">
        <v>26828.5</v>
      </c>
      <c r="K469" s="343">
        <v>99</v>
      </c>
      <c r="L469" s="343">
        <v>260</v>
      </c>
      <c r="M469" s="384">
        <v>46169</v>
      </c>
      <c r="N469" s="343" t="s">
        <v>234</v>
      </c>
      <c r="O469" s="343" t="s">
        <v>153</v>
      </c>
    </row>
    <row r="470" spans="9:15">
      <c r="I470" s="343">
        <v>20260528</v>
      </c>
      <c r="J470" s="343">
        <v>29577</v>
      </c>
      <c r="K470" s="343">
        <v>106</v>
      </c>
      <c r="L470" s="343">
        <v>265</v>
      </c>
      <c r="M470" s="384">
        <v>46170</v>
      </c>
      <c r="N470" s="343" t="s">
        <v>235</v>
      </c>
      <c r="O470" s="343" t="s">
        <v>153</v>
      </c>
    </row>
    <row r="471" spans="9:15">
      <c r="I471" s="343">
        <v>20260529</v>
      </c>
      <c r="J471" s="343">
        <v>42798</v>
      </c>
      <c r="K471" s="343">
        <v>174</v>
      </c>
      <c r="L471" s="343">
        <v>412</v>
      </c>
      <c r="M471" s="384">
        <v>46171</v>
      </c>
      <c r="N471" s="343" t="s">
        <v>236</v>
      </c>
      <c r="O471" s="343" t="s">
        <v>153</v>
      </c>
    </row>
    <row r="472" spans="9:15">
      <c r="I472" s="343">
        <v>20260530</v>
      </c>
      <c r="J472" s="343">
        <v>65652.990000000005</v>
      </c>
      <c r="K472" s="343">
        <v>223</v>
      </c>
      <c r="L472" s="343">
        <v>602</v>
      </c>
      <c r="M472" s="384">
        <v>46172</v>
      </c>
      <c r="N472" s="343" t="s">
        <v>244</v>
      </c>
      <c r="O472" s="343" t="s">
        <v>153</v>
      </c>
    </row>
    <row r="473" spans="9:15">
      <c r="I473" s="343">
        <v>20260531</v>
      </c>
      <c r="J473" s="343">
        <v>20669.45</v>
      </c>
      <c r="K473" s="343">
        <v>44</v>
      </c>
      <c r="L473" s="343">
        <v>113</v>
      </c>
      <c r="M473" s="384">
        <v>46173</v>
      </c>
      <c r="N473" s="343" t="s">
        <v>245</v>
      </c>
      <c r="O473" s="343" t="s">
        <v>153</v>
      </c>
    </row>
    <row r="474" spans="9:15">
      <c r="I474" s="343">
        <v>20260601</v>
      </c>
      <c r="J474" s="343">
        <v>20692</v>
      </c>
      <c r="K474" s="343">
        <v>74</v>
      </c>
      <c r="L474" s="343">
        <v>182</v>
      </c>
      <c r="M474" s="384">
        <v>46174</v>
      </c>
      <c r="N474" s="343" t="s">
        <v>232</v>
      </c>
      <c r="O474" s="343" t="s">
        <v>154</v>
      </c>
    </row>
    <row r="475" spans="9:15">
      <c r="I475" s="343">
        <v>20260602</v>
      </c>
      <c r="J475" s="343">
        <v>25807.29</v>
      </c>
      <c r="K475" s="343">
        <v>81</v>
      </c>
      <c r="L475" s="343">
        <v>240</v>
      </c>
      <c r="M475" s="384">
        <v>46175</v>
      </c>
      <c r="N475" s="343" t="s">
        <v>233</v>
      </c>
      <c r="O475" s="343" t="s">
        <v>154</v>
      </c>
    </row>
    <row r="476" spans="9:15">
      <c r="I476" s="343">
        <v>20260603</v>
      </c>
      <c r="J476" s="343">
        <v>23607</v>
      </c>
      <c r="K476" s="343">
        <v>66</v>
      </c>
      <c r="L476" s="343">
        <v>187</v>
      </c>
      <c r="M476" s="384">
        <v>46176</v>
      </c>
      <c r="N476" s="343" t="s">
        <v>234</v>
      </c>
      <c r="O476" s="343" t="s">
        <v>154</v>
      </c>
    </row>
    <row r="477" spans="9:15">
      <c r="I477" s="343">
        <v>20260604</v>
      </c>
      <c r="J477" s="343">
        <v>24725.5</v>
      </c>
      <c r="K477" s="343">
        <v>106</v>
      </c>
      <c r="L477" s="343">
        <v>235</v>
      </c>
      <c r="M477" s="384">
        <v>46177</v>
      </c>
      <c r="N477" s="343" t="s">
        <v>235</v>
      </c>
      <c r="O477" s="343" t="s">
        <v>154</v>
      </c>
    </row>
    <row r="478" spans="9:15">
      <c r="I478" s="343">
        <v>20260605</v>
      </c>
      <c r="J478" s="343">
        <v>41335.25</v>
      </c>
      <c r="K478" s="343">
        <v>167</v>
      </c>
      <c r="L478" s="343">
        <v>405</v>
      </c>
      <c r="M478" s="384">
        <v>46178</v>
      </c>
      <c r="N478" s="343" t="s">
        <v>236</v>
      </c>
      <c r="O478" s="343" t="s">
        <v>154</v>
      </c>
    </row>
    <row r="479" spans="9:15">
      <c r="I479" s="343">
        <v>20260606</v>
      </c>
      <c r="J479" s="343">
        <v>49307.8</v>
      </c>
      <c r="K479" s="343">
        <v>194</v>
      </c>
      <c r="L479" s="343">
        <v>498</v>
      </c>
      <c r="M479" s="384">
        <v>46179</v>
      </c>
      <c r="N479" s="343" t="s">
        <v>244</v>
      </c>
      <c r="O479" s="343" t="s">
        <v>154</v>
      </c>
    </row>
    <row r="480" spans="9:15">
      <c r="I480" s="343">
        <v>20260607</v>
      </c>
      <c r="J480" s="343">
        <v>11926.5</v>
      </c>
      <c r="K480" s="343">
        <v>39</v>
      </c>
      <c r="L480" s="343">
        <v>104</v>
      </c>
      <c r="M480" s="384">
        <v>46180</v>
      </c>
      <c r="N480" s="343" t="s">
        <v>245</v>
      </c>
      <c r="O480" s="343" t="s">
        <v>154</v>
      </c>
    </row>
    <row r="481" spans="9:15">
      <c r="I481" s="343">
        <v>20260608</v>
      </c>
      <c r="J481" s="343">
        <v>21665.55</v>
      </c>
      <c r="K481" s="343">
        <v>56</v>
      </c>
      <c r="L481" s="343">
        <v>192</v>
      </c>
      <c r="M481" s="384">
        <v>46181</v>
      </c>
      <c r="N481" s="343" t="s">
        <v>232</v>
      </c>
      <c r="O481" s="343" t="s">
        <v>155</v>
      </c>
    </row>
    <row r="482" spans="9:15">
      <c r="I482" s="343">
        <v>20260609</v>
      </c>
      <c r="J482" s="343">
        <v>13142</v>
      </c>
      <c r="K482" s="343">
        <v>59</v>
      </c>
      <c r="L482" s="343">
        <v>129</v>
      </c>
      <c r="M482" s="384">
        <v>46182</v>
      </c>
      <c r="N482" s="343" t="s">
        <v>233</v>
      </c>
      <c r="O482" s="343" t="s">
        <v>155</v>
      </c>
    </row>
    <row r="483" spans="9:15">
      <c r="I483" s="343">
        <v>20260610</v>
      </c>
      <c r="J483" s="343">
        <v>35800.35</v>
      </c>
      <c r="K483" s="343">
        <v>80</v>
      </c>
      <c r="L483" s="343">
        <v>230</v>
      </c>
      <c r="M483" s="384">
        <v>46183</v>
      </c>
      <c r="N483" s="343" t="s">
        <v>234</v>
      </c>
      <c r="O483" s="343" t="s">
        <v>155</v>
      </c>
    </row>
    <row r="484" spans="9:15">
      <c r="I484" s="343">
        <v>20260611</v>
      </c>
      <c r="J484" s="343">
        <v>28902.5</v>
      </c>
      <c r="K484" s="343">
        <v>110</v>
      </c>
      <c r="L484" s="343">
        <v>254</v>
      </c>
      <c r="M484" s="384">
        <v>46184</v>
      </c>
      <c r="N484" s="343" t="s">
        <v>235</v>
      </c>
      <c r="O484" s="343" t="s">
        <v>155</v>
      </c>
    </row>
    <row r="485" spans="9:15">
      <c r="I485" s="343">
        <v>20260612</v>
      </c>
      <c r="J485" s="343">
        <v>37772.6</v>
      </c>
      <c r="K485" s="343">
        <v>148</v>
      </c>
      <c r="L485" s="343">
        <v>313</v>
      </c>
      <c r="M485" s="384">
        <v>46185</v>
      </c>
      <c r="N485" s="343" t="s">
        <v>236</v>
      </c>
      <c r="O485" s="343" t="s">
        <v>155</v>
      </c>
    </row>
    <row r="486" spans="9:15">
      <c r="I486" s="343">
        <v>20260613</v>
      </c>
      <c r="J486" s="343">
        <v>44082.18</v>
      </c>
      <c r="K486" s="343">
        <v>136</v>
      </c>
      <c r="L486" s="343">
        <v>350</v>
      </c>
      <c r="M486" s="384">
        <v>46186</v>
      </c>
      <c r="N486" s="343" t="s">
        <v>244</v>
      </c>
      <c r="O486" s="343" t="s">
        <v>155</v>
      </c>
    </row>
    <row r="487" spans="9:15">
      <c r="I487" s="343">
        <v>20260614</v>
      </c>
      <c r="J487" s="343">
        <v>13761</v>
      </c>
      <c r="K487" s="343">
        <v>59</v>
      </c>
      <c r="L487" s="343">
        <v>140</v>
      </c>
      <c r="M487" s="384">
        <v>46187</v>
      </c>
      <c r="N487" s="343" t="s">
        <v>245</v>
      </c>
      <c r="O487" s="343" t="s">
        <v>155</v>
      </c>
    </row>
    <row r="488" spans="9:15">
      <c r="I488" s="343">
        <v>20260615</v>
      </c>
      <c r="J488" s="343">
        <v>11947</v>
      </c>
      <c r="K488" s="343">
        <v>42</v>
      </c>
      <c r="L488" s="343">
        <v>92</v>
      </c>
      <c r="M488" s="384">
        <v>46188</v>
      </c>
      <c r="N488" s="343" t="s">
        <v>232</v>
      </c>
      <c r="O488" s="343" t="s">
        <v>156</v>
      </c>
    </row>
    <row r="489" spans="9:15">
      <c r="I489" s="343">
        <v>20260616</v>
      </c>
      <c r="J489" s="343">
        <v>17991.39</v>
      </c>
      <c r="K489" s="343">
        <v>72</v>
      </c>
      <c r="L489" s="343">
        <v>168</v>
      </c>
      <c r="M489" s="384">
        <v>46189</v>
      </c>
      <c r="N489" s="343" t="s">
        <v>233</v>
      </c>
      <c r="O489" s="343" t="s">
        <v>156</v>
      </c>
    </row>
    <row r="490" spans="9:15">
      <c r="I490" s="343">
        <v>20260617</v>
      </c>
      <c r="J490" s="343">
        <v>14759.75</v>
      </c>
      <c r="K490" s="343">
        <v>60</v>
      </c>
      <c r="L490" s="343">
        <v>161</v>
      </c>
      <c r="M490" s="384">
        <v>46190</v>
      </c>
      <c r="N490" s="343" t="s">
        <v>234</v>
      </c>
      <c r="O490" s="343" t="s">
        <v>156</v>
      </c>
    </row>
    <row r="491" spans="9:15">
      <c r="I491" s="343">
        <v>20260618</v>
      </c>
      <c r="J491" s="343">
        <v>22244.83</v>
      </c>
      <c r="K491" s="343">
        <v>86</v>
      </c>
      <c r="L491" s="343">
        <v>197</v>
      </c>
      <c r="M491" s="384">
        <v>46191</v>
      </c>
      <c r="N491" s="343" t="s">
        <v>235</v>
      </c>
      <c r="O491" s="343" t="s">
        <v>156</v>
      </c>
    </row>
    <row r="492" spans="9:15">
      <c r="I492" s="343">
        <v>20260619</v>
      </c>
      <c r="J492" s="343">
        <v>27068</v>
      </c>
      <c r="K492" s="343">
        <v>108</v>
      </c>
      <c r="L492" s="343">
        <v>247</v>
      </c>
      <c r="M492" s="384">
        <v>46192</v>
      </c>
      <c r="N492" s="343" t="s">
        <v>236</v>
      </c>
      <c r="O492" s="343" t="s">
        <v>156</v>
      </c>
    </row>
    <row r="493" spans="9:15">
      <c r="I493" s="343">
        <v>20260620</v>
      </c>
      <c r="J493" s="343">
        <v>46663.35</v>
      </c>
      <c r="K493" s="343">
        <v>158</v>
      </c>
      <c r="L493" s="343">
        <v>413</v>
      </c>
      <c r="M493" s="384">
        <v>46193</v>
      </c>
      <c r="N493" s="343" t="s">
        <v>244</v>
      </c>
      <c r="O493" s="343" t="s">
        <v>156</v>
      </c>
    </row>
    <row r="494" spans="9:15">
      <c r="I494" s="343">
        <v>20260621</v>
      </c>
      <c r="J494" s="343">
        <v>17992.75</v>
      </c>
      <c r="K494" s="343">
        <v>54</v>
      </c>
      <c r="L494" s="343">
        <v>157</v>
      </c>
      <c r="M494" s="384">
        <v>46194</v>
      </c>
      <c r="N494" s="343" t="s">
        <v>245</v>
      </c>
      <c r="O494" s="343" t="s">
        <v>156</v>
      </c>
    </row>
    <row r="495" spans="9:15">
      <c r="I495" s="343">
        <v>20260622</v>
      </c>
      <c r="J495" s="343">
        <v>18622.5</v>
      </c>
      <c r="K495" s="343">
        <v>59</v>
      </c>
      <c r="L495" s="343">
        <v>161</v>
      </c>
      <c r="M495" s="384">
        <v>46195</v>
      </c>
      <c r="N495" s="343" t="s">
        <v>232</v>
      </c>
      <c r="O495" s="343" t="s">
        <v>157</v>
      </c>
    </row>
    <row r="496" spans="9:15">
      <c r="I496" s="343">
        <v>20260623</v>
      </c>
      <c r="J496" s="343">
        <v>35260.25</v>
      </c>
      <c r="K496" s="343">
        <v>91</v>
      </c>
      <c r="L496" s="343">
        <v>280</v>
      </c>
      <c r="M496" s="384">
        <v>46196</v>
      </c>
      <c r="N496" s="343" t="s">
        <v>233</v>
      </c>
      <c r="O496" s="343" t="s">
        <v>157</v>
      </c>
    </row>
    <row r="497" spans="9:15">
      <c r="I497" s="343">
        <v>20260624</v>
      </c>
      <c r="J497" s="343">
        <v>30400.79</v>
      </c>
      <c r="K497" s="343">
        <v>68</v>
      </c>
      <c r="L497" s="343">
        <v>191</v>
      </c>
      <c r="M497" s="384">
        <v>46197</v>
      </c>
      <c r="N497" s="343" t="s">
        <v>234</v>
      </c>
      <c r="O497" s="343" t="s">
        <v>157</v>
      </c>
    </row>
    <row r="498" spans="9:15">
      <c r="I498" s="343">
        <v>20260625</v>
      </c>
      <c r="J498" s="343">
        <v>33095.5</v>
      </c>
      <c r="K498" s="343">
        <v>98</v>
      </c>
      <c r="L498" s="343">
        <v>242</v>
      </c>
      <c r="M498" s="384">
        <v>46198</v>
      </c>
      <c r="N498" s="343" t="s">
        <v>235</v>
      </c>
      <c r="O498" s="343" t="s">
        <v>157</v>
      </c>
    </row>
    <row r="499" spans="9:15">
      <c r="I499" s="343">
        <v>20260626</v>
      </c>
      <c r="J499" s="343">
        <v>55986.5</v>
      </c>
      <c r="K499" s="343">
        <v>183</v>
      </c>
      <c r="L499" s="343">
        <v>474</v>
      </c>
      <c r="M499" s="384">
        <v>46199</v>
      </c>
      <c r="N499" s="343" t="s">
        <v>236</v>
      </c>
      <c r="O499" s="343" t="s">
        <v>157</v>
      </c>
    </row>
    <row r="500" spans="9:15">
      <c r="I500" s="343">
        <v>20260627</v>
      </c>
      <c r="J500" s="343">
        <v>40065</v>
      </c>
      <c r="K500" s="343">
        <v>145</v>
      </c>
      <c r="L500" s="343">
        <v>371</v>
      </c>
      <c r="M500" s="384">
        <v>46200</v>
      </c>
      <c r="N500" s="343" t="s">
        <v>244</v>
      </c>
      <c r="O500" s="343" t="s">
        <v>157</v>
      </c>
    </row>
    <row r="501" spans="9:15">
      <c r="I501" s="343">
        <v>20260628</v>
      </c>
      <c r="J501" s="343">
        <v>19798.25</v>
      </c>
      <c r="K501" s="343">
        <v>60</v>
      </c>
      <c r="L501" s="343">
        <v>163</v>
      </c>
      <c r="M501" s="384">
        <v>46201</v>
      </c>
      <c r="N501" s="343" t="s">
        <v>245</v>
      </c>
      <c r="O501" s="343" t="s">
        <v>157</v>
      </c>
    </row>
    <row r="502" spans="9:15">
      <c r="I502" s="343">
        <v>20260629</v>
      </c>
      <c r="J502" s="343">
        <v>22094.5</v>
      </c>
      <c r="K502" s="343">
        <v>73</v>
      </c>
      <c r="L502" s="343">
        <v>204</v>
      </c>
      <c r="M502" s="384">
        <v>46202</v>
      </c>
      <c r="N502" s="343" t="s">
        <v>232</v>
      </c>
      <c r="O502" s="343" t="s">
        <v>160</v>
      </c>
    </row>
    <row r="503" spans="9:15">
      <c r="I503" s="343">
        <v>20260630</v>
      </c>
      <c r="J503" s="343">
        <v>26304</v>
      </c>
      <c r="K503" s="343">
        <v>66</v>
      </c>
      <c r="L503" s="343">
        <v>189</v>
      </c>
      <c r="M503" s="384">
        <v>46203</v>
      </c>
      <c r="N503" s="343" t="s">
        <v>233</v>
      </c>
      <c r="O503" s="343" t="s">
        <v>160</v>
      </c>
    </row>
    <row r="504" spans="9:15">
      <c r="I504" s="343">
        <v>20260701</v>
      </c>
      <c r="J504" s="343">
        <v>18442.75</v>
      </c>
      <c r="K504" s="343">
        <v>65</v>
      </c>
      <c r="L504" s="343">
        <v>175</v>
      </c>
      <c r="M504" s="384">
        <v>46204</v>
      </c>
      <c r="N504" s="343" t="s">
        <v>234</v>
      </c>
      <c r="O504" s="343" t="s">
        <v>160</v>
      </c>
    </row>
    <row r="505" spans="9:15">
      <c r="I505" s="343">
        <v>20260702</v>
      </c>
      <c r="J505" s="343">
        <v>32008</v>
      </c>
      <c r="K505" s="343">
        <v>97</v>
      </c>
      <c r="L505" s="343">
        <v>252</v>
      </c>
      <c r="M505" s="384">
        <v>46205</v>
      </c>
      <c r="N505" s="343" t="s">
        <v>235</v>
      </c>
      <c r="O505" s="343" t="s">
        <v>160</v>
      </c>
    </row>
    <row r="506" spans="9:15">
      <c r="I506" s="343">
        <v>20260703</v>
      </c>
      <c r="J506" s="343">
        <v>37023.46</v>
      </c>
      <c r="K506" s="343">
        <v>108</v>
      </c>
      <c r="L506" s="343">
        <v>262</v>
      </c>
      <c r="M506" s="384">
        <v>46206</v>
      </c>
      <c r="N506" s="343" t="s">
        <v>236</v>
      </c>
      <c r="O506" s="343" t="s">
        <v>160</v>
      </c>
    </row>
    <row r="507" spans="9:15">
      <c r="I507" s="343">
        <v>20260704</v>
      </c>
      <c r="J507" s="343">
        <v>20258.5</v>
      </c>
      <c r="K507" s="343">
        <v>70</v>
      </c>
      <c r="L507" s="343">
        <v>170</v>
      </c>
      <c r="M507" s="384">
        <v>46207</v>
      </c>
      <c r="N507" s="343" t="s">
        <v>244</v>
      </c>
      <c r="O507" s="343" t="s">
        <v>160</v>
      </c>
    </row>
    <row r="508" spans="9:15">
      <c r="I508" s="343">
        <v>20260705</v>
      </c>
      <c r="J508" s="343">
        <v>15381</v>
      </c>
      <c r="K508" s="343">
        <v>55</v>
      </c>
      <c r="L508" s="343">
        <v>154</v>
      </c>
      <c r="M508" s="384">
        <v>46208</v>
      </c>
      <c r="N508" s="343" t="s">
        <v>245</v>
      </c>
      <c r="O508" s="343" t="s">
        <v>160</v>
      </c>
    </row>
    <row r="509" spans="9:15">
      <c r="I509" s="343">
        <v>20260706</v>
      </c>
      <c r="J509" s="343">
        <v>11470.75</v>
      </c>
      <c r="K509" s="343">
        <v>40</v>
      </c>
      <c r="L509" s="343">
        <v>96</v>
      </c>
      <c r="M509" s="384">
        <v>46209</v>
      </c>
      <c r="N509" s="343" t="s">
        <v>232</v>
      </c>
      <c r="O509" s="343" t="s">
        <v>161</v>
      </c>
    </row>
    <row r="510" spans="9:15">
      <c r="I510" s="343">
        <v>20260707</v>
      </c>
      <c r="J510" s="343">
        <v>18480.5</v>
      </c>
      <c r="K510" s="343">
        <v>79</v>
      </c>
      <c r="L510" s="343">
        <v>186</v>
      </c>
      <c r="M510" s="384">
        <v>46210</v>
      </c>
      <c r="N510" s="343" t="s">
        <v>233</v>
      </c>
      <c r="O510" s="343" t="s">
        <v>161</v>
      </c>
    </row>
    <row r="511" spans="9:15">
      <c r="I511" s="343">
        <v>20260708</v>
      </c>
      <c r="J511" s="343">
        <v>19283.75</v>
      </c>
      <c r="K511" s="343">
        <v>70</v>
      </c>
      <c r="L511" s="343">
        <v>152</v>
      </c>
      <c r="M511" s="384">
        <v>46211</v>
      </c>
      <c r="N511" s="343" t="s">
        <v>234</v>
      </c>
      <c r="O511" s="343" t="s">
        <v>161</v>
      </c>
    </row>
    <row r="512" spans="9:15">
      <c r="I512" s="343">
        <v>20260709</v>
      </c>
      <c r="J512" s="343">
        <v>32048.25</v>
      </c>
      <c r="K512" s="343">
        <v>100</v>
      </c>
      <c r="L512" s="343">
        <v>243</v>
      </c>
      <c r="M512" s="384">
        <v>46212</v>
      </c>
      <c r="N512" s="343" t="s">
        <v>235</v>
      </c>
      <c r="O512" s="343" t="s">
        <v>161</v>
      </c>
    </row>
    <row r="513" spans="9:15">
      <c r="I513" s="343">
        <v>20260710</v>
      </c>
      <c r="J513" s="343">
        <v>60357.17</v>
      </c>
      <c r="K513" s="343">
        <v>207</v>
      </c>
      <c r="L513" s="343">
        <v>1192</v>
      </c>
      <c r="M513" s="384">
        <v>46213</v>
      </c>
      <c r="N513" s="343" t="s">
        <v>236</v>
      </c>
      <c r="O513" s="343" t="s">
        <v>161</v>
      </c>
    </row>
    <row r="514" spans="9:15">
      <c r="I514" s="343">
        <v>20260711</v>
      </c>
      <c r="J514" s="343">
        <v>37920.25</v>
      </c>
      <c r="K514" s="343">
        <v>108</v>
      </c>
      <c r="L514" s="343">
        <v>276</v>
      </c>
      <c r="M514" s="384">
        <v>46214</v>
      </c>
      <c r="N514" s="343" t="s">
        <v>244</v>
      </c>
      <c r="O514" s="343" t="s">
        <v>161</v>
      </c>
    </row>
    <row r="515" spans="9:15">
      <c r="I515" s="343">
        <v>20260712</v>
      </c>
      <c r="J515" s="343">
        <v>24625.75</v>
      </c>
      <c r="K515" s="343">
        <v>76</v>
      </c>
      <c r="L515" s="343">
        <v>211</v>
      </c>
      <c r="M515" s="384">
        <v>46215</v>
      </c>
      <c r="N515" s="343" t="s">
        <v>245</v>
      </c>
      <c r="O515" s="343" t="s">
        <v>161</v>
      </c>
    </row>
    <row r="516" spans="9:15">
      <c r="I516" s="343">
        <v>20260713</v>
      </c>
      <c r="J516" s="343">
        <v>21288.5</v>
      </c>
      <c r="K516" s="343">
        <v>59</v>
      </c>
      <c r="L516" s="343">
        <v>169</v>
      </c>
      <c r="M516" s="384">
        <v>46216</v>
      </c>
      <c r="N516" s="343" t="s">
        <v>232</v>
      </c>
      <c r="O516" s="343" t="s">
        <v>162</v>
      </c>
    </row>
    <row r="517" spans="9:15">
      <c r="I517" s="343">
        <v>20260714</v>
      </c>
      <c r="J517" s="343">
        <v>23090.16</v>
      </c>
      <c r="K517" s="343">
        <v>103</v>
      </c>
      <c r="L517" s="343">
        <v>265</v>
      </c>
      <c r="M517" s="384">
        <v>46217</v>
      </c>
      <c r="N517" s="343" t="s">
        <v>233</v>
      </c>
      <c r="O517" s="343" t="s">
        <v>162</v>
      </c>
    </row>
    <row r="518" spans="9:15">
      <c r="I518" s="343">
        <v>20260715</v>
      </c>
      <c r="J518" s="343">
        <v>22956</v>
      </c>
      <c r="K518" s="343">
        <v>76</v>
      </c>
      <c r="L518" s="343">
        <v>177</v>
      </c>
      <c r="M518" s="384">
        <v>46218</v>
      </c>
      <c r="N518" s="343" t="s">
        <v>234</v>
      </c>
      <c r="O518" s="343" t="s">
        <v>162</v>
      </c>
    </row>
    <row r="519" spans="9:15">
      <c r="I519" s="343">
        <v>20260716</v>
      </c>
      <c r="J519" s="343">
        <v>39487.78</v>
      </c>
      <c r="K519" s="343">
        <v>127</v>
      </c>
      <c r="L519" s="343">
        <v>335</v>
      </c>
      <c r="M519" s="384">
        <v>46219</v>
      </c>
      <c r="N519" s="343" t="s">
        <v>235</v>
      </c>
      <c r="O519" s="343" t="s">
        <v>162</v>
      </c>
    </row>
    <row r="520" spans="9:15">
      <c r="I520" s="343">
        <v>20260717</v>
      </c>
      <c r="J520" s="343">
        <v>43590.25</v>
      </c>
      <c r="K520" s="343">
        <v>173</v>
      </c>
      <c r="L520" s="343">
        <v>423</v>
      </c>
      <c r="M520" s="384">
        <v>46220</v>
      </c>
      <c r="N520" s="343" t="s">
        <v>236</v>
      </c>
      <c r="O520" s="343" t="s">
        <v>162</v>
      </c>
    </row>
    <row r="521" spans="9:15">
      <c r="I521" s="343">
        <v>20260718</v>
      </c>
      <c r="J521" s="343">
        <v>55783.75</v>
      </c>
      <c r="K521" s="343">
        <v>170</v>
      </c>
      <c r="L521" s="343">
        <v>480</v>
      </c>
      <c r="M521" s="384">
        <v>46221</v>
      </c>
      <c r="N521" s="343" t="s">
        <v>244</v>
      </c>
      <c r="O521" s="343" t="s">
        <v>162</v>
      </c>
    </row>
    <row r="522" spans="9:15">
      <c r="I522" s="343">
        <v>20260719</v>
      </c>
      <c r="J522" s="343">
        <v>11345</v>
      </c>
      <c r="K522" s="343">
        <v>45</v>
      </c>
      <c r="L522" s="343">
        <v>117</v>
      </c>
      <c r="M522" s="384">
        <v>46222</v>
      </c>
      <c r="N522" s="343" t="s">
        <v>245</v>
      </c>
      <c r="O522" s="343" t="s">
        <v>162</v>
      </c>
    </row>
    <row r="523" spans="9:15">
      <c r="I523" s="343">
        <v>20260720</v>
      </c>
      <c r="J523" s="343">
        <v>19188.150000000001</v>
      </c>
      <c r="K523" s="343">
        <v>56</v>
      </c>
      <c r="L523" s="343">
        <v>134</v>
      </c>
      <c r="M523" s="384">
        <v>46223</v>
      </c>
      <c r="N523" s="343" t="s">
        <v>232</v>
      </c>
      <c r="O523" s="343" t="s">
        <v>163</v>
      </c>
    </row>
    <row r="524" spans="9:15">
      <c r="I524" s="343">
        <v>20260721</v>
      </c>
      <c r="J524" s="343">
        <v>18716.5</v>
      </c>
      <c r="K524" s="343">
        <v>62</v>
      </c>
      <c r="L524" s="343">
        <v>172</v>
      </c>
      <c r="M524" s="384">
        <v>46224</v>
      </c>
      <c r="N524" s="343" t="s">
        <v>233</v>
      </c>
      <c r="O524" s="343" t="s">
        <v>163</v>
      </c>
    </row>
    <row r="525" spans="9:15">
      <c r="I525" s="343">
        <v>20260722</v>
      </c>
      <c r="J525" s="343">
        <v>23277.5</v>
      </c>
      <c r="K525" s="343">
        <v>81</v>
      </c>
      <c r="L525" s="343">
        <v>213</v>
      </c>
      <c r="M525" s="384">
        <v>46225</v>
      </c>
      <c r="N525" s="343" t="s">
        <v>234</v>
      </c>
      <c r="O525" s="343" t="s">
        <v>163</v>
      </c>
    </row>
    <row r="526" spans="9:15">
      <c r="I526" s="343">
        <v>20260723</v>
      </c>
      <c r="J526" s="343">
        <v>34390.5</v>
      </c>
      <c r="K526" s="343">
        <v>188</v>
      </c>
      <c r="L526" s="343">
        <v>513</v>
      </c>
      <c r="M526" s="384">
        <v>46226</v>
      </c>
      <c r="N526" s="343" t="s">
        <v>235</v>
      </c>
      <c r="O526" s="343" t="s">
        <v>163</v>
      </c>
    </row>
    <row r="527" spans="9:15">
      <c r="I527" s="343">
        <v>20260724</v>
      </c>
      <c r="J527" s="343">
        <v>53072.5</v>
      </c>
      <c r="K527" s="343">
        <v>177</v>
      </c>
      <c r="L527" s="343">
        <v>1446</v>
      </c>
      <c r="M527" s="384">
        <v>46227</v>
      </c>
      <c r="N527" s="343" t="s">
        <v>236</v>
      </c>
      <c r="O527" s="343" t="s">
        <v>163</v>
      </c>
    </row>
    <row r="528" spans="9:15">
      <c r="I528" s="343">
        <v>20260725</v>
      </c>
      <c r="J528" s="343">
        <v>56804</v>
      </c>
      <c r="K528" s="343">
        <v>201</v>
      </c>
      <c r="L528" s="343">
        <v>534</v>
      </c>
      <c r="M528" s="384">
        <v>46228</v>
      </c>
      <c r="N528" s="343" t="s">
        <v>244</v>
      </c>
      <c r="O528" s="343" t="s">
        <v>163</v>
      </c>
    </row>
    <row r="529" spans="9:15">
      <c r="I529" s="343">
        <v>20260726</v>
      </c>
      <c r="J529" s="343">
        <v>19845</v>
      </c>
      <c r="K529" s="343">
        <v>43</v>
      </c>
      <c r="L529" s="343">
        <v>100</v>
      </c>
      <c r="M529" s="384">
        <v>46229</v>
      </c>
      <c r="N529" s="343" t="s">
        <v>245</v>
      </c>
      <c r="O529" s="343" t="s">
        <v>163</v>
      </c>
    </row>
    <row r="530" spans="9:15">
      <c r="I530" s="343">
        <v>20260727</v>
      </c>
      <c r="J530" s="343">
        <v>11401.5</v>
      </c>
      <c r="K530" s="343">
        <v>47</v>
      </c>
      <c r="L530" s="343">
        <v>111</v>
      </c>
      <c r="M530" s="384">
        <v>46230</v>
      </c>
      <c r="N530" s="343" t="s">
        <v>232</v>
      </c>
      <c r="O530" s="343" t="s">
        <v>166</v>
      </c>
    </row>
    <row r="531" spans="9:15">
      <c r="I531" s="343">
        <v>20260728</v>
      </c>
      <c r="J531" s="343">
        <v>14556</v>
      </c>
      <c r="K531" s="343">
        <v>55</v>
      </c>
      <c r="L531" s="343">
        <v>136</v>
      </c>
      <c r="M531" s="384">
        <v>46231</v>
      </c>
      <c r="N531" s="343" t="s">
        <v>233</v>
      </c>
      <c r="O531" s="343" t="s">
        <v>166</v>
      </c>
    </row>
    <row r="532" spans="9:15">
      <c r="I532" s="343">
        <v>20260729</v>
      </c>
      <c r="J532" s="343">
        <v>17277.5</v>
      </c>
      <c r="K532" s="343">
        <v>84</v>
      </c>
      <c r="L532" s="343">
        <v>159</v>
      </c>
      <c r="M532" s="384">
        <v>46232</v>
      </c>
      <c r="N532" s="343" t="s">
        <v>234</v>
      </c>
      <c r="O532" s="343" t="s">
        <v>166</v>
      </c>
    </row>
    <row r="533" spans="9:15">
      <c r="I533" s="343">
        <v>20260730</v>
      </c>
      <c r="J533" s="343">
        <v>31215.3</v>
      </c>
      <c r="K533" s="343">
        <v>99</v>
      </c>
      <c r="L533" s="343">
        <v>270</v>
      </c>
      <c r="M533" s="384">
        <v>46233</v>
      </c>
      <c r="N533" s="343" t="s">
        <v>235</v>
      </c>
      <c r="O533" s="343" t="s">
        <v>166</v>
      </c>
    </row>
    <row r="534" spans="9:15">
      <c r="I534" s="343">
        <v>20260731</v>
      </c>
      <c r="J534" s="343">
        <v>45022.25</v>
      </c>
      <c r="K534" s="343">
        <v>201</v>
      </c>
      <c r="L534" s="343">
        <v>1091</v>
      </c>
      <c r="M534" s="384">
        <v>46234</v>
      </c>
      <c r="N534" s="343" t="s">
        <v>236</v>
      </c>
      <c r="O534" s="343" t="s">
        <v>166</v>
      </c>
    </row>
    <row r="535" spans="9:15">
      <c r="I535" s="343">
        <v>20260801</v>
      </c>
      <c r="J535" s="343">
        <v>58177.98</v>
      </c>
      <c r="K535" s="343">
        <v>247</v>
      </c>
      <c r="L535" s="343">
        <v>606</v>
      </c>
      <c r="M535" s="384">
        <v>46235</v>
      </c>
      <c r="N535" s="343" t="s">
        <v>244</v>
      </c>
      <c r="O535" s="343" t="s">
        <v>166</v>
      </c>
    </row>
    <row r="536" spans="9:15">
      <c r="I536" s="343">
        <v>20260802</v>
      </c>
      <c r="J536" s="343">
        <v>15942</v>
      </c>
      <c r="K536" s="343">
        <v>57</v>
      </c>
      <c r="L536" s="343">
        <v>152</v>
      </c>
      <c r="M536" s="384">
        <v>46236</v>
      </c>
      <c r="N536" s="343" t="s">
        <v>245</v>
      </c>
      <c r="O536" s="343" t="s">
        <v>166</v>
      </c>
    </row>
    <row r="537" spans="9:15">
      <c r="I537" s="343">
        <v>20260803</v>
      </c>
      <c r="J537" s="343">
        <v>11544.5</v>
      </c>
      <c r="K537" s="343">
        <v>46</v>
      </c>
      <c r="L537" s="343">
        <v>122</v>
      </c>
      <c r="M537" s="384">
        <v>46237</v>
      </c>
      <c r="N537" s="343" t="s">
        <v>232</v>
      </c>
      <c r="O537" s="343" t="s">
        <v>167</v>
      </c>
    </row>
    <row r="538" spans="9:15">
      <c r="I538" s="343">
        <v>20260804</v>
      </c>
      <c r="J538" s="343">
        <v>16053.25</v>
      </c>
      <c r="K538" s="343">
        <v>56</v>
      </c>
      <c r="L538" s="343">
        <v>161</v>
      </c>
      <c r="M538" s="384">
        <v>46238</v>
      </c>
      <c r="N538" s="343" t="s">
        <v>233</v>
      </c>
      <c r="O538" s="343" t="s">
        <v>167</v>
      </c>
    </row>
    <row r="539" spans="9:15">
      <c r="I539" s="343">
        <v>20260805</v>
      </c>
      <c r="J539" s="343">
        <v>24100</v>
      </c>
      <c r="K539" s="343">
        <v>79</v>
      </c>
      <c r="L539" s="343">
        <v>224</v>
      </c>
      <c r="M539" s="384">
        <v>46239</v>
      </c>
      <c r="N539" s="343" t="s">
        <v>234</v>
      </c>
      <c r="O539" s="343" t="s">
        <v>167</v>
      </c>
    </row>
    <row r="540" spans="9:15">
      <c r="I540" s="343">
        <v>20260806</v>
      </c>
      <c r="J540" s="343">
        <v>31854.5</v>
      </c>
      <c r="K540" s="343">
        <v>130</v>
      </c>
      <c r="L540" s="343">
        <v>298</v>
      </c>
      <c r="M540" s="384">
        <v>46240</v>
      </c>
      <c r="N540" s="343" t="s">
        <v>235</v>
      </c>
      <c r="O540" s="343" t="s">
        <v>167</v>
      </c>
    </row>
    <row r="541" spans="9:15">
      <c r="I541" s="343">
        <v>20260807</v>
      </c>
      <c r="J541" s="343">
        <v>52117.25</v>
      </c>
      <c r="K541" s="343">
        <v>221</v>
      </c>
      <c r="L541" s="343">
        <v>546</v>
      </c>
      <c r="M541" s="384">
        <v>46241</v>
      </c>
      <c r="N541" s="343" t="s">
        <v>236</v>
      </c>
      <c r="O541" s="343" t="s">
        <v>167</v>
      </c>
    </row>
    <row r="542" spans="9:15">
      <c r="I542" s="343">
        <v>20260808</v>
      </c>
      <c r="J542" s="343">
        <v>71333.600000000006</v>
      </c>
      <c r="K542" s="343">
        <v>239</v>
      </c>
      <c r="L542" s="343">
        <v>621</v>
      </c>
      <c r="M542" s="384">
        <v>46242</v>
      </c>
      <c r="N542" s="343" t="s">
        <v>244</v>
      </c>
      <c r="O542" s="343" t="s">
        <v>167</v>
      </c>
    </row>
    <row r="543" spans="9:15">
      <c r="I543" s="343">
        <v>20260809</v>
      </c>
      <c r="J543" s="343">
        <v>15984</v>
      </c>
      <c r="K543" s="343">
        <v>77</v>
      </c>
      <c r="L543" s="343">
        <v>191</v>
      </c>
      <c r="M543" s="384">
        <v>46243</v>
      </c>
      <c r="N543" s="343" t="s">
        <v>245</v>
      </c>
      <c r="O543" s="343" t="s">
        <v>167</v>
      </c>
    </row>
    <row r="544" spans="9:15">
      <c r="I544" s="343">
        <v>20260810</v>
      </c>
      <c r="J544" s="343">
        <v>27283.65</v>
      </c>
      <c r="K544" s="343">
        <v>101</v>
      </c>
      <c r="L544" s="343">
        <v>265</v>
      </c>
      <c r="M544" s="384">
        <v>46244</v>
      </c>
      <c r="N544" s="343" t="s">
        <v>232</v>
      </c>
      <c r="O544" s="343" t="s">
        <v>168</v>
      </c>
    </row>
    <row r="545" spans="9:15">
      <c r="I545" s="343">
        <v>20260811</v>
      </c>
      <c r="J545" s="343">
        <v>25452.15</v>
      </c>
      <c r="K545" s="343">
        <v>74</v>
      </c>
      <c r="L545" s="343">
        <v>240</v>
      </c>
      <c r="M545" s="384">
        <v>46245</v>
      </c>
      <c r="N545" s="343" t="s">
        <v>233</v>
      </c>
      <c r="O545" s="343" t="s">
        <v>168</v>
      </c>
    </row>
    <row r="546" spans="9:15">
      <c r="I546" s="343">
        <v>20260812</v>
      </c>
      <c r="J546" s="343">
        <v>27205.75</v>
      </c>
      <c r="K546" s="343">
        <v>92</v>
      </c>
      <c r="L546" s="343">
        <v>235</v>
      </c>
      <c r="M546" s="384">
        <v>46246</v>
      </c>
      <c r="N546" s="343" t="s">
        <v>234</v>
      </c>
      <c r="O546" s="343" t="s">
        <v>168</v>
      </c>
    </row>
    <row r="547" spans="9:15">
      <c r="I547" s="343">
        <v>20260813</v>
      </c>
      <c r="J547" s="343">
        <v>33064.980000000003</v>
      </c>
      <c r="K547" s="343">
        <v>117</v>
      </c>
      <c r="L547" s="343">
        <v>327</v>
      </c>
      <c r="M547" s="384">
        <v>46247</v>
      </c>
      <c r="N547" s="343" t="s">
        <v>235</v>
      </c>
      <c r="O547" s="343" t="s">
        <v>168</v>
      </c>
    </row>
    <row r="548" spans="9:15">
      <c r="I548" s="343">
        <v>20260814</v>
      </c>
      <c r="J548" s="343">
        <v>47473.75</v>
      </c>
      <c r="K548" s="343">
        <v>218</v>
      </c>
      <c r="L548" s="343">
        <v>560</v>
      </c>
      <c r="M548" s="384">
        <v>46248</v>
      </c>
      <c r="N548" s="343" t="s">
        <v>236</v>
      </c>
      <c r="O548" s="343" t="s">
        <v>168</v>
      </c>
    </row>
    <row r="549" spans="9:15">
      <c r="I549" s="343">
        <v>20260815</v>
      </c>
      <c r="J549" s="343">
        <v>69622.75</v>
      </c>
      <c r="K549" s="343">
        <v>267</v>
      </c>
      <c r="L549" s="343">
        <v>665</v>
      </c>
      <c r="M549" s="384">
        <v>46249</v>
      </c>
      <c r="N549" s="343" t="s">
        <v>244</v>
      </c>
      <c r="O549" s="343" t="s">
        <v>168</v>
      </c>
    </row>
    <row r="550" spans="9:15">
      <c r="I550" s="343">
        <v>20260816</v>
      </c>
      <c r="J550" s="343">
        <v>27545.75</v>
      </c>
      <c r="K550" s="343">
        <v>101</v>
      </c>
      <c r="L550" s="343">
        <v>262</v>
      </c>
      <c r="M550" s="384">
        <v>46250</v>
      </c>
      <c r="N550" s="343" t="s">
        <v>245</v>
      </c>
      <c r="O550" s="343" t="s">
        <v>168</v>
      </c>
    </row>
    <row r="551" spans="9:15">
      <c r="I551" s="343">
        <v>20260817</v>
      </c>
      <c r="J551" s="343">
        <v>13094.75</v>
      </c>
      <c r="K551" s="343">
        <v>60</v>
      </c>
      <c r="L551" s="343">
        <v>131</v>
      </c>
      <c r="M551" s="384">
        <v>46251</v>
      </c>
      <c r="N551" s="343" t="s">
        <v>232</v>
      </c>
      <c r="O551" s="343" t="s">
        <v>169</v>
      </c>
    </row>
    <row r="552" spans="9:15">
      <c r="I552" s="343">
        <v>20260818</v>
      </c>
      <c r="J552" s="343">
        <v>25661.5</v>
      </c>
      <c r="K552" s="343">
        <v>92</v>
      </c>
      <c r="L552" s="343">
        <v>237</v>
      </c>
      <c r="M552" s="384">
        <v>46252</v>
      </c>
      <c r="N552" s="343" t="s">
        <v>233</v>
      </c>
      <c r="O552" s="343" t="s">
        <v>169</v>
      </c>
    </row>
    <row r="553" spans="9:15">
      <c r="I553" s="343">
        <v>20260819</v>
      </c>
      <c r="J553" s="343">
        <v>25214.75</v>
      </c>
      <c r="K553" s="343">
        <v>169</v>
      </c>
      <c r="L553" s="343">
        <v>1136</v>
      </c>
      <c r="M553" s="384">
        <v>46253</v>
      </c>
      <c r="N553" s="343" t="s">
        <v>234</v>
      </c>
      <c r="O553" s="343" t="s">
        <v>169</v>
      </c>
    </row>
    <row r="554" spans="9:15">
      <c r="I554" s="343">
        <v>20260820</v>
      </c>
      <c r="J554" s="343">
        <v>39147.46</v>
      </c>
      <c r="K554" s="343">
        <v>143</v>
      </c>
      <c r="L554" s="343">
        <v>337</v>
      </c>
      <c r="M554" s="384">
        <v>46254</v>
      </c>
      <c r="N554" s="343" t="s">
        <v>235</v>
      </c>
      <c r="O554" s="343" t="s">
        <v>169</v>
      </c>
    </row>
    <row r="555" spans="9:15">
      <c r="I555" s="343">
        <v>20260821</v>
      </c>
      <c r="J555" s="343">
        <v>55220.5</v>
      </c>
      <c r="K555" s="343">
        <v>246</v>
      </c>
      <c r="L555" s="343">
        <v>592</v>
      </c>
      <c r="M555" s="384">
        <v>46255</v>
      </c>
      <c r="N555" s="343" t="s">
        <v>236</v>
      </c>
      <c r="O555" s="343" t="s">
        <v>169</v>
      </c>
    </row>
    <row r="556" spans="9:15">
      <c r="I556" s="343">
        <v>20260822</v>
      </c>
      <c r="J556" s="343">
        <v>65659.11</v>
      </c>
      <c r="K556" s="343">
        <v>253</v>
      </c>
      <c r="L556" s="343">
        <v>604</v>
      </c>
      <c r="M556" s="384">
        <v>46256</v>
      </c>
      <c r="N556" s="343" t="s">
        <v>244</v>
      </c>
      <c r="O556" s="343" t="s">
        <v>169</v>
      </c>
    </row>
    <row r="557" spans="9:15">
      <c r="I557" s="343">
        <v>20260823</v>
      </c>
      <c r="J557" s="343">
        <v>20063.25</v>
      </c>
      <c r="K557" s="343">
        <v>76</v>
      </c>
      <c r="L557" s="343">
        <v>201</v>
      </c>
      <c r="M557" s="384">
        <v>46257</v>
      </c>
      <c r="N557" s="343" t="s">
        <v>245</v>
      </c>
      <c r="O557" s="343" t="s">
        <v>169</v>
      </c>
    </row>
    <row r="558" spans="9:15">
      <c r="I558" s="343">
        <v>20260824</v>
      </c>
      <c r="J558" s="343">
        <v>47323.75</v>
      </c>
      <c r="K558" s="343">
        <v>91</v>
      </c>
      <c r="L558" s="343">
        <v>254</v>
      </c>
      <c r="M558" s="384">
        <v>46258</v>
      </c>
      <c r="N558" s="343" t="s">
        <v>232</v>
      </c>
      <c r="O558" s="343" t="s">
        <v>172</v>
      </c>
    </row>
    <row r="559" spans="9:15">
      <c r="I559" s="343">
        <v>20260825</v>
      </c>
      <c r="J559" s="343">
        <v>17069.95</v>
      </c>
      <c r="K559" s="343">
        <v>59</v>
      </c>
      <c r="L559" s="343">
        <v>126</v>
      </c>
      <c r="M559" s="384">
        <v>46259</v>
      </c>
      <c r="N559" s="343" t="s">
        <v>233</v>
      </c>
      <c r="O559" s="343" t="s">
        <v>172</v>
      </c>
    </row>
    <row r="560" spans="9:15">
      <c r="I560" s="343">
        <v>20260826</v>
      </c>
      <c r="J560" s="343">
        <v>17629.25</v>
      </c>
      <c r="K560" s="343">
        <v>71</v>
      </c>
      <c r="L560" s="343">
        <v>170</v>
      </c>
      <c r="M560" s="384">
        <v>46260</v>
      </c>
      <c r="N560" s="343" t="s">
        <v>234</v>
      </c>
      <c r="O560" s="343" t="s">
        <v>172</v>
      </c>
    </row>
    <row r="561" spans="9:15">
      <c r="I561" s="343">
        <v>20260827</v>
      </c>
      <c r="J561" s="343">
        <v>36739.75</v>
      </c>
      <c r="K561" s="343">
        <v>158</v>
      </c>
      <c r="L561" s="343">
        <v>1726</v>
      </c>
      <c r="M561" s="384">
        <v>46261</v>
      </c>
      <c r="N561" s="343" t="s">
        <v>235</v>
      </c>
      <c r="O561" s="343" t="s">
        <v>172</v>
      </c>
    </row>
    <row r="562" spans="9:15">
      <c r="I562" s="343">
        <v>20260828</v>
      </c>
      <c r="J562" s="343">
        <v>51749.25</v>
      </c>
      <c r="K562" s="343">
        <v>201</v>
      </c>
      <c r="L562" s="343">
        <v>494</v>
      </c>
      <c r="M562" s="384">
        <v>46262</v>
      </c>
      <c r="N562" s="343" t="s">
        <v>236</v>
      </c>
      <c r="O562" s="343" t="s">
        <v>172</v>
      </c>
    </row>
    <row r="563" spans="9:15">
      <c r="I563" s="343">
        <v>20260829</v>
      </c>
      <c r="J563" s="343">
        <v>52993.5</v>
      </c>
      <c r="K563" s="343">
        <v>223</v>
      </c>
      <c r="L563" s="343">
        <v>565</v>
      </c>
      <c r="M563" s="384">
        <v>46263</v>
      </c>
      <c r="N563" s="343" t="s">
        <v>244</v>
      </c>
      <c r="O563" s="343" t="s">
        <v>172</v>
      </c>
    </row>
    <row r="564" spans="9:15">
      <c r="I564" s="343">
        <v>20260830</v>
      </c>
      <c r="J564" s="343">
        <v>13333</v>
      </c>
      <c r="K564" s="343">
        <v>48</v>
      </c>
      <c r="L564" s="343">
        <v>116</v>
      </c>
      <c r="M564" s="384">
        <v>46264</v>
      </c>
      <c r="N564" s="343" t="s">
        <v>245</v>
      </c>
      <c r="O564" s="343" t="s">
        <v>172</v>
      </c>
    </row>
    <row r="565" spans="9:15">
      <c r="I565" s="343">
        <v>20260831</v>
      </c>
      <c r="J565" s="343">
        <v>19144</v>
      </c>
      <c r="K565" s="343">
        <v>63</v>
      </c>
      <c r="L565" s="343">
        <v>141</v>
      </c>
      <c r="M565" s="384">
        <v>46265</v>
      </c>
      <c r="N565" s="343" t="s">
        <v>232</v>
      </c>
      <c r="O565" s="343" t="s">
        <v>101</v>
      </c>
    </row>
    <row r="566" spans="9:15">
      <c r="I566" s="343">
        <v>20260901</v>
      </c>
      <c r="J566" s="343">
        <v>16297.25</v>
      </c>
      <c r="K566" s="343">
        <v>64</v>
      </c>
      <c r="L566" s="343">
        <v>154</v>
      </c>
      <c r="M566" s="384">
        <v>46266</v>
      </c>
      <c r="N566" s="343" t="s">
        <v>233</v>
      </c>
      <c r="O566" s="343" t="s">
        <v>101</v>
      </c>
    </row>
    <row r="567" spans="9:15">
      <c r="I567" s="343">
        <v>20260902</v>
      </c>
      <c r="J567" s="343">
        <v>18477.75</v>
      </c>
      <c r="K567" s="343">
        <v>82</v>
      </c>
      <c r="L567" s="343">
        <v>1451</v>
      </c>
      <c r="M567" s="384">
        <v>46267</v>
      </c>
      <c r="N567" s="343" t="s">
        <v>234</v>
      </c>
      <c r="O567" s="343" t="s">
        <v>101</v>
      </c>
    </row>
    <row r="568" spans="9:15">
      <c r="I568" s="343">
        <v>20260903</v>
      </c>
      <c r="J568" s="343">
        <v>31418.25</v>
      </c>
      <c r="K568" s="343">
        <v>137</v>
      </c>
      <c r="L568" s="343">
        <v>307</v>
      </c>
      <c r="M568" s="384">
        <v>46268</v>
      </c>
      <c r="N568" s="343" t="s">
        <v>235</v>
      </c>
      <c r="O568" s="343" t="s">
        <v>101</v>
      </c>
    </row>
    <row r="569" spans="9:15">
      <c r="I569" s="343">
        <v>20260904</v>
      </c>
      <c r="J569" s="343">
        <v>48965.5</v>
      </c>
      <c r="K569" s="343">
        <v>228</v>
      </c>
      <c r="L569" s="343">
        <v>510</v>
      </c>
      <c r="M569" s="384">
        <v>46269</v>
      </c>
      <c r="N569" s="343" t="s">
        <v>236</v>
      </c>
      <c r="O569" s="343" t="s">
        <v>101</v>
      </c>
    </row>
    <row r="570" spans="9:15">
      <c r="I570" s="343">
        <v>20260905</v>
      </c>
      <c r="J570" s="343">
        <v>63647.75</v>
      </c>
      <c r="K570" s="343">
        <v>241</v>
      </c>
      <c r="L570" s="343">
        <v>583</v>
      </c>
      <c r="M570" s="384">
        <v>46270</v>
      </c>
      <c r="N570" s="343" t="s">
        <v>244</v>
      </c>
      <c r="O570" s="343" t="s">
        <v>101</v>
      </c>
    </row>
    <row r="571" spans="9:15">
      <c r="I571" s="343">
        <v>20260906</v>
      </c>
      <c r="J571" s="343">
        <v>32529.25</v>
      </c>
      <c r="K571" s="343">
        <v>163</v>
      </c>
      <c r="L571" s="343">
        <v>398</v>
      </c>
      <c r="M571" s="384">
        <v>46271</v>
      </c>
      <c r="N571" s="343" t="s">
        <v>245</v>
      </c>
      <c r="O571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65"/>
  <sheetViews>
    <sheetView workbookViewId="0">
      <selection activeCell="K10" sqref="K1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232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244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233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245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234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244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235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245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236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244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244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245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245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244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232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245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234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244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235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245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236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244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244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245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245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244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233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245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234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244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235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245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236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244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244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245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245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244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232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245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233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244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234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245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235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244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236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245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244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232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245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244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232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245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233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244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234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245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235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236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244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244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245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245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232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244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233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245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234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244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235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245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236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244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244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245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245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244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232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245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233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244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234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245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235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244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236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245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244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244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245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245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234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244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235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245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236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244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244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245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245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244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233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245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234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244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235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245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236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232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244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244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245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245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232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244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233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245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234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244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235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245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236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244</v>
      </c>
      <c r="O64" s="343" t="s">
        <v>168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244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245</v>
      </c>
      <c r="O65" s="343" t="s">
        <v>168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245</v>
      </c>
      <c r="G66" s="343" t="s">
        <v>135</v>
      </c>
      <c r="I66" s="343">
        <v>20260822</v>
      </c>
      <c r="J66" s="343">
        <v>12172.5</v>
      </c>
      <c r="K66" s="343">
        <v>40</v>
      </c>
      <c r="L66" s="343">
        <v>128</v>
      </c>
      <c r="M66" s="384">
        <v>46256</v>
      </c>
      <c r="N66" s="343" t="s">
        <v>244</v>
      </c>
      <c r="O66" s="343" t="s">
        <v>169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232</v>
      </c>
      <c r="G67" s="343" t="s">
        <v>136</v>
      </c>
      <c r="I67" s="343">
        <v>20260823</v>
      </c>
      <c r="J67" s="343">
        <v>19414.7</v>
      </c>
      <c r="K67" s="343">
        <v>67</v>
      </c>
      <c r="L67" s="343">
        <v>248</v>
      </c>
      <c r="M67" s="384">
        <v>46257</v>
      </c>
      <c r="N67" s="343" t="s">
        <v>245</v>
      </c>
      <c r="O67" s="343" t="s">
        <v>169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233</v>
      </c>
      <c r="G68" s="343" t="s">
        <v>136</v>
      </c>
      <c r="I68" s="343">
        <v>20260829</v>
      </c>
      <c r="J68" s="343">
        <v>7397.5</v>
      </c>
      <c r="K68" s="343">
        <v>24</v>
      </c>
      <c r="L68" s="343">
        <v>86</v>
      </c>
      <c r="M68" s="384">
        <v>46263</v>
      </c>
      <c r="N68" s="343" t="s">
        <v>244</v>
      </c>
      <c r="O68" s="343" t="s">
        <v>172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234</v>
      </c>
      <c r="G69" s="343" t="s">
        <v>136</v>
      </c>
      <c r="I69" s="343">
        <v>20260830</v>
      </c>
      <c r="J69" s="343">
        <v>18720.64</v>
      </c>
      <c r="K69" s="343">
        <v>73</v>
      </c>
      <c r="L69" s="343">
        <v>240</v>
      </c>
      <c r="M69" s="384">
        <v>46264</v>
      </c>
      <c r="N69" s="343" t="s">
        <v>245</v>
      </c>
      <c r="O69" s="343" t="s">
        <v>172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235</v>
      </c>
      <c r="G70" s="343" t="s">
        <v>136</v>
      </c>
      <c r="I70" s="343">
        <v>20260905</v>
      </c>
      <c r="J70" s="343">
        <v>12645.07</v>
      </c>
      <c r="K70" s="343">
        <v>44</v>
      </c>
      <c r="L70" s="343">
        <v>163</v>
      </c>
      <c r="M70" s="384">
        <v>46270</v>
      </c>
      <c r="N70" s="343" t="s">
        <v>244</v>
      </c>
      <c r="O70" s="343" t="s">
        <v>101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236</v>
      </c>
      <c r="G71" s="343" t="s">
        <v>136</v>
      </c>
      <c r="I71" s="343">
        <v>20260906</v>
      </c>
      <c r="J71" s="343">
        <v>18928.22</v>
      </c>
      <c r="K71" s="343">
        <v>66</v>
      </c>
      <c r="L71" s="343">
        <v>247</v>
      </c>
      <c r="M71" s="384">
        <v>46271</v>
      </c>
      <c r="N71" s="343" t="s">
        <v>245</v>
      </c>
      <c r="O71" s="343" t="s">
        <v>101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244</v>
      </c>
      <c r="G72" s="343" t="s">
        <v>136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245</v>
      </c>
      <c r="G73" s="343" t="s">
        <v>136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232</v>
      </c>
      <c r="G74" s="343" t="s">
        <v>137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233</v>
      </c>
      <c r="G75" s="343" t="s">
        <v>137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234</v>
      </c>
      <c r="G76" s="343" t="s">
        <v>137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235</v>
      </c>
      <c r="G77" s="343" t="s">
        <v>137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236</v>
      </c>
      <c r="G78" s="343" t="s">
        <v>137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244</v>
      </c>
      <c r="G79" s="343" t="s">
        <v>137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245</v>
      </c>
      <c r="G80" s="343" t="s">
        <v>137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232</v>
      </c>
      <c r="G81" s="343" t="s">
        <v>138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234</v>
      </c>
      <c r="G82" s="343" t="s">
        <v>138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235</v>
      </c>
      <c r="G83" s="343" t="s">
        <v>138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236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244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245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232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233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234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235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236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244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245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234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235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236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244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245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232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233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234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235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236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244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245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232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233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234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235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236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244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245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232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233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234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235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236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244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245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232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233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234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235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236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244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245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232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233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234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235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236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244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245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232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233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234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235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236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244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245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232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233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234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235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236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244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245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232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287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285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339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281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279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277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341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335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287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244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285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339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281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279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277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341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287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285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339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281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279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277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285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232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339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233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281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234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279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235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277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236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341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244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245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287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232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285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233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339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234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281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235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279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236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277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244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341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245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232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287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233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285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234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339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235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281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236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279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244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277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245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341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232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233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287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234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285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235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339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236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281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244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279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245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277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232</v>
      </c>
      <c r="G218" s="343" t="s">
        <v>168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341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233</v>
      </c>
      <c r="G219" s="343" t="s">
        <v>168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234</v>
      </c>
      <c r="G220" s="343" t="s">
        <v>168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287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235</v>
      </c>
      <c r="G221" s="343" t="s">
        <v>168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285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236</v>
      </c>
      <c r="G222" s="343" t="s">
        <v>168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339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244</v>
      </c>
      <c r="G223" s="343" t="s">
        <v>168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281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245</v>
      </c>
      <c r="G224" s="343" t="s">
        <v>168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279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:27">
      <c r="A225" s="343">
        <v>20260817</v>
      </c>
      <c r="B225" s="343">
        <v>12280.22</v>
      </c>
      <c r="C225" s="343">
        <v>44</v>
      </c>
      <c r="D225" s="343">
        <v>1115</v>
      </c>
      <c r="E225" s="384">
        <v>46251</v>
      </c>
      <c r="F225" s="343" t="s">
        <v>232</v>
      </c>
      <c r="G225" s="343" t="s">
        <v>169</v>
      </c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277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:27">
      <c r="A226" s="343">
        <v>20260818</v>
      </c>
      <c r="B226" s="343">
        <v>16236.57</v>
      </c>
      <c r="C226" s="343">
        <v>43</v>
      </c>
      <c r="D226" s="343">
        <v>132</v>
      </c>
      <c r="E226" s="384">
        <v>46252</v>
      </c>
      <c r="F226" s="343" t="s">
        <v>233</v>
      </c>
      <c r="G226" s="343" t="s">
        <v>169</v>
      </c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341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:27">
      <c r="A227" s="343">
        <v>20260819</v>
      </c>
      <c r="B227" s="343">
        <v>19574.349999999999</v>
      </c>
      <c r="C227" s="343">
        <v>63</v>
      </c>
      <c r="D227" s="343">
        <v>178</v>
      </c>
      <c r="E227" s="384">
        <v>46253</v>
      </c>
      <c r="F227" s="343" t="s">
        <v>234</v>
      </c>
      <c r="G227" s="343" t="s">
        <v>169</v>
      </c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:27">
      <c r="A228" s="343">
        <v>20260820</v>
      </c>
      <c r="B228" s="343">
        <v>22850.61</v>
      </c>
      <c r="C228" s="343">
        <v>93</v>
      </c>
      <c r="D228" s="343">
        <v>240</v>
      </c>
      <c r="E228" s="384">
        <v>46254</v>
      </c>
      <c r="F228" s="343" t="s">
        <v>235</v>
      </c>
      <c r="G228" s="343" t="s">
        <v>169</v>
      </c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287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:27">
      <c r="A229" s="343">
        <v>20260821</v>
      </c>
      <c r="B229" s="343">
        <v>50477.24</v>
      </c>
      <c r="C229" s="343">
        <v>164</v>
      </c>
      <c r="D229" s="343">
        <v>443</v>
      </c>
      <c r="E229" s="384">
        <v>46255</v>
      </c>
      <c r="F229" s="343" t="s">
        <v>236</v>
      </c>
      <c r="G229" s="343" t="s">
        <v>169</v>
      </c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285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:27">
      <c r="A230" s="343">
        <v>20260822</v>
      </c>
      <c r="B230" s="343">
        <v>48465.77</v>
      </c>
      <c r="C230" s="343">
        <v>189</v>
      </c>
      <c r="D230" s="343">
        <v>480</v>
      </c>
      <c r="E230" s="384">
        <v>46256</v>
      </c>
      <c r="F230" s="343" t="s">
        <v>244</v>
      </c>
      <c r="G230" s="343" t="s">
        <v>169</v>
      </c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339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:27">
      <c r="A231" s="343">
        <v>20260823</v>
      </c>
      <c r="B231" s="343">
        <v>15387.97</v>
      </c>
      <c r="C231" s="343">
        <v>59</v>
      </c>
      <c r="D231" s="343">
        <v>141</v>
      </c>
      <c r="E231" s="384">
        <v>46257</v>
      </c>
      <c r="F231" s="343" t="s">
        <v>245</v>
      </c>
      <c r="G231" s="343" t="s">
        <v>169</v>
      </c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281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:27">
      <c r="A232" s="343">
        <v>20260824</v>
      </c>
      <c r="B232" s="343">
        <v>13394.41</v>
      </c>
      <c r="C232" s="343">
        <v>50</v>
      </c>
      <c r="D232" s="343">
        <v>136</v>
      </c>
      <c r="E232" s="384">
        <v>46258</v>
      </c>
      <c r="F232" s="343" t="s">
        <v>232</v>
      </c>
      <c r="G232" s="343" t="s">
        <v>172</v>
      </c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279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:27">
      <c r="A233" s="343">
        <v>20260825</v>
      </c>
      <c r="B233" s="343">
        <v>13968.75</v>
      </c>
      <c r="C233" s="343">
        <v>34</v>
      </c>
      <c r="D233" s="343">
        <v>123</v>
      </c>
      <c r="E233" s="384">
        <v>46259</v>
      </c>
      <c r="F233" s="343" t="s">
        <v>233</v>
      </c>
      <c r="G233" s="343" t="s">
        <v>172</v>
      </c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277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:27">
      <c r="A234" s="343">
        <v>20260826</v>
      </c>
      <c r="B234" s="343">
        <v>20255.04</v>
      </c>
      <c r="C234" s="343">
        <v>78</v>
      </c>
      <c r="D234" s="343">
        <v>255</v>
      </c>
      <c r="E234" s="384">
        <v>46260</v>
      </c>
      <c r="F234" s="343" t="s">
        <v>234</v>
      </c>
      <c r="G234" s="343" t="s">
        <v>172</v>
      </c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341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:27">
      <c r="A235" s="343">
        <v>20260827</v>
      </c>
      <c r="B235" s="343">
        <v>20003.75</v>
      </c>
      <c r="C235" s="343">
        <v>69</v>
      </c>
      <c r="D235" s="343">
        <v>192</v>
      </c>
      <c r="E235" s="384">
        <v>46261</v>
      </c>
      <c r="F235" s="343" t="s">
        <v>235</v>
      </c>
      <c r="G235" s="343" t="s">
        <v>172</v>
      </c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:27">
      <c r="A236" s="343">
        <v>20260828</v>
      </c>
      <c r="B236" s="343">
        <v>41161.760000000002</v>
      </c>
      <c r="C236" s="343">
        <v>141</v>
      </c>
      <c r="D236" s="343">
        <v>366</v>
      </c>
      <c r="E236" s="384">
        <v>46262</v>
      </c>
      <c r="F236" s="343" t="s">
        <v>236</v>
      </c>
      <c r="G236" s="343" t="s">
        <v>172</v>
      </c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287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:27">
      <c r="A237" s="343">
        <v>20260829</v>
      </c>
      <c r="B237" s="343">
        <v>45227.97</v>
      </c>
      <c r="C237" s="343">
        <v>161</v>
      </c>
      <c r="D237" s="343">
        <v>426</v>
      </c>
      <c r="E237" s="384">
        <v>46263</v>
      </c>
      <c r="F237" s="343" t="s">
        <v>244</v>
      </c>
      <c r="G237" s="343" t="s">
        <v>172</v>
      </c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285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:27">
      <c r="A238" s="343">
        <v>20260830</v>
      </c>
      <c r="B238" s="343">
        <v>15395.27</v>
      </c>
      <c r="C238" s="343">
        <v>60</v>
      </c>
      <c r="D238" s="343">
        <v>151</v>
      </c>
      <c r="E238" s="384">
        <v>46264</v>
      </c>
      <c r="F238" s="343" t="s">
        <v>245</v>
      </c>
      <c r="G238" s="343" t="s">
        <v>172</v>
      </c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339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:27">
      <c r="A239" s="343">
        <v>20260831</v>
      </c>
      <c r="B239" s="343">
        <v>8161.13</v>
      </c>
      <c r="C239" s="343">
        <v>30</v>
      </c>
      <c r="D239" s="343">
        <v>83</v>
      </c>
      <c r="E239" s="384">
        <v>46265</v>
      </c>
      <c r="F239" s="343" t="s">
        <v>232</v>
      </c>
      <c r="G239" s="343" t="s">
        <v>101</v>
      </c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281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:27">
      <c r="A240" s="343">
        <v>20260901</v>
      </c>
      <c r="B240" s="343">
        <v>12003.64</v>
      </c>
      <c r="C240" s="343">
        <v>42</v>
      </c>
      <c r="D240" s="343">
        <v>121</v>
      </c>
      <c r="E240" s="384">
        <v>46266</v>
      </c>
      <c r="F240" s="343" t="s">
        <v>233</v>
      </c>
      <c r="G240" s="343" t="s">
        <v>101</v>
      </c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279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:27">
      <c r="A241" s="343">
        <v>20260902</v>
      </c>
      <c r="B241" s="343">
        <v>16971.95</v>
      </c>
      <c r="C241" s="343">
        <v>61</v>
      </c>
      <c r="D241" s="343">
        <v>150</v>
      </c>
      <c r="E241" s="384">
        <v>46267</v>
      </c>
      <c r="F241" s="343" t="s">
        <v>234</v>
      </c>
      <c r="G241" s="343" t="s">
        <v>101</v>
      </c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277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:27">
      <c r="A242" s="343">
        <v>20260903</v>
      </c>
      <c r="B242" s="343">
        <v>13480.26</v>
      </c>
      <c r="C242" s="343">
        <v>64</v>
      </c>
      <c r="D242" s="343">
        <v>135</v>
      </c>
      <c r="E242" s="384">
        <v>46268</v>
      </c>
      <c r="F242" s="343" t="s">
        <v>235</v>
      </c>
      <c r="G242" s="343" t="s">
        <v>101</v>
      </c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335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:27">
      <c r="A243" s="343">
        <v>20260904</v>
      </c>
      <c r="B243" s="343">
        <v>39958.74</v>
      </c>
      <c r="C243" s="343">
        <v>132</v>
      </c>
      <c r="D243" s="343">
        <v>354</v>
      </c>
      <c r="E243" s="384">
        <v>46269</v>
      </c>
      <c r="F243" s="343" t="s">
        <v>236</v>
      </c>
      <c r="G243" s="343" t="s">
        <v>101</v>
      </c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:27">
      <c r="A244" s="343">
        <v>20260905</v>
      </c>
      <c r="B244" s="343">
        <v>47302.85</v>
      </c>
      <c r="C244" s="343">
        <v>167</v>
      </c>
      <c r="D244" s="343">
        <v>489</v>
      </c>
      <c r="E244" s="384">
        <v>46270</v>
      </c>
      <c r="F244" s="343" t="s">
        <v>244</v>
      </c>
      <c r="G244" s="343" t="s">
        <v>101</v>
      </c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287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:27">
      <c r="A245" s="343">
        <v>20260906</v>
      </c>
      <c r="B245" s="343">
        <v>21255.69</v>
      </c>
      <c r="C245" s="343">
        <v>78</v>
      </c>
      <c r="D245" s="343">
        <v>186</v>
      </c>
      <c r="E245" s="384">
        <v>46271</v>
      </c>
      <c r="F245" s="343" t="s">
        <v>245</v>
      </c>
      <c r="G245" s="343" t="s">
        <v>101</v>
      </c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285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:27"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339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:27"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281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:27"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279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:27"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277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:27"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341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:27"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335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:27"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:27"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287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:27"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285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:27"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339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:27"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281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7:27"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279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7:27"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277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7:27"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341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7:27"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7:27"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287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7:27">
      <c r="Q262" s="343" t="s">
        <v>165</v>
      </c>
      <c r="R262" s="343" t="s">
        <v>168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  <row r="263" spans="17:27">
      <c r="Q263" s="343" t="s">
        <v>165</v>
      </c>
      <c r="R263" s="343" t="s">
        <v>169</v>
      </c>
      <c r="S263" s="384">
        <v>46251</v>
      </c>
      <c r="T263" s="384">
        <v>46257</v>
      </c>
      <c r="U263" s="343" t="s">
        <v>106</v>
      </c>
      <c r="V263" s="343">
        <v>3</v>
      </c>
      <c r="W263" s="343">
        <v>337.91</v>
      </c>
      <c r="X263" s="343">
        <v>0</v>
      </c>
      <c r="Y263" s="343">
        <v>0</v>
      </c>
      <c r="Z263" s="343">
        <v>337.91</v>
      </c>
      <c r="AA263" s="343">
        <v>0</v>
      </c>
    </row>
    <row r="264" spans="17:27">
      <c r="Q264" s="343" t="s">
        <v>171</v>
      </c>
      <c r="R264" s="343" t="s">
        <v>172</v>
      </c>
      <c r="S264" s="384">
        <v>46258</v>
      </c>
      <c r="T264" s="384">
        <v>46264</v>
      </c>
      <c r="U264" s="343" t="s">
        <v>106</v>
      </c>
      <c r="V264" s="343">
        <v>5</v>
      </c>
      <c r="W264" s="343">
        <v>519.1</v>
      </c>
      <c r="X264" s="343">
        <v>0</v>
      </c>
      <c r="Y264" s="343">
        <v>0</v>
      </c>
      <c r="Z264" s="343">
        <v>519.1</v>
      </c>
      <c r="AA264" s="343">
        <v>0</v>
      </c>
    </row>
    <row r="265" spans="17:27">
      <c r="Q265" s="343" t="s">
        <v>171</v>
      </c>
      <c r="R265" s="343" t="s">
        <v>101</v>
      </c>
      <c r="S265" s="384">
        <v>46265</v>
      </c>
      <c r="T265" s="384">
        <v>46271</v>
      </c>
      <c r="U265" s="343" t="s">
        <v>106</v>
      </c>
      <c r="V265" s="343">
        <v>2</v>
      </c>
      <c r="W265" s="343">
        <v>210.2</v>
      </c>
      <c r="X265" s="343">
        <v>0</v>
      </c>
      <c r="Y265" s="343">
        <v>0</v>
      </c>
      <c r="Z265" s="343">
        <v>210.2</v>
      </c>
      <c r="AA265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79"/>
  <sheetViews>
    <sheetView topLeftCell="B68" workbookViewId="0">
      <selection activeCell="S279" sqref="S279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8.28515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233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235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234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236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235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245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236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235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245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236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235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244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236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245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244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235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245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236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232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244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234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245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235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235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236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236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244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244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245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245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232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235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235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236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236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244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244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245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245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235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234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236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235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244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236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245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244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235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245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236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234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244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235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245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236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235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244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236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245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233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235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235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236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236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244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244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245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245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232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235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233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236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235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244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236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245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244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235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245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236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234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244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235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245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236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235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244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236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245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244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233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245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235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235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236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236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244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244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245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245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232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235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235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236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236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244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244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245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245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235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235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236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236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244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244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245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245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235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233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236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235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244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236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245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244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235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245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236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233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244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234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245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235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235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236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236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244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244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245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245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232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235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233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236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235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244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236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245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244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236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245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244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234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245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235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235</v>
      </c>
      <c r="O80" s="343" t="s">
        <v>168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236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236</v>
      </c>
      <c r="O81" s="343" t="s">
        <v>168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244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244</v>
      </c>
      <c r="O82" s="343" t="s">
        <v>168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245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245</v>
      </c>
      <c r="O83" s="343" t="s">
        <v>168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232</v>
      </c>
      <c r="G84" s="343" t="s">
        <v>157</v>
      </c>
      <c r="I84" s="343">
        <v>20260820</v>
      </c>
      <c r="J84" s="343">
        <v>12884.25</v>
      </c>
      <c r="K84" s="343">
        <v>32</v>
      </c>
      <c r="L84" s="343">
        <v>126</v>
      </c>
      <c r="M84" s="384">
        <v>46254</v>
      </c>
      <c r="N84" s="343" t="s">
        <v>235</v>
      </c>
      <c r="O84" s="343" t="s">
        <v>169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233</v>
      </c>
      <c r="G85" s="343" t="s">
        <v>157</v>
      </c>
      <c r="I85" s="343">
        <v>20260821</v>
      </c>
      <c r="J85" s="343">
        <v>9947</v>
      </c>
      <c r="K85" s="343">
        <v>36</v>
      </c>
      <c r="L85" s="343">
        <v>117</v>
      </c>
      <c r="M85" s="384">
        <v>46255</v>
      </c>
      <c r="N85" s="343" t="s">
        <v>236</v>
      </c>
      <c r="O85" s="343" t="s">
        <v>169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234</v>
      </c>
      <c r="G86" s="343" t="s">
        <v>157</v>
      </c>
      <c r="I86" s="343">
        <v>20260822</v>
      </c>
      <c r="J86" s="343">
        <v>13137</v>
      </c>
      <c r="K86" s="343">
        <v>53</v>
      </c>
      <c r="L86" s="343">
        <v>138</v>
      </c>
      <c r="M86" s="384">
        <v>46256</v>
      </c>
      <c r="N86" s="343" t="s">
        <v>244</v>
      </c>
      <c r="O86" s="343" t="s">
        <v>169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235</v>
      </c>
      <c r="G87" s="343" t="s">
        <v>157</v>
      </c>
      <c r="I87" s="343">
        <v>20260823</v>
      </c>
      <c r="J87" s="343">
        <v>237</v>
      </c>
      <c r="K87" s="343">
        <v>3</v>
      </c>
      <c r="L87" s="343">
        <v>3</v>
      </c>
      <c r="M87" s="384">
        <v>46257</v>
      </c>
      <c r="N87" s="343" t="s">
        <v>245</v>
      </c>
      <c r="O87" s="343" t="s">
        <v>169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236</v>
      </c>
      <c r="G88" s="343" t="s">
        <v>157</v>
      </c>
      <c r="I88" s="343">
        <v>20260827</v>
      </c>
      <c r="J88" s="343">
        <v>1387</v>
      </c>
      <c r="K88" s="343">
        <v>9</v>
      </c>
      <c r="L88" s="343">
        <v>17</v>
      </c>
      <c r="M88" s="384">
        <v>46261</v>
      </c>
      <c r="N88" s="343" t="s">
        <v>235</v>
      </c>
      <c r="O88" s="343" t="s">
        <v>172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244</v>
      </c>
      <c r="G89" s="343" t="s">
        <v>157</v>
      </c>
      <c r="I89" s="343">
        <v>20260828</v>
      </c>
      <c r="J89" s="343">
        <v>11508</v>
      </c>
      <c r="K89" s="343">
        <v>41</v>
      </c>
      <c r="L89" s="343">
        <v>107</v>
      </c>
      <c r="M89" s="384">
        <v>46262</v>
      </c>
      <c r="N89" s="343" t="s">
        <v>236</v>
      </c>
      <c r="O89" s="343" t="s">
        <v>172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245</v>
      </c>
      <c r="G90" s="343" t="s">
        <v>157</v>
      </c>
      <c r="I90" s="343">
        <v>20260829</v>
      </c>
      <c r="J90" s="343">
        <v>11298</v>
      </c>
      <c r="K90" s="343">
        <v>48</v>
      </c>
      <c r="L90" s="343">
        <v>130</v>
      </c>
      <c r="M90" s="384">
        <v>46263</v>
      </c>
      <c r="N90" s="343" t="s">
        <v>244</v>
      </c>
      <c r="O90" s="343" t="s">
        <v>172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235</v>
      </c>
      <c r="G91" s="343" t="s">
        <v>160</v>
      </c>
      <c r="I91" s="343">
        <v>20260903</v>
      </c>
      <c r="J91" s="343">
        <v>1172</v>
      </c>
      <c r="K91" s="343">
        <v>8</v>
      </c>
      <c r="L91" s="343">
        <v>13</v>
      </c>
      <c r="M91" s="384">
        <v>46268</v>
      </c>
      <c r="N91" s="343" t="s">
        <v>235</v>
      </c>
      <c r="O91" s="343" t="s">
        <v>101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236</v>
      </c>
      <c r="G92" s="343" t="s">
        <v>160</v>
      </c>
      <c r="I92" s="343">
        <v>20260904</v>
      </c>
      <c r="J92" s="343">
        <v>12444</v>
      </c>
      <c r="K92" s="343">
        <v>43</v>
      </c>
      <c r="L92" s="343">
        <v>118</v>
      </c>
      <c r="M92" s="384">
        <v>46269</v>
      </c>
      <c r="N92" s="343" t="s">
        <v>236</v>
      </c>
      <c r="O92" s="343" t="s">
        <v>101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244</v>
      </c>
      <c r="G93" s="343" t="s">
        <v>160</v>
      </c>
      <c r="I93" s="343">
        <v>20260905</v>
      </c>
      <c r="J93" s="343">
        <v>14763</v>
      </c>
      <c r="K93" s="343">
        <v>49</v>
      </c>
      <c r="L93" s="343">
        <v>137</v>
      </c>
      <c r="M93" s="384">
        <v>46270</v>
      </c>
      <c r="N93" s="343" t="s">
        <v>244</v>
      </c>
      <c r="O93" s="343" t="s">
        <v>101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245</v>
      </c>
      <c r="G94" s="343" t="s">
        <v>160</v>
      </c>
      <c r="I94" s="343">
        <v>20260906</v>
      </c>
      <c r="J94" s="343">
        <v>13085</v>
      </c>
      <c r="K94" s="343">
        <v>51</v>
      </c>
      <c r="L94" s="343">
        <v>100</v>
      </c>
      <c r="M94" s="384">
        <v>46271</v>
      </c>
      <c r="N94" s="343" t="s">
        <v>245</v>
      </c>
      <c r="O94" s="343" t="s">
        <v>101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232</v>
      </c>
      <c r="G95" s="343" t="s">
        <v>161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234</v>
      </c>
      <c r="G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235</v>
      </c>
      <c r="G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236</v>
      </c>
      <c r="G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244</v>
      </c>
      <c r="G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245</v>
      </c>
      <c r="G100" s="343" t="s">
        <v>161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234</v>
      </c>
      <c r="G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235</v>
      </c>
      <c r="G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236</v>
      </c>
      <c r="G103" s="343" t="s">
        <v>162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244</v>
      </c>
      <c r="G104" s="343" t="s">
        <v>162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245</v>
      </c>
      <c r="G105" s="343" t="s">
        <v>162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233</v>
      </c>
      <c r="G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234</v>
      </c>
      <c r="G107" s="343" t="s">
        <v>163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235</v>
      </c>
      <c r="G108" s="343" t="s">
        <v>163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236</v>
      </c>
      <c r="G109" s="343" t="s">
        <v>163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244</v>
      </c>
      <c r="G110" s="343" t="s">
        <v>163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245</v>
      </c>
      <c r="G111" s="343" t="s">
        <v>163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232</v>
      </c>
      <c r="G112" s="343" t="s">
        <v>166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234</v>
      </c>
      <c r="G113" s="343" t="s">
        <v>166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235</v>
      </c>
      <c r="G114" s="343" t="s">
        <v>166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236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244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245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234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235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236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244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245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233</v>
      </c>
      <c r="G123" s="343" t="s">
        <v>168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235</v>
      </c>
      <c r="G124" s="343" t="s">
        <v>168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236</v>
      </c>
      <c r="G125" s="343" t="s">
        <v>168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244</v>
      </c>
      <c r="G126" s="343" t="s">
        <v>168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245</v>
      </c>
      <c r="G127" s="343" t="s">
        <v>168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20260819</v>
      </c>
      <c r="B128" s="343">
        <v>0</v>
      </c>
      <c r="C128" s="343">
        <v>1</v>
      </c>
      <c r="D128" s="343">
        <v>1</v>
      </c>
      <c r="E128" s="384">
        <v>46253</v>
      </c>
      <c r="F128" s="343" t="s">
        <v>234</v>
      </c>
      <c r="G128" s="343" t="s">
        <v>169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20260820</v>
      </c>
      <c r="B129" s="343">
        <v>2367</v>
      </c>
      <c r="C129" s="343">
        <v>45</v>
      </c>
      <c r="D129" s="343">
        <v>67</v>
      </c>
      <c r="E129" s="384">
        <v>46254</v>
      </c>
      <c r="F129" s="343" t="s">
        <v>235</v>
      </c>
      <c r="G129" s="343" t="s">
        <v>169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20260821</v>
      </c>
      <c r="B130" s="343">
        <v>38721</v>
      </c>
      <c r="C130" s="343">
        <v>168</v>
      </c>
      <c r="D130" s="343">
        <v>276</v>
      </c>
      <c r="E130" s="384">
        <v>46255</v>
      </c>
      <c r="F130" s="343" t="s">
        <v>236</v>
      </c>
      <c r="G130" s="343" t="s">
        <v>169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20260822</v>
      </c>
      <c r="B131" s="343">
        <v>29981</v>
      </c>
      <c r="C131" s="343">
        <v>193</v>
      </c>
      <c r="D131" s="343">
        <v>283</v>
      </c>
      <c r="E131" s="384">
        <v>46256</v>
      </c>
      <c r="F131" s="343" t="s">
        <v>244</v>
      </c>
      <c r="G131" s="343" t="s">
        <v>169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20260823</v>
      </c>
      <c r="B132" s="343">
        <v>10722</v>
      </c>
      <c r="C132" s="343">
        <v>65</v>
      </c>
      <c r="D132" s="343">
        <v>57</v>
      </c>
      <c r="E132" s="384">
        <v>46257</v>
      </c>
      <c r="F132" s="343" t="s">
        <v>245</v>
      </c>
      <c r="G132" s="343" t="s">
        <v>169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20260824</v>
      </c>
      <c r="B133" s="343">
        <v>0</v>
      </c>
      <c r="C133" s="343">
        <v>1</v>
      </c>
      <c r="D133" s="343">
        <v>1</v>
      </c>
      <c r="E133" s="384">
        <v>46258</v>
      </c>
      <c r="F133" s="343" t="s">
        <v>232</v>
      </c>
      <c r="G133" s="343" t="s">
        <v>172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20260827</v>
      </c>
      <c r="B134" s="343">
        <v>4123</v>
      </c>
      <c r="C134" s="343">
        <v>42</v>
      </c>
      <c r="D134" s="343">
        <v>60</v>
      </c>
      <c r="E134" s="384">
        <v>46261</v>
      </c>
      <c r="F134" s="343" t="s">
        <v>235</v>
      </c>
      <c r="G134" s="343" t="s">
        <v>172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20260828</v>
      </c>
      <c r="B135" s="343">
        <v>13056</v>
      </c>
      <c r="C135" s="343">
        <v>105</v>
      </c>
      <c r="D135" s="343">
        <v>144</v>
      </c>
      <c r="E135" s="384">
        <v>46262</v>
      </c>
      <c r="F135" s="343" t="s">
        <v>236</v>
      </c>
      <c r="G135" s="343" t="s">
        <v>172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20260829</v>
      </c>
      <c r="B136" s="343">
        <v>51438</v>
      </c>
      <c r="C136" s="343">
        <v>193</v>
      </c>
      <c r="D136" s="343">
        <v>271</v>
      </c>
      <c r="E136" s="384">
        <v>46263</v>
      </c>
      <c r="F136" s="343" t="s">
        <v>244</v>
      </c>
      <c r="G136" s="343" t="s">
        <v>172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20260830</v>
      </c>
      <c r="B137" s="343">
        <v>886.1</v>
      </c>
      <c r="C137" s="343">
        <v>1</v>
      </c>
      <c r="D137" s="343">
        <v>0</v>
      </c>
      <c r="E137" s="384">
        <v>46264</v>
      </c>
      <c r="F137" s="343" t="s">
        <v>245</v>
      </c>
      <c r="G137" s="343" t="s">
        <v>172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20260901</v>
      </c>
      <c r="B138" s="343">
        <v>0</v>
      </c>
      <c r="C138" s="343">
        <v>4</v>
      </c>
      <c r="D138" s="343">
        <v>4</v>
      </c>
      <c r="E138" s="384">
        <v>46266</v>
      </c>
      <c r="F138" s="343" t="s">
        <v>233</v>
      </c>
      <c r="G138" s="343" t="s">
        <v>101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20260903</v>
      </c>
      <c r="B139" s="343">
        <v>4001.4</v>
      </c>
      <c r="C139" s="343">
        <v>26</v>
      </c>
      <c r="D139" s="343">
        <v>60</v>
      </c>
      <c r="E139" s="384">
        <v>46268</v>
      </c>
      <c r="F139" s="343" t="s">
        <v>235</v>
      </c>
      <c r="G139" s="343" t="s">
        <v>101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20260904</v>
      </c>
      <c r="B140" s="343">
        <v>15807</v>
      </c>
      <c r="C140" s="343">
        <v>109</v>
      </c>
      <c r="D140" s="343">
        <v>160</v>
      </c>
      <c r="E140" s="384">
        <v>46269</v>
      </c>
      <c r="F140" s="343" t="s">
        <v>236</v>
      </c>
      <c r="G140" s="343" t="s">
        <v>101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20260905</v>
      </c>
      <c r="B141" s="343">
        <v>46917.5</v>
      </c>
      <c r="C141" s="343">
        <v>254</v>
      </c>
      <c r="D141" s="343">
        <v>1155</v>
      </c>
      <c r="E141" s="384">
        <v>46270</v>
      </c>
      <c r="F141" s="343" t="s">
        <v>244</v>
      </c>
      <c r="G141" s="343" t="s">
        <v>101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20260906</v>
      </c>
      <c r="B142" s="343">
        <v>45192</v>
      </c>
      <c r="C142" s="343">
        <v>228</v>
      </c>
      <c r="D142" s="343">
        <v>284</v>
      </c>
      <c r="E142" s="384">
        <v>46271</v>
      </c>
      <c r="F142" s="343" t="s">
        <v>245</v>
      </c>
      <c r="G142" s="343" t="s">
        <v>101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7:27"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7:27"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7:27"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7:27"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7:27"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7:27"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7:27"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7:27"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7:27"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7:27"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7:27"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7:27"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7:27"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7:27"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7:27"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7:27"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7:27"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7:27"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7:27"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293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7:27"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7:27"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343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7:27"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7:27"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7:27"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7:27"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7:27"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7:27"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341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7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293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7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7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343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7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7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341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293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343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341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293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343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341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293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343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285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339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281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279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277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341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293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343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285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339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281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279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277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341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344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343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285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339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281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279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277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341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293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343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285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339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281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279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277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341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293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343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285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339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281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279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277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341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293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344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343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285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339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281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279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277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341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345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293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343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285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339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281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279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277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341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293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343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285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339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281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279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277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341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345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293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343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168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  <row r="277" spans="17:27">
      <c r="Q277" s="343" t="s">
        <v>165</v>
      </c>
      <c r="R277" s="343" t="s">
        <v>169</v>
      </c>
      <c r="S277" s="384">
        <v>46251</v>
      </c>
      <c r="T277" s="384">
        <v>46257</v>
      </c>
      <c r="U277" s="343" t="s">
        <v>106</v>
      </c>
      <c r="V277" s="343">
        <v>1</v>
      </c>
      <c r="W277" s="343">
        <v>486.5</v>
      </c>
      <c r="X277" s="343">
        <v>0</v>
      </c>
      <c r="Y277" s="343">
        <v>0</v>
      </c>
      <c r="Z277" s="343">
        <v>486.5</v>
      </c>
      <c r="AA277" s="343">
        <v>0</v>
      </c>
    </row>
    <row r="278" spans="17:27">
      <c r="Q278" s="343" t="s">
        <v>171</v>
      </c>
      <c r="R278" s="343" t="s">
        <v>172</v>
      </c>
      <c r="S278" s="384">
        <v>46258</v>
      </c>
      <c r="T278" s="384">
        <v>46264</v>
      </c>
      <c r="U278" s="343" t="s">
        <v>106</v>
      </c>
      <c r="V278" s="343">
        <v>0</v>
      </c>
      <c r="W278" s="343">
        <v>0</v>
      </c>
      <c r="X278" s="343">
        <v>0</v>
      </c>
      <c r="Y278" s="343">
        <v>0</v>
      </c>
      <c r="Z278" s="343">
        <v>0</v>
      </c>
      <c r="AA278" s="343">
        <v>0</v>
      </c>
    </row>
    <row r="279" spans="17:27">
      <c r="Q279" s="343" t="s">
        <v>171</v>
      </c>
      <c r="R279" s="343" t="s">
        <v>101</v>
      </c>
      <c r="S279" s="384">
        <v>46265</v>
      </c>
      <c r="T279" s="384">
        <v>46271</v>
      </c>
      <c r="U279" s="343" t="s">
        <v>106</v>
      </c>
      <c r="V279" s="343">
        <v>0</v>
      </c>
      <c r="W279" s="343">
        <v>0</v>
      </c>
      <c r="X279" s="343">
        <v>0</v>
      </c>
      <c r="Y279" s="343">
        <v>0</v>
      </c>
      <c r="Z279" s="343">
        <v>0</v>
      </c>
      <c r="AA279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36</v>
      </c>
      <c r="F1" s="5">
        <f>VLOOKUP(D1,Dates!$B$2:$E$53,4,FALSE)</f>
        <v>36</v>
      </c>
      <c r="G1" s="5" t="b">
        <v>1</v>
      </c>
    </row>
    <row r="2" spans="3:16" ht="28.5">
      <c r="D2" s="398" t="str">
        <f>CONCATENATE("HONO",)</f>
        <v>HONO</v>
      </c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395" t="str">
        <f>D1</f>
        <v>Week 36</v>
      </c>
      <c r="G4" s="395"/>
      <c r="H4" s="395"/>
      <c r="J4" s="395" t="str">
        <f>CONCATENATE("MTD"," ","-"," ",D4)</f>
        <v>MTD - P9</v>
      </c>
      <c r="K4" s="395"/>
      <c r="L4" s="395"/>
      <c r="M4" s="71"/>
      <c r="N4" s="395" t="s">
        <v>7</v>
      </c>
      <c r="O4" s="395"/>
      <c r="P4" s="395"/>
    </row>
    <row r="6" spans="3:1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346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347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346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347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346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347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242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346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347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Props1.xml><?xml version="1.0" encoding="utf-8"?>
<ds:datastoreItem xmlns:ds="http://schemas.openxmlformats.org/officeDocument/2006/customXml" ds:itemID="{944A6476-0776-423A-839F-D0D09769F645}"/>
</file>

<file path=customXml/itemProps2.xml><?xml version="1.0" encoding="utf-8"?>
<ds:datastoreItem xmlns:ds="http://schemas.openxmlformats.org/officeDocument/2006/customXml" ds:itemID="{F726AEF1-5AEE-4DB3-A0A6-17D2AB65BB00}"/>
</file>

<file path=customXml/itemProps3.xml><?xml version="1.0" encoding="utf-8"?>
<ds:datastoreItem xmlns:ds="http://schemas.openxmlformats.org/officeDocument/2006/customXml" ds:itemID="{C2BE4E39-A780-46A7-A66E-6B78029CACBE}"/>
</file>

<file path=customXml/itemProps4.xml><?xml version="1.0" encoding="utf-8"?>
<ds:datastoreItem xmlns:ds="http://schemas.openxmlformats.org/officeDocument/2006/customXml" ds:itemID="{E9D86580-7F39-4BCB-B1C5-3A041487CB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2026-09-08T17:40:14Z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