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lessio\Desktop\Acoustics\CMLS\Homework3\MusicalAcousticsHWs\RoomAcoustics\6_room_design_absorption\"/>
    </mc:Choice>
  </mc:AlternateContent>
  <xr:revisionPtr revIDLastSave="0" documentId="13_ncr:1_{75D5515B-51A3-42C2-BC7F-125BA0BC1FD4}" xr6:coauthVersionLast="46" xr6:coauthVersionMax="46" xr10:uidLastSave="{00000000-0000-0000-0000-000000000000}"/>
  <bookViews>
    <workbookView xWindow="-120" yWindow="-120" windowWidth="20730" windowHeight="11160" tabRatio="761" activeTab="8" xr2:uid="{00000000-000D-0000-FFFF-FFFF00000000}"/>
  </bookViews>
  <sheets>
    <sheet name="DATA" sheetId="1" r:id="rId1"/>
    <sheet name="CASE A" sheetId="2" r:id="rId2"/>
    <sheet name="CASE  B1" sheetId="4" r:id="rId3"/>
    <sheet name="CASE B2" sheetId="5" r:id="rId4"/>
    <sheet name="CASE C_A" sheetId="6" r:id="rId5"/>
    <sheet name="CASE  C_B1" sheetId="7" r:id="rId6"/>
    <sheet name="CASE C_B2" sheetId="8" r:id="rId7"/>
    <sheet name="D - FLOOR" sheetId="9" r:id="rId8"/>
    <sheet name="Es 2" sheetId="11" r:id="rId9"/>
    <sheet name="conclusion" sheetId="10" r:id="rId10"/>
  </sheets>
  <definedNames>
    <definedName name="area_S1">DATA!$B$5</definedName>
    <definedName name="area_S1_B1">DATA!$C$5</definedName>
    <definedName name="area_S1_B2">DATA!$D$5</definedName>
    <definedName name="area_S2">DATA!$B$6</definedName>
    <definedName name="area_S2_B1">DATA!$C$6</definedName>
    <definedName name="area_S2_B2">DATA!$D$6</definedName>
    <definedName name="area_S3">DATA!$B$7</definedName>
    <definedName name="area_S3_B1">DATA!$C$7</definedName>
    <definedName name="area_S3_B2">DATA!$D$7</definedName>
    <definedName name="area_S4">DATA!$B$8</definedName>
    <definedName name="area_S4_B1">DATA!$C$8</definedName>
    <definedName name="area_S4_B2">DATA!$D$8</definedName>
    <definedName name="area_S5_1">DATA!$B$9</definedName>
    <definedName name="area_S5_2">DATA!$B$10</definedName>
    <definedName name="area_S5_B1">DATA!$C$9</definedName>
    <definedName name="area_S5_B1_1">DATA!$C$9</definedName>
    <definedName name="area_S5_B1_2">DATA!$C$10</definedName>
    <definedName name="area_S5_B2_1">DATA!$D$9</definedName>
    <definedName name="area_S5_B2_2">DATA!$D$10</definedName>
    <definedName name="area_S6">DATA!$B$11</definedName>
    <definedName name="area_S6_B1">DATA!$C$11</definedName>
    <definedName name="area_S6_B2">DATA!$D$11</definedName>
    <definedName name="area_S7">DATA!$B$12</definedName>
    <definedName name="area_S7_B1">DATA!$C$12</definedName>
    <definedName name="area_S7_B2">DATA!$D$12</definedName>
    <definedName name="f0f">'D - FLOOR'!$S$13</definedName>
    <definedName name="lenx1">DATA!$B$17</definedName>
    <definedName name="lenx2">DATA!$C$17</definedName>
    <definedName name="lenx3">DATA!$D$17</definedName>
    <definedName name="leny1">DATA!$B$16</definedName>
    <definedName name="leny2">DATA!$C$16</definedName>
    <definedName name="leny3">DATA!$D$16</definedName>
    <definedName name="lenz1">DATA!$B$18</definedName>
    <definedName name="lenz2">DATA!$C$18</definedName>
    <definedName name="lenz3">DATA!$D$18</definedName>
    <definedName name="mass_bare">'D - FLOOR'!$B$31</definedName>
    <definedName name="surface_A">DATA!$B$22</definedName>
    <definedName name="surface_B1">DATA!$C$22</definedName>
    <definedName name="surface_B2">DATA!$D$22</definedName>
    <definedName name="volume_A">DATA!$B$20</definedName>
    <definedName name="volume_B1">DATA!$C$20</definedName>
    <definedName name="volume_B2">DATA!$D$20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1" l="1"/>
  <c r="C8" i="11"/>
  <c r="B8" i="11"/>
  <c r="C7" i="11"/>
  <c r="D7" i="11"/>
  <c r="B7" i="11"/>
  <c r="D6" i="11"/>
  <c r="C6" i="11"/>
  <c r="B6" i="11"/>
  <c r="D5" i="11"/>
  <c r="C5" i="11"/>
  <c r="B5" i="11"/>
  <c r="J21" i="11"/>
  <c r="J22" i="11"/>
  <c r="J23" i="11"/>
  <c r="J24" i="11"/>
  <c r="J25" i="11"/>
  <c r="J26" i="11"/>
  <c r="J27" i="11"/>
  <c r="J28" i="11"/>
  <c r="J29" i="11"/>
  <c r="I21" i="11"/>
  <c r="I22" i="11"/>
  <c r="I23" i="11"/>
  <c r="I24" i="11"/>
  <c r="I25" i="11"/>
  <c r="I26" i="11"/>
  <c r="I27" i="11"/>
  <c r="I28" i="11"/>
  <c r="I29" i="11"/>
  <c r="H21" i="11"/>
  <c r="H22" i="11"/>
  <c r="H23" i="11"/>
  <c r="H24" i="11"/>
  <c r="H25" i="11"/>
  <c r="H26" i="11"/>
  <c r="H27" i="11"/>
  <c r="H28" i="11"/>
  <c r="H29" i="11"/>
  <c r="J12" i="11"/>
  <c r="J13" i="11"/>
  <c r="J14" i="11"/>
  <c r="J15" i="11"/>
  <c r="J16" i="11"/>
  <c r="J17" i="11"/>
  <c r="J18" i="11"/>
  <c r="J19" i="11"/>
  <c r="J20" i="11"/>
  <c r="I12" i="11"/>
  <c r="I13" i="11"/>
  <c r="I14" i="11"/>
  <c r="I15" i="11"/>
  <c r="I16" i="11"/>
  <c r="I17" i="11"/>
  <c r="I18" i="11"/>
  <c r="I19" i="11"/>
  <c r="I20" i="11"/>
  <c r="H12" i="11"/>
  <c r="H13" i="11"/>
  <c r="H14" i="11"/>
  <c r="H15" i="11"/>
  <c r="H16" i="11"/>
  <c r="H17" i="11"/>
  <c r="H18" i="11"/>
  <c r="H19" i="11"/>
  <c r="H20" i="11"/>
  <c r="I9" i="11"/>
  <c r="J6" i="11"/>
  <c r="J7" i="11"/>
  <c r="J8" i="11"/>
  <c r="J9" i="11"/>
  <c r="J10" i="11"/>
  <c r="J11" i="11"/>
  <c r="I6" i="11"/>
  <c r="I7" i="11"/>
  <c r="I8" i="11"/>
  <c r="I10" i="11"/>
  <c r="I11" i="11"/>
  <c r="H6" i="11"/>
  <c r="H7" i="11"/>
  <c r="H8" i="11"/>
  <c r="H9" i="11"/>
  <c r="H10" i="11"/>
  <c r="H11" i="11"/>
  <c r="J3" i="11"/>
  <c r="J4" i="11"/>
  <c r="J5" i="11"/>
  <c r="I4" i="11"/>
  <c r="I5" i="11"/>
  <c r="I3" i="11"/>
  <c r="H3" i="11"/>
  <c r="H4" i="11"/>
  <c r="H5" i="11"/>
  <c r="C4" i="11"/>
  <c r="D4" i="11"/>
  <c r="B4" i="11"/>
  <c r="B3" i="11"/>
  <c r="D3" i="11"/>
  <c r="C3" i="11"/>
  <c r="B11" i="9" l="1"/>
  <c r="M6" i="9"/>
  <c r="M7" i="9"/>
  <c r="M8" i="9"/>
  <c r="M9" i="9"/>
  <c r="M5" i="9"/>
  <c r="S13" i="9"/>
  <c r="F25" i="8" l="1"/>
  <c r="F26" i="8"/>
  <c r="F27" i="8"/>
  <c r="F28" i="8"/>
  <c r="F29" i="8"/>
  <c r="F24" i="8"/>
  <c r="D25" i="8"/>
  <c r="D26" i="8"/>
  <c r="D27" i="8"/>
  <c r="D28" i="8"/>
  <c r="D29" i="8"/>
  <c r="D24" i="8"/>
  <c r="F25" i="7"/>
  <c r="F26" i="7"/>
  <c r="F27" i="7"/>
  <c r="F28" i="7"/>
  <c r="F29" i="7"/>
  <c r="F24" i="7"/>
  <c r="D25" i="7"/>
  <c r="D26" i="7"/>
  <c r="D27" i="7"/>
  <c r="D28" i="7"/>
  <c r="D29" i="7"/>
  <c r="D24" i="7"/>
  <c r="F25" i="4"/>
  <c r="F26" i="4"/>
  <c r="F27" i="4"/>
  <c r="F28" i="4"/>
  <c r="F29" i="4"/>
  <c r="F24" i="4"/>
  <c r="D25" i="4"/>
  <c r="D26" i="4"/>
  <c r="D27" i="4"/>
  <c r="D28" i="4"/>
  <c r="D29" i="4"/>
  <c r="D24" i="4"/>
  <c r="D25" i="2"/>
  <c r="D26" i="2"/>
  <c r="D27" i="2"/>
  <c r="D28" i="2"/>
  <c r="D29" i="2"/>
  <c r="D24" i="2"/>
  <c r="F25" i="2"/>
  <c r="F26" i="2"/>
  <c r="F27" i="2"/>
  <c r="F28" i="2"/>
  <c r="F29" i="2"/>
  <c r="F24" i="2"/>
  <c r="F25" i="5"/>
  <c r="F26" i="5"/>
  <c r="F27" i="5"/>
  <c r="F28" i="5"/>
  <c r="F29" i="5"/>
  <c r="F24" i="5"/>
  <c r="D25" i="5"/>
  <c r="D26" i="5"/>
  <c r="D27" i="5"/>
  <c r="D28" i="5"/>
  <c r="D29" i="5"/>
  <c r="D24" i="5"/>
  <c r="C10" i="1"/>
  <c r="D10" i="1"/>
  <c r="B10" i="1"/>
  <c r="B20" i="1" l="1"/>
  <c r="B12" i="1"/>
  <c r="I30" i="9" l="1"/>
  <c r="M32" i="9"/>
  <c r="E39" i="9"/>
  <c r="E40" i="9"/>
  <c r="E41" i="9"/>
  <c r="E42" i="9"/>
  <c r="F42" i="9" s="1"/>
  <c r="I42" i="9" s="1"/>
  <c r="E38" i="9"/>
  <c r="J39" i="9"/>
  <c r="J40" i="9"/>
  <c r="K40" i="9" s="1"/>
  <c r="J41" i="9"/>
  <c r="J42" i="9"/>
  <c r="J38" i="9"/>
  <c r="I39" i="9"/>
  <c r="K39" i="9" s="1"/>
  <c r="I40" i="9"/>
  <c r="F39" i="9"/>
  <c r="F40" i="9"/>
  <c r="F41" i="9"/>
  <c r="I41" i="9" s="1"/>
  <c r="F38" i="9"/>
  <c r="I38" i="9" s="1"/>
  <c r="B42" i="9"/>
  <c r="B41" i="9"/>
  <c r="B40" i="9"/>
  <c r="B39" i="9"/>
  <c r="B38" i="9"/>
  <c r="K41" i="9" l="1"/>
  <c r="K38" i="9"/>
  <c r="K42" i="9"/>
  <c r="K43" i="9" l="1"/>
  <c r="B9" i="9" l="1"/>
  <c r="N18" i="9"/>
  <c r="N19" i="9"/>
  <c r="N11" i="9" s="1"/>
  <c r="B10" i="9" s="1"/>
  <c r="N20" i="9"/>
  <c r="N21" i="9"/>
  <c r="N17" i="9"/>
  <c r="N9" i="9"/>
  <c r="M21" i="9" s="1"/>
  <c r="N8" i="9"/>
  <c r="M20" i="9" s="1"/>
  <c r="O20" i="9" s="1"/>
  <c r="N7" i="9"/>
  <c r="M19" i="9" s="1"/>
  <c r="N6" i="9"/>
  <c r="M18" i="9" s="1"/>
  <c r="O18" i="9" s="1"/>
  <c r="N5" i="9"/>
  <c r="M17" i="9" s="1"/>
  <c r="I11" i="9"/>
  <c r="H18" i="9"/>
  <c r="H19" i="9"/>
  <c r="I19" i="9" s="1"/>
  <c r="H20" i="9"/>
  <c r="I20" i="9" s="1"/>
  <c r="H21" i="9"/>
  <c r="I21" i="9" s="1"/>
  <c r="H17" i="9"/>
  <c r="I17" i="9" s="1"/>
  <c r="I18" i="9"/>
  <c r="G18" i="9"/>
  <c r="G19" i="9"/>
  <c r="G20" i="9"/>
  <c r="G21" i="9"/>
  <c r="G17" i="9"/>
  <c r="I6" i="9"/>
  <c r="I7" i="9"/>
  <c r="I8" i="9"/>
  <c r="I9" i="9"/>
  <c r="I5" i="9"/>
  <c r="O19" i="9" l="1"/>
  <c r="O21" i="9"/>
  <c r="O17" i="9"/>
  <c r="I22" i="9"/>
  <c r="O22" i="9" l="1"/>
  <c r="B21" i="9"/>
  <c r="B20" i="9"/>
  <c r="B19" i="9"/>
  <c r="B18" i="9"/>
  <c r="B17" i="9"/>
  <c r="B9" i="8" l="1"/>
  <c r="B8" i="8"/>
  <c r="B7" i="8"/>
  <c r="B6" i="8"/>
  <c r="B5" i="8"/>
  <c r="B4" i="8"/>
  <c r="B9" i="7"/>
  <c r="B8" i="7"/>
  <c r="B7" i="7"/>
  <c r="B6" i="7"/>
  <c r="B5" i="7"/>
  <c r="B4" i="7"/>
  <c r="B9" i="6"/>
  <c r="B8" i="6"/>
  <c r="B7" i="6"/>
  <c r="B6" i="6"/>
  <c r="B5" i="6"/>
  <c r="B4" i="6"/>
  <c r="D9" i="1"/>
  <c r="D11" i="1"/>
  <c r="D5" i="1"/>
  <c r="D6" i="1"/>
  <c r="D7" i="1"/>
  <c r="D22" i="1" s="1"/>
  <c r="D20" i="1"/>
  <c r="D12" i="1"/>
  <c r="B9" i="5"/>
  <c r="B8" i="5"/>
  <c r="B7" i="5"/>
  <c r="B6" i="5"/>
  <c r="B5" i="5"/>
  <c r="B4" i="5"/>
  <c r="C7" i="1"/>
  <c r="C22" i="1" s="1"/>
  <c r="N7" i="7" s="1"/>
  <c r="N17" i="7" s="1"/>
  <c r="C9" i="1"/>
  <c r="C11" i="1"/>
  <c r="C5" i="1"/>
  <c r="C6" i="1"/>
  <c r="B9" i="1"/>
  <c r="B11" i="1"/>
  <c r="C20" i="1"/>
  <c r="C12" i="1"/>
  <c r="B9" i="4"/>
  <c r="B8" i="4"/>
  <c r="B7" i="4"/>
  <c r="B6" i="4"/>
  <c r="B5" i="4"/>
  <c r="B4" i="4"/>
  <c r="N4" i="7" l="1"/>
  <c r="N5" i="7"/>
  <c r="N8" i="4"/>
  <c r="N4" i="4"/>
  <c r="J14" i="4" s="1"/>
  <c r="N8" i="7"/>
  <c r="N6" i="4"/>
  <c r="N16" i="4" s="1"/>
  <c r="N6" i="7"/>
  <c r="N16" i="7" s="1"/>
  <c r="N9" i="4"/>
  <c r="J19" i="4" s="1"/>
  <c r="N5" i="4"/>
  <c r="J15" i="4" s="1"/>
  <c r="N9" i="7"/>
  <c r="N7" i="4"/>
  <c r="J17" i="4" s="1"/>
  <c r="N5" i="8"/>
  <c r="N9" i="8"/>
  <c r="N6" i="5"/>
  <c r="N16" i="5" s="1"/>
  <c r="N6" i="8"/>
  <c r="N4" i="8"/>
  <c r="N7" i="5"/>
  <c r="N17" i="5" s="1"/>
  <c r="N7" i="8"/>
  <c r="N17" i="8" s="1"/>
  <c r="N8" i="5"/>
  <c r="J18" i="5" s="1"/>
  <c r="N8" i="8"/>
  <c r="N5" i="5"/>
  <c r="N9" i="5"/>
  <c r="N4" i="5"/>
  <c r="J17" i="8"/>
  <c r="J18" i="8"/>
  <c r="J28" i="8" s="1"/>
  <c r="J15" i="8"/>
  <c r="J25" i="8" s="1"/>
  <c r="N15" i="8"/>
  <c r="J19" i="8"/>
  <c r="N18" i="8"/>
  <c r="J17" i="7"/>
  <c r="J15" i="7"/>
  <c r="J25" i="7" s="1"/>
  <c r="J16" i="4"/>
  <c r="N15" i="7"/>
  <c r="J28" i="5"/>
  <c r="J14" i="7"/>
  <c r="J24" i="7" s="1"/>
  <c r="J16" i="7"/>
  <c r="J18" i="7"/>
  <c r="J28" i="7" s="1"/>
  <c r="N14" i="7"/>
  <c r="N18" i="7"/>
  <c r="N14" i="4"/>
  <c r="N15" i="5"/>
  <c r="J18" i="4"/>
  <c r="J15" i="5"/>
  <c r="J25" i="5" s="1"/>
  <c r="N19" i="4"/>
  <c r="N15" i="4"/>
  <c r="N18" i="4"/>
  <c r="N17" i="4"/>
  <c r="B6" i="2"/>
  <c r="B7" i="2"/>
  <c r="B8" i="2"/>
  <c r="B9" i="2"/>
  <c r="B5" i="2"/>
  <c r="B4" i="2"/>
  <c r="B5" i="1"/>
  <c r="B6" i="1"/>
  <c r="B7" i="1"/>
  <c r="B22" i="1" s="1"/>
  <c r="J19" i="7" l="1"/>
  <c r="J29" i="7" s="1"/>
  <c r="N19" i="7"/>
  <c r="N4" i="2"/>
  <c r="N5" i="6"/>
  <c r="N9" i="6"/>
  <c r="N6" i="6"/>
  <c r="N4" i="6"/>
  <c r="N7" i="6"/>
  <c r="N8" i="6"/>
  <c r="F28" i="6" s="1"/>
  <c r="N14" i="8"/>
  <c r="J14" i="8"/>
  <c r="J24" i="8" s="1"/>
  <c r="J14" i="5"/>
  <c r="J24" i="5" s="1"/>
  <c r="N18" i="5"/>
  <c r="J17" i="5"/>
  <c r="N14" i="5"/>
  <c r="J16" i="5"/>
  <c r="J29" i="8"/>
  <c r="J27" i="8"/>
  <c r="N19" i="5"/>
  <c r="J19" i="5"/>
  <c r="J29" i="5" s="1"/>
  <c r="N19" i="8"/>
  <c r="N16" i="8"/>
  <c r="J16" i="8"/>
  <c r="J26" i="8" s="1"/>
  <c r="J26" i="7"/>
  <c r="J27" i="7"/>
  <c r="N5" i="2"/>
  <c r="N9" i="2"/>
  <c r="N6" i="2"/>
  <c r="N7" i="2"/>
  <c r="N8" i="2"/>
  <c r="N17" i="6" l="1"/>
  <c r="J17" i="6"/>
  <c r="D27" i="6" s="1"/>
  <c r="J15" i="6"/>
  <c r="D25" i="6" s="1"/>
  <c r="J25" i="6" s="1"/>
  <c r="N15" i="6"/>
  <c r="F25" i="6"/>
  <c r="N14" i="6"/>
  <c r="J14" i="6"/>
  <c r="F24" i="6"/>
  <c r="J16" i="6"/>
  <c r="N16" i="6"/>
  <c r="F26" i="6"/>
  <c r="J18" i="6"/>
  <c r="N18" i="6"/>
  <c r="N19" i="6"/>
  <c r="J19" i="6"/>
  <c r="F29" i="6"/>
  <c r="F27" i="6"/>
  <c r="J27" i="5"/>
  <c r="J26" i="5"/>
  <c r="N14" i="2"/>
  <c r="J14" i="2"/>
  <c r="J16" i="2"/>
  <c r="N16" i="2"/>
  <c r="J27" i="4"/>
  <c r="N17" i="2"/>
  <c r="J17" i="2"/>
  <c r="N18" i="2"/>
  <c r="J18" i="2"/>
  <c r="J28" i="2" s="1"/>
  <c r="N19" i="2"/>
  <c r="J19" i="2"/>
  <c r="N15" i="2"/>
  <c r="J15" i="2"/>
  <c r="D28" i="6" l="1"/>
  <c r="J28" i="6" s="1"/>
  <c r="D29" i="6"/>
  <c r="J29" i="6" s="1"/>
  <c r="D24" i="6"/>
  <c r="J24" i="6" s="1"/>
  <c r="J27" i="6"/>
  <c r="J26" i="6"/>
  <c r="D26" i="6"/>
  <c r="J25" i="2"/>
  <c r="J29" i="2"/>
  <c r="J26" i="2"/>
  <c r="J24" i="2"/>
  <c r="J28" i="4"/>
  <c r="J26" i="4"/>
  <c r="J25" i="4"/>
  <c r="J29" i="4"/>
  <c r="J27" i="2"/>
  <c r="J24" i="4"/>
</calcChain>
</file>

<file path=xl/sharedStrings.xml><?xml version="1.0" encoding="utf-8"?>
<sst xmlns="http://schemas.openxmlformats.org/spreadsheetml/2006/main" count="318" uniqueCount="111">
  <si>
    <t>classrooms</t>
  </si>
  <si>
    <t xml:space="preserve">floor S1 </t>
  </si>
  <si>
    <t>ceiling S2</t>
  </si>
  <si>
    <t>wall S3</t>
  </si>
  <si>
    <t>Door S4</t>
  </si>
  <si>
    <t>internal  wall S5_1</t>
  </si>
  <si>
    <t>internal wall S5_2</t>
  </si>
  <si>
    <t>facade wall S6</t>
  </si>
  <si>
    <t>windows S7</t>
  </si>
  <si>
    <t>area [m^2]</t>
  </si>
  <si>
    <t>dimensions</t>
  </si>
  <si>
    <t>height</t>
  </si>
  <si>
    <t>length</t>
  </si>
  <si>
    <t>width</t>
  </si>
  <si>
    <t>[m]</t>
  </si>
  <si>
    <t>[m^3]</t>
  </si>
  <si>
    <t>volume</t>
  </si>
  <si>
    <t>freq [Hz]</t>
  </si>
  <si>
    <t>index</t>
  </si>
  <si>
    <r>
      <t xml:space="preserve">low sound absorption coefficients </t>
    </r>
    <r>
      <rPr>
        <sz val="11"/>
        <color theme="0" tint="-4.9989318521683403E-2"/>
        <rFont val="Calibri"/>
        <family val="2"/>
      </rPr>
      <t>α</t>
    </r>
  </si>
  <si>
    <t>floor S1</t>
  </si>
  <si>
    <t>internal wall S5_1</t>
  </si>
  <si>
    <t xml:space="preserve"> facade S6</t>
  </si>
  <si>
    <t>wind S7</t>
  </si>
  <si>
    <t>windows</t>
  </si>
  <si>
    <t>internal walls</t>
  </si>
  <si>
    <t>rear wall S3</t>
  </si>
  <si>
    <t>rear wall</t>
  </si>
  <si>
    <t>facade</t>
  </si>
  <si>
    <t>floor</t>
  </si>
  <si>
    <t>ceiling</t>
  </si>
  <si>
    <t>door</t>
  </si>
  <si>
    <r>
      <t xml:space="preserve">apparente averaged </t>
    </r>
    <r>
      <rPr>
        <sz val="11"/>
        <color theme="0" tint="-4.9989318521683403E-2"/>
        <rFont val="Calibri"/>
        <family val="2"/>
      </rPr>
      <t>α_av</t>
    </r>
  </si>
  <si>
    <t xml:space="preserve"> α_av</t>
  </si>
  <si>
    <t>surface</t>
  </si>
  <si>
    <t>[m^2]</t>
  </si>
  <si>
    <t>room costant</t>
  </si>
  <si>
    <t xml:space="preserve">R </t>
  </si>
  <si>
    <t>equivalent Area</t>
  </si>
  <si>
    <t>A</t>
  </si>
  <si>
    <t>Sabine RT</t>
  </si>
  <si>
    <t>Eyring RT</t>
  </si>
  <si>
    <t>S_RT</t>
  </si>
  <si>
    <t>E_RT</t>
  </si>
  <si>
    <t>deviation</t>
  </si>
  <si>
    <t>Y</t>
  </si>
  <si>
    <t>curtains</t>
  </si>
  <si>
    <t>court S7</t>
  </si>
  <si>
    <t>audience</t>
  </si>
  <si>
    <t>students</t>
  </si>
  <si>
    <t>curtain</t>
  </si>
  <si>
    <t>courtain</t>
  </si>
  <si>
    <t>IMPACT SOUND REFERENCE CURVE</t>
  </si>
  <si>
    <t>ref [dB]</t>
  </si>
  <si>
    <t>DPCM 5.12.97</t>
  </si>
  <si>
    <t>Category E: buildings used for school activities at all levels</t>
  </si>
  <si>
    <t>R'w</t>
  </si>
  <si>
    <t>L'n,w</t>
  </si>
  <si>
    <t>with flanking transmission</t>
  </si>
  <si>
    <t>unf. Dev.</t>
  </si>
  <si>
    <t>must be &lt; = 10</t>
  </si>
  <si>
    <t>BARE FLOOR</t>
  </si>
  <si>
    <t>Ln,1</t>
  </si>
  <si>
    <t>Ln,0 [Hz]</t>
  </si>
  <si>
    <t>ΔLr [Hz]</t>
  </si>
  <si>
    <t>Ln,1 [Hz]</t>
  </si>
  <si>
    <t>Rep. Curv</t>
  </si>
  <si>
    <t>shift</t>
  </si>
  <si>
    <t>FLOATING FLOOR</t>
  </si>
  <si>
    <t>Ln,r, 0 [Hz]</t>
  </si>
  <si>
    <t>ΔLn [Hz]</t>
  </si>
  <si>
    <t>Ln,r [Hz]</t>
  </si>
  <si>
    <t>Ln,r</t>
  </si>
  <si>
    <t>Ln,w,eq</t>
  </si>
  <si>
    <t>ΔLw</t>
  </si>
  <si>
    <t>K</t>
  </si>
  <si>
    <t>Impact sound</t>
  </si>
  <si>
    <t>sound reduction</t>
  </si>
  <si>
    <t>Mass Law</t>
  </si>
  <si>
    <t>R0 [dB]</t>
  </si>
  <si>
    <t>Rdiff[dB]</t>
  </si>
  <si>
    <t>m'</t>
  </si>
  <si>
    <t>Rdiff</t>
  </si>
  <si>
    <t xml:space="preserve">highlighted value is Rw for bare floor </t>
  </si>
  <si>
    <t>m1'</t>
  </si>
  <si>
    <t>m2'</t>
  </si>
  <si>
    <t>S'</t>
  </si>
  <si>
    <t>f0</t>
  </si>
  <si>
    <t>[kg/m2]</t>
  </si>
  <si>
    <t>[Hz]</t>
  </si>
  <si>
    <t>[MN/m3]</t>
  </si>
  <si>
    <t>Rw</t>
  </si>
  <si>
    <t>ΔRw</t>
  </si>
  <si>
    <t>sound reduction index for the floor</t>
  </si>
  <si>
    <t>Ln,1,w [dB]</t>
  </si>
  <si>
    <t>Ln,r,w [dB]</t>
  </si>
  <si>
    <t>nx</t>
  </si>
  <si>
    <t>ny</t>
  </si>
  <si>
    <t>nz</t>
  </si>
  <si>
    <t>HEIGHT</t>
  </si>
  <si>
    <t>WIDTH</t>
  </si>
  <si>
    <t>LENGTH</t>
  </si>
  <si>
    <t>axial mode frequencies [Hz]</t>
  </si>
  <si>
    <t>characteristic dimension  L=(V)^1/3 [m]</t>
  </si>
  <si>
    <r>
      <t>small room  f =λ&gt;L -&gt; f= c/</t>
    </r>
    <r>
      <rPr>
        <sz val="11"/>
        <color theme="0"/>
        <rFont val="Calibri"/>
        <family val="2"/>
      </rPr>
      <t>λ</t>
    </r>
    <r>
      <rPr>
        <sz val="11"/>
        <color theme="0"/>
        <rFont val="Calibri"/>
        <family val="2"/>
        <scheme val="minor"/>
      </rPr>
      <t xml:space="preserve"> [Hz]</t>
    </r>
  </si>
  <si>
    <t>tangential mode frequencies [Hz]</t>
  </si>
  <si>
    <t>oblique  mode frequencies [Hz]</t>
  </si>
  <si>
    <t>T60 Eyring (from CASE_A, CASE_B1 AND CASE_B2) at 500 Hz</t>
  </si>
  <si>
    <t>T60 Sabine (from CASE A, CASE_B1 and CASE_B2) at 500 Hz</t>
  </si>
  <si>
    <t xml:space="preserve"> frequency of Schroder (Sabine)</t>
  </si>
  <si>
    <t xml:space="preserve"> frequency of Schroder (Eyring)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</si>
</sst>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264653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F4A26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E9C46A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2A9D8F"/>
        <bgColor indexed="64"/>
      </patternFill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4" borderId="6" xfId="0" applyFill="1" applyBorder="1"/>
    <xf numFmtId="0" fontId="3" fillId="3" borderId="5" xfId="0" applyFont="1" applyFill="1" applyBorder="1"/>
    <xf numFmtId="0" fontId="3" fillId="6" borderId="5" xfId="0" applyFont="1" applyFill="1" applyBorder="1"/>
    <xf numFmtId="0" fontId="2" fillId="4" borderId="0" xfId="0" applyFont="1" applyFill="1" applyAlignment="1">
      <alignment horizontal="center"/>
    </xf>
    <xf numFmtId="0" fontId="0" fillId="6" borderId="5" xfId="0" applyFill="1" applyBorder="1" applyAlignment="1">
      <alignment horizontal="center"/>
    </xf>
    <xf numFmtId="0" fontId="3" fillId="4" borderId="5" xfId="0" applyFont="1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5" xfId="0" applyFill="1" applyBorder="1"/>
    <xf numFmtId="0" fontId="3" fillId="6" borderId="10" xfId="0" applyFont="1" applyFill="1" applyBorder="1" applyAlignment="1">
      <alignment horizontal="center"/>
    </xf>
    <xf numFmtId="0" fontId="7" fillId="6" borderId="12" xfId="0" applyFont="1" applyFill="1" applyBorder="1"/>
    <xf numFmtId="0" fontId="9" fillId="6" borderId="12" xfId="0" applyFont="1" applyFill="1" applyBorder="1"/>
    <xf numFmtId="0" fontId="10" fillId="0" borderId="0" xfId="0" applyFont="1"/>
    <xf numFmtId="0" fontId="0" fillId="10" borderId="0" xfId="0" applyFill="1"/>
    <xf numFmtId="0" fontId="0" fillId="0" borderId="1" xfId="0" applyBorder="1"/>
    <xf numFmtId="0" fontId="0" fillId="6" borderId="0" xfId="0" applyFill="1"/>
    <xf numFmtId="0" fontId="0" fillId="6" borderId="1" xfId="0" applyFill="1" applyBorder="1"/>
    <xf numFmtId="0" fontId="0" fillId="6" borderId="14" xfId="0" applyFill="1" applyBorder="1"/>
    <xf numFmtId="0" fontId="0" fillId="6" borderId="5" xfId="0" applyFill="1" applyBorder="1"/>
    <xf numFmtId="0" fontId="1" fillId="9" borderId="0" xfId="0" applyFont="1" applyFill="1"/>
    <xf numFmtId="0" fontId="13" fillId="6" borderId="5" xfId="0" applyFont="1" applyFill="1" applyBorder="1"/>
    <xf numFmtId="0" fontId="0" fillId="0" borderId="0" xfId="0" applyBorder="1" applyAlignment="1">
      <alignment horizontal="center" vertical="center"/>
    </xf>
    <xf numFmtId="0" fontId="14" fillId="6" borderId="12" xfId="0" applyFont="1" applyFill="1" applyBorder="1" applyAlignment="1">
      <alignment horizontal="center"/>
    </xf>
    <xf numFmtId="0" fontId="0" fillId="6" borderId="18" xfId="0" applyFill="1" applyBorder="1"/>
    <xf numFmtId="0" fontId="0" fillId="6" borderId="10" xfId="0" applyFill="1" applyBorder="1"/>
    <xf numFmtId="0" fontId="14" fillId="11" borderId="12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0" fillId="0" borderId="7" xfId="0" applyBorder="1"/>
    <xf numFmtId="0" fontId="15" fillId="4" borderId="16" xfId="0" applyFont="1" applyFill="1" applyBorder="1" applyAlignment="1">
      <alignment horizontal="center"/>
    </xf>
    <xf numFmtId="0" fontId="13" fillId="6" borderId="10" xfId="0" applyFont="1" applyFill="1" applyBorder="1"/>
    <xf numFmtId="0" fontId="0" fillId="6" borderId="10" xfId="0" applyFill="1" applyBorder="1" applyAlignment="1">
      <alignment horizontal="center"/>
    </xf>
    <xf numFmtId="0" fontId="3" fillId="6" borderId="11" xfId="0" applyFont="1" applyFill="1" applyBorder="1"/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6" borderId="10" xfId="0" applyNumberFormat="1" applyFill="1" applyBorder="1"/>
    <xf numFmtId="2" fontId="0" fillId="0" borderId="16" xfId="0" applyNumberFormat="1" applyBorder="1" applyAlignment="1">
      <alignment horizontal="center"/>
    </xf>
    <xf numFmtId="0" fontId="1" fillId="9" borderId="10" xfId="0" applyFont="1" applyFill="1" applyBorder="1"/>
    <xf numFmtId="0" fontId="16" fillId="9" borderId="10" xfId="0" applyFont="1" applyFill="1" applyBorder="1"/>
    <xf numFmtId="0" fontId="1" fillId="0" borderId="21" xfId="0" applyFont="1" applyBorder="1" applyAlignment="1">
      <alignment horizontal="center"/>
    </xf>
    <xf numFmtId="0" fontId="0" fillId="12" borderId="0" xfId="0" applyFill="1"/>
    <xf numFmtId="0" fontId="0" fillId="1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2" fontId="0" fillId="6" borderId="5" xfId="0" applyNumberFormat="1" applyFill="1" applyBorder="1"/>
    <xf numFmtId="2" fontId="14" fillId="6" borderId="12" xfId="0" applyNumberFormat="1" applyFont="1" applyFill="1" applyBorder="1" applyAlignment="1">
      <alignment horizontal="center"/>
    </xf>
    <xf numFmtId="2" fontId="14" fillId="11" borderId="12" xfId="0" applyNumberFormat="1" applyFont="1" applyFill="1" applyBorder="1" applyAlignment="1">
      <alignment horizontal="center"/>
    </xf>
    <xf numFmtId="0" fontId="3" fillId="0" borderId="0" xfId="0" applyFont="1"/>
    <xf numFmtId="2" fontId="0" fillId="0" borderId="21" xfId="0" applyNumberFormat="1" applyBorder="1"/>
    <xf numFmtId="0" fontId="12" fillId="13" borderId="1" xfId="0" applyFont="1" applyFill="1" applyBorder="1"/>
    <xf numFmtId="0" fontId="18" fillId="11" borderId="21" xfId="0" applyFont="1" applyFill="1" applyBorder="1" applyAlignment="1">
      <alignment horizontal="center"/>
    </xf>
    <xf numFmtId="0" fontId="19" fillId="15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9" fillId="2" borderId="0" xfId="0" applyFont="1" applyFill="1"/>
    <xf numFmtId="0" fontId="21" fillId="17" borderId="0" xfId="0" applyFont="1" applyFill="1" applyAlignment="1">
      <alignment horizontal="left" wrapText="1"/>
    </xf>
    <xf numFmtId="0" fontId="22" fillId="18" borderId="0" xfId="0" applyFont="1" applyFill="1" applyAlignment="1">
      <alignment horizontal="left" wrapText="1"/>
    </xf>
    <xf numFmtId="0" fontId="0" fillId="18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17" borderId="0" xfId="0" applyFill="1"/>
    <xf numFmtId="0" fontId="23" fillId="19" borderId="0" xfId="0" applyFont="1" applyFill="1" applyAlignment="1">
      <alignment horizontal="left" wrapText="1"/>
    </xf>
    <xf numFmtId="0" fontId="0" fillId="19" borderId="0" xfId="0" applyFill="1"/>
    <xf numFmtId="0" fontId="0" fillId="0" borderId="1" xfId="0" applyBorder="1" applyAlignment="1">
      <alignment horizontal="center" vertical="center"/>
    </xf>
    <xf numFmtId="0" fontId="19" fillId="14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9" fillId="16" borderId="0" xfId="0" applyFont="1" applyFill="1" applyAlignment="1">
      <alignment vertical="center" wrapText="1"/>
    </xf>
    <xf numFmtId="0" fontId="19" fillId="20" borderId="0" xfId="0" applyFont="1" applyFill="1" applyAlignment="1">
      <alignment vertical="center" wrapText="1"/>
    </xf>
    <xf numFmtId="0" fontId="19" fillId="16" borderId="0" xfId="0" applyFont="1" applyFill="1" applyAlignment="1">
      <alignment vertical="center"/>
    </xf>
    <xf numFmtId="0" fontId="19" fillId="20" borderId="0" xfId="0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2" fillId="7" borderId="7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17" fillId="7" borderId="0" xfId="0" applyFont="1" applyFill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2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F4A261"/>
      <color rgb="FFE9C46A"/>
      <color rgb="FF2A9D8F"/>
      <color rgb="FFE76F51"/>
      <color rgb="FF2646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A'!$I$24:$I$29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A'!$J$24:$J$29</c:f>
              <c:numCache>
                <c:formatCode>General</c:formatCode>
                <c:ptCount val="6"/>
                <c:pt idx="0">
                  <c:v>7.3459262480994297E-2</c:v>
                </c:pt>
                <c:pt idx="1">
                  <c:v>5.3590193113911062E-2</c:v>
                </c:pt>
                <c:pt idx="2">
                  <c:v>4.6606972106571984E-2</c:v>
                </c:pt>
                <c:pt idx="3">
                  <c:v>3.4149507813235815E-2</c:v>
                </c:pt>
                <c:pt idx="4">
                  <c:v>3.1170124162752017E-2</c:v>
                </c:pt>
                <c:pt idx="5">
                  <c:v>3.1244795148370939E-2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5-410E-A5FA-521577A1D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 B1'!$I$24:$I$29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 B1'!$J$24:$J$29</c:f>
              <c:numCache>
                <c:formatCode>General</c:formatCode>
                <c:ptCount val="6"/>
                <c:pt idx="0">
                  <c:v>7.3923148606776651E-2</c:v>
                </c:pt>
                <c:pt idx="1">
                  <c:v>5.4045598860311156E-2</c:v>
                </c:pt>
                <c:pt idx="2">
                  <c:v>4.6922450284426306E-2</c:v>
                </c:pt>
                <c:pt idx="3">
                  <c:v>3.4382570218562752E-2</c:v>
                </c:pt>
                <c:pt idx="4">
                  <c:v>3.1320701183197922E-2</c:v>
                </c:pt>
                <c:pt idx="5">
                  <c:v>3.1291376750845361E-2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E-435E-9A4F-25185B537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 B2'!$I$24:$I$29</c:f>
              <c:strCach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B2'!$I$24:$I$29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B2'!$J$24:$J$29</c:f>
              <c:numCache>
                <c:formatCode>General</c:formatCode>
                <c:ptCount val="6"/>
                <c:pt idx="0">
                  <c:v>0.1851824338421468</c:v>
                </c:pt>
                <c:pt idx="1">
                  <c:v>0.11989617113525272</c:v>
                </c:pt>
                <c:pt idx="2">
                  <c:v>0.17047592448424267</c:v>
                </c:pt>
                <c:pt idx="3">
                  <c:v>0.16532356554326968</c:v>
                </c:pt>
                <c:pt idx="4">
                  <c:v>0.16144322041694723</c:v>
                </c:pt>
                <c:pt idx="5">
                  <c:v>0.15775092634196683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6-43B0-8C30-55C18D379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At val="12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C_A'!$I$24:$I$29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C_A'!$J$24:$J$29</c:f>
              <c:numCache>
                <c:formatCode>General</c:formatCode>
                <c:ptCount val="6"/>
                <c:pt idx="0">
                  <c:v>9.2796481929268204E-2</c:v>
                </c:pt>
                <c:pt idx="1">
                  <c:v>0.14330885797888879</c:v>
                </c:pt>
                <c:pt idx="2">
                  <c:v>0.24149778251730669</c:v>
                </c:pt>
                <c:pt idx="3">
                  <c:v>0.30941426704234282</c:v>
                </c:pt>
                <c:pt idx="4">
                  <c:v>0.30485141113974895</c:v>
                </c:pt>
                <c:pt idx="5">
                  <c:v>0.30220803261721307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F-4FD0-AEFD-36A94DDD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 C_B1'!$I$24:$I$29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 C_B1'!$J$24:$J$29</c:f>
              <c:numCache>
                <c:formatCode>General</c:formatCode>
                <c:ptCount val="6"/>
                <c:pt idx="0">
                  <c:v>9.3312550174082035E-2</c:v>
                </c:pt>
                <c:pt idx="1">
                  <c:v>0.14377118848435952</c:v>
                </c:pt>
                <c:pt idx="2">
                  <c:v>0.2417052231212172</c:v>
                </c:pt>
                <c:pt idx="3">
                  <c:v>0.30934661315119105</c:v>
                </c:pt>
                <c:pt idx="4">
                  <c:v>0.30468383848774583</c:v>
                </c:pt>
                <c:pt idx="5">
                  <c:v>0.30190701587090873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C-4CC1-916D-D8B48F1AB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C_B2'!$I$24:$I$29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C_B2'!$J$24:$J$29</c:f>
              <c:numCache>
                <c:formatCode>General</c:formatCode>
                <c:ptCount val="6"/>
                <c:pt idx="0">
                  <c:v>9.9312589188717118E-2</c:v>
                </c:pt>
                <c:pt idx="1">
                  <c:v>0.13996548143239537</c:v>
                </c:pt>
                <c:pt idx="2">
                  <c:v>0.2102016664118154</c:v>
                </c:pt>
                <c:pt idx="3">
                  <c:v>0.23793343480866094</c:v>
                </c:pt>
                <c:pt idx="4">
                  <c:v>0.2376104741489283</c:v>
                </c:pt>
                <c:pt idx="5">
                  <c:v>0.23033740055394689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5-47A1-A02B-77552A63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4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4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5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6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15</xdr:col>
      <xdr:colOff>286641</xdr:colOff>
      <xdr:row>18</xdr:row>
      <xdr:rowOff>200559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03ECB-7275-4731-963B-5DE1EA6CE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0"/>
          <a:ext cx="6382641" cy="3829584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14</xdr:row>
      <xdr:rowOff>238125</xdr:rowOff>
    </xdr:from>
    <xdr:ext cx="62619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B968A54-9249-4F28-B6C4-D08621BB5851}"/>
            </a:ext>
          </a:extLst>
        </xdr:cNvPr>
        <xdr:cNvSpPr txBox="1"/>
      </xdr:nvSpPr>
      <xdr:spPr>
        <a:xfrm>
          <a:off x="9210675" y="2905125"/>
          <a:ext cx="626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floor S1</a:t>
          </a:r>
        </a:p>
      </xdr:txBody>
    </xdr:sp>
    <xdr:clientData/>
  </xdr:oneCellAnchor>
  <xdr:oneCellAnchor>
    <xdr:from>
      <xdr:col>7</xdr:col>
      <xdr:colOff>133350</xdr:colOff>
      <xdr:row>4</xdr:row>
      <xdr:rowOff>9525</xdr:rowOff>
    </xdr:from>
    <xdr:ext cx="72039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DC4A67-DAD5-4EBF-8E83-D90C96432045}"/>
            </a:ext>
          </a:extLst>
        </xdr:cNvPr>
        <xdr:cNvSpPr txBox="1"/>
      </xdr:nvSpPr>
      <xdr:spPr>
        <a:xfrm>
          <a:off x="5686425" y="771525"/>
          <a:ext cx="7203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ceiling S2</a:t>
          </a:r>
        </a:p>
      </xdr:txBody>
    </xdr:sp>
    <xdr:clientData/>
  </xdr:oneCellAnchor>
  <xdr:oneCellAnchor>
    <xdr:from>
      <xdr:col>11</xdr:col>
      <xdr:colOff>314325</xdr:colOff>
      <xdr:row>7</xdr:row>
      <xdr:rowOff>38100</xdr:rowOff>
    </xdr:from>
    <xdr:ext cx="586058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C893BD-23C0-4F93-AD54-2D8D69ECCB55}"/>
            </a:ext>
          </a:extLst>
        </xdr:cNvPr>
        <xdr:cNvSpPr txBox="1"/>
      </xdr:nvSpPr>
      <xdr:spPr>
        <a:xfrm>
          <a:off x="8305800" y="1371600"/>
          <a:ext cx="5860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wall S3</a:t>
          </a:r>
        </a:p>
      </xdr:txBody>
    </xdr:sp>
    <xdr:clientData/>
  </xdr:oneCellAnchor>
  <xdr:oneCellAnchor>
    <xdr:from>
      <xdr:col>5</xdr:col>
      <xdr:colOff>323850</xdr:colOff>
      <xdr:row>5</xdr:row>
      <xdr:rowOff>161925</xdr:rowOff>
    </xdr:from>
    <xdr:ext cx="1065163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A667EB9-2E78-4122-856F-BC5ADB5698AF}"/>
            </a:ext>
          </a:extLst>
        </xdr:cNvPr>
        <xdr:cNvSpPr txBox="1"/>
      </xdr:nvSpPr>
      <xdr:spPr>
        <a:xfrm>
          <a:off x="4657725" y="1114425"/>
          <a:ext cx="1065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internal wall S5</a:t>
          </a:r>
        </a:p>
      </xdr:txBody>
    </xdr:sp>
    <xdr:clientData/>
  </xdr:oneCellAnchor>
  <xdr:oneCellAnchor>
    <xdr:from>
      <xdr:col>13</xdr:col>
      <xdr:colOff>438150</xdr:colOff>
      <xdr:row>4</xdr:row>
      <xdr:rowOff>142875</xdr:rowOff>
    </xdr:from>
    <xdr:ext cx="73500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013BF2A-BC7C-44FA-9F66-657D0F6B882D}"/>
            </a:ext>
          </a:extLst>
        </xdr:cNvPr>
        <xdr:cNvSpPr txBox="1"/>
      </xdr:nvSpPr>
      <xdr:spPr>
        <a:xfrm>
          <a:off x="9648825" y="904875"/>
          <a:ext cx="735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facade S6</a:t>
          </a:r>
        </a:p>
      </xdr:txBody>
    </xdr:sp>
    <xdr:clientData/>
  </xdr:oneCellAnchor>
  <xdr:oneCellAnchor>
    <xdr:from>
      <xdr:col>13</xdr:col>
      <xdr:colOff>28575</xdr:colOff>
      <xdr:row>8</xdr:row>
      <xdr:rowOff>9525</xdr:rowOff>
    </xdr:from>
    <xdr:ext cx="80958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9DF436D-2203-4591-8016-B2667C14F879}"/>
            </a:ext>
          </a:extLst>
        </xdr:cNvPr>
        <xdr:cNvSpPr txBox="1"/>
      </xdr:nvSpPr>
      <xdr:spPr>
        <a:xfrm>
          <a:off x="9239250" y="1533525"/>
          <a:ext cx="8095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window</a:t>
          </a:r>
          <a:r>
            <a:rPr lang="en-US" sz="1100" baseline="0"/>
            <a:t> S7</a:t>
          </a:r>
          <a:endParaRPr lang="en-US" sz="1100"/>
        </a:p>
      </xdr:txBody>
    </xdr:sp>
    <xdr:clientData/>
  </xdr:oneCellAnchor>
  <xdr:oneCellAnchor>
    <xdr:from>
      <xdr:col>9</xdr:col>
      <xdr:colOff>238125</xdr:colOff>
      <xdr:row>9</xdr:row>
      <xdr:rowOff>9525</xdr:rowOff>
    </xdr:from>
    <xdr:ext cx="62491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2C6579A-85F6-4E23-B913-7878E54CB8E1}"/>
            </a:ext>
          </a:extLst>
        </xdr:cNvPr>
        <xdr:cNvSpPr txBox="1"/>
      </xdr:nvSpPr>
      <xdr:spPr>
        <a:xfrm>
          <a:off x="7010400" y="1724025"/>
          <a:ext cx="6249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door S4</a:t>
          </a:r>
        </a:p>
      </xdr:txBody>
    </xdr:sp>
    <xdr:clientData/>
  </xdr:oneCellAnchor>
  <xdr:oneCellAnchor>
    <xdr:from>
      <xdr:col>6</xdr:col>
      <xdr:colOff>247650</xdr:colOff>
      <xdr:row>12</xdr:row>
      <xdr:rowOff>142876</xdr:rowOff>
    </xdr:from>
    <xdr:ext cx="51341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22EEAB4-5C77-4061-8E0A-8BF40A517C7C}"/>
            </a:ext>
          </a:extLst>
        </xdr:cNvPr>
        <xdr:cNvSpPr txBox="1"/>
      </xdr:nvSpPr>
      <xdr:spPr>
        <a:xfrm rot="20546975">
          <a:off x="5191125" y="2428876"/>
          <a:ext cx="5134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width</a:t>
          </a:r>
        </a:p>
      </xdr:txBody>
    </xdr:sp>
    <xdr:clientData/>
  </xdr:oneCellAnchor>
  <xdr:oneCellAnchor>
    <xdr:from>
      <xdr:col>11</xdr:col>
      <xdr:colOff>286912</xdr:colOff>
      <xdr:row>10</xdr:row>
      <xdr:rowOff>152400</xdr:rowOff>
    </xdr:from>
    <xdr:ext cx="549189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13D2AC9-D6BF-4BD4-9D88-07CBD998B15E}"/>
            </a:ext>
          </a:extLst>
        </xdr:cNvPr>
        <xdr:cNvSpPr txBox="1"/>
      </xdr:nvSpPr>
      <xdr:spPr>
        <a:xfrm>
          <a:off x="8278387" y="2057400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length</a:t>
          </a:r>
        </a:p>
      </xdr:txBody>
    </xdr:sp>
    <xdr:clientData/>
  </xdr:oneCellAnchor>
  <xdr:oneCellAnchor>
    <xdr:from>
      <xdr:col>8</xdr:col>
      <xdr:colOff>457802</xdr:colOff>
      <xdr:row>8</xdr:row>
      <xdr:rowOff>105336</xdr:rowOff>
    </xdr:from>
    <xdr:ext cx="264560" cy="54918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67F4DA7-5936-4212-9A6A-53D0EED9D057}"/>
            </a:ext>
          </a:extLst>
        </xdr:cNvPr>
        <xdr:cNvSpPr txBox="1"/>
      </xdr:nvSpPr>
      <xdr:spPr>
        <a:xfrm rot="16200000">
          <a:off x="6478162" y="1771651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height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61CAB5-CE53-44A7-AD7A-0DF3F07A1BF2}"/>
            </a:ext>
          </a:extLst>
        </xdr:cNvPr>
        <xdr:cNvSpPr txBox="1"/>
      </xdr:nvSpPr>
      <xdr:spPr>
        <a:xfrm>
          <a:off x="7410450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7CA822-C9FE-463C-9294-2864EBB76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2E7753-9BF1-42EF-8BEE-5C91196EB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EBC7D7-76EB-4700-A5B0-17E3EFD7A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6BCBEF-2857-430E-8782-48EF9F01F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0DD8D7-D920-429F-967F-14576CE29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161925</xdr:rowOff>
    </xdr:from>
    <xdr:to>
      <xdr:col>6</xdr:col>
      <xdr:colOff>1010154</xdr:colOff>
      <xdr:row>16</xdr:row>
      <xdr:rowOff>57189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1350C6-98FA-447D-B590-1739E302A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28925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30B06A-43F0-48F5-A184-1CE4615B7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D4E86AE-B3BC-4847-80F1-666982978A2E}"/>
            </a:ext>
          </a:extLst>
        </xdr:cNvPr>
        <xdr:cNvSpPr txBox="1"/>
      </xdr:nvSpPr>
      <xdr:spPr>
        <a:xfrm>
          <a:off x="10410825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9770E5-4FCD-47C3-A20A-FE811CDD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01301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721C786-9989-4800-A6B9-CD6C365C6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553700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3E190D8-528A-4551-B8AE-C221E4A436BC}"/>
            </a:ext>
          </a:extLst>
        </xdr:cNvPr>
        <xdr:cNvSpPr txBox="1"/>
      </xdr:nvSpPr>
      <xdr:spPr>
        <a:xfrm>
          <a:off x="10429875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E6455B3-465A-4666-9E0A-0553FF9D1A21}"/>
            </a:ext>
          </a:extLst>
        </xdr:cNvPr>
        <xdr:cNvSpPr txBox="1"/>
      </xdr:nvSpPr>
      <xdr:spPr>
        <a:xfrm>
          <a:off x="7410451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D86956F-A3BB-4559-BB27-D8B71F716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91400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1764E3E-BF4A-45AD-8C51-0239ADF0BA10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7E59AE-3FAE-41E8-949C-5B6AEB9C4F3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7E59AE-3FAE-41E8-949C-5B6AEB9C4F3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0CCC27-CDB0-4CE2-AB8F-3D18F3F9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6354D9A-13F9-4E3B-95A9-FFB124C764B1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53CAEAA-5EE7-42DE-88AF-12C046D0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54766A-9765-4AA8-929A-5CFFFA2B4778}"/>
            </a:ext>
          </a:extLst>
        </xdr:cNvPr>
        <xdr:cNvSpPr txBox="1"/>
      </xdr:nvSpPr>
      <xdr:spPr>
        <a:xfrm>
          <a:off x="7877175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FF18B4-43A4-4986-8A0A-C8F5994A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40792E-C7B1-4FE1-B20F-8064D6BDA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AAA919-9D42-4CC0-982E-23C1F84BC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D2F201-2B6D-4CFE-9FEB-780275D3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6FE6F4-1A0D-4EF4-9EB7-D635261CA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6B3A21F-9C0D-47E0-9A72-AFC1A03F1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6F9D4D2-5860-47C3-9E5E-003A040DF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803D7A0-367D-495E-B8C0-0D271B38C20C}"/>
            </a:ext>
          </a:extLst>
        </xdr:cNvPr>
        <xdr:cNvSpPr txBox="1"/>
      </xdr:nvSpPr>
      <xdr:spPr>
        <a:xfrm>
          <a:off x="10877550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E07B766-C7EA-44A0-95CB-CCF5C60CE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447306-912E-4480-8C07-93349370E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3FD5F5F-86B2-4A68-8CB6-56169B270FC6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544446-CE21-4F17-BA44-AE0423E66979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9DC8670-B4C8-4CA1-BC49-8DF3C407E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76D2113-DA9F-4D41-B6BE-FB60E5C15408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D964CE-33E0-4CCF-91F1-39417EDAFB3F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D964CE-33E0-4CCF-91F1-39417EDAFB3F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5C9D574-6CD4-454F-984E-4C1FDD16B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2BC7EC9-AC1E-4E3F-AFD4-375913950819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FD3120-06C4-4F7F-BFA0-11F927240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DC2A53-D885-4EF8-9572-BEF806EF022F}"/>
            </a:ext>
          </a:extLst>
        </xdr:cNvPr>
        <xdr:cNvSpPr txBox="1"/>
      </xdr:nvSpPr>
      <xdr:spPr>
        <a:xfrm>
          <a:off x="7877175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61AFA8-94DE-48BA-A364-8EBE76ECA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A5037F-5325-4451-B28E-96A5FC710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1072B3-5078-4B49-BF3F-DB785D371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B3D4CC-3A52-4B0B-8DE8-707A11023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E12024-173E-4C2F-9E90-4FD752241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7239B61-1E0A-40F5-BFB5-BA451C0ED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D5E160-CC6A-4711-B536-4BBB7F7EB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59AA805-CDB6-4EDA-AB67-5A06C2768F71}"/>
            </a:ext>
          </a:extLst>
        </xdr:cNvPr>
        <xdr:cNvSpPr txBox="1"/>
      </xdr:nvSpPr>
      <xdr:spPr>
        <a:xfrm>
          <a:off x="10877550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A7A020-DFA7-4E3E-8C68-523B9EDFE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CA141F6-6011-49A7-94B1-EBE6A7843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0E37BB4-EC0B-4498-9B6B-0BF3A8DECC56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DDFDCD0-E29C-432F-AB94-454EF4123661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847FE12-E952-47B6-B82C-6CC35C623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8BAFA7E-6478-4140-8D88-54913B7B5E33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9191C68-C08D-4E67-8361-C69A3AC3BACB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9191C68-C08D-4E67-8361-C69A3AC3BACB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150A724-64AB-416B-B0B1-699EAD3C7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0F208E3-E59C-4F55-81CC-45E45AF4D7C0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4759</xdr:rowOff>
    </xdr:from>
    <xdr:to>
      <xdr:col>21</xdr:col>
      <xdr:colOff>342900</xdr:colOff>
      <xdr:row>34</xdr:row>
      <xdr:rowOff>104774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82A3EA7-1399-4B73-989A-2A8BD8CF0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294A37-18CA-4EB3-9138-AF52B12E6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7FA554-C3CE-4A2D-843F-65DF00735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96C30E-E607-441C-94A9-95204CCAB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7FFEB7-A23D-4525-B382-D2A110C79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9B6BCAB-B448-4E3B-9411-90C6B9954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F86562-F110-4B0B-B5CB-1AF72E006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66674</xdr:colOff>
      <xdr:row>1</xdr:row>
      <xdr:rowOff>38100</xdr:rowOff>
    </xdr:from>
    <xdr:to>
      <xdr:col>19</xdr:col>
      <xdr:colOff>495299</xdr:colOff>
      <xdr:row>4</xdr:row>
      <xdr:rowOff>142875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0E7E5BC-D8D4-447B-BE2D-513BB78950B5}"/>
            </a:ext>
          </a:extLst>
        </xdr:cNvPr>
        <xdr:cNvSpPr txBox="1"/>
      </xdr:nvSpPr>
      <xdr:spPr>
        <a:xfrm>
          <a:off x="10877549" y="228600"/>
          <a:ext cx="2867025" cy="67627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3617FD9-FE1E-4917-B4AC-91572E5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F5E38E1-603E-4BE6-B85A-750F21406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15587BF-981F-4911-ABEC-07964DBA5707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15BFB30-4903-4519-9DFF-F339915BD82D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109A08E-3CF0-4E61-B688-08E9F9C1C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27F26D7-10AF-4984-99F5-612C0A30C2C8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551160-F9DE-471C-8A68-CEF99FEC47C3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551160-F9DE-471C-8A68-CEF99FEC47C3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1EDF763-31B1-4F8D-A514-C2338B22A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717BB4C-4194-4F3C-8B75-D93ED4A60364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46B7B5D-61E2-40CB-AF40-92EA8F3DD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285750</xdr:colOff>
      <xdr:row>9</xdr:row>
      <xdr:rowOff>171450</xdr:rowOff>
    </xdr:from>
    <xdr:to>
      <xdr:col>6</xdr:col>
      <xdr:colOff>886314</xdr:colOff>
      <xdr:row>11</xdr:row>
      <xdr:rowOff>66714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36E1D71-6249-4D79-BE80-9EA6DF2B2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04950" y="1885950"/>
          <a:ext cx="350568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17</xdr:row>
      <xdr:rowOff>114300</xdr:rowOff>
    </xdr:from>
    <xdr:to>
      <xdr:col>6</xdr:col>
      <xdr:colOff>1153085</xdr:colOff>
      <xdr:row>19</xdr:row>
      <xdr:rowOff>161985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6ADA799-948E-4FFE-93BD-DC6340C29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6825" y="3352800"/>
          <a:ext cx="4010585" cy="428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DB82B9-8B15-457F-B68E-F5FE4D446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251CB9-7F8F-4718-A61B-5DB16B1E2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DF3C34-FD05-4DAD-8426-B95731B43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93206E-B3EF-4B55-AFAC-2DEB4AEEE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E5D467-87F6-4128-9A7D-933228E5B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8825FA-FC1B-40F6-A232-79EA19381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66674</xdr:colOff>
      <xdr:row>1</xdr:row>
      <xdr:rowOff>38100</xdr:rowOff>
    </xdr:from>
    <xdr:to>
      <xdr:col>20</xdr:col>
      <xdr:colOff>190500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235A6F5-9E6F-4003-A618-40520C658F37}"/>
            </a:ext>
          </a:extLst>
        </xdr:cNvPr>
        <xdr:cNvSpPr txBox="1"/>
      </xdr:nvSpPr>
      <xdr:spPr>
        <a:xfrm>
          <a:off x="10877549" y="228600"/>
          <a:ext cx="3171826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776EA5-DB0E-4A91-83DC-9BC8D447A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A0AA8D-8C0C-46D1-BBC1-B8E34299C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B56D4C4-762B-4991-9A0F-C8ADB5A96E2F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9FB0D13-F14A-4780-8BF3-C14D4EB8DE55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98D2AE-DB23-4580-8CA2-2757429A3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2B980E5-8FA3-47D7-A270-B0ADAA8B9CDB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415D322-C717-4D86-BE2E-A680100C604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415D322-C717-4D86-BE2E-A680100C604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2B2532A-8659-4624-9AD4-C944C0E82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1597174-D68C-4F05-9027-61DF6F526FF7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424FD16-E143-4A02-82AC-B9600A179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133350</xdr:colOff>
      <xdr:row>9</xdr:row>
      <xdr:rowOff>142875</xdr:rowOff>
    </xdr:from>
    <xdr:to>
      <xdr:col>6</xdr:col>
      <xdr:colOff>733914</xdr:colOff>
      <xdr:row>11</xdr:row>
      <xdr:rowOff>38139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C99A3DB-D4DE-4E26-8EA1-5907A2A9B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2550" y="1857375"/>
          <a:ext cx="3505689" cy="2762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7F706F-594E-4BD7-BEC1-1ECF199B5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093E87-011F-436F-9E64-4FB4ED854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02396A-9221-4FC9-83D5-BFEA15196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F61DE2B-DC3B-4E25-93E7-7A4CDF6EF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40919B-449F-49F2-A0A9-13D71D103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38BFDE-08B7-44E8-B09C-4C56DE92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21</xdr:col>
      <xdr:colOff>85725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EFFEB0B-971A-4D81-926D-0E9FAC444191}"/>
            </a:ext>
          </a:extLst>
        </xdr:cNvPr>
        <xdr:cNvSpPr txBox="1"/>
      </xdr:nvSpPr>
      <xdr:spPr>
        <a:xfrm>
          <a:off x="10877550" y="228600"/>
          <a:ext cx="367665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368387-78C6-4B50-BFB0-2AE636502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7B36038-8DDD-45C0-AE08-3E06CE187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3F0ECB4-C3E0-49BA-8902-4FC278C8C48B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9C025DC-0BF3-47F2-A25D-B7251A62E071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47B590E-D5DA-497C-8B6F-E5999ACEC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D14C116-A7DE-4615-9126-4722891BF453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7FCA413-7F9D-425D-BC08-8EB863716EC7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7FCA413-7F9D-425D-BC08-8EB863716EC7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9ED54BF-5CF2-470D-8645-419F80FB4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A6FC296-CB48-4403-9B7A-3BE1BD8A69C7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3A73076-4214-4543-A43D-57884D394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104775</xdr:colOff>
      <xdr:row>9</xdr:row>
      <xdr:rowOff>180975</xdr:rowOff>
    </xdr:from>
    <xdr:to>
      <xdr:col>6</xdr:col>
      <xdr:colOff>705339</xdr:colOff>
      <xdr:row>11</xdr:row>
      <xdr:rowOff>76239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1786B9E-DFBC-47EE-9736-61DBE5631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23975" y="1895475"/>
          <a:ext cx="3505689" cy="2762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4</xdr:row>
      <xdr:rowOff>76201</xdr:rowOff>
    </xdr:from>
    <xdr:to>
      <xdr:col>5</xdr:col>
      <xdr:colOff>390525</xdr:colOff>
      <xdr:row>7</xdr:row>
      <xdr:rowOff>109969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0B98D2-50F9-49A1-8A17-1A964E41E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885826"/>
          <a:ext cx="3305175" cy="605268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9</xdr:row>
      <xdr:rowOff>38101</xdr:rowOff>
    </xdr:from>
    <xdr:to>
      <xdr:col>7</xdr:col>
      <xdr:colOff>514350</xdr:colOff>
      <xdr:row>10</xdr:row>
      <xdr:rowOff>161420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2F3C7C-2DE9-48ED-8908-E3FB5A67E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2725" y="1800226"/>
          <a:ext cx="2028825" cy="323344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9</xdr:row>
      <xdr:rowOff>47625</xdr:rowOff>
    </xdr:from>
    <xdr:to>
      <xdr:col>12</xdr:col>
      <xdr:colOff>457200</xdr:colOff>
      <xdr:row>11</xdr:row>
      <xdr:rowOff>816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3AA572-610A-4BBC-97FB-E0D0DE021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4525" y="1809750"/>
          <a:ext cx="2247900" cy="353241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133351</xdr:colOff>
      <xdr:row>0</xdr:row>
      <xdr:rowOff>95250</xdr:rowOff>
    </xdr:from>
    <xdr:to>
      <xdr:col>16</xdr:col>
      <xdr:colOff>95250</xdr:colOff>
      <xdr:row>11</xdr:row>
      <xdr:rowOff>38744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CF67F2-8F0D-453B-B1A5-ED10385F7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72576" y="95250"/>
          <a:ext cx="1181099" cy="210566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161925</xdr:rowOff>
    </xdr:from>
    <xdr:to>
      <xdr:col>18</xdr:col>
      <xdr:colOff>571731</xdr:colOff>
      <xdr:row>3</xdr:row>
      <xdr:rowOff>123906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0D7055-93C8-483C-B232-CFB525E62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91775" y="161925"/>
          <a:ext cx="1657581" cy="581106"/>
        </a:xfrm>
        <a:prstGeom prst="rect">
          <a:avLst/>
        </a:prstGeom>
      </xdr:spPr>
    </xdr:pic>
    <xdr:clientData/>
  </xdr:twoCellAnchor>
  <xdr:twoCellAnchor editAs="oneCell">
    <xdr:from>
      <xdr:col>16</xdr:col>
      <xdr:colOff>238125</xdr:colOff>
      <xdr:row>4</xdr:row>
      <xdr:rowOff>104775</xdr:rowOff>
    </xdr:from>
    <xdr:to>
      <xdr:col>18</xdr:col>
      <xdr:colOff>352611</xdr:colOff>
      <xdr:row>8</xdr:row>
      <xdr:rowOff>19144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D99A76-9F59-42E3-A0DA-C5E084CA3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96550" y="914400"/>
          <a:ext cx="1333686" cy="676369"/>
        </a:xfrm>
        <a:prstGeom prst="rect">
          <a:avLst/>
        </a:prstGeom>
      </xdr:spPr>
    </xdr:pic>
    <xdr:clientData/>
  </xdr:twoCellAnchor>
  <xdr:twoCellAnchor editAs="oneCell">
    <xdr:from>
      <xdr:col>16</xdr:col>
      <xdr:colOff>209550</xdr:colOff>
      <xdr:row>9</xdr:row>
      <xdr:rowOff>38100</xdr:rowOff>
    </xdr:from>
    <xdr:to>
      <xdr:col>19</xdr:col>
      <xdr:colOff>161925</xdr:colOff>
      <xdr:row>10</xdr:row>
      <xdr:rowOff>84408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ABA864-AAC0-4BA3-BB20-75EEA2C0C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67975" y="1800225"/>
          <a:ext cx="1781175" cy="246333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466726</xdr:colOff>
      <xdr:row>28</xdr:row>
      <xdr:rowOff>95250</xdr:rowOff>
    </xdr:from>
    <xdr:to>
      <xdr:col>6</xdr:col>
      <xdr:colOff>394690</xdr:colOff>
      <xdr:row>30</xdr:row>
      <xdr:rowOff>133991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203940-8852-455C-85D4-88839A845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85926" y="5457825"/>
          <a:ext cx="2366364" cy="41974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30</xdr:row>
      <xdr:rowOff>180976</xdr:rowOff>
    </xdr:from>
    <xdr:to>
      <xdr:col>7</xdr:col>
      <xdr:colOff>104776</xdr:colOff>
      <xdr:row>33</xdr:row>
      <xdr:rowOff>80449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177F29A-A64F-4B29-A2B3-583D71B35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6" y="5924551"/>
          <a:ext cx="2495550" cy="470973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542925</xdr:colOff>
      <xdr:row>24</xdr:row>
      <xdr:rowOff>152400</xdr:rowOff>
    </xdr:from>
    <xdr:to>
      <xdr:col>13</xdr:col>
      <xdr:colOff>123825</xdr:colOff>
      <xdr:row>27</xdr:row>
      <xdr:rowOff>96774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0E96565-CFEE-461F-82C0-5ED6FDE5E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24650" y="4705350"/>
          <a:ext cx="1657350" cy="563499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25</xdr:row>
      <xdr:rowOff>0</xdr:rowOff>
    </xdr:from>
    <xdr:to>
      <xdr:col>22</xdr:col>
      <xdr:colOff>172145</xdr:colOff>
      <xdr:row>42</xdr:row>
      <xdr:rowOff>114769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F8C818-35AF-4B27-BE5E-AB25BF61B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105900" y="4791075"/>
          <a:ext cx="4982270" cy="33627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66675</xdr:rowOff>
    </xdr:from>
    <xdr:to>
      <xdr:col>8</xdr:col>
      <xdr:colOff>95250</xdr:colOff>
      <xdr:row>9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0C783A-CB06-4E84-A041-1089C94D58C2}"/>
            </a:ext>
          </a:extLst>
        </xdr:cNvPr>
        <xdr:cNvSpPr txBox="1"/>
      </xdr:nvSpPr>
      <xdr:spPr>
        <a:xfrm>
          <a:off x="419100" y="447675"/>
          <a:ext cx="4552950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0">
              <a:latin typeface="Palatino Linotype" panose="02040502050505030304" pitchFamily="18" charset="0"/>
              <a:cs typeface="Angsana New" panose="020B0502040204020203" pitchFamily="18" charset="-34"/>
            </a:rPr>
            <a:t>Considerations</a:t>
          </a:r>
          <a:r>
            <a:rPr lang="en-US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 about deviation plots in previous sheets: the first three cases (case A and case B) show very similar values for deviations because </a:t>
          </a:r>
          <a:r>
            <a:rPr lang="el-GR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α</a:t>
          </a:r>
          <a:r>
            <a:rPr lang="it-IT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 averaged is actually varies very little between first three cases. When we change material (case C) instead deviation values display a considerable variation. </a:t>
          </a:r>
        </a:p>
        <a:p>
          <a:endParaRPr lang="it-IT" sz="1100" i="0" baseline="0">
            <a:latin typeface="Palatino Linotype" panose="02040502050505030304" pitchFamily="18" charset="0"/>
            <a:cs typeface="Angsana New" panose="020B0502040204020203" pitchFamily="18" charset="-34"/>
          </a:endParaRPr>
        </a:p>
        <a:p>
          <a:r>
            <a:rPr lang="it-IT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Students: Lercari Mattia (10751919) and Lampis Alessio (10743504)</a:t>
          </a:r>
          <a:endParaRPr lang="en-US" sz="1100" i="0">
            <a:latin typeface="Palatino Linotype" panose="02040502050505030304" pitchFamily="18" charset="0"/>
            <a:cs typeface="Angsana New" panose="020B0502040204020203" pitchFamily="18" charset="-3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4.9989318521683403E-2"/>
  </sheetPr>
  <dimension ref="A1:E22"/>
  <sheetViews>
    <sheetView topLeftCell="A7" workbookViewId="0">
      <selection activeCell="D22" sqref="D22"/>
    </sheetView>
  </sheetViews>
  <sheetFormatPr defaultRowHeight="15" x14ac:dyDescent="0.25"/>
  <cols>
    <col min="1" max="1" width="20.7109375" customWidth="1"/>
    <col min="2" max="2" width="11" customWidth="1"/>
    <col min="3" max="3" width="12.28515625" customWidth="1"/>
    <col min="4" max="4" width="11.85546875" customWidth="1"/>
  </cols>
  <sheetData>
    <row r="1" spans="1:5" x14ac:dyDescent="0.25">
      <c r="B1" s="87" t="s">
        <v>0</v>
      </c>
      <c r="C1" s="87"/>
      <c r="D1" s="87" t="s">
        <v>9</v>
      </c>
      <c r="E1" s="87"/>
    </row>
    <row r="2" spans="1:5" x14ac:dyDescent="0.25">
      <c r="B2" s="2">
        <v>1</v>
      </c>
      <c r="C2" s="3">
        <v>2</v>
      </c>
      <c r="D2" s="4">
        <v>3</v>
      </c>
    </row>
    <row r="3" spans="1:5" x14ac:dyDescent="0.25">
      <c r="B3" s="88" t="s">
        <v>9</v>
      </c>
      <c r="C3" s="90" t="s">
        <v>9</v>
      </c>
      <c r="D3" s="90" t="s">
        <v>9</v>
      </c>
    </row>
    <row r="4" spans="1:5" x14ac:dyDescent="0.25">
      <c r="B4" s="89"/>
      <c r="C4" s="90"/>
      <c r="D4" s="90"/>
    </row>
    <row r="5" spans="1:5" x14ac:dyDescent="0.25">
      <c r="A5" s="5" t="s">
        <v>1</v>
      </c>
      <c r="B5" s="1">
        <f>B17*B18</f>
        <v>62.05</v>
      </c>
      <c r="C5" s="18">
        <f>C17*C18</f>
        <v>39.44</v>
      </c>
      <c r="D5" s="19">
        <f>D17*D18</f>
        <v>20</v>
      </c>
    </row>
    <row r="6" spans="1:5" x14ac:dyDescent="0.25">
      <c r="A6" s="5" t="s">
        <v>2</v>
      </c>
      <c r="B6" s="1">
        <f>B17*B18</f>
        <v>62.05</v>
      </c>
      <c r="C6" s="18">
        <f>C17*C18</f>
        <v>39.44</v>
      </c>
      <c r="D6" s="19">
        <f>D17*D18</f>
        <v>20</v>
      </c>
    </row>
    <row r="7" spans="1:5" x14ac:dyDescent="0.25">
      <c r="A7" s="5" t="s">
        <v>26</v>
      </c>
      <c r="B7" s="1">
        <f>B17*B16-B8</f>
        <v>23.7</v>
      </c>
      <c r="C7" s="18">
        <f>C17*C16-C8</f>
        <v>14.52</v>
      </c>
      <c r="D7" s="19">
        <f>D17*D16-D8</f>
        <v>23.2</v>
      </c>
    </row>
    <row r="8" spans="1:5" x14ac:dyDescent="0.25">
      <c r="A8" s="5" t="s">
        <v>4</v>
      </c>
      <c r="B8" s="1">
        <v>1.8</v>
      </c>
      <c r="C8" s="18">
        <v>1.8</v>
      </c>
      <c r="D8" s="19">
        <v>1.8</v>
      </c>
    </row>
    <row r="9" spans="1:5" x14ac:dyDescent="0.25">
      <c r="A9" s="5" t="s">
        <v>5</v>
      </c>
      <c r="B9" s="1">
        <f>B16*B18</f>
        <v>21.9</v>
      </c>
      <c r="C9" s="18">
        <f>C16*C18</f>
        <v>13.92</v>
      </c>
      <c r="D9" s="19">
        <f>D16*D18</f>
        <v>20</v>
      </c>
    </row>
    <row r="10" spans="1:5" x14ac:dyDescent="0.25">
      <c r="A10" s="5" t="s">
        <v>6</v>
      </c>
      <c r="B10" s="1">
        <f>B17*B16</f>
        <v>25.5</v>
      </c>
      <c r="C10" s="18">
        <f>C17*C16</f>
        <v>16.32</v>
      </c>
      <c r="D10" s="19">
        <f>D17*D16</f>
        <v>25</v>
      </c>
    </row>
    <row r="11" spans="1:5" x14ac:dyDescent="0.25">
      <c r="A11" s="5" t="s">
        <v>7</v>
      </c>
      <c r="B11" s="1">
        <f>B18*B16-B12</f>
        <v>12.45</v>
      </c>
      <c r="C11" s="18">
        <f>C18*C16-C12</f>
        <v>7.92</v>
      </c>
      <c r="D11" s="19">
        <f>D18*D16-D12</f>
        <v>8.66</v>
      </c>
    </row>
    <row r="12" spans="1:5" x14ac:dyDescent="0.25">
      <c r="A12" s="5" t="s">
        <v>8</v>
      </c>
      <c r="B12" s="1">
        <f>3.15*3</f>
        <v>9.4499999999999993</v>
      </c>
      <c r="C12" s="18">
        <f>2*3</f>
        <v>6</v>
      </c>
      <c r="D12" s="19">
        <f>3.78*3</f>
        <v>11.34</v>
      </c>
    </row>
    <row r="14" spans="1:5" x14ac:dyDescent="0.25">
      <c r="B14" s="87" t="s">
        <v>0</v>
      </c>
      <c r="C14" s="87"/>
      <c r="D14" s="87" t="s">
        <v>10</v>
      </c>
      <c r="E14" s="87"/>
    </row>
    <row r="15" spans="1:5" ht="30.75" customHeight="1" x14ac:dyDescent="0.25">
      <c r="B15" s="6" t="s">
        <v>14</v>
      </c>
      <c r="C15" s="6" t="s">
        <v>14</v>
      </c>
      <c r="D15" s="6" t="s">
        <v>14</v>
      </c>
    </row>
    <row r="16" spans="1:5" x14ac:dyDescent="0.25">
      <c r="A16" s="5" t="s">
        <v>11</v>
      </c>
      <c r="B16" s="1">
        <v>3</v>
      </c>
      <c r="C16" s="18">
        <v>2.4</v>
      </c>
      <c r="D16" s="19">
        <v>5</v>
      </c>
    </row>
    <row r="17" spans="1:4" x14ac:dyDescent="0.25">
      <c r="A17" s="5" t="s">
        <v>12</v>
      </c>
      <c r="B17" s="1">
        <v>8.5</v>
      </c>
      <c r="C17" s="18">
        <v>6.8</v>
      </c>
      <c r="D17" s="19">
        <v>5</v>
      </c>
    </row>
    <row r="18" spans="1:4" x14ac:dyDescent="0.25">
      <c r="A18" s="5" t="s">
        <v>13</v>
      </c>
      <c r="B18" s="1">
        <v>7.3</v>
      </c>
      <c r="C18" s="18">
        <v>5.8</v>
      </c>
      <c r="D18" s="19">
        <v>4</v>
      </c>
    </row>
    <row r="19" spans="1:4" ht="27.75" customHeight="1" x14ac:dyDescent="0.25">
      <c r="A19" s="5"/>
      <c r="B19" s="7" t="s">
        <v>15</v>
      </c>
      <c r="C19" s="7" t="s">
        <v>15</v>
      </c>
      <c r="D19" s="7" t="s">
        <v>15</v>
      </c>
    </row>
    <row r="20" spans="1:4" x14ac:dyDescent="0.25">
      <c r="A20" s="5" t="s">
        <v>16</v>
      </c>
      <c r="B20" s="1">
        <f>B18*B17*B16</f>
        <v>186.14999999999998</v>
      </c>
      <c r="C20" s="18">
        <f>C16*C17*C18</f>
        <v>94.655999999999992</v>
      </c>
      <c r="D20" s="19">
        <f>D16*D17*D18</f>
        <v>100</v>
      </c>
    </row>
    <row r="21" spans="1:4" ht="21.75" customHeight="1" x14ac:dyDescent="0.25">
      <c r="B21" s="7" t="s">
        <v>35</v>
      </c>
      <c r="C21" s="7" t="s">
        <v>35</v>
      </c>
      <c r="D21" s="7" t="s">
        <v>35</v>
      </c>
    </row>
    <row r="22" spans="1:4" x14ac:dyDescent="0.25">
      <c r="A22" s="5" t="s">
        <v>34</v>
      </c>
      <c r="B22" s="1">
        <f>SUM(B5:B12)</f>
        <v>218.89999999999998</v>
      </c>
      <c r="C22" s="18">
        <f>SUM(C5:C12)</f>
        <v>139.35999999999999</v>
      </c>
      <c r="D22" s="19">
        <f>SUM(D5:D12)</f>
        <v>130</v>
      </c>
    </row>
  </sheetData>
  <mergeCells count="7">
    <mergeCell ref="B14:C14"/>
    <mergeCell ref="D14:E14"/>
    <mergeCell ref="B1:C1"/>
    <mergeCell ref="B3:B4"/>
    <mergeCell ref="C3:C4"/>
    <mergeCell ref="D3:D4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5300-21DB-4971-9149-9E86522267E5}">
  <sheetPr>
    <tabColor rgb="FF00B0F0"/>
  </sheetPr>
  <dimension ref="A1"/>
  <sheetViews>
    <sheetView workbookViewId="0">
      <selection activeCell="N23" sqref="N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AFFE-6024-43B4-BA04-47AFEDDDFED6}">
  <sheetPr>
    <tabColor theme="5" tint="-0.249977111117893"/>
  </sheetPr>
  <dimension ref="A1:Q30"/>
  <sheetViews>
    <sheetView topLeftCell="A12" workbookViewId="0">
      <selection activeCell="D24" sqref="D24:D2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95" t="s">
        <v>19</v>
      </c>
      <c r="D1" s="95"/>
      <c r="E1" s="95"/>
      <c r="F1" s="95"/>
      <c r="N1" s="95" t="s">
        <v>32</v>
      </c>
      <c r="O1" s="95"/>
      <c r="P1" s="95"/>
      <c r="Q1" s="95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100" t="s">
        <v>33</v>
      </c>
      <c r="O2" s="101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0.15</v>
      </c>
      <c r="E4" s="9">
        <v>0.1</v>
      </c>
      <c r="F4" s="9">
        <v>0.3</v>
      </c>
      <c r="G4" s="9">
        <v>0.12</v>
      </c>
      <c r="H4" s="9">
        <v>0.12</v>
      </c>
      <c r="I4" s="9">
        <v>0.12</v>
      </c>
      <c r="J4" s="9">
        <v>0.28000000000000003</v>
      </c>
      <c r="N4" s="96">
        <f>1/(surface_A)*(C4*area_S1+D4*area_S2+E4*area_S3+F4*area_S4+G4*area_S5_1+H4*area_S5_2+I4*area_S6+J4*area_S7)</f>
        <v>0.14322978529008681</v>
      </c>
      <c r="O4" s="97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0.11</v>
      </c>
      <c r="E5" s="9">
        <v>0.05</v>
      </c>
      <c r="F5" s="9">
        <v>0.25</v>
      </c>
      <c r="G5" s="9">
        <v>0.09</v>
      </c>
      <c r="H5" s="9">
        <v>0.09</v>
      </c>
      <c r="I5" s="9">
        <v>0.09</v>
      </c>
      <c r="J5" s="9">
        <v>0.25</v>
      </c>
      <c r="N5" s="96">
        <f t="shared" ref="N5:N9" si="0">1/(surface_A)*(C5*area_S1+D5*area_S2+E5*area_S3+F5*area_S4+G5*area_S5_1+H5*area_S5_2+I5*area_S6+J5*area_S7)</f>
        <v>0.10523069894929193</v>
      </c>
      <c r="O5" s="97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0.1</v>
      </c>
      <c r="E6" s="9">
        <v>0.06</v>
      </c>
      <c r="F6" s="9">
        <v>0.2</v>
      </c>
      <c r="G6" s="9">
        <v>7.0000000000000007E-2</v>
      </c>
      <c r="H6" s="9">
        <v>7.0000000000000007E-2</v>
      </c>
      <c r="I6" s="9">
        <v>7.0000000000000007E-2</v>
      </c>
      <c r="J6" s="9">
        <v>0.18</v>
      </c>
      <c r="N6" s="96">
        <f t="shared" si="0"/>
        <v>9.174280493375972E-2</v>
      </c>
      <c r="O6" s="97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7.0000000000000007E-2</v>
      </c>
      <c r="E7" s="9">
        <v>7.0000000000000007E-2</v>
      </c>
      <c r="F7" s="9">
        <v>0.17</v>
      </c>
      <c r="G7" s="9">
        <v>0.05</v>
      </c>
      <c r="H7" s="9">
        <v>0.05</v>
      </c>
      <c r="I7" s="9">
        <v>0.05</v>
      </c>
      <c r="J7" s="9">
        <v>0.12</v>
      </c>
      <c r="N7" s="96">
        <f t="shared" si="0"/>
        <v>6.7512562814070379E-2</v>
      </c>
      <c r="O7" s="97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0.06</v>
      </c>
      <c r="E8" s="9">
        <v>0.09</v>
      </c>
      <c r="F8" s="9">
        <v>0.15</v>
      </c>
      <c r="G8" s="9">
        <v>0.05</v>
      </c>
      <c r="H8" s="9">
        <v>0.05</v>
      </c>
      <c r="I8" s="9">
        <v>0.05</v>
      </c>
      <c r="J8" s="9">
        <v>7.0000000000000007E-2</v>
      </c>
      <c r="N8" s="96">
        <f t="shared" si="0"/>
        <v>6.1685701233439943E-2</v>
      </c>
      <c r="O8" s="97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7.0000000000000007E-2</v>
      </c>
      <c r="E9" s="9">
        <v>0.08</v>
      </c>
      <c r="F9" s="9">
        <v>0.1</v>
      </c>
      <c r="G9" s="9">
        <v>0.04</v>
      </c>
      <c r="H9" s="9">
        <v>0.04</v>
      </c>
      <c r="I9" s="9">
        <v>0.04</v>
      </c>
      <c r="J9" s="9">
        <v>0.04</v>
      </c>
      <c r="N9" s="96">
        <f t="shared" si="0"/>
        <v>6.1831886706258575E-2</v>
      </c>
      <c r="O9" s="97"/>
    </row>
    <row r="10" spans="1:17" x14ac:dyDescent="0.25">
      <c r="G10" s="10"/>
    </row>
    <row r="11" spans="1:17" x14ac:dyDescent="0.25">
      <c r="A11" s="102" t="s">
        <v>24</v>
      </c>
      <c r="B11" s="102"/>
      <c r="I11" s="91" t="s">
        <v>38</v>
      </c>
      <c r="J11" s="91"/>
      <c r="M11" s="95" t="s">
        <v>36</v>
      </c>
      <c r="N11" s="95"/>
      <c r="O11" s="95"/>
      <c r="P11" s="95"/>
    </row>
    <row r="12" spans="1:17" x14ac:dyDescent="0.25">
      <c r="A12" s="102" t="s">
        <v>25</v>
      </c>
      <c r="B12" s="102"/>
      <c r="I12" s="12" t="s">
        <v>17</v>
      </c>
      <c r="J12" s="14" t="s">
        <v>39</v>
      </c>
      <c r="L12" s="13"/>
      <c r="M12" s="11" t="s">
        <v>17</v>
      </c>
      <c r="N12" s="98" t="s">
        <v>37</v>
      </c>
      <c r="O12" s="99"/>
    </row>
    <row r="13" spans="1:17" x14ac:dyDescent="0.25">
      <c r="A13" s="102" t="s">
        <v>27</v>
      </c>
      <c r="B13" s="102"/>
      <c r="I13" s="12"/>
    </row>
    <row r="14" spans="1:17" x14ac:dyDescent="0.25">
      <c r="A14" s="102" t="s">
        <v>28</v>
      </c>
      <c r="B14" s="102"/>
      <c r="I14" s="12">
        <v>125</v>
      </c>
      <c r="J14" s="14">
        <f t="shared" ref="J14:J19" si="2">N4*surface_A</f>
        <v>31.353000000000002</v>
      </c>
      <c r="M14" s="11">
        <v>125</v>
      </c>
      <c r="N14" s="93">
        <f t="shared" ref="N14:N19" si="3">(N4*surface_A)/(1-N4)</f>
        <v>36.594409401376723</v>
      </c>
      <c r="O14" s="94"/>
    </row>
    <row r="15" spans="1:17" x14ac:dyDescent="0.25">
      <c r="A15" s="102" t="s">
        <v>29</v>
      </c>
      <c r="B15" s="102"/>
      <c r="I15" s="12">
        <v>250</v>
      </c>
      <c r="J15" s="14">
        <f t="shared" si="2"/>
        <v>23.035000000000004</v>
      </c>
      <c r="M15" s="11">
        <v>250</v>
      </c>
      <c r="N15" s="93">
        <f t="shared" si="3"/>
        <v>25.744066065912751</v>
      </c>
      <c r="O15" s="94"/>
    </row>
    <row r="16" spans="1:17" x14ac:dyDescent="0.25">
      <c r="A16" s="102" t="s">
        <v>30</v>
      </c>
      <c r="B16" s="102"/>
      <c r="I16" s="12">
        <v>500</v>
      </c>
      <c r="J16" s="14">
        <f t="shared" si="2"/>
        <v>20.0825</v>
      </c>
      <c r="M16" s="11">
        <v>500</v>
      </c>
      <c r="N16" s="93">
        <f t="shared" si="3"/>
        <v>22.111027701283842</v>
      </c>
      <c r="O16" s="94"/>
    </row>
    <row r="17" spans="1:15" x14ac:dyDescent="0.25">
      <c r="A17" s="102" t="s">
        <v>31</v>
      </c>
      <c r="B17" s="102"/>
      <c r="I17" s="12">
        <v>1000</v>
      </c>
      <c r="J17" s="14">
        <f t="shared" si="2"/>
        <v>14.778500000000005</v>
      </c>
      <c r="M17" s="11">
        <v>1000</v>
      </c>
      <c r="N17" s="93">
        <f t="shared" si="3"/>
        <v>15.848470886212384</v>
      </c>
      <c r="O17" s="94"/>
    </row>
    <row r="18" spans="1:15" x14ac:dyDescent="0.25">
      <c r="I18" s="12">
        <v>2000</v>
      </c>
      <c r="J18" s="14">
        <f t="shared" si="2"/>
        <v>13.503000000000002</v>
      </c>
      <c r="M18" s="11">
        <v>2000</v>
      </c>
      <c r="N18" s="93">
        <f t="shared" si="3"/>
        <v>14.390700448399931</v>
      </c>
      <c r="O18" s="94"/>
    </row>
    <row r="19" spans="1:15" x14ac:dyDescent="0.25">
      <c r="F19" s="13"/>
      <c r="I19" s="12">
        <v>4000</v>
      </c>
      <c r="J19" s="14">
        <f t="shared" si="2"/>
        <v>13.535</v>
      </c>
      <c r="M19" s="11">
        <v>4000</v>
      </c>
      <c r="N19" s="93">
        <f t="shared" si="3"/>
        <v>14.427051834538505</v>
      </c>
      <c r="O19" s="94"/>
    </row>
    <row r="21" spans="1:15" x14ac:dyDescent="0.25">
      <c r="C21" s="91" t="s">
        <v>40</v>
      </c>
      <c r="D21" s="92"/>
      <c r="E21" s="91" t="s">
        <v>41</v>
      </c>
      <c r="F21" s="92"/>
      <c r="I21" s="91" t="s">
        <v>44</v>
      </c>
      <c r="J21" s="91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0.16*volume_A/J14</f>
        <v>0.94995694191943336</v>
      </c>
      <c r="F24" s="16">
        <f t="shared" ref="F24:F29" si="5">-0.16*(volume_A/(surface_A*LN(ABS(1-N4))))</f>
        <v>0.88017380557733105</v>
      </c>
      <c r="I24" s="12">
        <v>125</v>
      </c>
      <c r="J24" s="14">
        <f>(D24-F24)/D24</f>
        <v>7.3459262480994297E-2</v>
      </c>
    </row>
    <row r="25" spans="1:15" x14ac:dyDescent="0.25">
      <c r="B25" s="11">
        <v>250</v>
      </c>
      <c r="D25" s="16">
        <f t="shared" si="4"/>
        <v>1.2929889298892985</v>
      </c>
      <c r="F25" s="16">
        <f t="shared" si="5"/>
        <v>1.2236974034423818</v>
      </c>
      <c r="I25" s="12">
        <v>250</v>
      </c>
      <c r="J25" s="14">
        <f t="shared" ref="J25:J29" si="6">(D25-F25)/D25</f>
        <v>5.3590193113911062E-2</v>
      </c>
    </row>
    <row r="26" spans="1:15" x14ac:dyDescent="0.25">
      <c r="B26" s="11">
        <v>500</v>
      </c>
      <c r="D26" s="16">
        <f t="shared" si="4"/>
        <v>1.4830822855720152</v>
      </c>
      <c r="F26" s="16">
        <f t="shared" si="5"/>
        <v>1.4139603108566092</v>
      </c>
      <c r="I26" s="12">
        <v>500</v>
      </c>
      <c r="J26" s="14">
        <f t="shared" si="6"/>
        <v>4.6606972106571984E-2</v>
      </c>
    </row>
    <row r="27" spans="1:15" x14ac:dyDescent="0.25">
      <c r="B27" s="11">
        <v>1000</v>
      </c>
      <c r="D27" s="16">
        <f t="shared" si="4"/>
        <v>2.0153601515715387</v>
      </c>
      <c r="F27" s="16">
        <f t="shared" si="5"/>
        <v>1.9465365943289623</v>
      </c>
      <c r="I27" s="12">
        <v>1000</v>
      </c>
      <c r="J27" s="14">
        <f t="shared" si="6"/>
        <v>3.4149507813235815E-2</v>
      </c>
    </row>
    <row r="28" spans="1:15" x14ac:dyDescent="0.25">
      <c r="B28" s="11">
        <v>2000</v>
      </c>
      <c r="D28" s="16">
        <f t="shared" si="4"/>
        <v>2.2057320595423233</v>
      </c>
      <c r="F28" s="16">
        <f t="shared" si="5"/>
        <v>2.1369791173766264</v>
      </c>
      <c r="I28" s="12">
        <v>2000</v>
      </c>
      <c r="J28" s="14">
        <f t="shared" si="6"/>
        <v>3.1170124162752017E-2</v>
      </c>
    </row>
    <row r="29" spans="1:15" x14ac:dyDescent="0.25">
      <c r="B29" s="11">
        <v>4000</v>
      </c>
      <c r="D29" s="16">
        <f t="shared" si="4"/>
        <v>2.2005171776874763</v>
      </c>
      <c r="F29" s="16">
        <f t="shared" si="5"/>
        <v>2.1317624692501598</v>
      </c>
      <c r="I29" s="12">
        <v>4000</v>
      </c>
      <c r="J29" s="14">
        <f t="shared" si="6"/>
        <v>3.1244795148370939E-2</v>
      </c>
    </row>
    <row r="30" spans="1:15" x14ac:dyDescent="0.25">
      <c r="F30" s="17"/>
    </row>
  </sheetData>
  <mergeCells count="28">
    <mergeCell ref="A16:B16"/>
    <mergeCell ref="A17:B17"/>
    <mergeCell ref="C1:F1"/>
    <mergeCell ref="A11:B11"/>
    <mergeCell ref="A12:B12"/>
    <mergeCell ref="A13:B13"/>
    <mergeCell ref="A14:B14"/>
    <mergeCell ref="A15:B15"/>
    <mergeCell ref="N7:O7"/>
    <mergeCell ref="N8:O8"/>
    <mergeCell ref="N9:O9"/>
    <mergeCell ref="N12:O12"/>
    <mergeCell ref="N1:Q1"/>
    <mergeCell ref="N2:O2"/>
    <mergeCell ref="N4:O4"/>
    <mergeCell ref="N5:O5"/>
    <mergeCell ref="N6:O6"/>
    <mergeCell ref="I21:J21"/>
    <mergeCell ref="I11:J11"/>
    <mergeCell ref="C21:D21"/>
    <mergeCell ref="E21:F21"/>
    <mergeCell ref="N19:O19"/>
    <mergeCell ref="M11:P11"/>
    <mergeCell ref="N14:O14"/>
    <mergeCell ref="N15:O15"/>
    <mergeCell ref="N16:O16"/>
    <mergeCell ref="N17:O17"/>
    <mergeCell ref="N18:O18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3597-0067-4E9A-A744-AD6D7A2B81AD}">
  <sheetPr>
    <tabColor rgb="FFFF0000"/>
  </sheetPr>
  <dimension ref="A1:Q30"/>
  <sheetViews>
    <sheetView topLeftCell="F1" workbookViewId="0">
      <selection activeCell="N2" sqref="N2:O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95" t="s">
        <v>19</v>
      </c>
      <c r="D1" s="95"/>
      <c r="E1" s="95"/>
      <c r="F1" s="95"/>
      <c r="N1" s="95" t="s">
        <v>32</v>
      </c>
      <c r="O1" s="95"/>
      <c r="P1" s="95"/>
      <c r="Q1" s="95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100" t="s">
        <v>33</v>
      </c>
      <c r="O2" s="101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0.15</v>
      </c>
      <c r="E4" s="9">
        <v>0.1</v>
      </c>
      <c r="F4" s="9">
        <v>0.3</v>
      </c>
      <c r="G4" s="9">
        <v>0.12</v>
      </c>
      <c r="H4" s="9">
        <v>0.12</v>
      </c>
      <c r="I4" s="9">
        <v>0.12</v>
      </c>
      <c r="J4" s="9">
        <v>0.28000000000000003</v>
      </c>
      <c r="N4" s="96">
        <f t="shared" ref="N4:N9" si="0">1/(surface_B1)*(C4*area_S1_B1+D4*area_S2_B1+E4*area_S3_B1+F4*area_S4_B1+G4*area_S5_B1_1+H4*area_S5_B1_2+I4*area_S6_B1+J4*area_S7_B1)</f>
        <v>0.14411021814006889</v>
      </c>
      <c r="O4" s="97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0.11</v>
      </c>
      <c r="E5" s="9">
        <v>0.05</v>
      </c>
      <c r="F5" s="9">
        <v>0.25</v>
      </c>
      <c r="G5" s="9">
        <v>0.09</v>
      </c>
      <c r="H5" s="9">
        <v>0.09</v>
      </c>
      <c r="I5" s="9">
        <v>0.09</v>
      </c>
      <c r="J5" s="9">
        <v>0.25</v>
      </c>
      <c r="N5" s="96">
        <f t="shared" si="0"/>
        <v>0.10610792192881746</v>
      </c>
      <c r="O5" s="97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0.1</v>
      </c>
      <c r="E6" s="9">
        <v>0.06</v>
      </c>
      <c r="F6" s="9">
        <v>0.2</v>
      </c>
      <c r="G6" s="9">
        <v>7.0000000000000007E-2</v>
      </c>
      <c r="H6" s="9">
        <v>7.0000000000000007E-2</v>
      </c>
      <c r="I6" s="9">
        <v>7.0000000000000007E-2</v>
      </c>
      <c r="J6" s="9">
        <v>0.18</v>
      </c>
      <c r="N6" s="96">
        <f t="shared" si="0"/>
        <v>9.2353616532721006E-2</v>
      </c>
      <c r="O6" s="97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7.0000000000000007E-2</v>
      </c>
      <c r="E7" s="9">
        <v>7.0000000000000007E-2</v>
      </c>
      <c r="F7" s="9">
        <v>0.17</v>
      </c>
      <c r="G7" s="9">
        <v>0.05</v>
      </c>
      <c r="H7" s="9">
        <v>0.05</v>
      </c>
      <c r="I7" s="9">
        <v>0.05</v>
      </c>
      <c r="J7" s="9">
        <v>0.12</v>
      </c>
      <c r="N7" s="96">
        <f t="shared" si="0"/>
        <v>6.7967853042479931E-2</v>
      </c>
      <c r="O7" s="97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0.06</v>
      </c>
      <c r="E8" s="9">
        <v>0.09</v>
      </c>
      <c r="F8" s="9">
        <v>0.15</v>
      </c>
      <c r="G8" s="9">
        <v>0.05</v>
      </c>
      <c r="H8" s="9">
        <v>0.05</v>
      </c>
      <c r="I8" s="9">
        <v>0.05</v>
      </c>
      <c r="J8" s="9">
        <v>7.0000000000000007E-2</v>
      </c>
      <c r="N8" s="96">
        <f t="shared" si="0"/>
        <v>6.1980482204362801E-2</v>
      </c>
      <c r="O8" s="97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7.0000000000000007E-2</v>
      </c>
      <c r="E9" s="9">
        <v>0.08</v>
      </c>
      <c r="F9" s="9">
        <v>0.1</v>
      </c>
      <c r="G9" s="9">
        <v>0.04</v>
      </c>
      <c r="H9" s="9">
        <v>0.04</v>
      </c>
      <c r="I9" s="9">
        <v>0.04</v>
      </c>
      <c r="J9" s="9">
        <v>0.04</v>
      </c>
      <c r="N9" s="96">
        <f t="shared" si="0"/>
        <v>6.1923076923076942E-2</v>
      </c>
      <c r="O9" s="97"/>
    </row>
    <row r="10" spans="1:17" x14ac:dyDescent="0.25">
      <c r="G10" s="10"/>
    </row>
    <row r="11" spans="1:17" x14ac:dyDescent="0.25">
      <c r="A11" s="102" t="s">
        <v>24</v>
      </c>
      <c r="B11" s="102"/>
      <c r="I11" s="91" t="s">
        <v>38</v>
      </c>
      <c r="J11" s="91"/>
      <c r="M11" s="95" t="s">
        <v>36</v>
      </c>
      <c r="N11" s="95"/>
      <c r="O11" s="95"/>
      <c r="P11" s="95"/>
    </row>
    <row r="12" spans="1:17" x14ac:dyDescent="0.25">
      <c r="A12" s="102" t="s">
        <v>25</v>
      </c>
      <c r="B12" s="102"/>
      <c r="I12" s="12" t="s">
        <v>17</v>
      </c>
      <c r="J12" s="14" t="s">
        <v>39</v>
      </c>
      <c r="L12" s="13"/>
      <c r="M12" s="11" t="s">
        <v>17</v>
      </c>
      <c r="N12" s="98" t="s">
        <v>37</v>
      </c>
      <c r="O12" s="99"/>
    </row>
    <row r="13" spans="1:17" x14ac:dyDescent="0.25">
      <c r="A13" s="102" t="s">
        <v>27</v>
      </c>
      <c r="B13" s="102"/>
      <c r="I13" s="12"/>
    </row>
    <row r="14" spans="1:17" x14ac:dyDescent="0.25">
      <c r="A14" s="102" t="s">
        <v>28</v>
      </c>
      <c r="B14" s="102"/>
      <c r="I14" s="12">
        <v>125</v>
      </c>
      <c r="J14" s="14">
        <f t="shared" ref="J14:J19" si="2">N4*surface_B1</f>
        <v>20.083199999999998</v>
      </c>
      <c r="M14" s="11">
        <v>125</v>
      </c>
      <c r="N14" s="93">
        <f t="shared" ref="N14:N19" si="3">(N4*surface_B1)/(1-N4)</f>
        <v>23.464703546708158</v>
      </c>
      <c r="O14" s="94"/>
    </row>
    <row r="15" spans="1:17" x14ac:dyDescent="0.25">
      <c r="A15" s="102" t="s">
        <v>29</v>
      </c>
      <c r="B15" s="102"/>
      <c r="I15" s="12">
        <v>250</v>
      </c>
      <c r="J15" s="14">
        <f t="shared" si="2"/>
        <v>14.7872</v>
      </c>
      <c r="M15" s="11">
        <v>250</v>
      </c>
      <c r="N15" s="93">
        <f t="shared" si="3"/>
        <v>16.542489146908476</v>
      </c>
      <c r="O15" s="94"/>
    </row>
    <row r="16" spans="1:17" x14ac:dyDescent="0.25">
      <c r="A16" s="102" t="s">
        <v>30</v>
      </c>
      <c r="B16" s="102"/>
      <c r="I16" s="12">
        <v>500</v>
      </c>
      <c r="J16" s="14">
        <f t="shared" si="2"/>
        <v>12.870399999999998</v>
      </c>
      <c r="M16" s="11">
        <v>500</v>
      </c>
      <c r="N16" s="93">
        <f t="shared" si="3"/>
        <v>14.179971665654724</v>
      </c>
      <c r="O16" s="94"/>
    </row>
    <row r="17" spans="1:15" x14ac:dyDescent="0.25">
      <c r="A17" s="102" t="s">
        <v>31</v>
      </c>
      <c r="B17" s="102"/>
      <c r="I17" s="12">
        <v>1000</v>
      </c>
      <c r="J17" s="14">
        <f t="shared" si="2"/>
        <v>9.4720000000000013</v>
      </c>
      <c r="M17" s="11">
        <v>1000</v>
      </c>
      <c r="N17" s="93">
        <f t="shared" si="3"/>
        <v>10.162739591032276</v>
      </c>
      <c r="O17" s="94"/>
    </row>
    <row r="18" spans="1:15" x14ac:dyDescent="0.25">
      <c r="I18" s="12">
        <v>2000</v>
      </c>
      <c r="J18" s="14">
        <f t="shared" si="2"/>
        <v>8.6375999999999991</v>
      </c>
      <c r="M18" s="11">
        <v>2000</v>
      </c>
      <c r="N18" s="93">
        <f t="shared" si="3"/>
        <v>9.2083371786319699</v>
      </c>
      <c r="O18" s="94"/>
    </row>
    <row r="19" spans="1:15" x14ac:dyDescent="0.25">
      <c r="F19" s="13"/>
      <c r="I19" s="12">
        <v>4000</v>
      </c>
      <c r="J19" s="14">
        <f t="shared" si="2"/>
        <v>8.6296000000000017</v>
      </c>
      <c r="M19" s="11">
        <v>4000</v>
      </c>
      <c r="N19" s="93">
        <f t="shared" si="3"/>
        <v>9.1992455924559273</v>
      </c>
      <c r="O19" s="94"/>
    </row>
    <row r="21" spans="1:15" x14ac:dyDescent="0.25">
      <c r="C21" s="91" t="s">
        <v>40</v>
      </c>
      <c r="D21" s="92"/>
      <c r="E21" s="91" t="s">
        <v>41</v>
      </c>
      <c r="F21" s="92"/>
      <c r="I21" s="91" t="s">
        <v>44</v>
      </c>
      <c r="J21" s="91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0.16*volume_B1/J14</f>
        <v>0.75411089866156789</v>
      </c>
      <c r="F24" s="16">
        <f t="shared" ref="F24:F29" si="5">-0.16*(volume_B1/(surface_B1*LN(ABS(1-N4))))</f>
        <v>0.69836464663381892</v>
      </c>
      <c r="I24" s="12">
        <v>125</v>
      </c>
      <c r="J24" s="14">
        <f>(D24-F24)/D24</f>
        <v>7.3923148606776651E-2</v>
      </c>
    </row>
    <row r="25" spans="1:15" x14ac:dyDescent="0.25">
      <c r="B25" s="11">
        <v>250</v>
      </c>
      <c r="D25" s="16">
        <f t="shared" si="4"/>
        <v>1.0241938974247997</v>
      </c>
      <c r="F25" s="16">
        <f t="shared" si="5"/>
        <v>0.96884072488940032</v>
      </c>
      <c r="I25" s="12">
        <v>250</v>
      </c>
      <c r="J25" s="14">
        <f t="shared" ref="J25:J29" si="6">(D25-F25)/D25</f>
        <v>5.4045598860311156E-2</v>
      </c>
    </row>
    <row r="26" spans="1:15" x14ac:dyDescent="0.25">
      <c r="B26" s="11">
        <v>500</v>
      </c>
      <c r="D26" s="16">
        <f t="shared" si="4"/>
        <v>1.1767279960218797</v>
      </c>
      <c r="F26" s="16">
        <f t="shared" si="5"/>
        <v>1.1215130351302505</v>
      </c>
      <c r="I26" s="12">
        <v>500</v>
      </c>
      <c r="J26" s="14">
        <f t="shared" si="6"/>
        <v>4.6922450284426306E-2</v>
      </c>
    </row>
    <row r="27" spans="1:15" x14ac:dyDescent="0.25">
      <c r="B27" s="11">
        <v>1000</v>
      </c>
      <c r="D27" s="16">
        <f t="shared" si="4"/>
        <v>1.5989189189189186</v>
      </c>
      <c r="F27" s="16">
        <f t="shared" si="5"/>
        <v>1.5439439769154004</v>
      </c>
      <c r="I27" s="12">
        <v>1000</v>
      </c>
      <c r="J27" s="14">
        <f t="shared" si="6"/>
        <v>3.4382570218562752E-2</v>
      </c>
    </row>
    <row r="28" spans="1:15" x14ac:dyDescent="0.25">
      <c r="B28" s="11">
        <v>2000</v>
      </c>
      <c r="D28" s="16">
        <f t="shared" si="4"/>
        <v>1.7533759377604892</v>
      </c>
      <c r="F28" s="16">
        <f t="shared" si="5"/>
        <v>1.6984589739520835</v>
      </c>
      <c r="I28" s="12">
        <v>2000</v>
      </c>
      <c r="J28" s="14">
        <f t="shared" si="6"/>
        <v>3.1320701183197922E-2</v>
      </c>
    </row>
    <row r="29" spans="1:15" x14ac:dyDescent="0.25">
      <c r="B29" s="11">
        <v>4000</v>
      </c>
      <c r="D29" s="16">
        <f t="shared" si="4"/>
        <v>1.755001390562714</v>
      </c>
      <c r="F29" s="16">
        <f t="shared" si="5"/>
        <v>1.7000849808523586</v>
      </c>
      <c r="I29" s="12">
        <v>4000</v>
      </c>
      <c r="J29" s="14">
        <f t="shared" si="6"/>
        <v>3.1291376750845361E-2</v>
      </c>
    </row>
    <row r="30" spans="1:15" x14ac:dyDescent="0.25">
      <c r="F30" s="17"/>
    </row>
  </sheetData>
  <mergeCells count="28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B089-3BAE-40AE-86A8-D3822389AE22}">
  <sheetPr>
    <tabColor theme="7" tint="-0.249977111117893"/>
  </sheetPr>
  <dimension ref="A1:Q30"/>
  <sheetViews>
    <sheetView topLeftCell="A16" workbookViewId="0">
      <selection activeCell="J14" sqref="J14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95" t="s">
        <v>19</v>
      </c>
      <c r="D1" s="95"/>
      <c r="E1" s="95"/>
      <c r="F1" s="95"/>
      <c r="N1" s="95" t="s">
        <v>32</v>
      </c>
      <c r="O1" s="95"/>
      <c r="P1" s="95"/>
      <c r="Q1" s="95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100" t="s">
        <v>33</v>
      </c>
      <c r="O2" s="101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0.28000000000000003</v>
      </c>
      <c r="N4" s="96">
        <f t="shared" ref="N4:N9" si="0">1/(surface_B2)*(C4*area_S1_B2+D4*area_S2_B2+E4*area_S3_B2+F4*area_S4_B2+G4*area_S5_B2_1+H4*area_S5_B2_2+I4*area_S6_B2+J4*area_S7_B2)</f>
        <v>0.34595692307692311</v>
      </c>
      <c r="O4" s="97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0.25</v>
      </c>
      <c r="N5" s="96">
        <f t="shared" si="0"/>
        <v>0.22980307692307692</v>
      </c>
      <c r="O5" s="97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0.18</v>
      </c>
      <c r="N6" s="96">
        <f t="shared" si="0"/>
        <v>0.32038</v>
      </c>
      <c r="O6" s="97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0.12</v>
      </c>
      <c r="N7" s="96">
        <f t="shared" si="0"/>
        <v>0.31133692307692307</v>
      </c>
      <c r="O7" s="97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7.0000000000000007E-2</v>
      </c>
      <c r="N8" s="96">
        <f t="shared" si="0"/>
        <v>0.30449846153846155</v>
      </c>
      <c r="O8" s="97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0.04</v>
      </c>
      <c r="N9" s="96">
        <f t="shared" si="0"/>
        <v>0.29796923076923076</v>
      </c>
      <c r="O9" s="97"/>
    </row>
    <row r="10" spans="1:17" x14ac:dyDescent="0.25">
      <c r="G10" s="10"/>
    </row>
    <row r="11" spans="1:17" x14ac:dyDescent="0.25">
      <c r="A11" s="102" t="s">
        <v>24</v>
      </c>
      <c r="B11" s="102"/>
      <c r="I11" s="91" t="s">
        <v>38</v>
      </c>
      <c r="J11" s="91"/>
      <c r="M11" s="95" t="s">
        <v>36</v>
      </c>
      <c r="N11" s="95"/>
      <c r="O11" s="95"/>
      <c r="P11" s="95"/>
    </row>
    <row r="12" spans="1:17" x14ac:dyDescent="0.25">
      <c r="A12" s="102" t="s">
        <v>25</v>
      </c>
      <c r="B12" s="102"/>
      <c r="I12" s="12" t="s">
        <v>17</v>
      </c>
      <c r="J12" s="14" t="s">
        <v>39</v>
      </c>
      <c r="L12" s="13"/>
      <c r="M12" s="11" t="s">
        <v>17</v>
      </c>
      <c r="N12" s="98" t="s">
        <v>37</v>
      </c>
      <c r="O12" s="99"/>
    </row>
    <row r="13" spans="1:17" x14ac:dyDescent="0.25">
      <c r="A13" s="102" t="s">
        <v>27</v>
      </c>
      <c r="B13" s="102"/>
      <c r="I13" s="12"/>
    </row>
    <row r="14" spans="1:17" x14ac:dyDescent="0.25">
      <c r="A14" s="102" t="s">
        <v>28</v>
      </c>
      <c r="B14" s="102"/>
      <c r="I14" s="12">
        <v>125</v>
      </c>
      <c r="J14" s="14">
        <f t="shared" ref="J14:J19" si="2">N4*surface_B2</f>
        <v>44.974400000000003</v>
      </c>
      <c r="M14" s="11">
        <v>125</v>
      </c>
      <c r="N14" s="93">
        <f t="shared" ref="N14:N19" si="3">(N4*surface_B2)/(1-N4)</f>
        <v>68.763666472215434</v>
      </c>
      <c r="O14" s="94"/>
    </row>
    <row r="15" spans="1:17" x14ac:dyDescent="0.25">
      <c r="A15" s="102" t="s">
        <v>29</v>
      </c>
      <c r="B15" s="102"/>
      <c r="I15" s="12">
        <v>250</v>
      </c>
      <c r="J15" s="14">
        <f t="shared" si="2"/>
        <v>29.874399999999998</v>
      </c>
      <c r="M15" s="11">
        <v>250</v>
      </c>
      <c r="N15" s="93">
        <f t="shared" si="3"/>
        <v>38.788002269149942</v>
      </c>
      <c r="O15" s="94"/>
    </row>
    <row r="16" spans="1:17" x14ac:dyDescent="0.25">
      <c r="A16" s="102" t="s">
        <v>30</v>
      </c>
      <c r="B16" s="102"/>
      <c r="I16" s="12">
        <v>500</v>
      </c>
      <c r="J16" s="14">
        <f t="shared" si="2"/>
        <v>41.6494</v>
      </c>
      <c r="M16" s="11">
        <v>500</v>
      </c>
      <c r="N16" s="93">
        <f t="shared" si="3"/>
        <v>61.283364232953708</v>
      </c>
      <c r="O16" s="94"/>
    </row>
    <row r="17" spans="1:15" x14ac:dyDescent="0.25">
      <c r="A17" s="102" t="s">
        <v>31</v>
      </c>
      <c r="B17" s="102"/>
      <c r="I17" s="12">
        <v>1000</v>
      </c>
      <c r="J17" s="14">
        <f t="shared" si="2"/>
        <v>40.473799999999997</v>
      </c>
      <c r="M17" s="11">
        <v>1000</v>
      </c>
      <c r="N17" s="93">
        <f t="shared" si="3"/>
        <v>58.771555142516931</v>
      </c>
      <c r="O17" s="94"/>
    </row>
    <row r="18" spans="1:15" x14ac:dyDescent="0.25">
      <c r="I18" s="12">
        <v>2000</v>
      </c>
      <c r="J18" s="14">
        <f t="shared" si="2"/>
        <v>39.584800000000001</v>
      </c>
      <c r="M18" s="11">
        <v>2000</v>
      </c>
      <c r="N18" s="93">
        <f t="shared" si="3"/>
        <v>56.915474389261988</v>
      </c>
      <c r="O18" s="94"/>
    </row>
    <row r="19" spans="1:15" x14ac:dyDescent="0.25">
      <c r="F19" s="13"/>
      <c r="I19" s="12">
        <v>4000</v>
      </c>
      <c r="J19" s="14">
        <f t="shared" si="2"/>
        <v>38.735999999999997</v>
      </c>
      <c r="M19" s="11">
        <v>4000</v>
      </c>
      <c r="N19" s="93">
        <f t="shared" si="3"/>
        <v>55.177068723702661</v>
      </c>
      <c r="O19" s="94"/>
    </row>
    <row r="21" spans="1:15" x14ac:dyDescent="0.25">
      <c r="C21" s="91" t="s">
        <v>40</v>
      </c>
      <c r="D21" s="92"/>
      <c r="E21" s="91" t="s">
        <v>41</v>
      </c>
      <c r="F21" s="92"/>
      <c r="I21" s="91" t="s">
        <v>44</v>
      </c>
      <c r="J21" s="91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0.16*volume_B2/J14</f>
        <v>0.35575794229606172</v>
      </c>
      <c r="F24" s="16">
        <f t="shared" ref="F24:F29" si="5">-0.16*(volume_B2/(surface_B2*LN(ABS(1-N4))))</f>
        <v>0.289877820683003</v>
      </c>
      <c r="I24" s="12">
        <v>125</v>
      </c>
      <c r="J24" s="14">
        <f>(D24-F24)/D24</f>
        <v>0.1851824338421468</v>
      </c>
    </row>
    <row r="25" spans="1:15" x14ac:dyDescent="0.25">
      <c r="B25" s="11">
        <v>250</v>
      </c>
      <c r="D25" s="16">
        <f t="shared" si="4"/>
        <v>0.53557560988672581</v>
      </c>
      <c r="F25" s="16">
        <f t="shared" si="5"/>
        <v>0.47136214490787959</v>
      </c>
      <c r="I25" s="12">
        <v>250</v>
      </c>
      <c r="J25" s="14">
        <f t="shared" ref="J25:J29" si="6">(D25-F25)/D25</f>
        <v>0.11989617113525272</v>
      </c>
    </row>
    <row r="26" spans="1:15" x14ac:dyDescent="0.25">
      <c r="B26" s="11">
        <v>500</v>
      </c>
      <c r="D26" s="16">
        <f t="shared" si="4"/>
        <v>0.38415919557064448</v>
      </c>
      <c r="F26" s="16">
        <f t="shared" si="5"/>
        <v>0.31866930155661588</v>
      </c>
      <c r="I26" s="12">
        <v>500</v>
      </c>
      <c r="J26" s="14">
        <f t="shared" si="6"/>
        <v>0.17047592448424267</v>
      </c>
    </row>
    <row r="27" spans="1:15" x14ac:dyDescent="0.25">
      <c r="B27" s="11">
        <v>1000</v>
      </c>
      <c r="D27" s="16">
        <f t="shared" si="4"/>
        <v>0.39531746463144063</v>
      </c>
      <c r="F27" s="16">
        <f t="shared" si="5"/>
        <v>0.32996217185704546</v>
      </c>
      <c r="I27" s="12">
        <v>1000</v>
      </c>
      <c r="J27" s="14">
        <f t="shared" si="6"/>
        <v>0.16532356554326968</v>
      </c>
    </row>
    <row r="28" spans="1:15" x14ac:dyDescent="0.25">
      <c r="B28" s="11">
        <v>2000</v>
      </c>
      <c r="D28" s="16">
        <f t="shared" si="4"/>
        <v>0.40419554980699662</v>
      </c>
      <c r="F28" s="16">
        <f t="shared" si="5"/>
        <v>0.3389409185679565</v>
      </c>
      <c r="I28" s="12">
        <v>2000</v>
      </c>
      <c r="J28" s="14">
        <f t="shared" si="6"/>
        <v>0.16144322041694723</v>
      </c>
    </row>
    <row r="29" spans="1:15" x14ac:dyDescent="0.25">
      <c r="B29" s="11">
        <v>4000</v>
      </c>
      <c r="D29" s="16">
        <f t="shared" si="4"/>
        <v>0.41305245766212312</v>
      </c>
      <c r="F29" s="16">
        <f t="shared" si="5"/>
        <v>0.34789304983809716</v>
      </c>
      <c r="I29" s="12">
        <v>4000</v>
      </c>
      <c r="J29" s="14">
        <f t="shared" si="6"/>
        <v>0.15775092634196683</v>
      </c>
    </row>
    <row r="30" spans="1:15" x14ac:dyDescent="0.25">
      <c r="F30" s="17"/>
    </row>
  </sheetData>
  <mergeCells count="28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98F4-06BD-421E-9529-BB5CB852E698}">
  <sheetPr>
    <tabColor theme="5" tint="-0.249977111117893"/>
  </sheetPr>
  <dimension ref="A1:Q30"/>
  <sheetViews>
    <sheetView topLeftCell="C1" workbookViewId="0">
      <selection activeCell="J14" sqref="J14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95" t="s">
        <v>19</v>
      </c>
      <c r="D1" s="95"/>
      <c r="E1" s="95"/>
      <c r="F1" s="95"/>
      <c r="N1" s="95" t="s">
        <v>32</v>
      </c>
      <c r="O1" s="95"/>
      <c r="P1" s="95"/>
      <c r="Q1" s="95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100" t="s">
        <v>33</v>
      </c>
      <c r="O2" s="101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96">
        <f t="shared" ref="N4:N9" si="0">1/(surface_A)*(0.4*C4*area_S1+D4*area_S2+E4*area_S3+F4*area_S4+G4*area_S5_1+H4*area_S5_2+I4*area_S6+J4*area_S7 + 0.6*K4*area_S1)</f>
        <v>0.17966651439013248</v>
      </c>
      <c r="O4" s="97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96">
        <f t="shared" si="0"/>
        <v>0.27222476016445868</v>
      </c>
      <c r="O5" s="97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96">
        <f t="shared" si="0"/>
        <v>0.44058108725445411</v>
      </c>
      <c r="O6" s="97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96">
        <f t="shared" si="0"/>
        <v>0.54728688899040667</v>
      </c>
      <c r="O7" s="97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96">
        <f t="shared" si="0"/>
        <v>0.54038510735495671</v>
      </c>
      <c r="O8" s="97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96">
        <f t="shared" si="0"/>
        <v>0.53636866148926465</v>
      </c>
      <c r="O9" s="97"/>
    </row>
    <row r="10" spans="1:17" x14ac:dyDescent="0.25">
      <c r="G10" s="10"/>
    </row>
    <row r="11" spans="1:17" x14ac:dyDescent="0.25">
      <c r="A11" s="102" t="s">
        <v>46</v>
      </c>
      <c r="B11" s="102"/>
      <c r="I11" s="91" t="s">
        <v>38</v>
      </c>
      <c r="J11" s="91"/>
      <c r="M11" s="95" t="s">
        <v>36</v>
      </c>
      <c r="N11" s="95"/>
      <c r="O11" s="95"/>
      <c r="P11" s="95"/>
    </row>
    <row r="12" spans="1:17" x14ac:dyDescent="0.25">
      <c r="A12" s="102" t="s">
        <v>25</v>
      </c>
      <c r="B12" s="102"/>
      <c r="I12" s="12" t="s">
        <v>17</v>
      </c>
      <c r="J12" s="14" t="s">
        <v>39</v>
      </c>
      <c r="L12" s="13"/>
      <c r="M12" s="11" t="s">
        <v>17</v>
      </c>
      <c r="N12" s="98" t="s">
        <v>37</v>
      </c>
      <c r="O12" s="99"/>
    </row>
    <row r="13" spans="1:17" x14ac:dyDescent="0.25">
      <c r="A13" s="102" t="s">
        <v>27</v>
      </c>
      <c r="B13" s="102"/>
      <c r="I13" s="12"/>
    </row>
    <row r="14" spans="1:17" x14ac:dyDescent="0.25">
      <c r="A14" s="102" t="s">
        <v>28</v>
      </c>
      <c r="B14" s="102"/>
      <c r="I14" s="12">
        <v>125</v>
      </c>
      <c r="J14" s="14">
        <f t="shared" ref="J14:J19" si="2">N4*surface_A</f>
        <v>39.328999999999994</v>
      </c>
      <c r="M14" s="11">
        <v>125</v>
      </c>
      <c r="N14" s="93">
        <f t="shared" ref="N14:N19" si="3">(N4*surface_A)/(1-N4)</f>
        <v>47.942697317495579</v>
      </c>
      <c r="O14" s="94"/>
    </row>
    <row r="15" spans="1:17" x14ac:dyDescent="0.25">
      <c r="A15" s="102" t="s">
        <v>29</v>
      </c>
      <c r="B15" s="102"/>
      <c r="I15" s="12">
        <v>250</v>
      </c>
      <c r="J15" s="14">
        <f t="shared" si="2"/>
        <v>59.589999999999996</v>
      </c>
      <c r="M15" s="11">
        <v>250</v>
      </c>
      <c r="N15" s="93">
        <f t="shared" si="3"/>
        <v>81.879674847781061</v>
      </c>
      <c r="O15" s="94"/>
    </row>
    <row r="16" spans="1:17" x14ac:dyDescent="0.25">
      <c r="A16" s="102" t="s">
        <v>30</v>
      </c>
      <c r="B16" s="102"/>
      <c r="I16" s="12">
        <v>500</v>
      </c>
      <c r="J16" s="14">
        <f t="shared" si="2"/>
        <v>96.44319999999999</v>
      </c>
      <c r="M16" s="11">
        <v>500</v>
      </c>
      <c r="N16" s="93">
        <f t="shared" si="3"/>
        <v>172.39889071084659</v>
      </c>
      <c r="O16" s="94"/>
    </row>
    <row r="17" spans="1:15" x14ac:dyDescent="0.25">
      <c r="A17" s="102" t="s">
        <v>31</v>
      </c>
      <c r="B17" s="102"/>
      <c r="I17" s="12">
        <v>1000</v>
      </c>
      <c r="J17" s="14">
        <f t="shared" si="2"/>
        <v>119.80110000000001</v>
      </c>
      <c r="M17" s="11">
        <v>1000</v>
      </c>
      <c r="N17" s="93">
        <f t="shared" si="3"/>
        <v>264.62918145408281</v>
      </c>
      <c r="O17" s="94"/>
    </row>
    <row r="18" spans="1:15" x14ac:dyDescent="0.25">
      <c r="I18" s="12">
        <v>2000</v>
      </c>
      <c r="J18" s="14">
        <f t="shared" si="2"/>
        <v>118.29030000000002</v>
      </c>
      <c r="M18" s="11">
        <v>2000</v>
      </c>
      <c r="N18" s="93">
        <f t="shared" si="3"/>
        <v>257.36829222232063</v>
      </c>
      <c r="O18" s="94"/>
    </row>
    <row r="19" spans="1:15" x14ac:dyDescent="0.25">
      <c r="A19" s="103" t="s">
        <v>49</v>
      </c>
      <c r="B19" s="103"/>
      <c r="F19" s="13"/>
      <c r="I19" s="12">
        <v>4000</v>
      </c>
      <c r="J19" s="14">
        <f t="shared" si="2"/>
        <v>117.41110000000002</v>
      </c>
      <c r="M19" s="11">
        <v>4000</v>
      </c>
      <c r="N19" s="93">
        <f t="shared" si="3"/>
        <v>253.24237222001631</v>
      </c>
      <c r="O19" s="94"/>
    </row>
    <row r="21" spans="1:15" x14ac:dyDescent="0.25">
      <c r="C21" s="91" t="s">
        <v>40</v>
      </c>
      <c r="D21" s="92"/>
      <c r="E21" s="91" t="s">
        <v>41</v>
      </c>
      <c r="F21" s="92"/>
      <c r="I21" s="91" t="s">
        <v>44</v>
      </c>
      <c r="J21" s="91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0.16*volume_A/J14</f>
        <v>0.75730377075440514</v>
      </c>
      <c r="F24" s="16">
        <f t="shared" ref="F24:F29" si="5">-0.16*(volume_A/(surface_A*LN(ABS(1-N4))))</f>
        <v>0.68702864507662731</v>
      </c>
      <c r="I24" s="12">
        <v>125</v>
      </c>
      <c r="J24" s="14">
        <f>(D24-F24)/D24</f>
        <v>9.2796481929268204E-2</v>
      </c>
    </row>
    <row r="25" spans="1:15" x14ac:dyDescent="0.25">
      <c r="B25" s="11">
        <v>250</v>
      </c>
      <c r="D25" s="16">
        <f t="shared" si="4"/>
        <v>0.49981540526934043</v>
      </c>
      <c r="F25" s="16">
        <f t="shared" si="5"/>
        <v>0.42818743033993578</v>
      </c>
      <c r="I25" s="12">
        <v>250</v>
      </c>
      <c r="J25" s="14">
        <f t="shared" ref="J25:J29" si="6">(D25-F25)/D25</f>
        <v>0.14330885797888879</v>
      </c>
    </row>
    <row r="26" spans="1:15" x14ac:dyDescent="0.25">
      <c r="B26" s="11">
        <v>500</v>
      </c>
      <c r="D26" s="16">
        <f t="shared" si="4"/>
        <v>0.30882426132687424</v>
      </c>
      <c r="F26" s="16">
        <f t="shared" si="5"/>
        <v>0.23424388702888888</v>
      </c>
      <c r="I26" s="12">
        <v>500</v>
      </c>
      <c r="J26" s="14">
        <f t="shared" si="6"/>
        <v>0.24149778251730669</v>
      </c>
    </row>
    <row r="27" spans="1:15" x14ac:dyDescent="0.25">
      <c r="B27" s="11">
        <v>1000</v>
      </c>
      <c r="D27" s="16">
        <f t="shared" si="4"/>
        <v>0.24861207451350609</v>
      </c>
      <c r="F27" s="16">
        <f t="shared" si="5"/>
        <v>0.17168795170003329</v>
      </c>
      <c r="I27" s="12">
        <v>1000</v>
      </c>
      <c r="J27" s="14">
        <f t="shared" si="6"/>
        <v>0.30941426704234282</v>
      </c>
    </row>
    <row r="28" spans="1:15" x14ac:dyDescent="0.25">
      <c r="B28" s="11">
        <v>2000</v>
      </c>
      <c r="D28" s="16">
        <f t="shared" si="4"/>
        <v>0.25178734012848047</v>
      </c>
      <c r="F28" s="16">
        <f t="shared" si="5"/>
        <v>0.17502961418318927</v>
      </c>
      <c r="I28" s="12">
        <v>2000</v>
      </c>
      <c r="J28" s="14">
        <f t="shared" si="6"/>
        <v>0.30485141113974895</v>
      </c>
    </row>
    <row r="29" spans="1:15" x14ac:dyDescent="0.25">
      <c r="B29" s="11">
        <v>4000</v>
      </c>
      <c r="D29" s="16">
        <f t="shared" si="4"/>
        <v>0.25367277880881783</v>
      </c>
      <c r="F29" s="16">
        <f t="shared" si="5"/>
        <v>0.17701082739646354</v>
      </c>
      <c r="I29" s="12">
        <v>4000</v>
      </c>
      <c r="J29" s="14">
        <f t="shared" si="6"/>
        <v>0.30220803261721307</v>
      </c>
    </row>
    <row r="30" spans="1:15" x14ac:dyDescent="0.25">
      <c r="F30" s="17"/>
    </row>
  </sheetData>
  <mergeCells count="29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16:O16"/>
    <mergeCell ref="A17:B17"/>
    <mergeCell ref="N17:O17"/>
    <mergeCell ref="N18:O18"/>
    <mergeCell ref="N19:O19"/>
    <mergeCell ref="C21:D21"/>
    <mergeCell ref="E21:F21"/>
    <mergeCell ref="I21:J21"/>
    <mergeCell ref="A19:B19"/>
    <mergeCell ref="A16:B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297D-ECEA-4085-97BE-CE6B7482A8FD}">
  <sheetPr>
    <tabColor rgb="FFFF0000"/>
  </sheetPr>
  <dimension ref="A1:Q30"/>
  <sheetViews>
    <sheetView topLeftCell="A10" workbookViewId="0">
      <selection activeCell="F24" sqref="F24:F2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95" t="s">
        <v>19</v>
      </c>
      <c r="D1" s="95"/>
      <c r="E1" s="95"/>
      <c r="F1" s="95"/>
      <c r="N1" s="95" t="s">
        <v>32</v>
      </c>
      <c r="O1" s="95"/>
      <c r="P1" s="95"/>
      <c r="Q1" s="95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100" t="s">
        <v>33</v>
      </c>
      <c r="O2" s="101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96">
        <f t="shared" ref="N4:N9" si="0">1/(surface_B1)*(0.4*C4*area_S1_B1+D4*area_S2_B1+E4*area_S3_B1+F4*area_S4_B1+G4*area_S5_B1_1+H4*area_S5_B1_2+I4*area_S6_B1+J4*area_S7_B1+0.6*K4*area_S1_B1)</f>
        <v>0.18063145809414469</v>
      </c>
      <c r="O4" s="97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96">
        <f t="shared" si="0"/>
        <v>0.27305396096440876</v>
      </c>
      <c r="O5" s="97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96">
        <f t="shared" si="0"/>
        <v>0.44091963260619982</v>
      </c>
      <c r="O6" s="97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96">
        <f t="shared" si="0"/>
        <v>0.54718484500574061</v>
      </c>
      <c r="O7" s="97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96">
        <f t="shared" si="0"/>
        <v>0.5401308840413318</v>
      </c>
      <c r="O8" s="97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96">
        <f t="shared" si="0"/>
        <v>0.53591044776119412</v>
      </c>
      <c r="O9" s="97"/>
    </row>
    <row r="10" spans="1:17" x14ac:dyDescent="0.25">
      <c r="G10" s="10"/>
    </row>
    <row r="11" spans="1:17" x14ac:dyDescent="0.25">
      <c r="A11" s="102" t="s">
        <v>50</v>
      </c>
      <c r="B11" s="102"/>
      <c r="I11" s="91" t="s">
        <v>38</v>
      </c>
      <c r="J11" s="91"/>
      <c r="M11" s="95" t="s">
        <v>36</v>
      </c>
      <c r="N11" s="95"/>
      <c r="O11" s="95"/>
      <c r="P11" s="95"/>
    </row>
    <row r="12" spans="1:17" x14ac:dyDescent="0.25">
      <c r="A12" s="102" t="s">
        <v>25</v>
      </c>
      <c r="B12" s="102"/>
      <c r="I12" s="12" t="s">
        <v>17</v>
      </c>
      <c r="J12" s="14" t="s">
        <v>39</v>
      </c>
      <c r="L12" s="13"/>
      <c r="M12" s="11" t="s">
        <v>17</v>
      </c>
      <c r="N12" s="98" t="s">
        <v>37</v>
      </c>
      <c r="O12" s="99"/>
    </row>
    <row r="13" spans="1:17" x14ac:dyDescent="0.25">
      <c r="A13" s="102" t="s">
        <v>27</v>
      </c>
      <c r="B13" s="102"/>
      <c r="I13" s="12"/>
    </row>
    <row r="14" spans="1:17" x14ac:dyDescent="0.25">
      <c r="A14" s="102" t="s">
        <v>28</v>
      </c>
      <c r="B14" s="102"/>
      <c r="I14" s="12">
        <v>125</v>
      </c>
      <c r="J14" s="14">
        <f t="shared" ref="J14:J19" si="2">N4*surface_B1</f>
        <v>25.172800000000002</v>
      </c>
      <c r="M14" s="11">
        <v>125</v>
      </c>
      <c r="N14" s="93">
        <f t="shared" ref="N14:N19" si="3">(N4*surface_B1)/(1-N4)</f>
        <v>30.722194851962396</v>
      </c>
      <c r="O14" s="94"/>
    </row>
    <row r="15" spans="1:17" x14ac:dyDescent="0.25">
      <c r="A15" s="102" t="s">
        <v>29</v>
      </c>
      <c r="B15" s="102"/>
      <c r="I15" s="12">
        <v>250</v>
      </c>
      <c r="J15" s="14">
        <f t="shared" si="2"/>
        <v>38.052799999999998</v>
      </c>
      <c r="M15" s="11">
        <v>250</v>
      </c>
      <c r="N15" s="93">
        <f t="shared" si="3"/>
        <v>52.346113681949554</v>
      </c>
      <c r="O15" s="94"/>
    </row>
    <row r="16" spans="1:17" x14ac:dyDescent="0.25">
      <c r="A16" s="102" t="s">
        <v>30</v>
      </c>
      <c r="B16" s="102"/>
      <c r="I16" s="12">
        <v>500</v>
      </c>
      <c r="J16" s="14">
        <f t="shared" si="2"/>
        <v>61.446559999999998</v>
      </c>
      <c r="M16" s="11">
        <v>500</v>
      </c>
      <c r="N16" s="93">
        <f t="shared" si="3"/>
        <v>109.9064885544779</v>
      </c>
      <c r="O16" s="94"/>
    </row>
    <row r="17" spans="1:15" x14ac:dyDescent="0.25">
      <c r="A17" s="102" t="s">
        <v>31</v>
      </c>
      <c r="B17" s="102"/>
      <c r="I17" s="12">
        <v>1000</v>
      </c>
      <c r="J17" s="14">
        <f t="shared" si="2"/>
        <v>76.255679999999998</v>
      </c>
      <c r="M17" s="11">
        <v>1000</v>
      </c>
      <c r="N17" s="93">
        <f t="shared" si="3"/>
        <v>168.40355089477237</v>
      </c>
      <c r="O17" s="94"/>
    </row>
    <row r="18" spans="1:15" x14ac:dyDescent="0.25">
      <c r="I18" s="12">
        <v>2000</v>
      </c>
      <c r="J18" s="14">
        <f t="shared" si="2"/>
        <v>75.272639999999996</v>
      </c>
      <c r="M18" s="11">
        <v>2000</v>
      </c>
      <c r="N18" s="93">
        <f t="shared" si="3"/>
        <v>163.68274665082163</v>
      </c>
      <c r="O18" s="94"/>
    </row>
    <row r="19" spans="1:15" x14ac:dyDescent="0.25">
      <c r="F19" s="13"/>
      <c r="I19" s="12">
        <v>4000</v>
      </c>
      <c r="J19" s="14">
        <f t="shared" si="2"/>
        <v>74.684480000000008</v>
      </c>
      <c r="M19" s="11">
        <v>4000</v>
      </c>
      <c r="N19" s="93">
        <f t="shared" si="3"/>
        <v>160.92687206535027</v>
      </c>
      <c r="O19" s="94"/>
    </row>
    <row r="21" spans="1:15" x14ac:dyDescent="0.25">
      <c r="C21" s="91" t="s">
        <v>40</v>
      </c>
      <c r="D21" s="92"/>
      <c r="E21" s="91" t="s">
        <v>41</v>
      </c>
      <c r="F21" s="92"/>
      <c r="I21" s="91" t="s">
        <v>44</v>
      </c>
      <c r="J21" s="91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0.16*volume_B1/J14</f>
        <v>0.60163986525138236</v>
      </c>
      <c r="F24" s="16">
        <f t="shared" ref="F24:F29" si="5">-0.16*(volume_B1/(surface_B1*LN(ABS(1-N4))))</f>
        <v>0.54549931513838479</v>
      </c>
      <c r="I24" s="12">
        <v>125</v>
      </c>
      <c r="J24" s="14">
        <f>(D24-F24)/D24</f>
        <v>9.3312550174082035E-2</v>
      </c>
    </row>
    <row r="25" spans="1:15" x14ac:dyDescent="0.25">
      <c r="B25" s="11">
        <v>250</v>
      </c>
      <c r="D25" s="16">
        <f t="shared" si="4"/>
        <v>0.39799857040743386</v>
      </c>
      <c r="F25" s="16">
        <f t="shared" si="5"/>
        <v>0.34077784292488106</v>
      </c>
      <c r="I25" s="12">
        <v>250</v>
      </c>
      <c r="J25" s="14">
        <f t="shared" ref="J25:J29" si="6">(D25-F25)/D25</f>
        <v>0.14377118848435952</v>
      </c>
    </row>
    <row r="26" spans="1:15" x14ac:dyDescent="0.25">
      <c r="B26" s="11">
        <v>500</v>
      </c>
      <c r="D26" s="16">
        <f t="shared" si="4"/>
        <v>0.246473683799386</v>
      </c>
      <c r="F26" s="16">
        <f t="shared" si="5"/>
        <v>0.18689970706314707</v>
      </c>
      <c r="I26" s="12">
        <v>500</v>
      </c>
      <c r="J26" s="14">
        <f t="shared" si="6"/>
        <v>0.2417052231212172</v>
      </c>
    </row>
    <row r="27" spans="1:15" x14ac:dyDescent="0.25">
      <c r="B27" s="11">
        <v>1000</v>
      </c>
      <c r="D27" s="16">
        <f t="shared" si="4"/>
        <v>0.19860763158888622</v>
      </c>
      <c r="F27" s="16">
        <f t="shared" si="5"/>
        <v>0.13716903341088477</v>
      </c>
      <c r="I27" s="12">
        <v>1000</v>
      </c>
      <c r="J27" s="14">
        <f t="shared" si="6"/>
        <v>0.30934661315119105</v>
      </c>
    </row>
    <row r="28" spans="1:15" x14ac:dyDescent="0.25">
      <c r="B28" s="11">
        <v>2000</v>
      </c>
      <c r="D28" s="16">
        <f t="shared" si="4"/>
        <v>0.20120139269726689</v>
      </c>
      <c r="F28" s="16">
        <f t="shared" si="5"/>
        <v>0.1398985800611833</v>
      </c>
      <c r="I28" s="12">
        <v>2000</v>
      </c>
      <c r="J28" s="14">
        <f t="shared" si="6"/>
        <v>0.30468383848774583</v>
      </c>
    </row>
    <row r="29" spans="1:15" x14ac:dyDescent="0.25">
      <c r="B29" s="11">
        <v>4000</v>
      </c>
      <c r="D29" s="16">
        <f t="shared" si="4"/>
        <v>0.20278590679080843</v>
      </c>
      <c r="F29" s="16">
        <f t="shared" si="5"/>
        <v>0.14156341881091922</v>
      </c>
      <c r="I29" s="12">
        <v>4000</v>
      </c>
      <c r="J29" s="14">
        <f t="shared" si="6"/>
        <v>0.30190701587090873</v>
      </c>
    </row>
    <row r="30" spans="1:15" x14ac:dyDescent="0.25">
      <c r="F30" s="17"/>
    </row>
  </sheetData>
  <mergeCells count="28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AF06-0949-4E54-AA8E-E916AB5E9F48}">
  <sheetPr>
    <tabColor theme="7" tint="-0.249977111117893"/>
  </sheetPr>
  <dimension ref="A1:Q30"/>
  <sheetViews>
    <sheetView topLeftCell="C10" workbookViewId="0">
      <selection activeCell="F24" sqref="F24:F2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95" t="s">
        <v>19</v>
      </c>
      <c r="D1" s="95"/>
      <c r="E1" s="95"/>
      <c r="F1" s="95"/>
      <c r="N1" s="95" t="s">
        <v>32</v>
      </c>
      <c r="O1" s="95"/>
      <c r="P1" s="95"/>
      <c r="Q1" s="95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100" t="s">
        <v>33</v>
      </c>
      <c r="O2" s="101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96">
        <f t="shared" ref="N4:N9" si="0">1/(surface_B2)*(0.4*C4*area_S1_B2+D4*area_S2_B2+E4*area_S3_B2+F4*area_S4_B2+G4*area_S5_B2_1+H4*area_S5_B2_2+I4*area_S6_B2+J4*area_S7_B2 + K4*0.6*area_S1_B2)</f>
        <v>0.19182153846153846</v>
      </c>
      <c r="O4" s="97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96">
        <f t="shared" si="0"/>
        <v>0.26621846153846151</v>
      </c>
      <c r="O5" s="97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96">
        <f t="shared" si="0"/>
        <v>0.38865538461538468</v>
      </c>
      <c r="O6" s="97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96">
        <f t="shared" si="0"/>
        <v>0.43475230769230772</v>
      </c>
      <c r="O7" s="97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96">
        <f t="shared" si="0"/>
        <v>0.43422307692307704</v>
      </c>
      <c r="O8" s="97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96">
        <f t="shared" si="0"/>
        <v>0.42225692307692314</v>
      </c>
      <c r="O9" s="97"/>
    </row>
    <row r="10" spans="1:17" x14ac:dyDescent="0.25">
      <c r="G10" s="10"/>
    </row>
    <row r="11" spans="1:17" x14ac:dyDescent="0.25">
      <c r="A11" s="102" t="s">
        <v>51</v>
      </c>
      <c r="B11" s="102"/>
      <c r="I11" s="91" t="s">
        <v>38</v>
      </c>
      <c r="J11" s="91"/>
      <c r="M11" s="95" t="s">
        <v>36</v>
      </c>
      <c r="N11" s="95"/>
      <c r="O11" s="95"/>
      <c r="P11" s="95"/>
    </row>
    <row r="12" spans="1:17" x14ac:dyDescent="0.25">
      <c r="A12" s="102" t="s">
        <v>25</v>
      </c>
      <c r="B12" s="102"/>
      <c r="I12" s="12" t="s">
        <v>17</v>
      </c>
      <c r="J12" s="14" t="s">
        <v>39</v>
      </c>
      <c r="L12" s="13"/>
      <c r="M12" s="11" t="s">
        <v>17</v>
      </c>
      <c r="N12" s="98" t="s">
        <v>37</v>
      </c>
      <c r="O12" s="99"/>
    </row>
    <row r="13" spans="1:17" x14ac:dyDescent="0.25">
      <c r="A13" s="102" t="s">
        <v>27</v>
      </c>
      <c r="B13" s="102"/>
      <c r="I13" s="12"/>
    </row>
    <row r="14" spans="1:17" x14ac:dyDescent="0.25">
      <c r="A14" s="102" t="s">
        <v>28</v>
      </c>
      <c r="B14" s="102"/>
      <c r="I14" s="12">
        <v>125</v>
      </c>
      <c r="J14" s="14">
        <f t="shared" ref="J14:J19" si="2">N4*surface_B2</f>
        <v>24.936799999999998</v>
      </c>
      <c r="M14" s="11">
        <v>125</v>
      </c>
      <c r="N14" s="93">
        <f t="shared" ref="N14:N19" si="3">(N4*surface_B2)/(1-N4)</f>
        <v>30.855561224101301</v>
      </c>
      <c r="O14" s="94"/>
    </row>
    <row r="15" spans="1:17" x14ac:dyDescent="0.25">
      <c r="A15" s="102" t="s">
        <v>29</v>
      </c>
      <c r="B15" s="102"/>
      <c r="I15" s="12">
        <v>250</v>
      </c>
      <c r="J15" s="14">
        <f t="shared" si="2"/>
        <v>34.608399999999996</v>
      </c>
      <c r="M15" s="11">
        <v>250</v>
      </c>
      <c r="N15" s="93">
        <f t="shared" si="3"/>
        <v>47.164446345380512</v>
      </c>
      <c r="O15" s="94"/>
    </row>
    <row r="16" spans="1:17" x14ac:dyDescent="0.25">
      <c r="A16" s="102" t="s">
        <v>30</v>
      </c>
      <c r="B16" s="102"/>
      <c r="I16" s="12">
        <v>500</v>
      </c>
      <c r="J16" s="14">
        <f t="shared" si="2"/>
        <v>50.525200000000005</v>
      </c>
      <c r="M16" s="11">
        <v>500</v>
      </c>
      <c r="N16" s="93">
        <f t="shared" si="3"/>
        <v>82.64602112870999</v>
      </c>
      <c r="O16" s="94"/>
    </row>
    <row r="17" spans="1:15" x14ac:dyDescent="0.25">
      <c r="A17" s="102" t="s">
        <v>31</v>
      </c>
      <c r="B17" s="102"/>
      <c r="I17" s="12">
        <v>1000</v>
      </c>
      <c r="J17" s="14">
        <f t="shared" si="2"/>
        <v>56.517800000000001</v>
      </c>
      <c r="M17" s="11">
        <v>1000</v>
      </c>
      <c r="N17" s="93">
        <f t="shared" si="3"/>
        <v>99.987670483464015</v>
      </c>
      <c r="O17" s="94"/>
    </row>
    <row r="18" spans="1:15" x14ac:dyDescent="0.25">
      <c r="I18" s="12">
        <v>2000</v>
      </c>
      <c r="J18" s="14">
        <f t="shared" si="2"/>
        <v>56.449000000000012</v>
      </c>
      <c r="M18" s="11">
        <v>2000</v>
      </c>
      <c r="N18" s="93">
        <f t="shared" si="3"/>
        <v>99.772538782613466</v>
      </c>
      <c r="O18" s="94"/>
    </row>
    <row r="19" spans="1:15" x14ac:dyDescent="0.25">
      <c r="F19" s="13"/>
      <c r="I19" s="12">
        <v>4000</v>
      </c>
      <c r="J19" s="14">
        <f t="shared" si="2"/>
        <v>54.893400000000007</v>
      </c>
      <c r="M19" s="11">
        <v>4000</v>
      </c>
      <c r="N19" s="93">
        <f t="shared" si="3"/>
        <v>95.013514125256648</v>
      </c>
      <c r="O19" s="94"/>
    </row>
    <row r="21" spans="1:15" x14ac:dyDescent="0.25">
      <c r="C21" s="91" t="s">
        <v>40</v>
      </c>
      <c r="D21" s="92"/>
      <c r="E21" s="91" t="s">
        <v>41</v>
      </c>
      <c r="F21" s="92"/>
      <c r="I21" s="91" t="s">
        <v>44</v>
      </c>
      <c r="J21" s="91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0.16*volume_B2/J14</f>
        <v>0.64162202046774253</v>
      </c>
      <c r="F24" s="16">
        <f t="shared" ref="F24:F29" si="5">-0.16*(volume_B2/(surface_B2*LN(ABS(1-N4))))</f>
        <v>0.57790087633459497</v>
      </c>
      <c r="I24" s="12">
        <v>125</v>
      </c>
      <c r="J24" s="14">
        <f>(D24-F24)/D24</f>
        <v>9.9312589188717118E-2</v>
      </c>
    </row>
    <row r="25" spans="1:15" x14ac:dyDescent="0.25">
      <c r="B25" s="11">
        <v>250</v>
      </c>
      <c r="D25" s="16">
        <f t="shared" si="4"/>
        <v>0.46231550721790093</v>
      </c>
      <c r="F25" s="16">
        <f t="shared" si="5"/>
        <v>0.39760729467648537</v>
      </c>
      <c r="I25" s="12">
        <v>250</v>
      </c>
      <c r="J25" s="14">
        <f t="shared" ref="J25:J29" si="6">(D25-F25)/D25</f>
        <v>0.13996548143239537</v>
      </c>
    </row>
    <row r="26" spans="1:15" x14ac:dyDescent="0.25">
      <c r="B26" s="11">
        <v>500</v>
      </c>
      <c r="D26" s="16">
        <f t="shared" si="4"/>
        <v>0.31667365987665558</v>
      </c>
      <c r="F26" s="16">
        <f t="shared" si="5"/>
        <v>0.25010832886185413</v>
      </c>
      <c r="I26" s="12">
        <v>500</v>
      </c>
      <c r="J26" s="14">
        <f t="shared" si="6"/>
        <v>0.2102016664118154</v>
      </c>
    </row>
    <row r="27" spans="1:15" x14ac:dyDescent="0.25">
      <c r="B27" s="11">
        <v>1000</v>
      </c>
      <c r="D27" s="16">
        <f t="shared" si="4"/>
        <v>0.28309665273595219</v>
      </c>
      <c r="F27" s="16">
        <f t="shared" si="5"/>
        <v>0.21573849376765239</v>
      </c>
      <c r="I27" s="12">
        <v>1000</v>
      </c>
      <c r="J27" s="14">
        <f t="shared" si="6"/>
        <v>0.23793343480866094</v>
      </c>
    </row>
    <row r="28" spans="1:15" x14ac:dyDescent="0.25">
      <c r="B28" s="11">
        <v>2000</v>
      </c>
      <c r="D28" s="16">
        <f t="shared" si="4"/>
        <v>0.28344169072968511</v>
      </c>
      <c r="F28" s="16">
        <f t="shared" si="5"/>
        <v>0.21609297620183074</v>
      </c>
      <c r="I28" s="12">
        <v>2000</v>
      </c>
      <c r="J28" s="14">
        <f t="shared" si="6"/>
        <v>0.2376104741489283</v>
      </c>
    </row>
    <row r="29" spans="1:15" x14ac:dyDescent="0.25">
      <c r="B29" s="11">
        <v>4000</v>
      </c>
      <c r="D29" s="16">
        <f t="shared" si="4"/>
        <v>0.29147402055620525</v>
      </c>
      <c r="F29" s="16">
        <f t="shared" si="5"/>
        <v>0.22433665233228126</v>
      </c>
      <c r="I29" s="12">
        <v>4000</v>
      </c>
      <c r="J29" s="14">
        <f t="shared" si="6"/>
        <v>0.23033740055394689</v>
      </c>
    </row>
    <row r="30" spans="1:15" x14ac:dyDescent="0.25">
      <c r="F30" s="17"/>
    </row>
  </sheetData>
  <mergeCells count="28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CBB5-40AE-455F-ADD0-22916ECDCA78}">
  <sheetPr>
    <tabColor theme="4"/>
  </sheetPr>
  <dimension ref="A1:S43"/>
  <sheetViews>
    <sheetView topLeftCell="A10" workbookViewId="0">
      <selection activeCell="B11" sqref="B11"/>
    </sheetView>
  </sheetViews>
  <sheetFormatPr defaultRowHeight="15" x14ac:dyDescent="0.25"/>
  <cols>
    <col min="9" max="9" width="10.42578125" customWidth="1"/>
    <col min="12" max="12" width="10.85546875" customWidth="1"/>
    <col min="13" max="13" width="11.140625" bestFit="1" customWidth="1"/>
    <col min="14" max="14" width="11.7109375" customWidth="1"/>
  </cols>
  <sheetData>
    <row r="1" spans="1:19" ht="18.75" x14ac:dyDescent="0.3">
      <c r="A1" s="112" t="s">
        <v>54</v>
      </c>
      <c r="B1" s="112"/>
      <c r="C1" s="24"/>
      <c r="D1" s="115" t="s">
        <v>76</v>
      </c>
      <c r="E1" s="115"/>
      <c r="F1" s="115"/>
      <c r="G1" s="109" t="s">
        <v>61</v>
      </c>
      <c r="H1" s="109"/>
      <c r="I1" s="109"/>
      <c r="L1" s="109" t="s">
        <v>68</v>
      </c>
      <c r="M1" s="109"/>
      <c r="N1" s="109"/>
    </row>
    <row r="2" spans="1:19" x14ac:dyDescent="0.25">
      <c r="A2" s="113" t="s">
        <v>55</v>
      </c>
      <c r="B2" s="113"/>
      <c r="C2" s="113"/>
      <c r="D2" s="113"/>
      <c r="E2" s="113"/>
      <c r="F2" s="113"/>
      <c r="G2" s="116"/>
      <c r="H2" s="116"/>
      <c r="I2" s="116"/>
      <c r="L2" s="116"/>
      <c r="M2" s="116"/>
      <c r="N2" s="116"/>
    </row>
    <row r="3" spans="1:19" x14ac:dyDescent="0.25">
      <c r="A3" s="57"/>
      <c r="B3" s="57"/>
      <c r="C3" s="25"/>
      <c r="D3" s="25"/>
      <c r="E3" s="25"/>
      <c r="F3" s="25"/>
      <c r="G3" s="12" t="s">
        <v>63</v>
      </c>
      <c r="H3" s="32" t="s">
        <v>64</v>
      </c>
      <c r="I3" s="42" t="s">
        <v>65</v>
      </c>
      <c r="J3" s="117" t="s">
        <v>17</v>
      </c>
      <c r="K3" s="117"/>
      <c r="L3" s="44" t="s">
        <v>69</v>
      </c>
      <c r="M3" s="32" t="s">
        <v>70</v>
      </c>
      <c r="N3" s="32" t="s">
        <v>71</v>
      </c>
    </row>
    <row r="4" spans="1:19" x14ac:dyDescent="0.25">
      <c r="A4" s="58" t="s">
        <v>57</v>
      </c>
      <c r="B4" s="59">
        <v>58</v>
      </c>
      <c r="C4" s="118" t="s">
        <v>58</v>
      </c>
      <c r="D4" s="119"/>
      <c r="E4" s="119"/>
      <c r="F4" s="119"/>
      <c r="G4" s="30"/>
      <c r="H4" s="27"/>
      <c r="I4" s="36"/>
      <c r="J4" s="117"/>
      <c r="K4" s="117"/>
      <c r="L4" s="45"/>
      <c r="M4" s="27"/>
      <c r="N4" s="30"/>
    </row>
    <row r="5" spans="1:19" x14ac:dyDescent="0.25">
      <c r="G5" s="14">
        <v>60</v>
      </c>
      <c r="H5" s="8">
        <v>0</v>
      </c>
      <c r="I5" s="43">
        <f>G5-H5</f>
        <v>60</v>
      </c>
      <c r="J5" s="117">
        <v>125</v>
      </c>
      <c r="K5" s="117"/>
      <c r="L5" s="46">
        <v>67.5</v>
      </c>
      <c r="M5" s="47">
        <f>MAX(30*LOG10(J5/f0f), 0)</f>
        <v>0</v>
      </c>
      <c r="N5" s="48">
        <f>L5-M5</f>
        <v>67.5</v>
      </c>
    </row>
    <row r="6" spans="1:19" x14ac:dyDescent="0.25">
      <c r="G6" s="14">
        <v>65</v>
      </c>
      <c r="H6" s="8">
        <v>6</v>
      </c>
      <c r="I6" s="43">
        <f t="shared" ref="I6:I9" si="0">G6-H6</f>
        <v>59</v>
      </c>
      <c r="J6" s="117">
        <v>250</v>
      </c>
      <c r="K6" s="117"/>
      <c r="L6" s="46">
        <v>69</v>
      </c>
      <c r="M6" s="47">
        <f>MAX(30*LOG10(J6/f0f), 0)</f>
        <v>5.814600780483385</v>
      </c>
      <c r="N6" s="48">
        <f t="shared" ref="N6:N9" si="1">L6-M6</f>
        <v>63.185399219516611</v>
      </c>
    </row>
    <row r="7" spans="1:19" x14ac:dyDescent="0.25">
      <c r="G7" s="14">
        <v>66</v>
      </c>
      <c r="H7" s="8">
        <v>18</v>
      </c>
      <c r="I7" s="43">
        <f t="shared" si="0"/>
        <v>48</v>
      </c>
      <c r="J7" s="117">
        <v>500</v>
      </c>
      <c r="K7" s="117"/>
      <c r="L7" s="46">
        <v>70.5</v>
      </c>
      <c r="M7" s="47">
        <f>MAX(30*LOG10(J7/f0f), 0)</f>
        <v>14.845500650402821</v>
      </c>
      <c r="N7" s="48">
        <f t="shared" si="1"/>
        <v>55.654499349597181</v>
      </c>
    </row>
    <row r="8" spans="1:19" x14ac:dyDescent="0.25">
      <c r="G8" s="14">
        <v>67</v>
      </c>
      <c r="H8" s="8">
        <v>30</v>
      </c>
      <c r="I8" s="43">
        <f t="shared" si="0"/>
        <v>37</v>
      </c>
      <c r="J8" s="117">
        <v>1000</v>
      </c>
      <c r="K8" s="117"/>
      <c r="L8" s="46">
        <v>72</v>
      </c>
      <c r="M8" s="47">
        <f>MAX(30*LOG10(J8/f0f), 0)</f>
        <v>23.876400520322257</v>
      </c>
      <c r="N8" s="48">
        <f t="shared" si="1"/>
        <v>48.123599479677743</v>
      </c>
    </row>
    <row r="9" spans="1:19" x14ac:dyDescent="0.25">
      <c r="A9" s="51" t="s">
        <v>73</v>
      </c>
      <c r="B9" s="53">
        <f>I11+19</f>
        <v>72</v>
      </c>
      <c r="C9" s="51" t="s">
        <v>75</v>
      </c>
      <c r="D9" s="53">
        <v>2</v>
      </c>
      <c r="G9" s="14">
        <v>68</v>
      </c>
      <c r="H9" s="8">
        <v>30</v>
      </c>
      <c r="I9" s="43">
        <f t="shared" si="0"/>
        <v>38</v>
      </c>
      <c r="J9" s="117">
        <v>2000</v>
      </c>
      <c r="K9" s="117"/>
      <c r="L9" s="46">
        <v>72</v>
      </c>
      <c r="M9" s="47">
        <f>MAX(30*LOG10(J9/f0f), 0)</f>
        <v>32.907300390241694</v>
      </c>
      <c r="N9" s="48">
        <f t="shared" si="1"/>
        <v>39.092699609758306</v>
      </c>
    </row>
    <row r="10" spans="1:19" ht="15.75" thickBot="1" x14ac:dyDescent="0.3">
      <c r="A10" s="52" t="s">
        <v>74</v>
      </c>
      <c r="B10" s="53">
        <f>78-N11</f>
        <v>19</v>
      </c>
      <c r="I10" s="39" t="s">
        <v>94</v>
      </c>
      <c r="N10" s="39" t="s">
        <v>95</v>
      </c>
    </row>
    <row r="11" spans="1:19" ht="15.75" thickBot="1" x14ac:dyDescent="0.3">
      <c r="A11" s="51" t="s">
        <v>57</v>
      </c>
      <c r="B11" s="67">
        <f>IF(B9-B10 +D9&gt; 58, "ERROR", B9-B10 +D9)</f>
        <v>55</v>
      </c>
      <c r="D11" s="33"/>
      <c r="I11" s="41">
        <f>H19</f>
        <v>53</v>
      </c>
      <c r="N11" s="41">
        <f>N19</f>
        <v>59</v>
      </c>
    </row>
    <row r="12" spans="1:19" x14ac:dyDescent="0.25">
      <c r="D12" s="33"/>
      <c r="I12" s="40"/>
    </row>
    <row r="13" spans="1:19" x14ac:dyDescent="0.25">
      <c r="A13" s="108" t="s">
        <v>52</v>
      </c>
      <c r="B13" s="108"/>
      <c r="C13" s="108"/>
      <c r="F13" s="110" t="s">
        <v>67</v>
      </c>
      <c r="G13" s="111" t="s">
        <v>62</v>
      </c>
      <c r="H13" s="111" t="s">
        <v>66</v>
      </c>
      <c r="I13" s="111" t="s">
        <v>59</v>
      </c>
      <c r="L13" s="110" t="s">
        <v>67</v>
      </c>
      <c r="M13" s="111" t="s">
        <v>72</v>
      </c>
      <c r="N13" s="111" t="s">
        <v>66</v>
      </c>
      <c r="O13" s="111" t="s">
        <v>59</v>
      </c>
      <c r="R13" s="31" t="s">
        <v>87</v>
      </c>
      <c r="S13" s="65">
        <f>160*SQRT(40/40)</f>
        <v>160</v>
      </c>
    </row>
    <row r="14" spans="1:19" x14ac:dyDescent="0.25">
      <c r="A14" s="108"/>
      <c r="B14" s="108"/>
      <c r="C14" s="108"/>
      <c r="F14" s="110"/>
      <c r="G14" s="111"/>
      <c r="H14" s="111"/>
      <c r="I14" s="111"/>
      <c r="L14" s="110"/>
      <c r="M14" s="111"/>
      <c r="N14" s="111"/>
      <c r="O14" s="111"/>
    </row>
    <row r="15" spans="1:19" x14ac:dyDescent="0.25">
      <c r="A15" s="8" t="s">
        <v>18</v>
      </c>
      <c r="B15" s="21" t="s">
        <v>17</v>
      </c>
      <c r="C15" s="23" t="s">
        <v>53</v>
      </c>
      <c r="F15" s="30"/>
      <c r="G15" s="35"/>
      <c r="H15" s="30"/>
      <c r="I15" s="29"/>
      <c r="L15" s="30"/>
      <c r="M15" s="35"/>
      <c r="N15" s="30"/>
      <c r="O15" s="29"/>
    </row>
    <row r="16" spans="1:19" x14ac:dyDescent="0.25">
      <c r="A16" s="8"/>
      <c r="B16" s="8"/>
      <c r="C16" s="22"/>
      <c r="F16" s="30"/>
      <c r="G16" s="36"/>
      <c r="H16" s="30"/>
      <c r="I16" s="14"/>
      <c r="L16" s="30"/>
      <c r="M16" s="36"/>
      <c r="N16" s="30"/>
      <c r="O16" s="14"/>
    </row>
    <row r="17" spans="1:19" x14ac:dyDescent="0.25">
      <c r="A17" s="8">
        <v>0</v>
      </c>
      <c r="B17" s="8">
        <f>125*2^(A17)</f>
        <v>125</v>
      </c>
      <c r="C17" s="34">
        <v>67</v>
      </c>
      <c r="F17" s="30">
        <v>12</v>
      </c>
      <c r="G17" s="36">
        <f>I5</f>
        <v>60</v>
      </c>
      <c r="H17" s="34">
        <f>C17-F17</f>
        <v>55</v>
      </c>
      <c r="I17" s="14">
        <f>IF(G17&gt;H17, G17-H17,0)</f>
        <v>5</v>
      </c>
      <c r="L17" s="30">
        <v>6</v>
      </c>
      <c r="M17" s="49">
        <f>N5</f>
        <v>67.5</v>
      </c>
      <c r="N17" s="34">
        <f>C17-L17</f>
        <v>61</v>
      </c>
      <c r="O17" s="14">
        <f>IF(M17&gt;N17, M17-N17,0)</f>
        <v>6.5</v>
      </c>
    </row>
    <row r="18" spans="1:19" x14ac:dyDescent="0.25">
      <c r="A18" s="8">
        <v>1</v>
      </c>
      <c r="B18" s="8">
        <f>125*2^(A18)</f>
        <v>250</v>
      </c>
      <c r="C18" s="34">
        <v>67</v>
      </c>
      <c r="F18" s="30">
        <v>12</v>
      </c>
      <c r="G18" s="36">
        <f t="shared" ref="G18:G21" si="2">I6</f>
        <v>59</v>
      </c>
      <c r="H18" s="34">
        <f t="shared" ref="H18:H21" si="3">C18-F18</f>
        <v>55</v>
      </c>
      <c r="I18" s="14">
        <f t="shared" ref="I18:I21" si="4">IF(G18&gt;H18, G18-H18,0)</f>
        <v>4</v>
      </c>
      <c r="L18" s="30">
        <v>6</v>
      </c>
      <c r="M18" s="49">
        <f t="shared" ref="M18:M21" si="5">N6</f>
        <v>63.185399219516611</v>
      </c>
      <c r="N18" s="34">
        <f t="shared" ref="N18:N21" si="6">C18-L18</f>
        <v>61</v>
      </c>
      <c r="O18" s="14">
        <f t="shared" ref="O18:O21" si="7">IF(M18&gt;N18, M18-N18,0)</f>
        <v>2.1853992195166114</v>
      </c>
    </row>
    <row r="19" spans="1:19" x14ac:dyDescent="0.25">
      <c r="A19" s="8">
        <v>2</v>
      </c>
      <c r="B19" s="8">
        <f>125*2^(A19)</f>
        <v>500</v>
      </c>
      <c r="C19" s="34">
        <v>65</v>
      </c>
      <c r="F19" s="30">
        <v>12</v>
      </c>
      <c r="G19" s="36">
        <f t="shared" si="2"/>
        <v>48</v>
      </c>
      <c r="H19" s="37">
        <f t="shared" si="3"/>
        <v>53</v>
      </c>
      <c r="I19" s="14">
        <f t="shared" si="4"/>
        <v>0</v>
      </c>
      <c r="L19" s="30">
        <v>6</v>
      </c>
      <c r="M19" s="49">
        <f t="shared" si="5"/>
        <v>55.654499349597181</v>
      </c>
      <c r="N19" s="37">
        <f t="shared" si="6"/>
        <v>59</v>
      </c>
      <c r="O19" s="14">
        <f t="shared" si="7"/>
        <v>0</v>
      </c>
    </row>
    <row r="20" spans="1:19" x14ac:dyDescent="0.25">
      <c r="A20" s="8">
        <v>3</v>
      </c>
      <c r="B20" s="8">
        <f>125*2^(A20)</f>
        <v>1000</v>
      </c>
      <c r="C20" s="34">
        <v>62</v>
      </c>
      <c r="F20" s="30">
        <v>12</v>
      </c>
      <c r="G20" s="36">
        <f t="shared" si="2"/>
        <v>37</v>
      </c>
      <c r="H20" s="34">
        <f t="shared" si="3"/>
        <v>50</v>
      </c>
      <c r="I20" s="14">
        <f t="shared" si="4"/>
        <v>0</v>
      </c>
      <c r="L20" s="30">
        <v>6</v>
      </c>
      <c r="M20" s="49">
        <f t="shared" si="5"/>
        <v>48.123599479677743</v>
      </c>
      <c r="N20" s="34">
        <f t="shared" si="6"/>
        <v>56</v>
      </c>
      <c r="O20" s="14">
        <f t="shared" si="7"/>
        <v>0</v>
      </c>
    </row>
    <row r="21" spans="1:19" ht="15.75" thickBot="1" x14ac:dyDescent="0.3">
      <c r="A21" s="8">
        <v>4</v>
      </c>
      <c r="B21" s="8">
        <f>125*2^(A21)</f>
        <v>2000</v>
      </c>
      <c r="C21" s="34">
        <v>49</v>
      </c>
      <c r="F21" s="30">
        <v>12</v>
      </c>
      <c r="G21" s="36">
        <f t="shared" si="2"/>
        <v>38</v>
      </c>
      <c r="H21" s="34">
        <f t="shared" si="3"/>
        <v>37</v>
      </c>
      <c r="I21" s="14">
        <f t="shared" si="4"/>
        <v>1</v>
      </c>
      <c r="L21" s="30">
        <v>6</v>
      </c>
      <c r="M21" s="49">
        <f t="shared" si="5"/>
        <v>39.092699609758306</v>
      </c>
      <c r="N21" s="34">
        <f t="shared" si="6"/>
        <v>43</v>
      </c>
      <c r="O21" s="14">
        <f t="shared" si="7"/>
        <v>0</v>
      </c>
    </row>
    <row r="22" spans="1:19" ht="15.75" thickBot="1" x14ac:dyDescent="0.3">
      <c r="I22" s="38">
        <f>IF(SUM(I17:I21) &gt; 10, "ERROR", SUM(I17:I21) )</f>
        <v>10</v>
      </c>
      <c r="J22" s="104" t="s">
        <v>60</v>
      </c>
      <c r="K22" s="105"/>
      <c r="O22" s="50">
        <f>IF(SUM(O17:O21) &gt; 10, "ERROR", SUM(O17:O21) )</f>
        <v>8.6853992195166114</v>
      </c>
      <c r="P22" s="104" t="s">
        <v>60</v>
      </c>
      <c r="Q22" s="105"/>
    </row>
    <row r="24" spans="1:19" ht="6.75" customHeight="1" x14ac:dyDescent="0.2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</row>
    <row r="25" spans="1:19" ht="18.75" x14ac:dyDescent="0.3">
      <c r="A25" s="112" t="s">
        <v>54</v>
      </c>
      <c r="B25" s="112"/>
      <c r="C25" s="24"/>
      <c r="D25" s="115" t="s">
        <v>77</v>
      </c>
      <c r="E25" s="115"/>
      <c r="F25" s="115"/>
    </row>
    <row r="26" spans="1:19" x14ac:dyDescent="0.25">
      <c r="A26" s="113" t="s">
        <v>55</v>
      </c>
      <c r="B26" s="113"/>
      <c r="C26" s="113"/>
      <c r="D26" s="113"/>
      <c r="E26" s="113"/>
      <c r="F26" s="113"/>
    </row>
    <row r="27" spans="1:19" x14ac:dyDescent="0.25">
      <c r="A27" s="55" t="s">
        <v>56</v>
      </c>
      <c r="B27" s="56">
        <v>50</v>
      </c>
      <c r="C27" s="25"/>
      <c r="D27" s="25"/>
      <c r="E27" s="25"/>
      <c r="F27" s="25"/>
    </row>
    <row r="28" spans="1:19" x14ac:dyDescent="0.25">
      <c r="A28" s="57"/>
      <c r="B28" s="57"/>
      <c r="C28" s="114"/>
      <c r="D28" s="114"/>
      <c r="E28" s="114"/>
      <c r="F28" s="114"/>
    </row>
    <row r="29" spans="1:19" x14ac:dyDescent="0.25">
      <c r="H29" s="102" t="s">
        <v>93</v>
      </c>
      <c r="I29" s="102"/>
      <c r="J29" s="102"/>
      <c r="K29" s="107"/>
      <c r="L29" s="28" t="s">
        <v>84</v>
      </c>
      <c r="M29" s="26">
        <v>509</v>
      </c>
      <c r="N29" s="64" t="s">
        <v>88</v>
      </c>
    </row>
    <row r="30" spans="1:19" x14ac:dyDescent="0.25">
      <c r="H30" s="31" t="s">
        <v>91</v>
      </c>
      <c r="I30" s="65">
        <f>J40+M33</f>
        <v>63</v>
      </c>
      <c r="L30" s="28" t="s">
        <v>85</v>
      </c>
      <c r="M30" s="26">
        <v>40</v>
      </c>
      <c r="N30" s="64" t="s">
        <v>88</v>
      </c>
    </row>
    <row r="31" spans="1:19" x14ac:dyDescent="0.25">
      <c r="A31" s="28" t="s">
        <v>81</v>
      </c>
      <c r="B31" s="26">
        <v>509</v>
      </c>
      <c r="L31" s="28" t="s">
        <v>86</v>
      </c>
      <c r="M31" s="26">
        <v>10</v>
      </c>
      <c r="N31" s="64" t="s">
        <v>90</v>
      </c>
    </row>
    <row r="32" spans="1:19" x14ac:dyDescent="0.25">
      <c r="L32" s="28" t="s">
        <v>87</v>
      </c>
      <c r="M32" s="26">
        <f>160*SQRT(M31*((1/M29)+(1/M30)))</f>
        <v>83.08397531903104</v>
      </c>
      <c r="N32" s="64" t="s">
        <v>89</v>
      </c>
    </row>
    <row r="33" spans="1:14" x14ac:dyDescent="0.25">
      <c r="L33" s="66" t="s">
        <v>92</v>
      </c>
      <c r="M33" s="26">
        <v>7</v>
      </c>
    </row>
    <row r="34" spans="1:14" x14ac:dyDescent="0.25">
      <c r="A34" s="108" t="s">
        <v>52</v>
      </c>
      <c r="B34" s="108"/>
      <c r="C34" s="108"/>
      <c r="E34" s="109" t="s">
        <v>78</v>
      </c>
      <c r="F34" s="109"/>
      <c r="H34" s="110" t="s">
        <v>67</v>
      </c>
      <c r="I34" s="111" t="s">
        <v>82</v>
      </c>
      <c r="J34" s="111" t="s">
        <v>66</v>
      </c>
      <c r="K34" s="111" t="s">
        <v>59</v>
      </c>
    </row>
    <row r="35" spans="1:14" x14ac:dyDescent="0.25">
      <c r="A35" s="108"/>
      <c r="B35" s="108"/>
      <c r="C35" s="108"/>
      <c r="E35" s="109"/>
      <c r="F35" s="109"/>
      <c r="H35" s="110"/>
      <c r="I35" s="111"/>
      <c r="J35" s="111"/>
      <c r="K35" s="111"/>
    </row>
    <row r="36" spans="1:14" x14ac:dyDescent="0.25">
      <c r="A36" s="8" t="s">
        <v>18</v>
      </c>
      <c r="B36" s="21" t="s">
        <v>17</v>
      </c>
      <c r="C36" s="23" t="s">
        <v>53</v>
      </c>
      <c r="E36" s="12" t="s">
        <v>79</v>
      </c>
      <c r="F36" s="12" t="s">
        <v>80</v>
      </c>
      <c r="H36" s="30"/>
      <c r="I36" s="35"/>
      <c r="J36" s="30"/>
      <c r="K36" s="29"/>
    </row>
    <row r="37" spans="1:14" x14ac:dyDescent="0.25">
      <c r="A37" s="8"/>
      <c r="B37" s="8"/>
      <c r="C37" s="22"/>
      <c r="E37" s="30"/>
      <c r="F37" s="30"/>
      <c r="H37" s="30"/>
      <c r="I37" s="36"/>
      <c r="J37" s="30"/>
      <c r="K37" s="14"/>
    </row>
    <row r="38" spans="1:14" x14ac:dyDescent="0.25">
      <c r="A38" s="8">
        <v>0</v>
      </c>
      <c r="B38" s="8">
        <f>125*2^(A38)</f>
        <v>125</v>
      </c>
      <c r="C38" s="34">
        <v>36</v>
      </c>
      <c r="E38" s="61">
        <f xml:space="preserve"> 20*LOG10(mass_bare*B38) -42.3</f>
        <v>53.772555906896315</v>
      </c>
      <c r="F38" s="61">
        <f>E38-10*LOG10(0.23*E38)</f>
        <v>42.849670749016262</v>
      </c>
      <c r="H38" s="30">
        <v>4</v>
      </c>
      <c r="I38" s="49">
        <f>F38</f>
        <v>42.849670749016262</v>
      </c>
      <c r="J38" s="62">
        <f>C38+H38</f>
        <v>40</v>
      </c>
      <c r="K38" s="14">
        <f>IF(I38&gt;J38, I38-J38,0)</f>
        <v>2.8496707490162621</v>
      </c>
    </row>
    <row r="39" spans="1:14" x14ac:dyDescent="0.25">
      <c r="A39" s="8">
        <v>1</v>
      </c>
      <c r="B39" s="8">
        <f>125*2^(A39)</f>
        <v>250</v>
      </c>
      <c r="C39" s="34">
        <v>45</v>
      </c>
      <c r="E39" s="61">
        <f xml:space="preserve"> 20*LOG10(mass_bare*B39) -42.3</f>
        <v>59.79315582017594</v>
      </c>
      <c r="F39" s="61">
        <f t="shared" ref="F39:F42" si="8">E39-10*LOG10(0.23*E39)</f>
        <v>48.409362703667817</v>
      </c>
      <c r="H39" s="30">
        <v>4</v>
      </c>
      <c r="I39" s="49">
        <f t="shared" ref="I39:I42" si="9">F39</f>
        <v>48.409362703667817</v>
      </c>
      <c r="J39" s="62">
        <f t="shared" ref="J39:J42" si="10">C39+H39</f>
        <v>49</v>
      </c>
      <c r="K39" s="14">
        <f t="shared" ref="K39:K42" si="11">IF(I39&gt;J39, I39-J39,0)</f>
        <v>0</v>
      </c>
    </row>
    <row r="40" spans="1:14" x14ac:dyDescent="0.25">
      <c r="A40" s="8">
        <v>2</v>
      </c>
      <c r="B40" s="8">
        <f>125*2^(A40)</f>
        <v>500</v>
      </c>
      <c r="C40" s="34">
        <v>52</v>
      </c>
      <c r="E40" s="61">
        <f xml:space="preserve"> 20*LOG10(mass_bare*B40) -42.3</f>
        <v>65.813755733455565</v>
      </c>
      <c r="F40" s="61">
        <f t="shared" si="8"/>
        <v>54.013310623344665</v>
      </c>
      <c r="H40" s="30">
        <v>4</v>
      </c>
      <c r="I40" s="49">
        <f t="shared" si="9"/>
        <v>54.013310623344665</v>
      </c>
      <c r="J40" s="63">
        <f t="shared" si="10"/>
        <v>56</v>
      </c>
      <c r="K40" s="14">
        <f t="shared" si="11"/>
        <v>0</v>
      </c>
      <c r="L40" s="106" t="s">
        <v>83</v>
      </c>
      <c r="M40" s="102"/>
      <c r="N40" s="102"/>
    </row>
    <row r="41" spans="1:14" x14ac:dyDescent="0.25">
      <c r="A41" s="8">
        <v>3</v>
      </c>
      <c r="B41" s="8">
        <f>125*2^(A41)</f>
        <v>1000</v>
      </c>
      <c r="C41" s="34">
        <v>55</v>
      </c>
      <c r="E41" s="61">
        <f xml:space="preserve"> 20*LOG10(mass_bare*B41) -42.3</f>
        <v>71.834355646735176</v>
      </c>
      <c r="F41" s="61">
        <f t="shared" si="8"/>
        <v>59.653755281561935</v>
      </c>
      <c r="H41" s="30">
        <v>4</v>
      </c>
      <c r="I41" s="49">
        <f t="shared" si="9"/>
        <v>59.653755281561935</v>
      </c>
      <c r="J41" s="62">
        <f t="shared" si="10"/>
        <v>59</v>
      </c>
      <c r="K41" s="14">
        <f t="shared" si="11"/>
        <v>0.65375528156193496</v>
      </c>
    </row>
    <row r="42" spans="1:14" ht="15.75" thickBot="1" x14ac:dyDescent="0.3">
      <c r="A42" s="8">
        <v>4</v>
      </c>
      <c r="B42" s="8">
        <f>125*2^(A42)</f>
        <v>2000</v>
      </c>
      <c r="C42" s="34">
        <v>56</v>
      </c>
      <c r="E42" s="61">
        <f xml:space="preserve"> 20*LOG10(mass_bare*B42) -42.3</f>
        <v>77.854955560014801</v>
      </c>
      <c r="F42" s="61">
        <f t="shared" si="8"/>
        <v>65.324814588424516</v>
      </c>
      <c r="H42" s="30">
        <v>4</v>
      </c>
      <c r="I42" s="49">
        <f t="shared" si="9"/>
        <v>65.324814588424516</v>
      </c>
      <c r="J42" s="62">
        <f t="shared" si="10"/>
        <v>60</v>
      </c>
      <c r="K42" s="14">
        <f t="shared" si="11"/>
        <v>5.3248145884245162</v>
      </c>
    </row>
    <row r="43" spans="1:14" ht="15.75" thickBot="1" x14ac:dyDescent="0.3">
      <c r="A43" s="60"/>
      <c r="B43" s="60"/>
      <c r="C43" s="34"/>
      <c r="E43" s="61"/>
      <c r="F43" s="61"/>
      <c r="K43" s="38">
        <f>IF(SUM(K38:K42) &gt; 10, "ERROR", SUM(K38:K42) )</f>
        <v>8.8282406190027132</v>
      </c>
      <c r="L43" s="104" t="s">
        <v>60</v>
      </c>
      <c r="M43" s="105"/>
    </row>
  </sheetData>
  <mergeCells count="37">
    <mergeCell ref="J22:K22"/>
    <mergeCell ref="H13:H14"/>
    <mergeCell ref="F13:F14"/>
    <mergeCell ref="A1:B1"/>
    <mergeCell ref="A2:F2"/>
    <mergeCell ref="C4:F4"/>
    <mergeCell ref="I13:I14"/>
    <mergeCell ref="J9:K9"/>
    <mergeCell ref="J3:K3"/>
    <mergeCell ref="J4:K4"/>
    <mergeCell ref="G1:I2"/>
    <mergeCell ref="A13:C14"/>
    <mergeCell ref="G13:G14"/>
    <mergeCell ref="L1:N2"/>
    <mergeCell ref="J5:K5"/>
    <mergeCell ref="J6:K6"/>
    <mergeCell ref="J7:K7"/>
    <mergeCell ref="J8:K8"/>
    <mergeCell ref="L13:L14"/>
    <mergeCell ref="M13:M14"/>
    <mergeCell ref="N13:N14"/>
    <mergeCell ref="O13:O14"/>
    <mergeCell ref="P22:Q22"/>
    <mergeCell ref="A25:B25"/>
    <mergeCell ref="A26:F26"/>
    <mergeCell ref="C28:F28"/>
    <mergeCell ref="D1:F1"/>
    <mergeCell ref="D25:F25"/>
    <mergeCell ref="L43:M43"/>
    <mergeCell ref="L40:N40"/>
    <mergeCell ref="H29:K29"/>
    <mergeCell ref="A34:C35"/>
    <mergeCell ref="E34:F35"/>
    <mergeCell ref="H34:H35"/>
    <mergeCell ref="I34:I35"/>
    <mergeCell ref="J34:J35"/>
    <mergeCell ref="K34:K35"/>
  </mergeCells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74827-4912-454B-BCE8-0C2D4C26ADD4}">
  <sheetPr>
    <tabColor rgb="FF92D050"/>
  </sheetPr>
  <dimension ref="A1:M29"/>
  <sheetViews>
    <sheetView tabSelected="1" workbookViewId="0">
      <selection activeCell="B7" sqref="B7"/>
    </sheetView>
  </sheetViews>
  <sheetFormatPr defaultRowHeight="15" x14ac:dyDescent="0.25"/>
  <cols>
    <col min="1" max="1" width="30.42578125" customWidth="1"/>
    <col min="7" max="7" width="20.42578125" customWidth="1"/>
  </cols>
  <sheetData>
    <row r="1" spans="1:13" ht="33" customHeight="1" x14ac:dyDescent="0.25">
      <c r="B1" s="87" t="s">
        <v>0</v>
      </c>
      <c r="C1" s="87"/>
      <c r="D1" s="87"/>
      <c r="E1" s="87"/>
      <c r="H1" s="120" t="s">
        <v>0</v>
      </c>
      <c r="I1" s="120"/>
      <c r="J1" s="120"/>
      <c r="K1" s="71" t="s">
        <v>101</v>
      </c>
      <c r="L1" s="71" t="s">
        <v>99</v>
      </c>
      <c r="M1" s="71" t="s">
        <v>100</v>
      </c>
    </row>
    <row r="2" spans="1:13" x14ac:dyDescent="0.25">
      <c r="B2" s="2">
        <v>1</v>
      </c>
      <c r="C2" s="3">
        <v>2</v>
      </c>
      <c r="D2" s="4">
        <v>3</v>
      </c>
      <c r="G2" s="69"/>
      <c r="H2" s="2">
        <v>1</v>
      </c>
      <c r="I2" s="3">
        <v>2</v>
      </c>
      <c r="J2" s="4">
        <v>3</v>
      </c>
      <c r="K2" s="70" t="s">
        <v>96</v>
      </c>
      <c r="L2" s="70" t="s">
        <v>97</v>
      </c>
      <c r="M2" s="70" t="s">
        <v>98</v>
      </c>
    </row>
    <row r="3" spans="1:13" ht="31.5" customHeight="1" x14ac:dyDescent="0.25">
      <c r="A3" s="81" t="s">
        <v>103</v>
      </c>
      <c r="B3" s="80">
        <f>(volume_A)^(1/3)</f>
        <v>5.7098015415784111</v>
      </c>
      <c r="C3" s="80">
        <f>(volume_B1)^(1/3)</f>
        <v>4.5573884707963188</v>
      </c>
      <c r="D3" s="80">
        <f>(volume_B2)^(1/3)</f>
        <v>4.6415888336127793</v>
      </c>
      <c r="G3" s="73" t="s">
        <v>102</v>
      </c>
      <c r="H3" s="80">
        <f t="shared" ref="H3:H29" si="0" xml:space="preserve"> (343/2)*SQRT((K3/lenx1)^2 + (L3/leny1)^2 + (M3/lenz1)^2)</f>
        <v>20.176470588235293</v>
      </c>
      <c r="I3" s="80">
        <f t="shared" ref="I3:I29" si="1" xml:space="preserve"> (343/2)*SQRT((K3/lenx2)^2 + (L3/leny2)^2 + (M3/lenz2)^2)</f>
        <v>25.22058823529412</v>
      </c>
      <c r="J3" s="80">
        <f t="shared" ref="J3:J29" si="2" xml:space="preserve"> (343/2)*SQRT((K3/lenx3)^2 + (L3/leny3)^2 + (M3/lenz3)^2)</f>
        <v>34.300000000000004</v>
      </c>
      <c r="K3" s="75">
        <v>1</v>
      </c>
      <c r="L3" s="75">
        <v>0</v>
      </c>
      <c r="M3" s="75">
        <v>0</v>
      </c>
    </row>
    <row r="4" spans="1:13" ht="37.5" customHeight="1" x14ac:dyDescent="0.25">
      <c r="A4" s="68" t="s">
        <v>104</v>
      </c>
      <c r="B4" s="82">
        <f xml:space="preserve"> 343/B3</f>
        <v>60.072140424197904</v>
      </c>
      <c r="C4" s="82">
        <f t="shared" ref="C4:D4" si="3" xml:space="preserve"> 343/C3</f>
        <v>75.26240130678768</v>
      </c>
      <c r="D4" s="82">
        <f t="shared" si="3"/>
        <v>73.897109868093608</v>
      </c>
      <c r="G4" s="74"/>
      <c r="H4" s="80">
        <f t="shared" si="0"/>
        <v>57.166666666666664</v>
      </c>
      <c r="I4" s="80">
        <f t="shared" si="1"/>
        <v>71.458333333333343</v>
      </c>
      <c r="J4" s="80">
        <f t="shared" si="2"/>
        <v>34.300000000000004</v>
      </c>
      <c r="K4" s="75">
        <v>0</v>
      </c>
      <c r="L4" s="75">
        <v>1</v>
      </c>
      <c r="M4" s="75">
        <v>0</v>
      </c>
    </row>
    <row r="5" spans="1:13" ht="30.75" customHeight="1" x14ac:dyDescent="0.25">
      <c r="A5" s="83" t="s">
        <v>108</v>
      </c>
      <c r="B5" s="82">
        <f>'CASE A'!D26</f>
        <v>1.4830822855720152</v>
      </c>
      <c r="C5" s="82">
        <f>'CASE  B1'!D26</f>
        <v>1.1767279960218797</v>
      </c>
      <c r="D5" s="82">
        <f>'CASE B2'!D26</f>
        <v>0.38415919557064448</v>
      </c>
      <c r="G5" s="74"/>
      <c r="H5" s="80">
        <f t="shared" si="0"/>
        <v>23.493150684931507</v>
      </c>
      <c r="I5" s="80">
        <f t="shared" si="1"/>
        <v>29.568965517241381</v>
      </c>
      <c r="J5" s="80">
        <f t="shared" si="2"/>
        <v>42.875</v>
      </c>
      <c r="K5" s="75">
        <v>0</v>
      </c>
      <c r="L5" s="75">
        <v>0</v>
      </c>
      <c r="M5" s="75">
        <v>1</v>
      </c>
    </row>
    <row r="6" spans="1:13" ht="36" customHeight="1" x14ac:dyDescent="0.25">
      <c r="A6" s="84" t="s">
        <v>107</v>
      </c>
      <c r="B6" s="82">
        <f>'CASE A'!F26</f>
        <v>1.4139603108566092</v>
      </c>
      <c r="C6" s="82">
        <f>'CASE  B1'!F26</f>
        <v>1.1215130351302505</v>
      </c>
      <c r="D6" s="82">
        <f>'CASE B2'!F26</f>
        <v>0.31866930155661588</v>
      </c>
      <c r="G6" s="74"/>
      <c r="H6" s="80">
        <f t="shared" si="0"/>
        <v>40.352941176470587</v>
      </c>
      <c r="I6" s="80">
        <f t="shared" si="1"/>
        <v>50.441176470588239</v>
      </c>
      <c r="J6" s="80">
        <f t="shared" si="2"/>
        <v>68.600000000000009</v>
      </c>
      <c r="K6" s="75">
        <v>2</v>
      </c>
      <c r="L6" s="75">
        <v>0</v>
      </c>
      <c r="M6" s="75">
        <v>0</v>
      </c>
    </row>
    <row r="7" spans="1:13" ht="30" customHeight="1" x14ac:dyDescent="0.25">
      <c r="A7" s="85" t="s">
        <v>109</v>
      </c>
      <c r="B7" s="82">
        <f>2000*SQRT(B5/volume_A)</f>
        <v>178.51762451692113</v>
      </c>
      <c r="C7" s="82">
        <f>2000*SQRT(C5/volume_B1)</f>
        <v>222.99440402564559</v>
      </c>
      <c r="D7" s="82">
        <f>2000*SQRT(D5/volume_B2)</f>
        <v>123.96115449133966</v>
      </c>
      <c r="G7" s="74"/>
      <c r="H7" s="80">
        <f t="shared" si="0"/>
        <v>114.33333333333333</v>
      </c>
      <c r="I7" s="80">
        <f t="shared" si="1"/>
        <v>142.91666666666669</v>
      </c>
      <c r="J7" s="80">
        <f t="shared" si="2"/>
        <v>68.600000000000009</v>
      </c>
      <c r="K7" s="75">
        <v>0</v>
      </c>
      <c r="L7" s="75">
        <v>2</v>
      </c>
      <c r="M7" s="75">
        <v>0</v>
      </c>
    </row>
    <row r="8" spans="1:13" ht="30" customHeight="1" x14ac:dyDescent="0.25">
      <c r="A8" s="86" t="s">
        <v>110</v>
      </c>
      <c r="B8" s="82">
        <f>2000*SQRT(B6/volume_A)</f>
        <v>174.30790573817364</v>
      </c>
      <c r="C8" s="82">
        <f>2000*SQRT(C6/volume_B1)</f>
        <v>217.69982729518813</v>
      </c>
      <c r="D8" s="82">
        <f>2000*SQRT(D6/volume_B2)</f>
        <v>112.90160345302733</v>
      </c>
      <c r="G8" s="74"/>
      <c r="H8" s="80">
        <f t="shared" si="0"/>
        <v>46.986301369863014</v>
      </c>
      <c r="I8" s="80">
        <f t="shared" si="1"/>
        <v>59.137931034482762</v>
      </c>
      <c r="J8" s="80">
        <f t="shared" si="2"/>
        <v>85.75</v>
      </c>
      <c r="K8" s="75">
        <v>0</v>
      </c>
      <c r="L8" s="75">
        <v>0</v>
      </c>
      <c r="M8" s="75">
        <v>2</v>
      </c>
    </row>
    <row r="9" spans="1:13" x14ac:dyDescent="0.25">
      <c r="G9" s="74"/>
      <c r="H9" s="80">
        <f t="shared" si="0"/>
        <v>60.529411764705884</v>
      </c>
      <c r="I9" s="80">
        <f t="shared" si="1"/>
        <v>75.661764705882348</v>
      </c>
      <c r="J9" s="80">
        <f t="shared" si="2"/>
        <v>102.89999999999999</v>
      </c>
      <c r="K9" s="75">
        <v>3</v>
      </c>
      <c r="L9" s="75">
        <v>0</v>
      </c>
      <c r="M9" s="75">
        <v>0</v>
      </c>
    </row>
    <row r="10" spans="1:13" x14ac:dyDescent="0.25">
      <c r="G10" s="74"/>
      <c r="H10" s="80">
        <f t="shared" si="0"/>
        <v>171.5</v>
      </c>
      <c r="I10" s="80">
        <f t="shared" si="1"/>
        <v>214.375</v>
      </c>
      <c r="J10" s="80">
        <f t="shared" si="2"/>
        <v>102.89999999999999</v>
      </c>
      <c r="K10" s="75">
        <v>0</v>
      </c>
      <c r="L10" s="75">
        <v>3</v>
      </c>
      <c r="M10" s="75">
        <v>0</v>
      </c>
    </row>
    <row r="11" spans="1:13" x14ac:dyDescent="0.25">
      <c r="G11" s="74"/>
      <c r="H11" s="80">
        <f t="shared" si="0"/>
        <v>70.479452054794521</v>
      </c>
      <c r="I11" s="80">
        <f t="shared" si="1"/>
        <v>88.706896551724142</v>
      </c>
      <c r="J11" s="80">
        <f t="shared" si="2"/>
        <v>128.625</v>
      </c>
      <c r="K11" s="75">
        <v>0</v>
      </c>
      <c r="L11" s="75">
        <v>0</v>
      </c>
      <c r="M11" s="75">
        <v>3</v>
      </c>
    </row>
    <row r="12" spans="1:13" ht="30" x14ac:dyDescent="0.25">
      <c r="G12" s="72" t="s">
        <v>105</v>
      </c>
      <c r="H12" s="80">
        <f t="shared" si="0"/>
        <v>60.622749386477857</v>
      </c>
      <c r="I12" s="80">
        <f t="shared" si="1"/>
        <v>75.778436733097323</v>
      </c>
      <c r="J12" s="80">
        <f t="shared" si="2"/>
        <v>48.507525189397171</v>
      </c>
      <c r="K12" s="75">
        <v>1</v>
      </c>
      <c r="L12" s="75">
        <v>1</v>
      </c>
      <c r="M12" s="75">
        <v>0</v>
      </c>
    </row>
    <row r="13" spans="1:13" x14ac:dyDescent="0.25">
      <c r="G13" s="77"/>
      <c r="H13" s="80">
        <f t="shared" si="0"/>
        <v>30.968017284011282</v>
      </c>
      <c r="I13" s="80">
        <f t="shared" si="1"/>
        <v>38.863888028529338</v>
      </c>
      <c r="J13" s="80">
        <f t="shared" si="2"/>
        <v>54.906790335986678</v>
      </c>
      <c r="K13" s="75">
        <v>1</v>
      </c>
      <c r="L13" s="76">
        <v>0</v>
      </c>
      <c r="M13" s="75">
        <v>1</v>
      </c>
    </row>
    <row r="14" spans="1:13" x14ac:dyDescent="0.25">
      <c r="G14" s="77"/>
      <c r="H14" s="80">
        <f t="shared" si="0"/>
        <v>61.805791855478034</v>
      </c>
      <c r="I14" s="80">
        <f t="shared" si="1"/>
        <v>77.334449791393666</v>
      </c>
      <c r="J14" s="80">
        <f t="shared" si="2"/>
        <v>54.906790335986678</v>
      </c>
      <c r="K14" s="75">
        <v>0</v>
      </c>
      <c r="L14" s="75">
        <v>1</v>
      </c>
      <c r="M14" s="75">
        <v>1</v>
      </c>
    </row>
    <row r="15" spans="1:13" x14ac:dyDescent="0.25">
      <c r="G15" s="77"/>
      <c r="H15" s="80">
        <f t="shared" si="0"/>
        <v>69.974192666793044</v>
      </c>
      <c r="I15" s="80">
        <f t="shared" si="1"/>
        <v>87.46774083349132</v>
      </c>
      <c r="J15" s="80">
        <f t="shared" si="2"/>
        <v>76.697131628242801</v>
      </c>
      <c r="K15" s="75">
        <v>2</v>
      </c>
      <c r="L15" s="75">
        <v>1</v>
      </c>
      <c r="M15" s="75">
        <v>0</v>
      </c>
    </row>
    <row r="16" spans="1:13" x14ac:dyDescent="0.25">
      <c r="G16" s="77"/>
      <c r="H16" s="80">
        <f t="shared" si="0"/>
        <v>116.09996156979999</v>
      </c>
      <c r="I16" s="80">
        <f t="shared" si="1"/>
        <v>145.12495196225001</v>
      </c>
      <c r="J16" s="80">
        <f t="shared" si="2"/>
        <v>76.697131628242801</v>
      </c>
      <c r="K16" s="75">
        <v>1</v>
      </c>
      <c r="L16" s="75">
        <v>2</v>
      </c>
      <c r="M16" s="75">
        <v>0</v>
      </c>
    </row>
    <row r="17" spans="7:13" x14ac:dyDescent="0.25">
      <c r="G17" s="77"/>
      <c r="H17" s="80">
        <f t="shared" si="0"/>
        <v>73.998245210257309</v>
      </c>
      <c r="I17" s="80">
        <f t="shared" si="1"/>
        <v>92.755529699403994</v>
      </c>
      <c r="J17" s="80">
        <f t="shared" si="2"/>
        <v>92.355576442356764</v>
      </c>
      <c r="K17" s="75">
        <v>0</v>
      </c>
      <c r="L17" s="75">
        <v>1</v>
      </c>
      <c r="M17" s="75">
        <v>2</v>
      </c>
    </row>
    <row r="18" spans="7:13" x14ac:dyDescent="0.25">
      <c r="G18" s="77"/>
      <c r="H18" s="80">
        <f t="shared" si="0"/>
        <v>121.24549877295571</v>
      </c>
      <c r="I18" s="80">
        <f t="shared" si="1"/>
        <v>151.55687346619465</v>
      </c>
      <c r="J18" s="80">
        <f t="shared" si="2"/>
        <v>97.015050378794342</v>
      </c>
      <c r="K18" s="75">
        <v>2</v>
      </c>
      <c r="L18" s="75">
        <v>2</v>
      </c>
      <c r="M18" s="75">
        <v>0</v>
      </c>
    </row>
    <row r="19" spans="7:13" x14ac:dyDescent="0.25">
      <c r="G19" s="77"/>
      <c r="H19" s="80">
        <f t="shared" si="0"/>
        <v>123.61158371095607</v>
      </c>
      <c r="I19" s="80">
        <f t="shared" si="1"/>
        <v>154.66889958278733</v>
      </c>
      <c r="J19" s="80">
        <f t="shared" si="2"/>
        <v>109.81358067197336</v>
      </c>
      <c r="K19" s="75">
        <v>0</v>
      </c>
      <c r="L19" s="75">
        <v>2</v>
      </c>
      <c r="M19" s="75">
        <v>2</v>
      </c>
    </row>
    <row r="20" spans="7:13" x14ac:dyDescent="0.25">
      <c r="G20" s="77"/>
      <c r="H20" s="80">
        <f t="shared" si="0"/>
        <v>61.936034568022563</v>
      </c>
      <c r="I20" s="80">
        <f t="shared" si="1"/>
        <v>77.727776057058676</v>
      </c>
      <c r="J20" s="80">
        <f t="shared" si="2"/>
        <v>109.81358067197336</v>
      </c>
      <c r="K20" s="75">
        <v>2</v>
      </c>
      <c r="L20" s="75">
        <v>0</v>
      </c>
      <c r="M20" s="75">
        <v>2</v>
      </c>
    </row>
    <row r="21" spans="7:13" ht="30" x14ac:dyDescent="0.25">
      <c r="G21" s="78" t="s">
        <v>106</v>
      </c>
      <c r="H21" s="80">
        <f t="shared" si="0"/>
        <v>65.015735574402285</v>
      </c>
      <c r="I21" s="80">
        <f t="shared" si="1"/>
        <v>81.343070973942488</v>
      </c>
      <c r="J21" s="80">
        <f t="shared" si="2"/>
        <v>64.73983028244669</v>
      </c>
      <c r="K21" s="75">
        <v>1</v>
      </c>
      <c r="L21" s="75">
        <v>1</v>
      </c>
      <c r="M21" s="75">
        <v>1</v>
      </c>
    </row>
    <row r="22" spans="7:13" x14ac:dyDescent="0.25">
      <c r="G22" s="79"/>
      <c r="H22" s="80">
        <f t="shared" si="0"/>
        <v>73.812707364480076</v>
      </c>
      <c r="I22" s="80">
        <f t="shared" si="1"/>
        <v>92.330544286680194</v>
      </c>
      <c r="J22" s="80">
        <f t="shared" si="2"/>
        <v>87.867602818103563</v>
      </c>
      <c r="K22" s="75">
        <v>2</v>
      </c>
      <c r="L22" s="75">
        <v>1</v>
      </c>
      <c r="M22" s="75">
        <v>1</v>
      </c>
    </row>
    <row r="23" spans="7:13" x14ac:dyDescent="0.25">
      <c r="G23" s="79"/>
      <c r="H23" s="80">
        <f t="shared" si="0"/>
        <v>118.45306752302338</v>
      </c>
      <c r="I23" s="80">
        <f t="shared" si="1"/>
        <v>148.10663524570796</v>
      </c>
      <c r="J23" s="80">
        <f t="shared" si="2"/>
        <v>87.867602818103563</v>
      </c>
      <c r="K23" s="75">
        <v>1</v>
      </c>
      <c r="L23" s="75">
        <v>2</v>
      </c>
      <c r="M23" s="75">
        <v>1</v>
      </c>
    </row>
    <row r="24" spans="7:13" x14ac:dyDescent="0.25">
      <c r="G24" s="79"/>
      <c r="H24" s="80">
        <f t="shared" si="0"/>
        <v>84.285824168652837</v>
      </c>
      <c r="I24" s="80">
        <f t="shared" si="1"/>
        <v>105.58361886937786</v>
      </c>
      <c r="J24" s="80">
        <f t="shared" si="2"/>
        <v>115.04569744236419</v>
      </c>
      <c r="K24" s="75">
        <v>2</v>
      </c>
      <c r="L24" s="75">
        <v>1</v>
      </c>
      <c r="M24" s="75">
        <v>2</v>
      </c>
    </row>
    <row r="25" spans="7:13" x14ac:dyDescent="0.25">
      <c r="G25" s="79"/>
      <c r="H25" s="80">
        <f t="shared" si="0"/>
        <v>125.24740952582063</v>
      </c>
      <c r="I25" s="80">
        <f t="shared" si="1"/>
        <v>156.71166698457588</v>
      </c>
      <c r="J25" s="80">
        <f t="shared" si="2"/>
        <v>115.04569744236419</v>
      </c>
      <c r="K25" s="75">
        <v>1</v>
      </c>
      <c r="L25" s="75">
        <v>2</v>
      </c>
      <c r="M25" s="75">
        <v>2</v>
      </c>
    </row>
    <row r="26" spans="7:13" x14ac:dyDescent="0.25">
      <c r="G26" s="79"/>
      <c r="H26" s="80">
        <f t="shared" si="0"/>
        <v>84.285824168652837</v>
      </c>
      <c r="I26" s="80">
        <f t="shared" si="1"/>
        <v>105.58361886937786</v>
      </c>
      <c r="J26" s="80">
        <f t="shared" si="2"/>
        <v>115.04569744236419</v>
      </c>
      <c r="K26" s="75">
        <v>2</v>
      </c>
      <c r="L26" s="75">
        <v>1</v>
      </c>
      <c r="M26" s="75">
        <v>2</v>
      </c>
    </row>
    <row r="27" spans="7:13" x14ac:dyDescent="0.25">
      <c r="G27" s="79"/>
      <c r="H27" s="80">
        <f t="shared" si="0"/>
        <v>130.03147114880457</v>
      </c>
      <c r="I27" s="80">
        <f t="shared" si="1"/>
        <v>162.68614194788498</v>
      </c>
      <c r="J27" s="80">
        <f t="shared" si="2"/>
        <v>129.47966056489338</v>
      </c>
      <c r="K27" s="75">
        <v>2</v>
      </c>
      <c r="L27" s="75">
        <v>2</v>
      </c>
      <c r="M27" s="75">
        <v>2</v>
      </c>
    </row>
    <row r="28" spans="7:13" x14ac:dyDescent="0.25">
      <c r="G28" s="79"/>
      <c r="H28" s="80">
        <f t="shared" si="0"/>
        <v>137.63587219948155</v>
      </c>
      <c r="I28" s="80">
        <f t="shared" si="1"/>
        <v>172.18353909871482</v>
      </c>
      <c r="J28" s="80">
        <f t="shared" si="2"/>
        <v>150.49063924377489</v>
      </c>
      <c r="K28" s="75">
        <v>3</v>
      </c>
      <c r="L28" s="75">
        <v>2</v>
      </c>
      <c r="M28" s="75">
        <v>2</v>
      </c>
    </row>
    <row r="29" spans="7:13" x14ac:dyDescent="0.25">
      <c r="G29" s="79"/>
      <c r="H29" s="80">
        <f t="shared" si="0"/>
        <v>182.3412251193111</v>
      </c>
      <c r="I29" s="80">
        <f t="shared" si="1"/>
        <v>228.03124302554741</v>
      </c>
      <c r="J29" s="80">
        <f t="shared" si="2"/>
        <v>150.49063924377489</v>
      </c>
      <c r="K29" s="75">
        <v>2</v>
      </c>
      <c r="L29" s="75">
        <v>3</v>
      </c>
      <c r="M29" s="75">
        <v>2</v>
      </c>
    </row>
  </sheetData>
  <mergeCells count="3">
    <mergeCell ref="B1:C1"/>
    <mergeCell ref="D1:E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42</vt:i4>
      </vt:variant>
    </vt:vector>
  </HeadingPairs>
  <TitlesOfParts>
    <vt:vector size="52" baseType="lpstr">
      <vt:lpstr>DATA</vt:lpstr>
      <vt:lpstr>CASE A</vt:lpstr>
      <vt:lpstr>CASE  B1</vt:lpstr>
      <vt:lpstr>CASE B2</vt:lpstr>
      <vt:lpstr>CASE C_A</vt:lpstr>
      <vt:lpstr>CASE  C_B1</vt:lpstr>
      <vt:lpstr>CASE C_B2</vt:lpstr>
      <vt:lpstr>D - FLOOR</vt:lpstr>
      <vt:lpstr>Es 2</vt:lpstr>
      <vt:lpstr>conclusion</vt:lpstr>
      <vt:lpstr>area_S1</vt:lpstr>
      <vt:lpstr>area_S1_B1</vt:lpstr>
      <vt:lpstr>area_S1_B2</vt:lpstr>
      <vt:lpstr>area_S2</vt:lpstr>
      <vt:lpstr>area_S2_B1</vt:lpstr>
      <vt:lpstr>area_S2_B2</vt:lpstr>
      <vt:lpstr>area_S3</vt:lpstr>
      <vt:lpstr>area_S3_B1</vt:lpstr>
      <vt:lpstr>area_S3_B2</vt:lpstr>
      <vt:lpstr>area_S4</vt:lpstr>
      <vt:lpstr>area_S4_B1</vt:lpstr>
      <vt:lpstr>area_S4_B2</vt:lpstr>
      <vt:lpstr>area_S5_1</vt:lpstr>
      <vt:lpstr>area_S5_2</vt:lpstr>
      <vt:lpstr>area_S5_B1</vt:lpstr>
      <vt:lpstr>area_S5_B1_1</vt:lpstr>
      <vt:lpstr>area_S5_B1_2</vt:lpstr>
      <vt:lpstr>area_S5_B2_1</vt:lpstr>
      <vt:lpstr>area_S5_B2_2</vt:lpstr>
      <vt:lpstr>area_S6</vt:lpstr>
      <vt:lpstr>area_S6_B1</vt:lpstr>
      <vt:lpstr>area_S6_B2</vt:lpstr>
      <vt:lpstr>area_S7</vt:lpstr>
      <vt:lpstr>area_S7_B1</vt:lpstr>
      <vt:lpstr>area_S7_B2</vt:lpstr>
      <vt:lpstr>f0f</vt:lpstr>
      <vt:lpstr>lenx1</vt:lpstr>
      <vt:lpstr>lenx2</vt:lpstr>
      <vt:lpstr>lenx3</vt:lpstr>
      <vt:lpstr>leny1</vt:lpstr>
      <vt:lpstr>leny2</vt:lpstr>
      <vt:lpstr>leny3</vt:lpstr>
      <vt:lpstr>lenz1</vt:lpstr>
      <vt:lpstr>lenz2</vt:lpstr>
      <vt:lpstr>lenz3</vt:lpstr>
      <vt:lpstr>mass_bare</vt:lpstr>
      <vt:lpstr>surface_A</vt:lpstr>
      <vt:lpstr>surface_B1</vt:lpstr>
      <vt:lpstr>surface_B2</vt:lpstr>
      <vt:lpstr>volume_A</vt:lpstr>
      <vt:lpstr>volume_B1</vt:lpstr>
      <vt:lpstr>volume_B2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2015-06-05T18:17:20Z</dcterms:created>
  <dcterms:modified xsi:type="dcterms:W3CDTF">2021-02-01T21:59:17Z</dcterms:modified>
</cp:coreProperties>
</file>