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Alessio\Desktop\Acoustics\CMLS\Homework3\MusicalAcousticsHWs\RoomAcoustics\6_room_design_absorption\"/>
    </mc:Choice>
  </mc:AlternateContent>
  <xr:revisionPtr revIDLastSave="0" documentId="8_{BDD53E8E-4303-4472-BC99-1924A3D80270}" xr6:coauthVersionLast="45" xr6:coauthVersionMax="45" xr10:uidLastSave="{00000000-0000-0000-0000-000000000000}"/>
  <bookViews>
    <workbookView xWindow="-120" yWindow="-120" windowWidth="20730" windowHeight="11160" activeTab="7" xr2:uid="{00000000-000D-0000-FFFF-FFFF00000000}"/>
  </bookViews>
  <sheets>
    <sheet name="DATA" sheetId="1" r:id="rId1"/>
    <sheet name="CASE A" sheetId="2" r:id="rId2"/>
    <sheet name="CASE  B1" sheetId="4" r:id="rId3"/>
    <sheet name="CASE B2" sheetId="5" r:id="rId4"/>
    <sheet name="CASE C_A" sheetId="6" r:id="rId5"/>
    <sheet name="CASE  C_B1" sheetId="7" r:id="rId6"/>
    <sheet name="CASE C_B2" sheetId="8" r:id="rId7"/>
    <sheet name="D - FLOOR" sheetId="9" r:id="rId8"/>
  </sheets>
  <definedNames>
    <definedName name="area_S1">DATA!$B$5</definedName>
    <definedName name="area_S1_B1">DATA!$C$5</definedName>
    <definedName name="area_S1_B2">DATA!$D$5</definedName>
    <definedName name="area_S2">DATA!$B$6</definedName>
    <definedName name="area_S2_B1">DATA!$C$6</definedName>
    <definedName name="area_S2_B2">DATA!$D$6</definedName>
    <definedName name="area_S3">DATA!$B$7</definedName>
    <definedName name="area_S3_B1">DATA!$C$7</definedName>
    <definedName name="area_S3_B2">DATA!$D$7</definedName>
    <definedName name="area_S4">DATA!$B$8</definedName>
    <definedName name="area_S4_B1">DATA!$C$8</definedName>
    <definedName name="area_S4_B2">DATA!$D$8</definedName>
    <definedName name="area_S5_1">DATA!$B$9</definedName>
    <definedName name="area_S5_2">DATA!$B$10</definedName>
    <definedName name="area_S5_B1">DATA!$C$9</definedName>
    <definedName name="area_S5_B1_1">DATA!$C$9</definedName>
    <definedName name="area_S5_B1_2">DATA!$C$10</definedName>
    <definedName name="area_S5_B2_1">DATA!$D$9</definedName>
    <definedName name="area_S5_B2_2">DATA!$D$10</definedName>
    <definedName name="area_S6">DATA!$B$11</definedName>
    <definedName name="area_S6_B1">DATA!$C$11</definedName>
    <definedName name="area_S6_B2">DATA!$D$11</definedName>
    <definedName name="area_S7">DATA!$B$12</definedName>
    <definedName name="area_S7_B1">DATA!$C$12</definedName>
    <definedName name="area_S7_B2">DATA!$D$12</definedName>
    <definedName name="surface_A">DATA!$B$22</definedName>
    <definedName name="surface_B1">DATA!$C$22</definedName>
    <definedName name="surface_B2">DATA!$D$22</definedName>
    <definedName name="volume_A">DATA!$B$20</definedName>
    <definedName name="volume_B1">DATA!$C$20</definedName>
    <definedName name="volume_B2">DATA!$D$20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9" l="1"/>
  <c r="N8" i="9"/>
  <c r="N7" i="9"/>
  <c r="N6" i="9"/>
  <c r="N5" i="9"/>
  <c r="N5" i="8" l="1"/>
  <c r="N6" i="8"/>
  <c r="N7" i="8"/>
  <c r="N8" i="8"/>
  <c r="F28" i="8" s="1"/>
  <c r="N9" i="8"/>
  <c r="N4" i="8"/>
  <c r="F24" i="8" s="1"/>
  <c r="F27" i="8"/>
  <c r="J16" i="8"/>
  <c r="D26" i="8" s="1"/>
  <c r="F29" i="8"/>
  <c r="B9" i="8"/>
  <c r="B8" i="8"/>
  <c r="N17" i="8"/>
  <c r="B7" i="8"/>
  <c r="N16" i="8"/>
  <c r="B6" i="8"/>
  <c r="F25" i="8"/>
  <c r="B5" i="8"/>
  <c r="B4" i="8"/>
  <c r="N5" i="7"/>
  <c r="N6" i="7"/>
  <c r="N16" i="7" s="1"/>
  <c r="N7" i="7"/>
  <c r="N8" i="7"/>
  <c r="F28" i="7" s="1"/>
  <c r="N9" i="7"/>
  <c r="F29" i="7" s="1"/>
  <c r="N4" i="7"/>
  <c r="F24" i="7" s="1"/>
  <c r="B9" i="7"/>
  <c r="B8" i="7"/>
  <c r="N17" i="7"/>
  <c r="B7" i="7"/>
  <c r="B6" i="7"/>
  <c r="F25" i="7"/>
  <c r="B5" i="7"/>
  <c r="B4" i="7"/>
  <c r="N5" i="6"/>
  <c r="F25" i="6" s="1"/>
  <c r="N6" i="6"/>
  <c r="F26" i="6" s="1"/>
  <c r="N7" i="6"/>
  <c r="F27" i="6" s="1"/>
  <c r="N8" i="6"/>
  <c r="F28" i="6" s="1"/>
  <c r="N9" i="6"/>
  <c r="F29" i="6" s="1"/>
  <c r="N4" i="6"/>
  <c r="F24" i="6" s="1"/>
  <c r="F28" i="4"/>
  <c r="F29" i="4"/>
  <c r="B9" i="6"/>
  <c r="B8" i="6"/>
  <c r="N17" i="6"/>
  <c r="B7" i="6"/>
  <c r="B6" i="6"/>
  <c r="B5" i="6"/>
  <c r="B4" i="6"/>
  <c r="N5" i="5"/>
  <c r="F25" i="5" s="1"/>
  <c r="N6" i="5"/>
  <c r="N16" i="5" s="1"/>
  <c r="N7" i="5"/>
  <c r="N17" i="5" s="1"/>
  <c r="N8" i="5"/>
  <c r="J18" i="5" s="1"/>
  <c r="D28" i="5" s="1"/>
  <c r="N9" i="5"/>
  <c r="F29" i="5" s="1"/>
  <c r="N4" i="5"/>
  <c r="F24" i="5" s="1"/>
  <c r="D22" i="1"/>
  <c r="D9" i="1"/>
  <c r="D10" i="1"/>
  <c r="D11" i="1"/>
  <c r="D5" i="1"/>
  <c r="D6" i="1"/>
  <c r="D7" i="1"/>
  <c r="D20" i="1"/>
  <c r="D12" i="1"/>
  <c r="B9" i="5"/>
  <c r="B8" i="5"/>
  <c r="B7" i="5"/>
  <c r="B6" i="5"/>
  <c r="B5" i="5"/>
  <c r="B4" i="5"/>
  <c r="N4" i="4"/>
  <c r="J14" i="4" s="1"/>
  <c r="D24" i="4" s="1"/>
  <c r="N5" i="4"/>
  <c r="J15" i="4" s="1"/>
  <c r="D25" i="4" s="1"/>
  <c r="N6" i="4"/>
  <c r="N16" i="4" s="1"/>
  <c r="N7" i="4"/>
  <c r="J17" i="4" s="1"/>
  <c r="D27" i="4" s="1"/>
  <c r="N8" i="4"/>
  <c r="N9" i="4"/>
  <c r="J19" i="4" s="1"/>
  <c r="D29" i="4" s="1"/>
  <c r="C7" i="1"/>
  <c r="C22" i="1" s="1"/>
  <c r="C10" i="1"/>
  <c r="B10" i="1"/>
  <c r="C9" i="1"/>
  <c r="C11" i="1"/>
  <c r="C5" i="1"/>
  <c r="C6" i="1"/>
  <c r="B9" i="1"/>
  <c r="B12" i="1"/>
  <c r="B11" i="1" s="1"/>
  <c r="C20" i="1"/>
  <c r="C12" i="1"/>
  <c r="B9" i="4"/>
  <c r="B8" i="4"/>
  <c r="B7" i="4"/>
  <c r="B6" i="4"/>
  <c r="B5" i="4"/>
  <c r="B4" i="4"/>
  <c r="J17" i="8" l="1"/>
  <c r="D27" i="8" s="1"/>
  <c r="J27" i="8" s="1"/>
  <c r="J14" i="8"/>
  <c r="D24" i="8" s="1"/>
  <c r="J24" i="8" s="1"/>
  <c r="J18" i="8"/>
  <c r="D28" i="8" s="1"/>
  <c r="J28" i="8" s="1"/>
  <c r="J15" i="8"/>
  <c r="D25" i="8" s="1"/>
  <c r="J25" i="8" s="1"/>
  <c r="N15" i="8"/>
  <c r="N19" i="8"/>
  <c r="F26" i="8"/>
  <c r="J26" i="8" s="1"/>
  <c r="J19" i="8"/>
  <c r="D29" i="8" s="1"/>
  <c r="J29" i="8" s="1"/>
  <c r="F25" i="4"/>
  <c r="N19" i="6"/>
  <c r="N14" i="8"/>
  <c r="N18" i="8"/>
  <c r="J19" i="7"/>
  <c r="D29" i="7" s="1"/>
  <c r="J29" i="7" s="1"/>
  <c r="J17" i="7"/>
  <c r="D27" i="7" s="1"/>
  <c r="F27" i="7"/>
  <c r="F26" i="7"/>
  <c r="J15" i="7"/>
  <c r="D25" i="7" s="1"/>
  <c r="J25" i="7" s="1"/>
  <c r="F26" i="5"/>
  <c r="J16" i="4"/>
  <c r="D26" i="4" s="1"/>
  <c r="N15" i="7"/>
  <c r="N19" i="7"/>
  <c r="N14" i="5"/>
  <c r="N15" i="6"/>
  <c r="F27" i="4"/>
  <c r="F28" i="5"/>
  <c r="J14" i="7"/>
  <c r="D24" i="7" s="1"/>
  <c r="J24" i="7" s="1"/>
  <c r="J16" i="7"/>
  <c r="D26" i="7" s="1"/>
  <c r="J18" i="7"/>
  <c r="D28" i="7" s="1"/>
  <c r="J28" i="7" s="1"/>
  <c r="F24" i="4"/>
  <c r="F26" i="4"/>
  <c r="F27" i="5"/>
  <c r="N14" i="7"/>
  <c r="N18" i="7"/>
  <c r="J18" i="6"/>
  <c r="D28" i="6" s="1"/>
  <c r="J28" i="6" s="1"/>
  <c r="J16" i="6"/>
  <c r="D26" i="6" s="1"/>
  <c r="J26" i="6" s="1"/>
  <c r="J14" i="6"/>
  <c r="D24" i="6" s="1"/>
  <c r="J24" i="6" s="1"/>
  <c r="J28" i="5"/>
  <c r="N14" i="4"/>
  <c r="N19" i="5"/>
  <c r="N15" i="5"/>
  <c r="J17" i="5"/>
  <c r="D27" i="5" s="1"/>
  <c r="N14" i="6"/>
  <c r="N16" i="6"/>
  <c r="N18" i="6"/>
  <c r="J18" i="4"/>
  <c r="D28" i="4" s="1"/>
  <c r="N18" i="5"/>
  <c r="J14" i="5"/>
  <c r="D24" i="5" s="1"/>
  <c r="J24" i="5" s="1"/>
  <c r="J16" i="5"/>
  <c r="D26" i="5" s="1"/>
  <c r="J15" i="6"/>
  <c r="D25" i="6" s="1"/>
  <c r="J17" i="6"/>
  <c r="D27" i="6" s="1"/>
  <c r="J19" i="6"/>
  <c r="D29" i="6" s="1"/>
  <c r="J29" i="6" s="1"/>
  <c r="J19" i="5"/>
  <c r="D29" i="5" s="1"/>
  <c r="J29" i="5" s="1"/>
  <c r="J15" i="5"/>
  <c r="D25" i="5" s="1"/>
  <c r="J25" i="5" s="1"/>
  <c r="J26" i="5"/>
  <c r="N19" i="4"/>
  <c r="N15" i="4"/>
  <c r="N18" i="4"/>
  <c r="N17" i="4"/>
  <c r="B6" i="2"/>
  <c r="B7" i="2"/>
  <c r="B8" i="2"/>
  <c r="B9" i="2"/>
  <c r="B5" i="2"/>
  <c r="B4" i="2"/>
  <c r="B5" i="1"/>
  <c r="B6" i="1"/>
  <c r="B7" i="1"/>
  <c r="B22" i="1" s="1"/>
  <c r="B20" i="1"/>
  <c r="J26" i="7" l="1"/>
  <c r="J27" i="7"/>
  <c r="J27" i="5"/>
  <c r="J25" i="6"/>
  <c r="J27" i="6"/>
  <c r="N5" i="2"/>
  <c r="F25" i="2" s="1"/>
  <c r="N9" i="2"/>
  <c r="F29" i="2" s="1"/>
  <c r="N6" i="2"/>
  <c r="F26" i="2" s="1"/>
  <c r="N4" i="2"/>
  <c r="F24" i="2" s="1"/>
  <c r="N7" i="2"/>
  <c r="F27" i="2" s="1"/>
  <c r="N8" i="2"/>
  <c r="F28" i="2" s="1"/>
  <c r="N14" i="2" l="1"/>
  <c r="J14" i="2"/>
  <c r="D24" i="2" s="1"/>
  <c r="J16" i="2"/>
  <c r="D26" i="2" s="1"/>
  <c r="N16" i="2"/>
  <c r="J27" i="4"/>
  <c r="N17" i="2"/>
  <c r="J17" i="2"/>
  <c r="D27" i="2" s="1"/>
  <c r="N18" i="2"/>
  <c r="J18" i="2"/>
  <c r="D28" i="2" s="1"/>
  <c r="J28" i="2" s="1"/>
  <c r="N19" i="2"/>
  <c r="J19" i="2"/>
  <c r="D29" i="2" s="1"/>
  <c r="N15" i="2"/>
  <c r="J15" i="2"/>
  <c r="D25" i="2" s="1"/>
  <c r="J25" i="2" l="1"/>
  <c r="J29" i="2"/>
  <c r="J26" i="2"/>
  <c r="J24" i="2"/>
  <c r="J28" i="4"/>
  <c r="J26" i="4"/>
  <c r="J25" i="4"/>
  <c r="J29" i="4"/>
  <c r="J27" i="2"/>
  <c r="J24" i="4"/>
</calcChain>
</file>

<file path=xl/sharedStrings.xml><?xml version="1.0" encoding="utf-8"?>
<sst xmlns="http://schemas.openxmlformats.org/spreadsheetml/2006/main" count="241" uniqueCount="54">
  <si>
    <t>classrooms</t>
  </si>
  <si>
    <t xml:space="preserve">floor S1 </t>
  </si>
  <si>
    <t>ceiling S2</t>
  </si>
  <si>
    <t>wall S3</t>
  </si>
  <si>
    <t>Door S4</t>
  </si>
  <si>
    <t>internal  wall S5_1</t>
  </si>
  <si>
    <t>internal wall S5_2</t>
  </si>
  <si>
    <t>facade wall S6</t>
  </si>
  <si>
    <t>windows S7</t>
  </si>
  <si>
    <t>area [m^2]</t>
  </si>
  <si>
    <t>dimensions</t>
  </si>
  <si>
    <t>height</t>
  </si>
  <si>
    <t>length</t>
  </si>
  <si>
    <t>width</t>
  </si>
  <si>
    <t>[m]</t>
  </si>
  <si>
    <t>[m^3]</t>
  </si>
  <si>
    <t>volume</t>
  </si>
  <si>
    <t>freq [Hz]</t>
  </si>
  <si>
    <t>index</t>
  </si>
  <si>
    <r>
      <t xml:space="preserve">low sound absorption coefficients </t>
    </r>
    <r>
      <rPr>
        <sz val="11"/>
        <color theme="0" tint="-4.9989318521683403E-2"/>
        <rFont val="Calibri"/>
        <family val="2"/>
      </rPr>
      <t>α</t>
    </r>
  </si>
  <si>
    <t>floor S1</t>
  </si>
  <si>
    <t>internal wall S5_1</t>
  </si>
  <si>
    <t xml:space="preserve"> facade S6</t>
  </si>
  <si>
    <t>wind S7</t>
  </si>
  <si>
    <t>windows</t>
  </si>
  <si>
    <t>internal walls</t>
  </si>
  <si>
    <t>rear wall S3</t>
  </si>
  <si>
    <t>rear wall</t>
  </si>
  <si>
    <t>facade</t>
  </si>
  <si>
    <t>floor</t>
  </si>
  <si>
    <t>ceiling</t>
  </si>
  <si>
    <t>door</t>
  </si>
  <si>
    <r>
      <t xml:space="preserve">apparente averaged </t>
    </r>
    <r>
      <rPr>
        <sz val="11"/>
        <color theme="0" tint="-4.9989318521683403E-2"/>
        <rFont val="Calibri"/>
        <family val="2"/>
      </rPr>
      <t>α_av</t>
    </r>
  </si>
  <si>
    <t xml:space="preserve"> α_av</t>
  </si>
  <si>
    <t>surface</t>
  </si>
  <si>
    <t>[m^2]</t>
  </si>
  <si>
    <t>room costant</t>
  </si>
  <si>
    <t xml:space="preserve">R </t>
  </si>
  <si>
    <t>equivalent Area</t>
  </si>
  <si>
    <t>A</t>
  </si>
  <si>
    <t>Sabine RT</t>
  </si>
  <si>
    <t>Eyring RT</t>
  </si>
  <si>
    <t>S_RT</t>
  </si>
  <si>
    <t>E_RT</t>
  </si>
  <si>
    <t>deviation</t>
  </si>
  <si>
    <t>Y</t>
  </si>
  <si>
    <t>curtains</t>
  </si>
  <si>
    <t>court S7</t>
  </si>
  <si>
    <t>audience</t>
  </si>
  <si>
    <t>students</t>
  </si>
  <si>
    <t>curtain</t>
  </si>
  <si>
    <t>courtain</t>
  </si>
  <si>
    <t>IMPACT SOUND REFERENCE CURVE</t>
  </si>
  <si>
    <t>ref 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</si>
</sst>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4" borderId="6" xfId="0" applyFill="1" applyBorder="1"/>
    <xf numFmtId="0" fontId="3" fillId="3" borderId="5" xfId="0" applyFont="1" applyFill="1" applyBorder="1"/>
    <xf numFmtId="0" fontId="3" fillId="6" borderId="5" xfId="0" applyFont="1" applyFill="1" applyBorder="1"/>
    <xf numFmtId="0" fontId="2" fillId="4" borderId="0" xfId="0" applyFont="1" applyFill="1" applyAlignment="1">
      <alignment horizontal="center"/>
    </xf>
    <xf numFmtId="0" fontId="0" fillId="6" borderId="5" xfId="0" applyFill="1" applyBorder="1" applyAlignment="1">
      <alignment horizontal="center"/>
    </xf>
    <xf numFmtId="0" fontId="3" fillId="4" borderId="5" xfId="0" applyFont="1" applyFill="1" applyBorder="1"/>
    <xf numFmtId="0" fontId="0" fillId="3" borderId="5" xfId="0" applyFill="1" applyBorder="1"/>
    <xf numFmtId="0" fontId="0" fillId="4" borderId="5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5" xfId="0" applyFill="1" applyBorder="1"/>
    <xf numFmtId="0" fontId="3" fillId="6" borderId="10" xfId="0" applyFont="1" applyFill="1" applyBorder="1" applyAlignment="1">
      <alignment horizontal="center"/>
    </xf>
    <xf numFmtId="0" fontId="0" fillId="0" borderId="12" xfId="0" applyBorder="1"/>
    <xf numFmtId="0" fontId="7" fillId="6" borderId="13" xfId="0" applyFont="1" applyFill="1" applyBorder="1"/>
    <xf numFmtId="0" fontId="9" fillId="6" borderId="13" xfId="0" applyFont="1" applyFill="1" applyBorder="1"/>
    <xf numFmtId="0" fontId="2" fillId="2" borderId="0" xfId="0" applyFont="1" applyFill="1" applyAlignment="1">
      <alignment horizontal="center"/>
    </xf>
    <xf numFmtId="0" fontId="3" fillId="4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2" fillId="7" borderId="0" xfId="0" applyFont="1" applyFill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0" xfId="0" applyAlignment="1">
      <alignment horizontal="center"/>
    </xf>
    <xf numFmtId="0" fontId="8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A'!$I$24:$I$29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A'!$J$24:$J$29</c:f>
              <c:numCache>
                <c:formatCode>General</c:formatCode>
                <c:ptCount val="6"/>
                <c:pt idx="0">
                  <c:v>0.17980489864070795</c:v>
                </c:pt>
                <c:pt idx="1">
                  <c:v>0.12481896063863397</c:v>
                </c:pt>
                <c:pt idx="2">
                  <c:v>0.20001834875495694</c:v>
                </c:pt>
                <c:pt idx="3">
                  <c:v>0.20782310536937937</c:v>
                </c:pt>
                <c:pt idx="4">
                  <c:v>0.20108560625819308</c:v>
                </c:pt>
                <c:pt idx="5">
                  <c:v>0.20124210817760546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5-410E-A5FA-521577A1D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 B1'!$I$24:$I$29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 B1'!$J$24:$J$29</c:f>
              <c:numCache>
                <c:formatCode>General</c:formatCode>
                <c:ptCount val="6"/>
                <c:pt idx="0">
                  <c:v>0.18016622253368206</c:v>
                </c:pt>
                <c:pt idx="1">
                  <c:v>0.12518722646525118</c:v>
                </c:pt>
                <c:pt idx="2">
                  <c:v>0.20022183075296371</c:v>
                </c:pt>
                <c:pt idx="3">
                  <c:v>0.20793222419541449</c:v>
                </c:pt>
                <c:pt idx="4">
                  <c:v>0.20111297264974762</c:v>
                </c:pt>
                <c:pt idx="5">
                  <c:v>0.20117086583207539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DE-435E-9A4F-25185B537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B2'!$I$24:$I$29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B2'!$J$24:$J$29</c:f>
              <c:numCache>
                <c:formatCode>General</c:formatCode>
                <c:ptCount val="6"/>
                <c:pt idx="0">
                  <c:v>0.17799511202131804</c:v>
                </c:pt>
                <c:pt idx="1">
                  <c:v>0.12399321856790907</c:v>
                </c:pt>
                <c:pt idx="2">
                  <c:v>0.19933435229326982</c:v>
                </c:pt>
                <c:pt idx="3">
                  <c:v>0.20732336596883832</c:v>
                </c:pt>
                <c:pt idx="4">
                  <c:v>0.200826449612657</c:v>
                </c:pt>
                <c:pt idx="5">
                  <c:v>0.20109849986593772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6-43B0-8C30-55C18D379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C_A'!$I$24:$I$29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C_A'!$J$24:$J$29</c:f>
              <c:numCache>
                <c:formatCode>General</c:formatCode>
                <c:ptCount val="6"/>
                <c:pt idx="0">
                  <c:v>0.18366796019476836</c:v>
                </c:pt>
                <c:pt idx="1">
                  <c:v>0.15113404491959651</c:v>
                </c:pt>
                <c:pt idx="2">
                  <c:v>0.24232382619875092</c:v>
                </c:pt>
                <c:pt idx="3">
                  <c:v>0.29091329408564198</c:v>
                </c:pt>
                <c:pt idx="4">
                  <c:v>0.28801289051416873</c:v>
                </c:pt>
                <c:pt idx="5">
                  <c:v>0.2839520969940072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F-4FD0-AEFD-36A94DDD0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 C_B1'!$I$24:$I$29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 C_B1'!$J$24:$J$29</c:f>
              <c:numCache>
                <c:formatCode>General</c:formatCode>
                <c:ptCount val="6"/>
                <c:pt idx="0">
                  <c:v>0.1840375280116871</c:v>
                </c:pt>
                <c:pt idx="1">
                  <c:v>0.15149012564619255</c:v>
                </c:pt>
                <c:pt idx="2">
                  <c:v>0.24249736092455951</c:v>
                </c:pt>
                <c:pt idx="3">
                  <c:v>0.29095711777475808</c:v>
                </c:pt>
                <c:pt idx="4">
                  <c:v>0.28796368708539477</c:v>
                </c:pt>
                <c:pt idx="5">
                  <c:v>0.28379877735854958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C-4CC1-916D-D8B48F1AB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C_B2'!$I$24:$I$29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C_B2'!$J$24:$J$29</c:f>
              <c:numCache>
                <c:formatCode>General</c:formatCode>
                <c:ptCount val="6"/>
                <c:pt idx="0">
                  <c:v>0.18325758767683373</c:v>
                </c:pt>
                <c:pt idx="1">
                  <c:v>0.14993760177217882</c:v>
                </c:pt>
                <c:pt idx="2">
                  <c:v>0.24023221055911634</c:v>
                </c:pt>
                <c:pt idx="3">
                  <c:v>0.28799802600774921</c:v>
                </c:pt>
                <c:pt idx="4">
                  <c:v>0.28524964828368632</c:v>
                </c:pt>
                <c:pt idx="5">
                  <c:v>0.28140721431571802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E5-47A1-A02B-77552A631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chart" Target="../charts/chart1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chart" Target="../charts/chart2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chart" Target="../charts/chart3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4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3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chart" Target="../charts/chart4.xml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3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chart" Target="../charts/chart5.xml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3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chart" Target="../charts/chart6.xml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15</xdr:col>
      <xdr:colOff>286641</xdr:colOff>
      <xdr:row>18</xdr:row>
      <xdr:rowOff>200559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E03ECB-7275-4731-963B-5DE1EA6CE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3875" y="0"/>
          <a:ext cx="6382641" cy="3829584"/>
        </a:xfrm>
        <a:prstGeom prst="rect">
          <a:avLst/>
        </a:prstGeom>
      </xdr:spPr>
    </xdr:pic>
    <xdr:clientData/>
  </xdr:twoCellAnchor>
  <xdr:oneCellAnchor>
    <xdr:from>
      <xdr:col>13</xdr:col>
      <xdr:colOff>0</xdr:colOff>
      <xdr:row>14</xdr:row>
      <xdr:rowOff>238125</xdr:rowOff>
    </xdr:from>
    <xdr:ext cx="626197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B968A54-9249-4F28-B6C4-D08621BB5851}"/>
            </a:ext>
          </a:extLst>
        </xdr:cNvPr>
        <xdr:cNvSpPr txBox="1"/>
      </xdr:nvSpPr>
      <xdr:spPr>
        <a:xfrm>
          <a:off x="9210675" y="2905125"/>
          <a:ext cx="6261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floor S1</a:t>
          </a:r>
        </a:p>
      </xdr:txBody>
    </xdr:sp>
    <xdr:clientData/>
  </xdr:oneCellAnchor>
  <xdr:oneCellAnchor>
    <xdr:from>
      <xdr:col>7</xdr:col>
      <xdr:colOff>133350</xdr:colOff>
      <xdr:row>4</xdr:row>
      <xdr:rowOff>9525</xdr:rowOff>
    </xdr:from>
    <xdr:ext cx="720390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5DC4A67-DAD5-4EBF-8E83-D90C96432045}"/>
            </a:ext>
          </a:extLst>
        </xdr:cNvPr>
        <xdr:cNvSpPr txBox="1"/>
      </xdr:nvSpPr>
      <xdr:spPr>
        <a:xfrm>
          <a:off x="5686425" y="771525"/>
          <a:ext cx="7203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ceiling S2</a:t>
          </a:r>
        </a:p>
      </xdr:txBody>
    </xdr:sp>
    <xdr:clientData/>
  </xdr:oneCellAnchor>
  <xdr:oneCellAnchor>
    <xdr:from>
      <xdr:col>11</xdr:col>
      <xdr:colOff>314325</xdr:colOff>
      <xdr:row>7</xdr:row>
      <xdr:rowOff>38100</xdr:rowOff>
    </xdr:from>
    <xdr:ext cx="586058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EC893BD-23C0-4F93-AD54-2D8D69ECCB55}"/>
            </a:ext>
          </a:extLst>
        </xdr:cNvPr>
        <xdr:cNvSpPr txBox="1"/>
      </xdr:nvSpPr>
      <xdr:spPr>
        <a:xfrm>
          <a:off x="8305800" y="1371600"/>
          <a:ext cx="5860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wall S3</a:t>
          </a:r>
        </a:p>
      </xdr:txBody>
    </xdr:sp>
    <xdr:clientData/>
  </xdr:oneCellAnchor>
  <xdr:oneCellAnchor>
    <xdr:from>
      <xdr:col>5</xdr:col>
      <xdr:colOff>323850</xdr:colOff>
      <xdr:row>5</xdr:row>
      <xdr:rowOff>161925</xdr:rowOff>
    </xdr:from>
    <xdr:ext cx="1065163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A667EB9-2E78-4122-856F-BC5ADB5698AF}"/>
            </a:ext>
          </a:extLst>
        </xdr:cNvPr>
        <xdr:cNvSpPr txBox="1"/>
      </xdr:nvSpPr>
      <xdr:spPr>
        <a:xfrm>
          <a:off x="4657725" y="1114425"/>
          <a:ext cx="10651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internal wall S5</a:t>
          </a:r>
        </a:p>
      </xdr:txBody>
    </xdr:sp>
    <xdr:clientData/>
  </xdr:oneCellAnchor>
  <xdr:oneCellAnchor>
    <xdr:from>
      <xdr:col>13</xdr:col>
      <xdr:colOff>438150</xdr:colOff>
      <xdr:row>4</xdr:row>
      <xdr:rowOff>142875</xdr:rowOff>
    </xdr:from>
    <xdr:ext cx="735009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013BF2A-BC7C-44FA-9F66-657D0F6B882D}"/>
            </a:ext>
          </a:extLst>
        </xdr:cNvPr>
        <xdr:cNvSpPr txBox="1"/>
      </xdr:nvSpPr>
      <xdr:spPr>
        <a:xfrm>
          <a:off x="9648825" y="904875"/>
          <a:ext cx="7350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facade S6</a:t>
          </a:r>
        </a:p>
      </xdr:txBody>
    </xdr:sp>
    <xdr:clientData/>
  </xdr:oneCellAnchor>
  <xdr:oneCellAnchor>
    <xdr:from>
      <xdr:col>13</xdr:col>
      <xdr:colOff>28575</xdr:colOff>
      <xdr:row>8</xdr:row>
      <xdr:rowOff>9525</xdr:rowOff>
    </xdr:from>
    <xdr:ext cx="80958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9DF436D-2203-4591-8016-B2667C14F879}"/>
            </a:ext>
          </a:extLst>
        </xdr:cNvPr>
        <xdr:cNvSpPr txBox="1"/>
      </xdr:nvSpPr>
      <xdr:spPr>
        <a:xfrm>
          <a:off x="9239250" y="1533525"/>
          <a:ext cx="8095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window</a:t>
          </a:r>
          <a:r>
            <a:rPr lang="en-US" sz="1100" baseline="0"/>
            <a:t> S7</a:t>
          </a:r>
          <a:endParaRPr lang="en-US" sz="1100"/>
        </a:p>
      </xdr:txBody>
    </xdr:sp>
    <xdr:clientData/>
  </xdr:oneCellAnchor>
  <xdr:oneCellAnchor>
    <xdr:from>
      <xdr:col>9</xdr:col>
      <xdr:colOff>238125</xdr:colOff>
      <xdr:row>9</xdr:row>
      <xdr:rowOff>9525</xdr:rowOff>
    </xdr:from>
    <xdr:ext cx="624915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2C6579A-85F6-4E23-B913-7878E54CB8E1}"/>
            </a:ext>
          </a:extLst>
        </xdr:cNvPr>
        <xdr:cNvSpPr txBox="1"/>
      </xdr:nvSpPr>
      <xdr:spPr>
        <a:xfrm>
          <a:off x="7010400" y="1724025"/>
          <a:ext cx="6249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door S4</a:t>
          </a:r>
        </a:p>
      </xdr:txBody>
    </xdr:sp>
    <xdr:clientData/>
  </xdr:oneCellAnchor>
  <xdr:oneCellAnchor>
    <xdr:from>
      <xdr:col>6</xdr:col>
      <xdr:colOff>247650</xdr:colOff>
      <xdr:row>12</xdr:row>
      <xdr:rowOff>142876</xdr:rowOff>
    </xdr:from>
    <xdr:ext cx="513410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22EEAB4-5C77-4061-8E0A-8BF40A517C7C}"/>
            </a:ext>
          </a:extLst>
        </xdr:cNvPr>
        <xdr:cNvSpPr txBox="1"/>
      </xdr:nvSpPr>
      <xdr:spPr>
        <a:xfrm rot="20546975">
          <a:off x="5191125" y="2428876"/>
          <a:ext cx="51341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width</a:t>
          </a:r>
        </a:p>
      </xdr:txBody>
    </xdr:sp>
    <xdr:clientData/>
  </xdr:oneCellAnchor>
  <xdr:oneCellAnchor>
    <xdr:from>
      <xdr:col>11</xdr:col>
      <xdr:colOff>286912</xdr:colOff>
      <xdr:row>10</xdr:row>
      <xdr:rowOff>152400</xdr:rowOff>
    </xdr:from>
    <xdr:ext cx="549189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13D2AC9-D6BF-4BD4-9D88-07CBD998B15E}"/>
            </a:ext>
          </a:extLst>
        </xdr:cNvPr>
        <xdr:cNvSpPr txBox="1"/>
      </xdr:nvSpPr>
      <xdr:spPr>
        <a:xfrm>
          <a:off x="8278387" y="2057400"/>
          <a:ext cx="5491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length</a:t>
          </a:r>
        </a:p>
      </xdr:txBody>
    </xdr:sp>
    <xdr:clientData/>
  </xdr:oneCellAnchor>
  <xdr:oneCellAnchor>
    <xdr:from>
      <xdr:col>8</xdr:col>
      <xdr:colOff>457802</xdr:colOff>
      <xdr:row>8</xdr:row>
      <xdr:rowOff>105336</xdr:rowOff>
    </xdr:from>
    <xdr:ext cx="264560" cy="549189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67F4DA7-5936-4212-9A6A-53D0EED9D057}"/>
            </a:ext>
          </a:extLst>
        </xdr:cNvPr>
        <xdr:cNvSpPr txBox="1"/>
      </xdr:nvSpPr>
      <xdr:spPr>
        <a:xfrm rot="16200000">
          <a:off x="6478162" y="1771651"/>
          <a:ext cx="5491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height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57150</xdr:rowOff>
    </xdr:from>
    <xdr:to>
      <xdr:col>12</xdr:col>
      <xdr:colOff>419100</xdr:colOff>
      <xdr:row>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61CAB5-CE53-44A7-AD7A-0DF3F07A1BF2}"/>
            </a:ext>
          </a:extLst>
        </xdr:cNvPr>
        <xdr:cNvSpPr txBox="1"/>
      </xdr:nvSpPr>
      <xdr:spPr>
        <a:xfrm>
          <a:off x="7410450" y="57150"/>
          <a:ext cx="1524000" cy="165735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In octave bands, assign a low absorption coefficient to each surface of the classroom, according to the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values plotted in the table given in the lessons’ slides</a:t>
          </a:r>
          <a:r>
            <a:rPr lang="en-US" i="1"/>
            <a:t> </a:t>
          </a: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2</xdr:col>
      <xdr:colOff>76200</xdr:colOff>
      <xdr:row>9</xdr:row>
      <xdr:rowOff>180975</xdr:rowOff>
    </xdr:from>
    <xdr:to>
      <xdr:col>6</xdr:col>
      <xdr:colOff>1057817</xdr:colOff>
      <xdr:row>11</xdr:row>
      <xdr:rowOff>19081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7CA822-C9FE-463C-9294-2864EBB76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1895475"/>
          <a:ext cx="388674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2E7753-9BF1-42EF-8BEE-5C91196EB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DEBC7D7-76EB-4700-A5B0-17E3EFD7A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86BCBEF-2857-430E-8782-48EF9F01F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90DD8D7-D920-429F-967F-14576CE29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171450</xdr:rowOff>
    </xdr:from>
    <xdr:to>
      <xdr:col>6</xdr:col>
      <xdr:colOff>1010154</xdr:colOff>
      <xdr:row>16</xdr:row>
      <xdr:rowOff>66714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B1350C6-98FA-447D-B590-1739E302A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" y="2838450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930B06A-43F0-48F5-A184-1CE4615B7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66675</xdr:colOff>
      <xdr:row>1</xdr:row>
      <xdr:rowOff>38100</xdr:rowOff>
    </xdr:from>
    <xdr:to>
      <xdr:col>18</xdr:col>
      <xdr:colOff>180975</xdr:colOff>
      <xdr:row>4</xdr:row>
      <xdr:rowOff>161925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D4E86AE-B3BC-4847-80F1-666982978A2E}"/>
            </a:ext>
          </a:extLst>
        </xdr:cNvPr>
        <xdr:cNvSpPr txBox="1"/>
      </xdr:nvSpPr>
      <xdr:spPr>
        <a:xfrm>
          <a:off x="10410825" y="228600"/>
          <a:ext cx="1943100" cy="69532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evaluate the average apparent absorption coefficient of the classroom</a:t>
          </a:r>
          <a:r>
            <a:rPr lang="en-US" i="1"/>
            <a:t> </a:t>
          </a: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C9770E5-4FCD-47C3-A20A-FE811CDD5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401301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721C786-9989-4800-A6B9-CD6C365C6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553700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3E190D8-528A-4551-B8AE-C221E4A436BC}"/>
            </a:ext>
          </a:extLst>
        </xdr:cNvPr>
        <xdr:cNvSpPr txBox="1"/>
      </xdr:nvSpPr>
      <xdr:spPr>
        <a:xfrm>
          <a:off x="10429875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E6455B3-465A-4666-9E0A-0553FF9D1A21}"/>
            </a:ext>
          </a:extLst>
        </xdr:cNvPr>
        <xdr:cNvSpPr txBox="1"/>
      </xdr:nvSpPr>
      <xdr:spPr>
        <a:xfrm>
          <a:off x="7410451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D86956F-A3BB-4559-BB27-D8B71F716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91400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31764E3E-BF4A-45AD-8C51-0239ADF0BA10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F87E59AE-3FAE-41E8-949C-5B6AEB9C4F3E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F87E59AE-3FAE-41E8-949C-5B6AEB9C4F3E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50CCC27-CDB0-4CE2-AB8F-3D18F3F92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6354D9A-13F9-4E3B-95A9-FFB124C764B1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4760</xdr:rowOff>
    </xdr:from>
    <xdr:to>
      <xdr:col>17</xdr:col>
      <xdr:colOff>333374</xdr:colOff>
      <xdr:row>29</xdr:row>
      <xdr:rowOff>109260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53CAEAA-5EE7-42DE-88AF-12C046D03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57150</xdr:rowOff>
    </xdr:from>
    <xdr:to>
      <xdr:col>12</xdr:col>
      <xdr:colOff>419100</xdr:colOff>
      <xdr:row>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254766A-9765-4AA8-929A-5CFFFA2B4778}"/>
            </a:ext>
          </a:extLst>
        </xdr:cNvPr>
        <xdr:cNvSpPr txBox="1"/>
      </xdr:nvSpPr>
      <xdr:spPr>
        <a:xfrm>
          <a:off x="7877175" y="57150"/>
          <a:ext cx="1524000" cy="165735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In octave bands, assign a low absorption coefficient to each surface of the classroom, according to the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values plotted in the table given in the lessons’ slides</a:t>
          </a:r>
          <a:r>
            <a:rPr lang="en-US" i="1"/>
            <a:t> </a:t>
          </a: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2</xdr:col>
      <xdr:colOff>76200</xdr:colOff>
      <xdr:row>9</xdr:row>
      <xdr:rowOff>180975</xdr:rowOff>
    </xdr:from>
    <xdr:to>
      <xdr:col>6</xdr:col>
      <xdr:colOff>1057817</xdr:colOff>
      <xdr:row>11</xdr:row>
      <xdr:rowOff>19081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FF18B4-43A4-4986-8A0A-C8F5994AD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1895475"/>
          <a:ext cx="388674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F40792E-C7B1-4FE1-B20F-8064D6BDA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1AAA919-9D42-4CC0-982E-23C1F84BC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AD2F201-2B6D-4CFE-9FEB-780275D3E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66FE6F4-1A0D-4EF4-9EB7-D635261CA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171450</xdr:rowOff>
    </xdr:from>
    <xdr:to>
      <xdr:col>6</xdr:col>
      <xdr:colOff>1010154</xdr:colOff>
      <xdr:row>16</xdr:row>
      <xdr:rowOff>66714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6B3A21F-9C0D-47E0-9A72-AFC1A03F1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" y="2838450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6F9D4D2-5860-47C3-9E5E-003A040DF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66675</xdr:colOff>
      <xdr:row>1</xdr:row>
      <xdr:rowOff>38100</xdr:rowOff>
    </xdr:from>
    <xdr:to>
      <xdr:col>18</xdr:col>
      <xdr:colOff>180975</xdr:colOff>
      <xdr:row>4</xdr:row>
      <xdr:rowOff>161925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803D7A0-367D-495E-B8C0-0D271B38C20C}"/>
            </a:ext>
          </a:extLst>
        </xdr:cNvPr>
        <xdr:cNvSpPr txBox="1"/>
      </xdr:nvSpPr>
      <xdr:spPr>
        <a:xfrm>
          <a:off x="10877550" y="228600"/>
          <a:ext cx="1943100" cy="69532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evaluate the average apparent absorption coefficient of the classroom</a:t>
          </a:r>
          <a:r>
            <a:rPr lang="en-US" i="1"/>
            <a:t> </a:t>
          </a: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E07B766-C7EA-44A0-95CB-CCF5C60CE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868026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7447306-912E-4480-8C07-93349370E4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020425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3FD5F5F-86B2-4A68-8CB6-56169B270FC6}"/>
            </a:ext>
          </a:extLst>
        </xdr:cNvPr>
        <xdr:cNvSpPr txBox="1"/>
      </xdr:nvSpPr>
      <xdr:spPr>
        <a:xfrm>
          <a:off x="10896600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7544446-CE21-4F17-BA44-AE0423E66979}"/>
            </a:ext>
          </a:extLst>
        </xdr:cNvPr>
        <xdr:cNvSpPr txBox="1"/>
      </xdr:nvSpPr>
      <xdr:spPr>
        <a:xfrm>
          <a:off x="7877176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9DC8670-B4C8-4CA1-BC49-8DF3C407E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858125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76D2113-DA9F-4D41-B6BE-FB60E5C15408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D964CE-33E0-4CCF-91F1-39417EDAFB3F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D964CE-33E0-4CCF-91F1-39417EDAFB3F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5C9D574-6CD4-454F-984E-4C1FDD16B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2BC7EC9-AC1E-4E3F-AFD4-375913950819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4760</xdr:rowOff>
    </xdr:from>
    <xdr:to>
      <xdr:col>17</xdr:col>
      <xdr:colOff>333374</xdr:colOff>
      <xdr:row>29</xdr:row>
      <xdr:rowOff>109260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7FD3120-06C4-4F7F-BFA0-11F927240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57150</xdr:rowOff>
    </xdr:from>
    <xdr:to>
      <xdr:col>12</xdr:col>
      <xdr:colOff>419100</xdr:colOff>
      <xdr:row>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9DC2A53-D885-4EF8-9572-BEF806EF022F}"/>
            </a:ext>
          </a:extLst>
        </xdr:cNvPr>
        <xdr:cNvSpPr txBox="1"/>
      </xdr:nvSpPr>
      <xdr:spPr>
        <a:xfrm>
          <a:off x="7877175" y="57150"/>
          <a:ext cx="1524000" cy="165735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In octave bands, assign a low absorption coefficient to each surface of the classroom, according to the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values plotted in the table given in the lessons’ slides</a:t>
          </a:r>
          <a:r>
            <a:rPr lang="en-US" i="1"/>
            <a:t> </a:t>
          </a: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2</xdr:col>
      <xdr:colOff>76200</xdr:colOff>
      <xdr:row>9</xdr:row>
      <xdr:rowOff>180975</xdr:rowOff>
    </xdr:from>
    <xdr:to>
      <xdr:col>6</xdr:col>
      <xdr:colOff>1057817</xdr:colOff>
      <xdr:row>11</xdr:row>
      <xdr:rowOff>19081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61AFA8-94DE-48BA-A364-8EBE76ECA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1895475"/>
          <a:ext cx="388674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A5037F-5325-4451-B28E-96A5FC710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A1072B3-5078-4B49-BF3F-DB785D3710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CB3D4CC-3A52-4B0B-8DE8-707A11023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FE12024-173E-4C2F-9E90-4FD752241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171450</xdr:rowOff>
    </xdr:from>
    <xdr:to>
      <xdr:col>6</xdr:col>
      <xdr:colOff>1010154</xdr:colOff>
      <xdr:row>16</xdr:row>
      <xdr:rowOff>66714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7239B61-1E0A-40F5-BFB5-BA451C0ED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" y="2838450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8D5E160-CC6A-4711-B536-4BBB7F7EB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66675</xdr:colOff>
      <xdr:row>1</xdr:row>
      <xdr:rowOff>38100</xdr:rowOff>
    </xdr:from>
    <xdr:to>
      <xdr:col>18</xdr:col>
      <xdr:colOff>180975</xdr:colOff>
      <xdr:row>4</xdr:row>
      <xdr:rowOff>161925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59AA805-CDB6-4EDA-AB67-5A06C2768F71}"/>
            </a:ext>
          </a:extLst>
        </xdr:cNvPr>
        <xdr:cNvSpPr txBox="1"/>
      </xdr:nvSpPr>
      <xdr:spPr>
        <a:xfrm>
          <a:off x="10877550" y="228600"/>
          <a:ext cx="1943100" cy="69532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evaluate the average apparent absorption coefficient of the classroom</a:t>
          </a:r>
          <a:r>
            <a:rPr lang="en-US" i="1"/>
            <a:t> </a:t>
          </a: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BA7A020-DFA7-4E3E-8C68-523B9EDFE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868026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CA141F6-6011-49A7-94B1-EBE6A7843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020425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0E37BB4-EC0B-4498-9B6B-0BF3A8DECC56}"/>
            </a:ext>
          </a:extLst>
        </xdr:cNvPr>
        <xdr:cNvSpPr txBox="1"/>
      </xdr:nvSpPr>
      <xdr:spPr>
        <a:xfrm>
          <a:off x="10896600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DDFDCD0-E29C-432F-AB94-454EF4123661}"/>
            </a:ext>
          </a:extLst>
        </xdr:cNvPr>
        <xdr:cNvSpPr txBox="1"/>
      </xdr:nvSpPr>
      <xdr:spPr>
        <a:xfrm>
          <a:off x="7877176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847FE12-E952-47B6-B82C-6CC35C623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858125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8BAFA7E-6478-4140-8D88-54913B7B5E33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9191C68-C08D-4E67-8361-C69A3AC3BACB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9191C68-C08D-4E67-8361-C69A3AC3BACB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150A724-64AB-416B-B0B1-699EAD3C7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0F208E3-E59C-4F55-81CC-45E45AF4D7C0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4760</xdr:rowOff>
    </xdr:from>
    <xdr:to>
      <xdr:col>17</xdr:col>
      <xdr:colOff>333374</xdr:colOff>
      <xdr:row>29</xdr:row>
      <xdr:rowOff>109260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82A3EA7-1399-4B73-989A-2A8BD8CF0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E294A37-18CA-4EB3-9138-AF52B12E6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07FA554-C3CE-4A2D-843F-65DF00735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F96C30E-E607-441C-94A9-95204CCAB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F7FFEB7-A23D-4525-B382-D2A110C79F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171450</xdr:rowOff>
    </xdr:from>
    <xdr:to>
      <xdr:col>6</xdr:col>
      <xdr:colOff>1010154</xdr:colOff>
      <xdr:row>16</xdr:row>
      <xdr:rowOff>66714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9B6BCAB-B448-4E3B-9411-90C6B9954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0" y="2838450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4F86562-F110-4B0B-B5CB-1AF72E006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66674</xdr:colOff>
      <xdr:row>1</xdr:row>
      <xdr:rowOff>38100</xdr:rowOff>
    </xdr:from>
    <xdr:to>
      <xdr:col>19</xdr:col>
      <xdr:colOff>495299</xdr:colOff>
      <xdr:row>4</xdr:row>
      <xdr:rowOff>142875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0E7E5BC-D8D4-447B-BE2D-513BB78950B5}"/>
            </a:ext>
          </a:extLst>
        </xdr:cNvPr>
        <xdr:cNvSpPr txBox="1"/>
      </xdr:nvSpPr>
      <xdr:spPr>
        <a:xfrm>
          <a:off x="10877549" y="228600"/>
          <a:ext cx="2867025" cy="67627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The 40% S1 remains as defined for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A and B, to the other 60% the audience absorption coefficient ha to be assigned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3617FD9-FE1E-4917-B4AC-91572E503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868026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F5E38E1-603E-4BE6-B85A-750F21406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020425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15587BF-981F-4911-ABEC-07964DBA5707}"/>
            </a:ext>
          </a:extLst>
        </xdr:cNvPr>
        <xdr:cNvSpPr txBox="1"/>
      </xdr:nvSpPr>
      <xdr:spPr>
        <a:xfrm>
          <a:off x="10896600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15BFB30-4903-4519-9DFF-F339915BD82D}"/>
            </a:ext>
          </a:extLst>
        </xdr:cNvPr>
        <xdr:cNvSpPr txBox="1"/>
      </xdr:nvSpPr>
      <xdr:spPr>
        <a:xfrm>
          <a:off x="7877176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109A08E-3CF0-4E61-B688-08E9F9C1C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58125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F27F26D7-10AF-4984-99F5-612C0A30C2C8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C0551160-F9DE-471C-8A68-CEF99FEC47C3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C0551160-F9DE-471C-8A68-CEF99FEC47C3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1EDF763-31B1-4F8D-A514-C2338B22A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717BB4C-4194-4F3C-8B75-D93ED4A60364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4760</xdr:rowOff>
    </xdr:from>
    <xdr:to>
      <xdr:col>17</xdr:col>
      <xdr:colOff>333374</xdr:colOff>
      <xdr:row>29</xdr:row>
      <xdr:rowOff>109260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46B7B5D-61E2-40CB-AF40-92EA8F3DD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</xdr:col>
      <xdr:colOff>285750</xdr:colOff>
      <xdr:row>9</xdr:row>
      <xdr:rowOff>171450</xdr:rowOff>
    </xdr:from>
    <xdr:to>
      <xdr:col>6</xdr:col>
      <xdr:colOff>886314</xdr:colOff>
      <xdr:row>11</xdr:row>
      <xdr:rowOff>66714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36E1D71-6249-4D79-BE80-9EA6DF2B2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04950" y="1885950"/>
          <a:ext cx="350568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17</xdr:row>
      <xdr:rowOff>114300</xdr:rowOff>
    </xdr:from>
    <xdr:to>
      <xdr:col>6</xdr:col>
      <xdr:colOff>1153085</xdr:colOff>
      <xdr:row>19</xdr:row>
      <xdr:rowOff>161985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6ADA799-948E-4FFE-93BD-DC6340C29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66825" y="3352800"/>
          <a:ext cx="4010585" cy="428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DB82B9-8B15-457F-B68E-F5FE4D446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251CB9-7F8F-4718-A61B-5DB16B1E2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5DF3C34-FD05-4DAD-8426-B95731B43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B93206E-B3EF-4B55-AFAC-2DEB4AEEE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171450</xdr:rowOff>
    </xdr:from>
    <xdr:to>
      <xdr:col>6</xdr:col>
      <xdr:colOff>1010154</xdr:colOff>
      <xdr:row>16</xdr:row>
      <xdr:rowOff>66714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1E5D467-87F6-4128-9A7D-933228E5B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0" y="2838450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8825FA-FC1B-40F6-A232-79EA19381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66674</xdr:colOff>
      <xdr:row>1</xdr:row>
      <xdr:rowOff>38100</xdr:rowOff>
    </xdr:from>
    <xdr:to>
      <xdr:col>20</xdr:col>
      <xdr:colOff>190500</xdr:colOff>
      <xdr:row>4</xdr:row>
      <xdr:rowOff>161925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235A6F5-9E6F-4003-A618-40520C658F37}"/>
            </a:ext>
          </a:extLst>
        </xdr:cNvPr>
        <xdr:cNvSpPr txBox="1"/>
      </xdr:nvSpPr>
      <xdr:spPr>
        <a:xfrm>
          <a:off x="10877549" y="228600"/>
          <a:ext cx="3171826" cy="69532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The 40% S1 remains as defined for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A and B, to the other 60% the audience absorption coefficient ha to be assigned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3776EA5-DB0E-4A91-83DC-9BC8D447A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868026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AA0AA8D-8C0C-46D1-BBC1-B8E34299C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020425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B56D4C4-762B-4991-9A0F-C8ADB5A96E2F}"/>
            </a:ext>
          </a:extLst>
        </xdr:cNvPr>
        <xdr:cNvSpPr txBox="1"/>
      </xdr:nvSpPr>
      <xdr:spPr>
        <a:xfrm>
          <a:off x="10896600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9FB0D13-F14A-4780-8BF3-C14D4EB8DE55}"/>
            </a:ext>
          </a:extLst>
        </xdr:cNvPr>
        <xdr:cNvSpPr txBox="1"/>
      </xdr:nvSpPr>
      <xdr:spPr>
        <a:xfrm>
          <a:off x="7877176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F98D2AE-DB23-4580-8CA2-2757429A3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58125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2B980E5-8FA3-47D7-A270-B0ADAA8B9CDB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A415D322-C717-4D86-BE2E-A680100C604E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A415D322-C717-4D86-BE2E-A680100C604E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2B2532A-8659-4624-9AD4-C944C0E82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1597174-D68C-4F05-9027-61DF6F526FF7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4760</xdr:rowOff>
    </xdr:from>
    <xdr:to>
      <xdr:col>17</xdr:col>
      <xdr:colOff>333374</xdr:colOff>
      <xdr:row>29</xdr:row>
      <xdr:rowOff>109260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424FD16-E143-4A02-82AC-B9600A179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</xdr:col>
      <xdr:colOff>133350</xdr:colOff>
      <xdr:row>9</xdr:row>
      <xdr:rowOff>142875</xdr:rowOff>
    </xdr:from>
    <xdr:to>
      <xdr:col>6</xdr:col>
      <xdr:colOff>733914</xdr:colOff>
      <xdr:row>11</xdr:row>
      <xdr:rowOff>38139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C99A3DB-D4DE-4E26-8EA1-5907A2A9B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52550" y="1857375"/>
          <a:ext cx="3505689" cy="2762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E7F706F-594E-4BD7-BEC1-1ECF199B5D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093E87-011F-436F-9E64-4FB4ED854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02396A-9221-4FC9-83D5-BFEA15196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F61DE2B-DC3B-4E25-93E7-7A4CDF6EF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171450</xdr:rowOff>
    </xdr:from>
    <xdr:to>
      <xdr:col>6</xdr:col>
      <xdr:colOff>1010154</xdr:colOff>
      <xdr:row>16</xdr:row>
      <xdr:rowOff>66714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A40919B-449F-49F2-A0A9-13D71D103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0" y="2838450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A38BFDE-08B7-44E8-B09C-4C56DE92A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66675</xdr:colOff>
      <xdr:row>1</xdr:row>
      <xdr:rowOff>38100</xdr:rowOff>
    </xdr:from>
    <xdr:to>
      <xdr:col>21</xdr:col>
      <xdr:colOff>85725</xdr:colOff>
      <xdr:row>4</xdr:row>
      <xdr:rowOff>161925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EFFEB0B-971A-4D81-926D-0E9FAC444191}"/>
            </a:ext>
          </a:extLst>
        </xdr:cNvPr>
        <xdr:cNvSpPr txBox="1"/>
      </xdr:nvSpPr>
      <xdr:spPr>
        <a:xfrm>
          <a:off x="10877550" y="228600"/>
          <a:ext cx="3676650" cy="69532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The 40% S1 remains as defined for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A and B, to the other 60% the audience absorption coefficient ha to be assigned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4368387-78C6-4B50-BFB0-2AE636502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868026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7B36038-8DDD-45C0-AE08-3E06CE187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020425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3F0ECB4-C3E0-49BA-8902-4FC278C8C48B}"/>
            </a:ext>
          </a:extLst>
        </xdr:cNvPr>
        <xdr:cNvSpPr txBox="1"/>
      </xdr:nvSpPr>
      <xdr:spPr>
        <a:xfrm>
          <a:off x="10896600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9C025DC-0BF3-47F2-A25D-B7251A62E071}"/>
            </a:ext>
          </a:extLst>
        </xdr:cNvPr>
        <xdr:cNvSpPr txBox="1"/>
      </xdr:nvSpPr>
      <xdr:spPr>
        <a:xfrm>
          <a:off x="7877176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47B590E-D5DA-497C-8B6F-E5999ACEC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58125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D14C116-A7DE-4615-9126-4722891BF453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B7FCA413-7F9D-425D-BC08-8EB863716EC7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B7FCA413-7F9D-425D-BC08-8EB863716EC7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9ED54BF-5CF2-470D-8645-419F80FB48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3A6FC296-CB48-4403-9B7A-3BE1BD8A69C7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4760</xdr:rowOff>
    </xdr:from>
    <xdr:to>
      <xdr:col>17</xdr:col>
      <xdr:colOff>333374</xdr:colOff>
      <xdr:row>29</xdr:row>
      <xdr:rowOff>109260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3A73076-4214-4543-A43D-57884D394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</xdr:col>
      <xdr:colOff>104775</xdr:colOff>
      <xdr:row>9</xdr:row>
      <xdr:rowOff>180975</xdr:rowOff>
    </xdr:from>
    <xdr:to>
      <xdr:col>6</xdr:col>
      <xdr:colOff>705339</xdr:colOff>
      <xdr:row>11</xdr:row>
      <xdr:rowOff>76239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1786B9E-DFBC-47EE-9736-61DBE5631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23975" y="1895475"/>
          <a:ext cx="3505689" cy="2762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4.9989318521683403E-2"/>
  </sheetPr>
  <dimension ref="A1:E22"/>
  <sheetViews>
    <sheetView workbookViewId="0">
      <selection activeCell="D20" sqref="D20"/>
    </sheetView>
  </sheetViews>
  <sheetFormatPr defaultRowHeight="15" x14ac:dyDescent="0.25"/>
  <cols>
    <col min="1" max="1" width="20.7109375" customWidth="1"/>
    <col min="2" max="2" width="11" customWidth="1"/>
    <col min="3" max="3" width="12.28515625" customWidth="1"/>
    <col min="4" max="4" width="11.85546875" customWidth="1"/>
  </cols>
  <sheetData>
    <row r="1" spans="1:5" x14ac:dyDescent="0.25">
      <c r="B1" s="25" t="s">
        <v>0</v>
      </c>
      <c r="C1" s="25"/>
      <c r="D1" s="25" t="s">
        <v>9</v>
      </c>
      <c r="E1" s="25"/>
    </row>
    <row r="2" spans="1:5" x14ac:dyDescent="0.25">
      <c r="B2" s="2">
        <v>1</v>
      </c>
      <c r="C2" s="3">
        <v>2</v>
      </c>
      <c r="D2" s="4">
        <v>3</v>
      </c>
    </row>
    <row r="3" spans="1:5" x14ac:dyDescent="0.25">
      <c r="B3" s="26" t="s">
        <v>9</v>
      </c>
      <c r="C3" s="28" t="s">
        <v>9</v>
      </c>
      <c r="D3" s="28" t="s">
        <v>9</v>
      </c>
    </row>
    <row r="4" spans="1:5" x14ac:dyDescent="0.25">
      <c r="B4" s="27"/>
      <c r="C4" s="28"/>
      <c r="D4" s="28"/>
    </row>
    <row r="5" spans="1:5" x14ac:dyDescent="0.25">
      <c r="A5" s="5" t="s">
        <v>1</v>
      </c>
      <c r="B5" s="1">
        <f>B17*B18</f>
        <v>62.05</v>
      </c>
      <c r="C5" s="18">
        <f>C17*C18</f>
        <v>39.44</v>
      </c>
      <c r="D5" s="19">
        <f>D17*D18</f>
        <v>88.739999999999981</v>
      </c>
    </row>
    <row r="6" spans="1:5" x14ac:dyDescent="0.25">
      <c r="A6" s="5" t="s">
        <v>2</v>
      </c>
      <c r="B6" s="1">
        <f>B17*B18</f>
        <v>62.05</v>
      </c>
      <c r="C6" s="18">
        <f>C17*C18</f>
        <v>39.44</v>
      </c>
      <c r="D6" s="19">
        <f>D17*D18</f>
        <v>88.739999999999981</v>
      </c>
    </row>
    <row r="7" spans="1:5" x14ac:dyDescent="0.25">
      <c r="A7" s="5" t="s">
        <v>26</v>
      </c>
      <c r="B7" s="1">
        <f>B17*B16-B8</f>
        <v>23.7</v>
      </c>
      <c r="C7" s="18">
        <f>C17*C16-C8</f>
        <v>14.52</v>
      </c>
      <c r="D7" s="19">
        <f>D17*D16-D8</f>
        <v>34.92</v>
      </c>
    </row>
    <row r="8" spans="1:5" x14ac:dyDescent="0.25">
      <c r="A8" s="5" t="s">
        <v>4</v>
      </c>
      <c r="B8" s="1">
        <v>1.8</v>
      </c>
      <c r="C8" s="18">
        <v>1.8</v>
      </c>
      <c r="D8" s="19">
        <v>1.8</v>
      </c>
    </row>
    <row r="9" spans="1:5" x14ac:dyDescent="0.25">
      <c r="A9" s="5" t="s">
        <v>5</v>
      </c>
      <c r="B9" s="1">
        <f>B16*B18</f>
        <v>21.9</v>
      </c>
      <c r="C9" s="18">
        <f>C16*C18</f>
        <v>13.92</v>
      </c>
      <c r="D9" s="19">
        <f>D16*D18</f>
        <v>31.319999999999997</v>
      </c>
    </row>
    <row r="10" spans="1:5" x14ac:dyDescent="0.25">
      <c r="A10" s="5" t="s">
        <v>6</v>
      </c>
      <c r="B10" s="1">
        <f>B17*B18</f>
        <v>62.05</v>
      </c>
      <c r="C10" s="18">
        <f>C17*C18</f>
        <v>39.44</v>
      </c>
      <c r="D10" s="19">
        <f>D17*D18</f>
        <v>88.739999999999981</v>
      </c>
    </row>
    <row r="11" spans="1:5" x14ac:dyDescent="0.25">
      <c r="A11" s="5" t="s">
        <v>7</v>
      </c>
      <c r="B11" s="1">
        <f>B18*B16-B12</f>
        <v>12.45</v>
      </c>
      <c r="C11" s="18">
        <f>C18*C16-C12</f>
        <v>7.92</v>
      </c>
      <c r="D11" s="19">
        <f>D18*D16-D12</f>
        <v>19.979999999999997</v>
      </c>
    </row>
    <row r="12" spans="1:5" x14ac:dyDescent="0.25">
      <c r="A12" s="5" t="s">
        <v>8</v>
      </c>
      <c r="B12" s="1">
        <f>3.15*3</f>
        <v>9.4499999999999993</v>
      </c>
      <c r="C12" s="18">
        <f>2*3</f>
        <v>6</v>
      </c>
      <c r="D12" s="19">
        <f>3.78*3</f>
        <v>11.34</v>
      </c>
    </row>
    <row r="14" spans="1:5" x14ac:dyDescent="0.25">
      <c r="B14" s="25" t="s">
        <v>0</v>
      </c>
      <c r="C14" s="25"/>
      <c r="D14" s="25" t="s">
        <v>10</v>
      </c>
      <c r="E14" s="25"/>
    </row>
    <row r="15" spans="1:5" ht="30.75" customHeight="1" x14ac:dyDescent="0.25">
      <c r="B15" s="6" t="s">
        <v>14</v>
      </c>
      <c r="C15" s="6" t="s">
        <v>14</v>
      </c>
      <c r="D15" s="6" t="s">
        <v>14</v>
      </c>
    </row>
    <row r="16" spans="1:5" x14ac:dyDescent="0.25">
      <c r="A16" s="5" t="s">
        <v>11</v>
      </c>
      <c r="B16" s="1">
        <v>3</v>
      </c>
      <c r="C16" s="18">
        <v>2.4</v>
      </c>
      <c r="D16" s="19">
        <v>3.6</v>
      </c>
    </row>
    <row r="17" spans="1:4" x14ac:dyDescent="0.25">
      <c r="A17" s="5" t="s">
        <v>12</v>
      </c>
      <c r="B17" s="1">
        <v>8.5</v>
      </c>
      <c r="C17" s="18">
        <v>6.8</v>
      </c>
      <c r="D17" s="19">
        <v>10.199999999999999</v>
      </c>
    </row>
    <row r="18" spans="1:4" x14ac:dyDescent="0.25">
      <c r="A18" s="5" t="s">
        <v>13</v>
      </c>
      <c r="B18" s="1">
        <v>7.3</v>
      </c>
      <c r="C18" s="18">
        <v>5.8</v>
      </c>
      <c r="D18" s="19">
        <v>8.6999999999999993</v>
      </c>
    </row>
    <row r="19" spans="1:4" ht="27.75" customHeight="1" x14ac:dyDescent="0.25">
      <c r="A19" s="5"/>
      <c r="B19" s="7" t="s">
        <v>15</v>
      </c>
      <c r="C19" s="7" t="s">
        <v>15</v>
      </c>
      <c r="D19" s="7" t="s">
        <v>15</v>
      </c>
    </row>
    <row r="20" spans="1:4" x14ac:dyDescent="0.25">
      <c r="A20" s="5" t="s">
        <v>16</v>
      </c>
      <c r="B20" s="1">
        <f>B18*B17*B16</f>
        <v>186.14999999999998</v>
      </c>
      <c r="C20" s="18">
        <f>C16*C17*C18</f>
        <v>94.655999999999992</v>
      </c>
      <c r="D20" s="19">
        <f>D16*D17*D18</f>
        <v>319.46399999999994</v>
      </c>
    </row>
    <row r="21" spans="1:4" ht="21.75" customHeight="1" x14ac:dyDescent="0.25">
      <c r="B21" s="7" t="s">
        <v>35</v>
      </c>
      <c r="C21" s="7" t="s">
        <v>35</v>
      </c>
      <c r="D21" s="7" t="s">
        <v>35</v>
      </c>
    </row>
    <row r="22" spans="1:4" x14ac:dyDescent="0.25">
      <c r="A22" s="5" t="s">
        <v>34</v>
      </c>
      <c r="B22" s="1">
        <f>SUM(B5:B12)</f>
        <v>255.45</v>
      </c>
      <c r="C22" s="18">
        <f>SUM(C5:C12)</f>
        <v>162.47999999999999</v>
      </c>
      <c r="D22" s="19">
        <f>SUM(D5:D12)</f>
        <v>365.58</v>
      </c>
    </row>
  </sheetData>
  <mergeCells count="7">
    <mergeCell ref="B14:C14"/>
    <mergeCell ref="D14:E14"/>
    <mergeCell ref="B1:C1"/>
    <mergeCell ref="B3:B4"/>
    <mergeCell ref="C3:C4"/>
    <mergeCell ref="D3:D4"/>
    <mergeCell ref="D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2AFFE-6024-43B4-BA04-47AFEDDDFED6}">
  <sheetPr>
    <tabColor theme="5" tint="-0.249977111117893"/>
  </sheetPr>
  <dimension ref="A1:Q30"/>
  <sheetViews>
    <sheetView topLeftCell="A11" workbookViewId="0">
      <selection activeCell="F24" sqref="F24:F29"/>
    </sheetView>
  </sheetViews>
  <sheetFormatPr defaultRowHeight="15" x14ac:dyDescent="0.25"/>
  <cols>
    <col min="3" max="3" width="16.140625" customWidth="1"/>
    <col min="7" max="8" width="18.140625" customWidth="1"/>
  </cols>
  <sheetData>
    <row r="1" spans="1:17" x14ac:dyDescent="0.25">
      <c r="C1" s="30" t="s">
        <v>19</v>
      </c>
      <c r="D1" s="30"/>
      <c r="E1" s="30"/>
      <c r="F1" s="30"/>
      <c r="N1" s="30" t="s">
        <v>32</v>
      </c>
      <c r="O1" s="30"/>
      <c r="P1" s="30"/>
      <c r="Q1" s="30"/>
    </row>
    <row r="2" spans="1:17" x14ac:dyDescent="0.25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23</v>
      </c>
      <c r="N2" s="35" t="s">
        <v>33</v>
      </c>
      <c r="O2" s="36"/>
    </row>
    <row r="3" spans="1:17" x14ac:dyDescent="0.25">
      <c r="A3" s="8"/>
      <c r="B3" s="8"/>
    </row>
    <row r="4" spans="1:17" x14ac:dyDescent="0.25">
      <c r="A4" s="8">
        <v>0</v>
      </c>
      <c r="B4" s="8">
        <f>125*2^(A4)</f>
        <v>125</v>
      </c>
      <c r="C4" s="9">
        <v>0.15</v>
      </c>
      <c r="D4" s="9">
        <v>0.08</v>
      </c>
      <c r="E4" s="9">
        <v>0.1</v>
      </c>
      <c r="F4" s="9">
        <v>0.3</v>
      </c>
      <c r="G4" s="9">
        <v>0.74</v>
      </c>
      <c r="H4" s="9">
        <v>0.74</v>
      </c>
      <c r="I4" s="9">
        <v>0.12</v>
      </c>
      <c r="J4" s="9">
        <v>0.55000000000000004</v>
      </c>
      <c r="N4" s="31">
        <f t="shared" ref="N4:N9" si="0">1/(surface_A)*(C4*area_S1+D4*area_S2+E4*area_S3+F4*area_S4+G4*area_S5_1+H4*area_S5_2+I4*area_S6+J4*area_S7)</f>
        <v>0.33664513603444896</v>
      </c>
      <c r="O4" s="32"/>
    </row>
    <row r="5" spans="1:17" x14ac:dyDescent="0.25">
      <c r="A5" s="8">
        <v>1</v>
      </c>
      <c r="B5" s="8">
        <f>125*2^(A5)</f>
        <v>250</v>
      </c>
      <c r="C5" s="9">
        <v>0.11</v>
      </c>
      <c r="D5" s="9">
        <v>0.28999999999999998</v>
      </c>
      <c r="E5" s="9">
        <v>0.05</v>
      </c>
      <c r="F5" s="9">
        <v>0.25</v>
      </c>
      <c r="G5" s="9">
        <v>0.37</v>
      </c>
      <c r="H5" s="9">
        <v>0.37</v>
      </c>
      <c r="I5" s="9">
        <v>0.09</v>
      </c>
      <c r="J5" s="9">
        <v>0.25</v>
      </c>
      <c r="N5" s="31">
        <f t="shared" si="0"/>
        <v>0.23879232726560964</v>
      </c>
      <c r="O5" s="32"/>
    </row>
    <row r="6" spans="1:17" x14ac:dyDescent="0.25">
      <c r="A6" s="8">
        <v>2</v>
      </c>
      <c r="B6" s="8">
        <f t="shared" ref="B6:B9" si="1">125*2^(A6)</f>
        <v>500</v>
      </c>
      <c r="C6" s="9">
        <v>0.1</v>
      </c>
      <c r="D6" s="9">
        <v>0.75</v>
      </c>
      <c r="E6" s="9">
        <v>0.06</v>
      </c>
      <c r="F6" s="9">
        <v>0.2</v>
      </c>
      <c r="G6" s="9">
        <v>0.45</v>
      </c>
      <c r="H6" s="9">
        <v>0.45</v>
      </c>
      <c r="I6" s="9">
        <v>7.0000000000000007E-2</v>
      </c>
      <c r="J6" s="9">
        <v>0.18</v>
      </c>
      <c r="N6" s="31">
        <f t="shared" si="0"/>
        <v>0.37140144842434908</v>
      </c>
      <c r="O6" s="32"/>
    </row>
    <row r="7" spans="1:17" x14ac:dyDescent="0.25">
      <c r="A7" s="8">
        <v>3</v>
      </c>
      <c r="B7" s="8">
        <f t="shared" si="1"/>
        <v>1000</v>
      </c>
      <c r="C7" s="9">
        <v>7.0000000000000007E-2</v>
      </c>
      <c r="D7" s="9">
        <v>0.98</v>
      </c>
      <c r="E7" s="9">
        <v>7.0000000000000007E-2</v>
      </c>
      <c r="F7" s="9">
        <v>0.17</v>
      </c>
      <c r="G7" s="9">
        <v>0.35</v>
      </c>
      <c r="H7" s="9">
        <v>0.35</v>
      </c>
      <c r="I7" s="9">
        <v>0.05</v>
      </c>
      <c r="J7" s="9">
        <v>0.12</v>
      </c>
      <c r="N7" s="31">
        <f t="shared" si="0"/>
        <v>0.38464082990800547</v>
      </c>
      <c r="O7" s="32"/>
    </row>
    <row r="8" spans="1:17" x14ac:dyDescent="0.25">
      <c r="A8" s="8">
        <v>4</v>
      </c>
      <c r="B8" s="8">
        <f t="shared" si="1"/>
        <v>2000</v>
      </c>
      <c r="C8" s="9">
        <v>0.06</v>
      </c>
      <c r="D8" s="9">
        <v>0.93</v>
      </c>
      <c r="E8" s="9">
        <v>0.09</v>
      </c>
      <c r="F8" s="9">
        <v>0.15</v>
      </c>
      <c r="G8" s="9">
        <v>0.36</v>
      </c>
      <c r="H8" s="9">
        <v>0.36</v>
      </c>
      <c r="I8" s="9">
        <v>0.05</v>
      </c>
      <c r="J8" s="9">
        <v>7.0000000000000007E-2</v>
      </c>
      <c r="N8" s="31">
        <f t="shared" si="0"/>
        <v>0.3732178508514386</v>
      </c>
      <c r="O8" s="32"/>
    </row>
    <row r="9" spans="1:17" x14ac:dyDescent="0.25">
      <c r="A9" s="8">
        <v>5</v>
      </c>
      <c r="B9" s="8">
        <f t="shared" si="1"/>
        <v>4000</v>
      </c>
      <c r="C9" s="9">
        <v>7.0000000000000007E-2</v>
      </c>
      <c r="D9" s="9">
        <v>0.96</v>
      </c>
      <c r="E9" s="9">
        <v>0.08</v>
      </c>
      <c r="F9" s="9">
        <v>0.1</v>
      </c>
      <c r="G9" s="9">
        <v>0.34</v>
      </c>
      <c r="H9" s="9">
        <v>0.34</v>
      </c>
      <c r="I9" s="9">
        <v>0.04</v>
      </c>
      <c r="J9" s="9">
        <v>0.04</v>
      </c>
      <c r="N9" s="31">
        <f t="shared" si="0"/>
        <v>0.37348404775885685</v>
      </c>
      <c r="O9" s="32"/>
    </row>
    <row r="10" spans="1:17" x14ac:dyDescent="0.25">
      <c r="G10" s="10"/>
    </row>
    <row r="11" spans="1:17" x14ac:dyDescent="0.25">
      <c r="A11" s="29" t="s">
        <v>24</v>
      </c>
      <c r="B11" s="29"/>
      <c r="I11" s="37" t="s">
        <v>38</v>
      </c>
      <c r="J11" s="37"/>
      <c r="M11" s="30" t="s">
        <v>36</v>
      </c>
      <c r="N11" s="30"/>
      <c r="O11" s="30"/>
      <c r="P11" s="30"/>
    </row>
    <row r="12" spans="1:17" x14ac:dyDescent="0.25">
      <c r="A12" s="29" t="s">
        <v>25</v>
      </c>
      <c r="B12" s="29"/>
      <c r="I12" s="12" t="s">
        <v>17</v>
      </c>
      <c r="J12" s="14" t="s">
        <v>39</v>
      </c>
      <c r="L12" s="13"/>
      <c r="M12" s="11" t="s">
        <v>17</v>
      </c>
      <c r="N12" s="33" t="s">
        <v>37</v>
      </c>
      <c r="O12" s="34"/>
    </row>
    <row r="13" spans="1:17" x14ac:dyDescent="0.25">
      <c r="A13" s="29" t="s">
        <v>27</v>
      </c>
      <c r="B13" s="29"/>
      <c r="I13" s="12"/>
    </row>
    <row r="14" spans="1:17" x14ac:dyDescent="0.25">
      <c r="A14" s="29" t="s">
        <v>28</v>
      </c>
      <c r="B14" s="29"/>
      <c r="I14" s="12">
        <v>125</v>
      </c>
      <c r="J14" s="14">
        <f t="shared" ref="J14:J19" si="2">N4*surface_A</f>
        <v>85.995999999999981</v>
      </c>
      <c r="M14" s="11">
        <v>125</v>
      </c>
      <c r="N14" s="39">
        <f t="shared" ref="N14:N19" si="3">(N4*surface_A)/(1-N4)</f>
        <v>129.63800323391592</v>
      </c>
      <c r="O14" s="40"/>
    </row>
    <row r="15" spans="1:17" x14ac:dyDescent="0.25">
      <c r="A15" s="29" t="s">
        <v>29</v>
      </c>
      <c r="B15" s="29"/>
      <c r="I15" s="12">
        <v>250</v>
      </c>
      <c r="J15" s="14">
        <f t="shared" si="2"/>
        <v>60.999499999999983</v>
      </c>
      <c r="M15" s="11">
        <v>250</v>
      </c>
      <c r="N15" s="39">
        <f t="shared" si="3"/>
        <v>80.135161776390362</v>
      </c>
      <c r="O15" s="40"/>
    </row>
    <row r="16" spans="1:17" x14ac:dyDescent="0.25">
      <c r="A16" s="29" t="s">
        <v>30</v>
      </c>
      <c r="B16" s="29"/>
      <c r="I16" s="12">
        <v>500</v>
      </c>
      <c r="J16" s="14">
        <f t="shared" si="2"/>
        <v>94.874499999999969</v>
      </c>
      <c r="M16" s="11">
        <v>500</v>
      </c>
      <c r="N16" s="39">
        <f t="shared" si="3"/>
        <v>150.93019187235905</v>
      </c>
      <c r="O16" s="40"/>
    </row>
    <row r="17" spans="1:15" x14ac:dyDescent="0.25">
      <c r="A17" s="29" t="s">
        <v>31</v>
      </c>
      <c r="B17" s="29"/>
      <c r="I17" s="12">
        <v>1000</v>
      </c>
      <c r="J17" s="14">
        <f t="shared" si="2"/>
        <v>98.256499999999988</v>
      </c>
      <c r="M17" s="11">
        <v>1000</v>
      </c>
      <c r="N17" s="39">
        <f t="shared" si="3"/>
        <v>159.67341477223931</v>
      </c>
      <c r="O17" s="40"/>
    </row>
    <row r="18" spans="1:15" x14ac:dyDescent="0.25">
      <c r="I18" s="12">
        <v>2000</v>
      </c>
      <c r="J18" s="14">
        <f t="shared" si="2"/>
        <v>95.338499999999982</v>
      </c>
      <c r="M18" s="11">
        <v>2000</v>
      </c>
      <c r="N18" s="39">
        <f t="shared" si="3"/>
        <v>152.10787373174315</v>
      </c>
      <c r="O18" s="40"/>
    </row>
    <row r="19" spans="1:15" x14ac:dyDescent="0.25">
      <c r="F19" s="13"/>
      <c r="I19" s="12">
        <v>4000</v>
      </c>
      <c r="J19" s="14">
        <f t="shared" si="2"/>
        <v>95.40649999999998</v>
      </c>
      <c r="M19" s="11">
        <v>4000</v>
      </c>
      <c r="N19" s="39">
        <f t="shared" si="3"/>
        <v>152.2810387488401</v>
      </c>
      <c r="O19" s="40"/>
    </row>
    <row r="21" spans="1:15" x14ac:dyDescent="0.25">
      <c r="C21" s="37" t="s">
        <v>40</v>
      </c>
      <c r="D21" s="38"/>
      <c r="E21" s="37" t="s">
        <v>41</v>
      </c>
      <c r="F21" s="38"/>
      <c r="I21" s="37" t="s">
        <v>44</v>
      </c>
      <c r="J21" s="37"/>
    </row>
    <row r="22" spans="1:15" x14ac:dyDescent="0.25">
      <c r="B22" s="11" t="s">
        <v>17</v>
      </c>
      <c r="D22" s="16" t="s">
        <v>42</v>
      </c>
      <c r="F22" s="16" t="s">
        <v>43</v>
      </c>
      <c r="I22" s="12" t="s">
        <v>17</v>
      </c>
      <c r="J22" s="14" t="s">
        <v>45</v>
      </c>
    </row>
    <row r="23" spans="1:15" x14ac:dyDescent="0.25">
      <c r="B23" s="15"/>
      <c r="I23" s="12"/>
    </row>
    <row r="24" spans="1:15" x14ac:dyDescent="0.25">
      <c r="B24" s="11">
        <v>125</v>
      </c>
      <c r="D24" s="16">
        <f t="shared" ref="D24:D29" si="4">16*volume_A/J14</f>
        <v>34.634169031117729</v>
      </c>
      <c r="F24" s="16">
        <f t="shared" ref="F24:F29" si="5">-16*(volume_A/(surface_A*LN(ABS(1-N4))))</f>
        <v>28.40677577897246</v>
      </c>
      <c r="I24" s="12">
        <v>125</v>
      </c>
      <c r="J24" s="14">
        <f>(D24-F24)/D24</f>
        <v>0.17980489864070795</v>
      </c>
    </row>
    <row r="25" spans="1:15" x14ac:dyDescent="0.25">
      <c r="B25" s="11">
        <v>250</v>
      </c>
      <c r="D25" s="16">
        <f t="shared" si="4"/>
        <v>48.826629726473172</v>
      </c>
      <c r="F25" s="16">
        <f t="shared" si="5"/>
        <v>42.732140552527362</v>
      </c>
      <c r="I25" s="12">
        <v>250</v>
      </c>
      <c r="J25" s="14">
        <f t="shared" ref="J25:J29" si="6">(D25-F25)/D25</f>
        <v>0.12481896063863397</v>
      </c>
    </row>
    <row r="26" spans="1:15" x14ac:dyDescent="0.25">
      <c r="B26" s="11">
        <v>500</v>
      </c>
      <c r="D26" s="16">
        <f t="shared" si="4"/>
        <v>31.393050819767172</v>
      </c>
      <c r="F26" s="16">
        <f t="shared" si="5"/>
        <v>25.113864632416895</v>
      </c>
      <c r="I26" s="12">
        <v>500</v>
      </c>
      <c r="J26" s="14">
        <f t="shared" si="6"/>
        <v>0.20001834875495694</v>
      </c>
    </row>
    <row r="27" spans="1:15" x14ac:dyDescent="0.25">
      <c r="B27" s="11">
        <v>1000</v>
      </c>
      <c r="D27" s="16">
        <f t="shared" si="4"/>
        <v>30.312498409774417</v>
      </c>
      <c r="F27" s="16">
        <f t="shared" si="5"/>
        <v>24.012860858750724</v>
      </c>
      <c r="I27" s="12">
        <v>1000</v>
      </c>
      <c r="J27" s="14">
        <f t="shared" si="6"/>
        <v>0.20782310536937937</v>
      </c>
    </row>
    <row r="28" spans="1:15" x14ac:dyDescent="0.25">
      <c r="B28" s="11">
        <v>2000</v>
      </c>
      <c r="D28" s="16">
        <f t="shared" si="4"/>
        <v>31.240264950675751</v>
      </c>
      <c r="F28" s="16">
        <f t="shared" si="5"/>
        <v>24.958297333402538</v>
      </c>
      <c r="I28" s="12">
        <v>2000</v>
      </c>
      <c r="J28" s="14">
        <f t="shared" si="6"/>
        <v>0.20108560625819308</v>
      </c>
    </row>
    <row r="29" spans="1:15" x14ac:dyDescent="0.25">
      <c r="B29" s="11">
        <v>4000</v>
      </c>
      <c r="D29" s="16">
        <f t="shared" si="4"/>
        <v>31.217998773668462</v>
      </c>
      <c r="F29" s="16">
        <f t="shared" si="5"/>
        <v>24.935622887369519</v>
      </c>
      <c r="I29" s="12">
        <v>4000</v>
      </c>
      <c r="J29" s="14">
        <f t="shared" si="6"/>
        <v>0.20124210817760546</v>
      </c>
    </row>
    <row r="30" spans="1:15" x14ac:dyDescent="0.25">
      <c r="F30" s="17"/>
    </row>
  </sheetData>
  <mergeCells count="28">
    <mergeCell ref="I21:J21"/>
    <mergeCell ref="I11:J11"/>
    <mergeCell ref="C21:D21"/>
    <mergeCell ref="E21:F21"/>
    <mergeCell ref="N19:O19"/>
    <mergeCell ref="M11:P11"/>
    <mergeCell ref="N14:O14"/>
    <mergeCell ref="N15:O15"/>
    <mergeCell ref="N16:O16"/>
    <mergeCell ref="N17:O17"/>
    <mergeCell ref="N18:O18"/>
    <mergeCell ref="N7:O7"/>
    <mergeCell ref="N8:O8"/>
    <mergeCell ref="N9:O9"/>
    <mergeCell ref="N12:O12"/>
    <mergeCell ref="N1:Q1"/>
    <mergeCell ref="N2:O2"/>
    <mergeCell ref="N4:O4"/>
    <mergeCell ref="N5:O5"/>
    <mergeCell ref="N6:O6"/>
    <mergeCell ref="A16:B16"/>
    <mergeCell ref="A17:B17"/>
    <mergeCell ref="C1:F1"/>
    <mergeCell ref="A11:B11"/>
    <mergeCell ref="A12:B12"/>
    <mergeCell ref="A13:B13"/>
    <mergeCell ref="A14:B14"/>
    <mergeCell ref="A15:B15"/>
  </mergeCells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83597-0067-4E9A-A744-AD6D7A2B81AD}">
  <sheetPr>
    <tabColor rgb="FFFF0000"/>
  </sheetPr>
  <dimension ref="A1:Q30"/>
  <sheetViews>
    <sheetView topLeftCell="A10" workbookViewId="0">
      <selection activeCell="F24" sqref="F24:F29"/>
    </sheetView>
  </sheetViews>
  <sheetFormatPr defaultRowHeight="15" x14ac:dyDescent="0.25"/>
  <cols>
    <col min="3" max="3" width="16.140625" customWidth="1"/>
    <col min="7" max="8" width="18.140625" customWidth="1"/>
  </cols>
  <sheetData>
    <row r="1" spans="1:17" x14ac:dyDescent="0.25">
      <c r="C1" s="30" t="s">
        <v>19</v>
      </c>
      <c r="D1" s="30"/>
      <c r="E1" s="30"/>
      <c r="F1" s="30"/>
      <c r="N1" s="30" t="s">
        <v>32</v>
      </c>
      <c r="O1" s="30"/>
      <c r="P1" s="30"/>
      <c r="Q1" s="30"/>
    </row>
    <row r="2" spans="1:17" x14ac:dyDescent="0.25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23</v>
      </c>
      <c r="N2" s="35" t="s">
        <v>33</v>
      </c>
      <c r="O2" s="36"/>
    </row>
    <row r="3" spans="1:17" x14ac:dyDescent="0.25">
      <c r="A3" s="8"/>
      <c r="B3" s="8"/>
    </row>
    <row r="4" spans="1:17" x14ac:dyDescent="0.25">
      <c r="A4" s="8">
        <v>0</v>
      </c>
      <c r="B4" s="8">
        <f>125*2^(A4)</f>
        <v>125</v>
      </c>
      <c r="C4" s="9">
        <v>0.15</v>
      </c>
      <c r="D4" s="9">
        <v>0.08</v>
      </c>
      <c r="E4" s="9">
        <v>0.1</v>
      </c>
      <c r="F4" s="9">
        <v>0.3</v>
      </c>
      <c r="G4" s="9">
        <v>0.74</v>
      </c>
      <c r="H4" s="9">
        <v>0.74</v>
      </c>
      <c r="I4" s="9">
        <v>0.12</v>
      </c>
      <c r="J4" s="9">
        <v>0.55000000000000004</v>
      </c>
      <c r="N4" s="31">
        <f t="shared" ref="N4:N9" si="0">1/(surface_B1)*(C4*area_S1_B1+D4*area_S2_B1+E4*area_S3_B1+F4*area_S4_B1+G4*area_S5_B1_1+H4*area_S5_B1_2+I4*area_S6_B1+J4*area_S7_B1)</f>
        <v>0.33727227966518952</v>
      </c>
      <c r="O4" s="32"/>
    </row>
    <row r="5" spans="1:17" x14ac:dyDescent="0.25">
      <c r="A5" s="8">
        <v>1</v>
      </c>
      <c r="B5" s="8">
        <f>125*2^(A5)</f>
        <v>250</v>
      </c>
      <c r="C5" s="9">
        <v>0.11</v>
      </c>
      <c r="D5" s="9">
        <v>0.28999999999999998</v>
      </c>
      <c r="E5" s="9">
        <v>0.05</v>
      </c>
      <c r="F5" s="9">
        <v>0.25</v>
      </c>
      <c r="G5" s="9">
        <v>0.37</v>
      </c>
      <c r="H5" s="9">
        <v>0.37</v>
      </c>
      <c r="I5" s="9">
        <v>0.09</v>
      </c>
      <c r="J5" s="9">
        <v>0.25</v>
      </c>
      <c r="N5" s="31">
        <f t="shared" si="0"/>
        <v>0.23946331856228459</v>
      </c>
      <c r="O5" s="32"/>
    </row>
    <row r="6" spans="1:17" x14ac:dyDescent="0.25">
      <c r="A6" s="8">
        <v>2</v>
      </c>
      <c r="B6" s="8">
        <f t="shared" ref="B6:B9" si="1">125*2^(A6)</f>
        <v>500</v>
      </c>
      <c r="C6" s="9">
        <v>0.1</v>
      </c>
      <c r="D6" s="9">
        <v>0.75</v>
      </c>
      <c r="E6" s="9">
        <v>0.06</v>
      </c>
      <c r="F6" s="9">
        <v>0.2</v>
      </c>
      <c r="G6" s="9">
        <v>0.45</v>
      </c>
      <c r="H6" s="9">
        <v>0.45</v>
      </c>
      <c r="I6" s="9">
        <v>7.0000000000000007E-2</v>
      </c>
      <c r="J6" s="9">
        <v>0.18</v>
      </c>
      <c r="N6" s="31">
        <f t="shared" si="0"/>
        <v>0.37174790743476122</v>
      </c>
      <c r="O6" s="32"/>
    </row>
    <row r="7" spans="1:17" x14ac:dyDescent="0.25">
      <c r="A7" s="8">
        <v>3</v>
      </c>
      <c r="B7" s="8">
        <f t="shared" si="1"/>
        <v>1000</v>
      </c>
      <c r="C7" s="9">
        <v>7.0000000000000007E-2</v>
      </c>
      <c r="D7" s="9">
        <v>0.98</v>
      </c>
      <c r="E7" s="9">
        <v>7.0000000000000007E-2</v>
      </c>
      <c r="F7" s="9">
        <v>0.17</v>
      </c>
      <c r="G7" s="9">
        <v>0.35</v>
      </c>
      <c r="H7" s="9">
        <v>0.35</v>
      </c>
      <c r="I7" s="9">
        <v>0.05</v>
      </c>
      <c r="J7" s="9">
        <v>0.12</v>
      </c>
      <c r="N7" s="31">
        <f t="shared" si="0"/>
        <v>0.38482520925652386</v>
      </c>
      <c r="O7" s="32"/>
    </row>
    <row r="8" spans="1:17" x14ac:dyDescent="0.25">
      <c r="A8" s="8">
        <v>4</v>
      </c>
      <c r="B8" s="8">
        <f t="shared" si="1"/>
        <v>2000</v>
      </c>
      <c r="C8" s="9">
        <v>0.06</v>
      </c>
      <c r="D8" s="9">
        <v>0.93</v>
      </c>
      <c r="E8" s="9">
        <v>0.09</v>
      </c>
      <c r="F8" s="9">
        <v>0.15</v>
      </c>
      <c r="G8" s="9">
        <v>0.36</v>
      </c>
      <c r="H8" s="9">
        <v>0.36</v>
      </c>
      <c r="I8" s="9">
        <v>0.05</v>
      </c>
      <c r="J8" s="9">
        <v>7.0000000000000007E-2</v>
      </c>
      <c r="N8" s="31">
        <f t="shared" si="0"/>
        <v>0.3732644017725259</v>
      </c>
      <c r="O8" s="32"/>
    </row>
    <row r="9" spans="1:17" x14ac:dyDescent="0.25">
      <c r="A9" s="8">
        <v>5</v>
      </c>
      <c r="B9" s="8">
        <f t="shared" si="1"/>
        <v>4000</v>
      </c>
      <c r="C9" s="9">
        <v>7.0000000000000007E-2</v>
      </c>
      <c r="D9" s="9">
        <v>0.96</v>
      </c>
      <c r="E9" s="9">
        <v>0.08</v>
      </c>
      <c r="F9" s="9">
        <v>0.1</v>
      </c>
      <c r="G9" s="9">
        <v>0.34</v>
      </c>
      <c r="H9" s="9">
        <v>0.34</v>
      </c>
      <c r="I9" s="9">
        <v>0.04</v>
      </c>
      <c r="J9" s="9">
        <v>0.04</v>
      </c>
      <c r="N9" s="31">
        <f t="shared" si="0"/>
        <v>0.37336287543082219</v>
      </c>
      <c r="O9" s="32"/>
    </row>
    <row r="10" spans="1:17" x14ac:dyDescent="0.25">
      <c r="G10" s="10"/>
    </row>
    <row r="11" spans="1:17" x14ac:dyDescent="0.25">
      <c r="A11" s="29" t="s">
        <v>24</v>
      </c>
      <c r="B11" s="29"/>
      <c r="I11" s="37" t="s">
        <v>38</v>
      </c>
      <c r="J11" s="37"/>
      <c r="M11" s="30" t="s">
        <v>36</v>
      </c>
      <c r="N11" s="30"/>
      <c r="O11" s="30"/>
      <c r="P11" s="30"/>
    </row>
    <row r="12" spans="1:17" x14ac:dyDescent="0.25">
      <c r="A12" s="29" t="s">
        <v>25</v>
      </c>
      <c r="B12" s="29"/>
      <c r="I12" s="12" t="s">
        <v>17</v>
      </c>
      <c r="J12" s="14" t="s">
        <v>39</v>
      </c>
      <c r="L12" s="13"/>
      <c r="M12" s="11" t="s">
        <v>17</v>
      </c>
      <c r="N12" s="33" t="s">
        <v>37</v>
      </c>
      <c r="O12" s="34"/>
    </row>
    <row r="13" spans="1:17" x14ac:dyDescent="0.25">
      <c r="A13" s="29" t="s">
        <v>27</v>
      </c>
      <c r="B13" s="29"/>
      <c r="I13" s="12"/>
    </row>
    <row r="14" spans="1:17" x14ac:dyDescent="0.25">
      <c r="A14" s="29" t="s">
        <v>28</v>
      </c>
      <c r="B14" s="29"/>
      <c r="I14" s="12">
        <v>125</v>
      </c>
      <c r="J14" s="14">
        <f t="shared" ref="J14:J19" si="2">N4*surface_B1</f>
        <v>54.79999999999999</v>
      </c>
      <c r="M14" s="11">
        <v>125</v>
      </c>
      <c r="N14" s="39">
        <f t="shared" ref="N14:N19" si="3">(N4*surface_B1)/(1-N4)</f>
        <v>82.688558692421964</v>
      </c>
      <c r="O14" s="40"/>
    </row>
    <row r="15" spans="1:17" x14ac:dyDescent="0.25">
      <c r="A15" s="29" t="s">
        <v>29</v>
      </c>
      <c r="B15" s="29"/>
      <c r="I15" s="12">
        <v>250</v>
      </c>
      <c r="J15" s="14">
        <f t="shared" si="2"/>
        <v>38.907999999999994</v>
      </c>
      <c r="M15" s="11">
        <v>250</v>
      </c>
      <c r="N15" s="39">
        <f t="shared" si="3"/>
        <v>51.158610688505476</v>
      </c>
      <c r="O15" s="40"/>
    </row>
    <row r="16" spans="1:17" x14ac:dyDescent="0.25">
      <c r="A16" s="29" t="s">
        <v>30</v>
      </c>
      <c r="B16" s="29"/>
      <c r="I16" s="12">
        <v>500</v>
      </c>
      <c r="J16" s="14">
        <f t="shared" si="2"/>
        <v>60.401600000000002</v>
      </c>
      <c r="M16" s="11">
        <v>500</v>
      </c>
      <c r="N16" s="39">
        <f t="shared" si="3"/>
        <v>96.142298155143493</v>
      </c>
      <c r="O16" s="40"/>
    </row>
    <row r="17" spans="1:15" x14ac:dyDescent="0.25">
      <c r="A17" s="29" t="s">
        <v>31</v>
      </c>
      <c r="B17" s="29"/>
      <c r="I17" s="12">
        <v>1000</v>
      </c>
      <c r="J17" s="14">
        <f t="shared" si="2"/>
        <v>62.526399999999995</v>
      </c>
      <c r="M17" s="11">
        <v>1000</v>
      </c>
      <c r="N17" s="39">
        <f t="shared" si="3"/>
        <v>101.6400557058475</v>
      </c>
      <c r="O17" s="40"/>
    </row>
    <row r="18" spans="1:15" x14ac:dyDescent="0.25">
      <c r="I18" s="12">
        <v>2000</v>
      </c>
      <c r="J18" s="14">
        <f t="shared" si="2"/>
        <v>60.648000000000003</v>
      </c>
      <c r="M18" s="11">
        <v>2000</v>
      </c>
      <c r="N18" s="39">
        <f t="shared" si="3"/>
        <v>96.768079189252916</v>
      </c>
      <c r="O18" s="40"/>
    </row>
    <row r="19" spans="1:15" x14ac:dyDescent="0.25">
      <c r="F19" s="13"/>
      <c r="I19" s="12">
        <v>4000</v>
      </c>
      <c r="J19" s="14">
        <f t="shared" si="2"/>
        <v>60.663999999999987</v>
      </c>
      <c r="M19" s="11">
        <v>4000</v>
      </c>
      <c r="N19" s="39">
        <f t="shared" si="3"/>
        <v>96.808819046122395</v>
      </c>
      <c r="O19" s="40"/>
    </row>
    <row r="21" spans="1:15" x14ac:dyDescent="0.25">
      <c r="C21" s="37" t="s">
        <v>40</v>
      </c>
      <c r="D21" s="38"/>
      <c r="E21" s="37" t="s">
        <v>41</v>
      </c>
      <c r="F21" s="38"/>
      <c r="I21" s="37" t="s">
        <v>44</v>
      </c>
      <c r="J21" s="37"/>
    </row>
    <row r="22" spans="1:15" x14ac:dyDescent="0.25">
      <c r="B22" s="11" t="s">
        <v>17</v>
      </c>
      <c r="D22" s="16" t="s">
        <v>42</v>
      </c>
      <c r="F22" s="16" t="s">
        <v>43</v>
      </c>
      <c r="I22" s="12" t="s">
        <v>17</v>
      </c>
      <c r="J22" s="14" t="s">
        <v>45</v>
      </c>
    </row>
    <row r="23" spans="1:15" x14ac:dyDescent="0.25">
      <c r="B23" s="15"/>
      <c r="I23" s="12"/>
    </row>
    <row r="24" spans="1:15" x14ac:dyDescent="0.25">
      <c r="B24" s="11">
        <v>125</v>
      </c>
      <c r="D24" s="16">
        <f t="shared" ref="D24:D29" si="4">16*volume_B1/J14</f>
        <v>27.636788321167884</v>
      </c>
      <c r="F24" s="16">
        <f t="shared" ref="F24:F29" si="5">-16*(volume_B1/(surface_B1*LN(ABS(1-N4))))</f>
        <v>22.657572566380086</v>
      </c>
      <c r="I24" s="12">
        <v>125</v>
      </c>
      <c r="J24" s="14">
        <f>(D24-F24)/D24</f>
        <v>0.18016622253368206</v>
      </c>
    </row>
    <row r="25" spans="1:15" x14ac:dyDescent="0.25">
      <c r="B25" s="11">
        <v>250</v>
      </c>
      <c r="D25" s="16">
        <f t="shared" si="4"/>
        <v>38.925053973475897</v>
      </c>
      <c r="F25" s="16">
        <f t="shared" si="5"/>
        <v>34.052134426526244</v>
      </c>
      <c r="I25" s="12">
        <v>250</v>
      </c>
      <c r="J25" s="14">
        <f t="shared" ref="J25:J29" si="6">(D25-F25)/D25</f>
        <v>0.12518722646525118</v>
      </c>
    </row>
    <row r="26" spans="1:15" x14ac:dyDescent="0.25">
      <c r="B26" s="11">
        <v>500</v>
      </c>
      <c r="D26" s="16">
        <f t="shared" si="4"/>
        <v>25.073772880188603</v>
      </c>
      <c r="F26" s="16">
        <f t="shared" si="5"/>
        <v>20.053456170233229</v>
      </c>
      <c r="I26" s="12">
        <v>500</v>
      </c>
      <c r="J26" s="14">
        <f t="shared" si="6"/>
        <v>0.20022183075296371</v>
      </c>
    </row>
    <row r="27" spans="1:15" x14ac:dyDescent="0.25">
      <c r="B27" s="11">
        <v>1000</v>
      </c>
      <c r="D27" s="16">
        <f t="shared" si="4"/>
        <v>24.221704751912792</v>
      </c>
      <c r="F27" s="16">
        <f t="shared" si="5"/>
        <v>19.185231809042925</v>
      </c>
      <c r="I27" s="12">
        <v>1000</v>
      </c>
      <c r="J27" s="14">
        <f t="shared" si="6"/>
        <v>0.20793222419541449</v>
      </c>
    </row>
    <row r="28" spans="1:15" x14ac:dyDescent="0.25">
      <c r="B28" s="11">
        <v>2000</v>
      </c>
      <c r="D28" s="16">
        <f t="shared" si="4"/>
        <v>24.971903442817567</v>
      </c>
      <c r="F28" s="16">
        <f t="shared" si="5"/>
        <v>19.949729708710059</v>
      </c>
      <c r="I28" s="12">
        <v>2000</v>
      </c>
      <c r="J28" s="14">
        <f t="shared" si="6"/>
        <v>0.20111297264974762</v>
      </c>
    </row>
    <row r="29" spans="1:15" x14ac:dyDescent="0.25">
      <c r="B29" s="11">
        <v>4000</v>
      </c>
      <c r="D29" s="16">
        <f t="shared" si="4"/>
        <v>24.965317156798104</v>
      </c>
      <c r="F29" s="16">
        <f t="shared" si="5"/>
        <v>19.943022688592663</v>
      </c>
      <c r="I29" s="12">
        <v>4000</v>
      </c>
      <c r="J29" s="14">
        <f t="shared" si="6"/>
        <v>0.20117086583207539</v>
      </c>
    </row>
    <row r="30" spans="1:15" x14ac:dyDescent="0.25">
      <c r="F30" s="17"/>
    </row>
  </sheetData>
  <mergeCells count="28">
    <mergeCell ref="C21:D21"/>
    <mergeCell ref="E21:F21"/>
    <mergeCell ref="I21:J21"/>
    <mergeCell ref="A16:B16"/>
    <mergeCell ref="N16:O16"/>
    <mergeCell ref="A17:B17"/>
    <mergeCell ref="N17:O17"/>
    <mergeCell ref="N18:O18"/>
    <mergeCell ref="N19:O19"/>
    <mergeCell ref="A15:B15"/>
    <mergeCell ref="N15:O15"/>
    <mergeCell ref="N7:O7"/>
    <mergeCell ref="N8:O8"/>
    <mergeCell ref="N9:O9"/>
    <mergeCell ref="A11:B11"/>
    <mergeCell ref="I11:J11"/>
    <mergeCell ref="M11:P11"/>
    <mergeCell ref="A12:B12"/>
    <mergeCell ref="N12:O12"/>
    <mergeCell ref="A13:B13"/>
    <mergeCell ref="A14:B14"/>
    <mergeCell ref="N14:O14"/>
    <mergeCell ref="N6:O6"/>
    <mergeCell ref="C1:F1"/>
    <mergeCell ref="N1:Q1"/>
    <mergeCell ref="N2:O2"/>
    <mergeCell ref="N4:O4"/>
    <mergeCell ref="N5:O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0B089-3BAE-40AE-86A8-D3822389AE22}">
  <sheetPr>
    <tabColor theme="7" tint="-0.249977111117893"/>
  </sheetPr>
  <dimension ref="A1:Q30"/>
  <sheetViews>
    <sheetView topLeftCell="A10" workbookViewId="0">
      <selection activeCell="J25" sqref="J25"/>
    </sheetView>
  </sheetViews>
  <sheetFormatPr defaultRowHeight="15" x14ac:dyDescent="0.25"/>
  <cols>
    <col min="3" max="3" width="16.140625" customWidth="1"/>
    <col min="7" max="8" width="18.140625" customWidth="1"/>
  </cols>
  <sheetData>
    <row r="1" spans="1:17" x14ac:dyDescent="0.25">
      <c r="C1" s="30" t="s">
        <v>19</v>
      </c>
      <c r="D1" s="30"/>
      <c r="E1" s="30"/>
      <c r="F1" s="30"/>
      <c r="N1" s="30" t="s">
        <v>32</v>
      </c>
      <c r="O1" s="30"/>
      <c r="P1" s="30"/>
      <c r="Q1" s="30"/>
    </row>
    <row r="2" spans="1:17" x14ac:dyDescent="0.25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23</v>
      </c>
      <c r="N2" s="35" t="s">
        <v>33</v>
      </c>
      <c r="O2" s="36"/>
    </row>
    <row r="3" spans="1:17" x14ac:dyDescent="0.25">
      <c r="A3" s="8"/>
      <c r="B3" s="8"/>
    </row>
    <row r="4" spans="1:17" x14ac:dyDescent="0.25">
      <c r="A4" s="8">
        <v>0</v>
      </c>
      <c r="B4" s="8">
        <f>125*2^(A4)</f>
        <v>125</v>
      </c>
      <c r="C4" s="9">
        <v>0.15</v>
      </c>
      <c r="D4" s="9">
        <v>0.08</v>
      </c>
      <c r="E4" s="9">
        <v>0.1</v>
      </c>
      <c r="F4" s="9">
        <v>0.3</v>
      </c>
      <c r="G4" s="9">
        <v>0.74</v>
      </c>
      <c r="H4" s="9">
        <v>0.74</v>
      </c>
      <c r="I4" s="9">
        <v>0.12</v>
      </c>
      <c r="J4" s="9">
        <v>0.55000000000000004</v>
      </c>
      <c r="N4" s="31">
        <f t="shared" ref="N4:N9" si="0">1/(surface_B2)*(C4*area_S1_B2+D4*area_S2_B2+E4*area_S3_B2+F4*area_S4_B2+G4*area_S5_B2_1+H4*area_S5_B2_2+I4*area_S6_B2+J4*area_S7_B2)</f>
        <v>0.33350073855243711</v>
      </c>
      <c r="O4" s="32"/>
    </row>
    <row r="5" spans="1:17" x14ac:dyDescent="0.25">
      <c r="A5" s="8">
        <v>1</v>
      </c>
      <c r="B5" s="8">
        <f>125*2^(A5)</f>
        <v>250</v>
      </c>
      <c r="C5" s="9">
        <v>0.11</v>
      </c>
      <c r="D5" s="9">
        <v>0.28999999999999998</v>
      </c>
      <c r="E5" s="9">
        <v>0.05</v>
      </c>
      <c r="F5" s="9">
        <v>0.25</v>
      </c>
      <c r="G5" s="9">
        <v>0.37</v>
      </c>
      <c r="H5" s="9">
        <v>0.37</v>
      </c>
      <c r="I5" s="9">
        <v>0.09</v>
      </c>
      <c r="J5" s="9">
        <v>0.25</v>
      </c>
      <c r="N5" s="31">
        <f t="shared" si="0"/>
        <v>0.23728705071393397</v>
      </c>
      <c r="O5" s="32"/>
    </row>
    <row r="6" spans="1:17" x14ac:dyDescent="0.25">
      <c r="A6" s="8">
        <v>2</v>
      </c>
      <c r="B6" s="8">
        <f t="shared" ref="B6:B9" si="1">125*2^(A6)</f>
        <v>500</v>
      </c>
      <c r="C6" s="9">
        <v>0.1</v>
      </c>
      <c r="D6" s="9">
        <v>0.75</v>
      </c>
      <c r="E6" s="9">
        <v>0.06</v>
      </c>
      <c r="F6" s="9">
        <v>0.2</v>
      </c>
      <c r="G6" s="9">
        <v>0.45</v>
      </c>
      <c r="H6" s="9">
        <v>0.45</v>
      </c>
      <c r="I6" s="9">
        <v>7.0000000000000007E-2</v>
      </c>
      <c r="J6" s="9">
        <v>0.18</v>
      </c>
      <c r="N6" s="31">
        <f t="shared" si="0"/>
        <v>0.37023633677991125</v>
      </c>
      <c r="O6" s="32"/>
    </row>
    <row r="7" spans="1:17" x14ac:dyDescent="0.25">
      <c r="A7" s="8">
        <v>3</v>
      </c>
      <c r="B7" s="8">
        <f t="shared" si="1"/>
        <v>1000</v>
      </c>
      <c r="C7" s="9">
        <v>7.0000000000000007E-2</v>
      </c>
      <c r="D7" s="9">
        <v>0.98</v>
      </c>
      <c r="E7" s="9">
        <v>7.0000000000000007E-2</v>
      </c>
      <c r="F7" s="9">
        <v>0.17</v>
      </c>
      <c r="G7" s="9">
        <v>0.35</v>
      </c>
      <c r="H7" s="9">
        <v>0.35</v>
      </c>
      <c r="I7" s="9">
        <v>0.05</v>
      </c>
      <c r="J7" s="9">
        <v>0.12</v>
      </c>
      <c r="N7" s="31">
        <f t="shared" si="0"/>
        <v>0.38379615952732637</v>
      </c>
      <c r="O7" s="32"/>
    </row>
    <row r="8" spans="1:17" x14ac:dyDescent="0.25">
      <c r="A8" s="8">
        <v>4</v>
      </c>
      <c r="B8" s="8">
        <f t="shared" si="1"/>
        <v>2000</v>
      </c>
      <c r="C8" s="9">
        <v>0.06</v>
      </c>
      <c r="D8" s="9">
        <v>0.93</v>
      </c>
      <c r="E8" s="9">
        <v>0.09</v>
      </c>
      <c r="F8" s="9">
        <v>0.15</v>
      </c>
      <c r="G8" s="9">
        <v>0.36</v>
      </c>
      <c r="H8" s="9">
        <v>0.36</v>
      </c>
      <c r="I8" s="9">
        <v>0.05</v>
      </c>
      <c r="J8" s="9">
        <v>7.0000000000000007E-2</v>
      </c>
      <c r="N8" s="31">
        <f t="shared" si="0"/>
        <v>0.37277695716395859</v>
      </c>
      <c r="O8" s="32"/>
    </row>
    <row r="9" spans="1:17" x14ac:dyDescent="0.25">
      <c r="A9" s="8">
        <v>5</v>
      </c>
      <c r="B9" s="8">
        <f t="shared" si="1"/>
        <v>4000</v>
      </c>
      <c r="C9" s="9">
        <v>7.0000000000000007E-2</v>
      </c>
      <c r="D9" s="9">
        <v>0.96</v>
      </c>
      <c r="E9" s="9">
        <v>0.08</v>
      </c>
      <c r="F9" s="9">
        <v>0.1</v>
      </c>
      <c r="G9" s="9">
        <v>0.34</v>
      </c>
      <c r="H9" s="9">
        <v>0.34</v>
      </c>
      <c r="I9" s="9">
        <v>0.04</v>
      </c>
      <c r="J9" s="9">
        <v>0.04</v>
      </c>
      <c r="N9" s="31">
        <f t="shared" si="0"/>
        <v>0.37323978335795172</v>
      </c>
      <c r="O9" s="32"/>
    </row>
    <row r="10" spans="1:17" x14ac:dyDescent="0.25">
      <c r="G10" s="10"/>
    </row>
    <row r="11" spans="1:17" x14ac:dyDescent="0.25">
      <c r="A11" s="29" t="s">
        <v>24</v>
      </c>
      <c r="B11" s="29"/>
      <c r="I11" s="37" t="s">
        <v>38</v>
      </c>
      <c r="J11" s="37"/>
      <c r="M11" s="30" t="s">
        <v>36</v>
      </c>
      <c r="N11" s="30"/>
      <c r="O11" s="30"/>
      <c r="P11" s="30"/>
    </row>
    <row r="12" spans="1:17" x14ac:dyDescent="0.25">
      <c r="A12" s="29" t="s">
        <v>25</v>
      </c>
      <c r="B12" s="29"/>
      <c r="I12" s="12" t="s">
        <v>17</v>
      </c>
      <c r="J12" s="14" t="s">
        <v>39</v>
      </c>
      <c r="L12" s="13"/>
      <c r="M12" s="11" t="s">
        <v>17</v>
      </c>
      <c r="N12" s="33" t="s">
        <v>37</v>
      </c>
      <c r="O12" s="34"/>
    </row>
    <row r="13" spans="1:17" x14ac:dyDescent="0.25">
      <c r="A13" s="29" t="s">
        <v>27</v>
      </c>
      <c r="B13" s="29"/>
      <c r="I13" s="12"/>
    </row>
    <row r="14" spans="1:17" x14ac:dyDescent="0.25">
      <c r="A14" s="29" t="s">
        <v>28</v>
      </c>
      <c r="B14" s="29"/>
      <c r="I14" s="12">
        <v>125</v>
      </c>
      <c r="J14" s="14">
        <f t="shared" ref="J14:J19" si="2">N4*surface_B2</f>
        <v>121.92119999999996</v>
      </c>
      <c r="M14" s="11">
        <v>125</v>
      </c>
      <c r="N14" s="39">
        <f t="shared" ref="N14:N19" si="3">(N4*surface_B2)/(1-N4)</f>
        <v>182.92773458623279</v>
      </c>
      <c r="O14" s="40"/>
    </row>
    <row r="15" spans="1:17" x14ac:dyDescent="0.25">
      <c r="A15" s="29" t="s">
        <v>29</v>
      </c>
      <c r="B15" s="29"/>
      <c r="I15" s="12">
        <v>250</v>
      </c>
      <c r="J15" s="14">
        <f t="shared" si="2"/>
        <v>86.747399999999971</v>
      </c>
      <c r="M15" s="11">
        <v>250</v>
      </c>
      <c r="N15" s="39">
        <f t="shared" si="3"/>
        <v>113.73531822319194</v>
      </c>
      <c r="O15" s="40"/>
    </row>
    <row r="16" spans="1:17" x14ac:dyDescent="0.25">
      <c r="A16" s="29" t="s">
        <v>30</v>
      </c>
      <c r="B16" s="29"/>
      <c r="I16" s="12">
        <v>500</v>
      </c>
      <c r="J16" s="14">
        <f t="shared" si="2"/>
        <v>135.35099999999994</v>
      </c>
      <c r="M16" s="11">
        <v>500</v>
      </c>
      <c r="N16" s="39">
        <f t="shared" si="3"/>
        <v>214.9234830538289</v>
      </c>
      <c r="O16" s="40"/>
    </row>
    <row r="17" spans="1:15" x14ac:dyDescent="0.25">
      <c r="A17" s="29" t="s">
        <v>31</v>
      </c>
      <c r="B17" s="29"/>
      <c r="I17" s="12">
        <v>1000</v>
      </c>
      <c r="J17" s="14">
        <f t="shared" si="2"/>
        <v>140.30819999999997</v>
      </c>
      <c r="M17" s="11">
        <v>1000</v>
      </c>
      <c r="N17" s="39">
        <f t="shared" si="3"/>
        <v>227.69770453292415</v>
      </c>
      <c r="O17" s="40"/>
    </row>
    <row r="18" spans="1:15" x14ac:dyDescent="0.25">
      <c r="I18" s="12">
        <v>2000</v>
      </c>
      <c r="J18" s="14">
        <f t="shared" si="2"/>
        <v>136.27979999999997</v>
      </c>
      <c r="M18" s="11">
        <v>2000</v>
      </c>
      <c r="N18" s="39">
        <f t="shared" si="3"/>
        <v>217.27486187975404</v>
      </c>
      <c r="O18" s="40"/>
    </row>
    <row r="19" spans="1:15" x14ac:dyDescent="0.25">
      <c r="F19" s="13"/>
      <c r="I19" s="12">
        <v>4000</v>
      </c>
      <c r="J19" s="14">
        <f t="shared" si="2"/>
        <v>136.44899999999998</v>
      </c>
      <c r="M19" s="11">
        <v>4000</v>
      </c>
      <c r="N19" s="39">
        <f t="shared" si="3"/>
        <v>217.70526650693267</v>
      </c>
      <c r="O19" s="40"/>
    </row>
    <row r="21" spans="1:15" x14ac:dyDescent="0.25">
      <c r="C21" s="37" t="s">
        <v>40</v>
      </c>
      <c r="D21" s="38"/>
      <c r="E21" s="37" t="s">
        <v>41</v>
      </c>
      <c r="F21" s="38"/>
      <c r="I21" s="37" t="s">
        <v>44</v>
      </c>
      <c r="J21" s="37"/>
    </row>
    <row r="22" spans="1:15" x14ac:dyDescent="0.25">
      <c r="B22" s="11" t="s">
        <v>17</v>
      </c>
      <c r="D22" s="16" t="s">
        <v>42</v>
      </c>
      <c r="F22" s="16" t="s">
        <v>43</v>
      </c>
      <c r="I22" s="12" t="s">
        <v>17</v>
      </c>
      <c r="J22" s="14" t="s">
        <v>45</v>
      </c>
    </row>
    <row r="23" spans="1:15" x14ac:dyDescent="0.25">
      <c r="B23" s="15"/>
      <c r="I23" s="12"/>
    </row>
    <row r="24" spans="1:15" x14ac:dyDescent="0.25">
      <c r="B24" s="11">
        <v>125</v>
      </c>
      <c r="D24" s="16">
        <f t="shared" ref="D24:D29" si="4">16*volume_B2/J14</f>
        <v>41.923996811055019</v>
      </c>
      <c r="F24" s="16">
        <f t="shared" ref="F24:F29" si="5">-16*(volume_B2/(surface_B2*LN(ABS(1-N4))))</f>
        <v>34.461730302289901</v>
      </c>
      <c r="I24" s="12">
        <v>125</v>
      </c>
      <c r="J24" s="14">
        <f>(D24-F24)/D24</f>
        <v>0.17799511202131804</v>
      </c>
    </row>
    <row r="25" spans="1:15" x14ac:dyDescent="0.25">
      <c r="B25" s="11">
        <v>250</v>
      </c>
      <c r="D25" s="16">
        <f t="shared" si="4"/>
        <v>58.923080115369459</v>
      </c>
      <c r="F25" s="16">
        <f t="shared" si="5"/>
        <v>51.617017763930036</v>
      </c>
      <c r="I25" s="12">
        <v>250</v>
      </c>
      <c r="J25" s="14">
        <f t="shared" ref="J25:J29" si="6">(D25-F25)/D25</f>
        <v>0.12399321856790907</v>
      </c>
    </row>
    <row r="26" spans="1:15" x14ac:dyDescent="0.25">
      <c r="B26" s="11">
        <v>500</v>
      </c>
      <c r="D26" s="16">
        <f t="shared" si="4"/>
        <v>37.764213046080201</v>
      </c>
      <c r="F26" s="16">
        <f t="shared" si="5"/>
        <v>30.236508098674754</v>
      </c>
      <c r="I26" s="12">
        <v>500</v>
      </c>
      <c r="J26" s="14">
        <f t="shared" si="6"/>
        <v>0.19933435229326982</v>
      </c>
    </row>
    <row r="27" spans="1:15" x14ac:dyDescent="0.25">
      <c r="B27" s="11">
        <v>1000</v>
      </c>
      <c r="D27" s="16">
        <f t="shared" si="4"/>
        <v>36.42997344417504</v>
      </c>
      <c r="F27" s="16">
        <f t="shared" si="5"/>
        <v>28.877188727573277</v>
      </c>
      <c r="I27" s="12">
        <v>1000</v>
      </c>
      <c r="J27" s="14">
        <f t="shared" si="6"/>
        <v>0.20732336596883832</v>
      </c>
    </row>
    <row r="28" spans="1:15" x14ac:dyDescent="0.25">
      <c r="B28" s="11">
        <v>2000</v>
      </c>
      <c r="D28" s="16">
        <f t="shared" si="4"/>
        <v>37.506835202282367</v>
      </c>
      <c r="F28" s="16">
        <f t="shared" si="5"/>
        <v>29.974470652400978</v>
      </c>
      <c r="I28" s="12">
        <v>2000</v>
      </c>
      <c r="J28" s="14">
        <f t="shared" si="6"/>
        <v>0.200826449612657</v>
      </c>
    </row>
    <row r="29" spans="1:15" x14ac:dyDescent="0.25">
      <c r="B29" s="11">
        <v>4000</v>
      </c>
      <c r="D29" s="16">
        <f t="shared" si="4"/>
        <v>37.460325836026648</v>
      </c>
      <c r="F29" s="16">
        <f t="shared" si="5"/>
        <v>29.927110505912459</v>
      </c>
      <c r="I29" s="12">
        <v>4000</v>
      </c>
      <c r="J29" s="14">
        <f t="shared" si="6"/>
        <v>0.20109849986593772</v>
      </c>
    </row>
    <row r="30" spans="1:15" x14ac:dyDescent="0.25">
      <c r="F30" s="17"/>
    </row>
  </sheetData>
  <mergeCells count="28">
    <mergeCell ref="C21:D21"/>
    <mergeCell ref="E21:F21"/>
    <mergeCell ref="I21:J21"/>
    <mergeCell ref="A16:B16"/>
    <mergeCell ref="N16:O16"/>
    <mergeCell ref="A17:B17"/>
    <mergeCell ref="N17:O17"/>
    <mergeCell ref="N18:O18"/>
    <mergeCell ref="N19:O19"/>
    <mergeCell ref="A15:B15"/>
    <mergeCell ref="N15:O15"/>
    <mergeCell ref="N7:O7"/>
    <mergeCell ref="N8:O8"/>
    <mergeCell ref="N9:O9"/>
    <mergeCell ref="A11:B11"/>
    <mergeCell ref="I11:J11"/>
    <mergeCell ref="M11:P11"/>
    <mergeCell ref="A12:B12"/>
    <mergeCell ref="N12:O12"/>
    <mergeCell ref="A13:B13"/>
    <mergeCell ref="A14:B14"/>
    <mergeCell ref="N14:O14"/>
    <mergeCell ref="N6:O6"/>
    <mergeCell ref="C1:F1"/>
    <mergeCell ref="N1:Q1"/>
    <mergeCell ref="N2:O2"/>
    <mergeCell ref="N4:O4"/>
    <mergeCell ref="N5:O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698F4-06BD-421E-9529-BB5CB852E698}">
  <sheetPr>
    <tabColor theme="5" tint="-0.249977111117893"/>
  </sheetPr>
  <dimension ref="A1:Q30"/>
  <sheetViews>
    <sheetView topLeftCell="E12" workbookViewId="0">
      <selection activeCell="J34" sqref="J34"/>
    </sheetView>
  </sheetViews>
  <sheetFormatPr defaultRowHeight="15" x14ac:dyDescent="0.25"/>
  <cols>
    <col min="3" max="3" width="16.140625" customWidth="1"/>
    <col min="7" max="8" width="18.140625" customWidth="1"/>
  </cols>
  <sheetData>
    <row r="1" spans="1:17" x14ac:dyDescent="0.25">
      <c r="C1" s="30" t="s">
        <v>19</v>
      </c>
      <c r="D1" s="30"/>
      <c r="E1" s="30"/>
      <c r="F1" s="30"/>
      <c r="N1" s="30" t="s">
        <v>32</v>
      </c>
      <c r="O1" s="30"/>
      <c r="P1" s="30"/>
      <c r="Q1" s="30"/>
    </row>
    <row r="2" spans="1:17" x14ac:dyDescent="0.25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47</v>
      </c>
      <c r="K2" s="20" t="s">
        <v>48</v>
      </c>
      <c r="N2" s="35" t="s">
        <v>33</v>
      </c>
      <c r="O2" s="36"/>
    </row>
    <row r="3" spans="1:17" x14ac:dyDescent="0.25">
      <c r="A3" s="8"/>
      <c r="B3" s="8"/>
    </row>
    <row r="4" spans="1:17" x14ac:dyDescent="0.25">
      <c r="A4" s="8">
        <v>0</v>
      </c>
      <c r="B4" s="8">
        <f>125*2^(A4)</f>
        <v>125</v>
      </c>
      <c r="C4" s="9">
        <v>0.15</v>
      </c>
      <c r="D4" s="9">
        <v>0.08</v>
      </c>
      <c r="E4" s="9">
        <v>0.1</v>
      </c>
      <c r="F4" s="9">
        <v>0.3</v>
      </c>
      <c r="G4" s="9">
        <v>0.74</v>
      </c>
      <c r="H4" s="9">
        <v>0.74</v>
      </c>
      <c r="I4" s="9">
        <v>0.12</v>
      </c>
      <c r="J4" s="9">
        <v>0.14000000000000001</v>
      </c>
      <c r="K4" s="9">
        <v>0.3</v>
      </c>
      <c r="N4" s="31">
        <f t="shared" ref="N4:N9" si="0">1/(surface_A)*(0.4*C4*area_S1+D4*area_S2+E4*area_S3+F4*area_S4+G4*area_S5_1+H4*area_S5_2+I4*area_S6+J4*area_S7 + 0.6*K4*area_S1)</f>
        <v>0.34333920532393808</v>
      </c>
      <c r="O4" s="32"/>
    </row>
    <row r="5" spans="1:17" x14ac:dyDescent="0.25">
      <c r="A5" s="8">
        <v>1</v>
      </c>
      <c r="B5" s="8">
        <f>125*2^(A5)</f>
        <v>250</v>
      </c>
      <c r="C5" s="9">
        <v>0.11</v>
      </c>
      <c r="D5" s="9">
        <v>0.28999999999999998</v>
      </c>
      <c r="E5" s="9">
        <v>0.05</v>
      </c>
      <c r="F5" s="9">
        <v>0.25</v>
      </c>
      <c r="G5" s="9">
        <v>0.37</v>
      </c>
      <c r="H5" s="9">
        <v>0.37</v>
      </c>
      <c r="I5" s="9">
        <v>0.09</v>
      </c>
      <c r="J5" s="9">
        <v>0.35</v>
      </c>
      <c r="K5" s="9">
        <v>0.41</v>
      </c>
      <c r="N5" s="31">
        <f t="shared" si="0"/>
        <v>0.28621452339009584</v>
      </c>
      <c r="O5" s="32"/>
    </row>
    <row r="6" spans="1:17" x14ac:dyDescent="0.25">
      <c r="A6" s="8">
        <v>2</v>
      </c>
      <c r="B6" s="8">
        <f t="shared" ref="B6:B9" si="1">125*2^(A6)</f>
        <v>500</v>
      </c>
      <c r="C6" s="9">
        <v>0.1</v>
      </c>
      <c r="D6" s="9">
        <v>0.75</v>
      </c>
      <c r="E6" s="9">
        <v>0.06</v>
      </c>
      <c r="F6" s="9">
        <v>0.2</v>
      </c>
      <c r="G6" s="9">
        <v>0.45</v>
      </c>
      <c r="H6" s="9">
        <v>0.45</v>
      </c>
      <c r="I6" s="9">
        <v>7.0000000000000007E-2</v>
      </c>
      <c r="J6" s="9">
        <v>0.55000000000000004</v>
      </c>
      <c r="K6" s="9">
        <v>0.49</v>
      </c>
      <c r="N6" s="31">
        <f t="shared" si="0"/>
        <v>0.44192875318066155</v>
      </c>
      <c r="O6" s="32"/>
    </row>
    <row r="7" spans="1:17" x14ac:dyDescent="0.25">
      <c r="A7" s="8">
        <v>3</v>
      </c>
      <c r="B7" s="8">
        <f t="shared" si="1"/>
        <v>1000</v>
      </c>
      <c r="C7" s="9">
        <v>7.0000000000000007E-2</v>
      </c>
      <c r="D7" s="9">
        <v>0.98</v>
      </c>
      <c r="E7" s="9">
        <v>7.0000000000000007E-2</v>
      </c>
      <c r="F7" s="9">
        <v>0.17</v>
      </c>
      <c r="G7" s="9">
        <v>0.35</v>
      </c>
      <c r="H7" s="9">
        <v>0.35</v>
      </c>
      <c r="I7" s="9">
        <v>0.05</v>
      </c>
      <c r="J7" s="9">
        <v>0.72</v>
      </c>
      <c r="K7" s="9">
        <v>0.84</v>
      </c>
      <c r="N7" s="31">
        <f t="shared" si="0"/>
        <v>0.51905891563906836</v>
      </c>
      <c r="O7" s="32"/>
    </row>
    <row r="8" spans="1:17" x14ac:dyDescent="0.25">
      <c r="A8" s="8">
        <v>4</v>
      </c>
      <c r="B8" s="8">
        <f t="shared" si="1"/>
        <v>2000</v>
      </c>
      <c r="C8" s="9">
        <v>0.06</v>
      </c>
      <c r="D8" s="9">
        <v>0.93</v>
      </c>
      <c r="E8" s="9">
        <v>0.09</v>
      </c>
      <c r="F8" s="9">
        <v>0.15</v>
      </c>
      <c r="G8" s="9">
        <v>0.36</v>
      </c>
      <c r="H8" s="9">
        <v>0.36</v>
      </c>
      <c r="I8" s="9">
        <v>0.05</v>
      </c>
      <c r="J8" s="9">
        <v>0.7</v>
      </c>
      <c r="K8" s="9">
        <v>0.87</v>
      </c>
      <c r="N8" s="31">
        <f t="shared" si="0"/>
        <v>0.51457545507927183</v>
      </c>
      <c r="O8" s="32"/>
    </row>
    <row r="9" spans="1:17" x14ac:dyDescent="0.25">
      <c r="A9" s="8">
        <v>5</v>
      </c>
      <c r="B9" s="8">
        <f t="shared" si="1"/>
        <v>4000</v>
      </c>
      <c r="C9" s="9">
        <v>7.0000000000000007E-2</v>
      </c>
      <c r="D9" s="9">
        <v>0.96</v>
      </c>
      <c r="E9" s="9">
        <v>0.08</v>
      </c>
      <c r="F9" s="9">
        <v>0.1</v>
      </c>
      <c r="G9" s="9">
        <v>0.34</v>
      </c>
      <c r="H9" s="9">
        <v>0.34</v>
      </c>
      <c r="I9" s="9">
        <v>0.04</v>
      </c>
      <c r="J9" s="9">
        <v>0.65</v>
      </c>
      <c r="K9" s="9">
        <v>0.84</v>
      </c>
      <c r="N9" s="31">
        <f t="shared" si="0"/>
        <v>0.50827206889802301</v>
      </c>
      <c r="O9" s="32"/>
    </row>
    <row r="10" spans="1:17" x14ac:dyDescent="0.25">
      <c r="G10" s="10"/>
    </row>
    <row r="11" spans="1:17" x14ac:dyDescent="0.25">
      <c r="A11" s="29" t="s">
        <v>46</v>
      </c>
      <c r="B11" s="29"/>
      <c r="I11" s="37" t="s">
        <v>38</v>
      </c>
      <c r="J11" s="37"/>
      <c r="M11" s="30" t="s">
        <v>36</v>
      </c>
      <c r="N11" s="30"/>
      <c r="O11" s="30"/>
      <c r="P11" s="30"/>
    </row>
    <row r="12" spans="1:17" x14ac:dyDescent="0.25">
      <c r="A12" s="29" t="s">
        <v>25</v>
      </c>
      <c r="B12" s="29"/>
      <c r="I12" s="12" t="s">
        <v>17</v>
      </c>
      <c r="J12" s="14" t="s">
        <v>39</v>
      </c>
      <c r="L12" s="13"/>
      <c r="M12" s="11" t="s">
        <v>17</v>
      </c>
      <c r="N12" s="33" t="s">
        <v>37</v>
      </c>
      <c r="O12" s="34"/>
    </row>
    <row r="13" spans="1:17" x14ac:dyDescent="0.25">
      <c r="A13" s="29" t="s">
        <v>27</v>
      </c>
      <c r="B13" s="29"/>
      <c r="I13" s="12"/>
    </row>
    <row r="14" spans="1:17" x14ac:dyDescent="0.25">
      <c r="A14" s="29" t="s">
        <v>28</v>
      </c>
      <c r="B14" s="29"/>
      <c r="I14" s="12">
        <v>125</v>
      </c>
      <c r="J14" s="14">
        <f t="shared" ref="J14:J19" si="2">N4*surface_A</f>
        <v>87.705999999999975</v>
      </c>
      <c r="M14" s="11">
        <v>125</v>
      </c>
      <c r="N14" s="39">
        <f t="shared" ref="N14:N19" si="3">(N4*surface_A)/(1-N4)</f>
        <v>133.56363088992748</v>
      </c>
      <c r="O14" s="40"/>
    </row>
    <row r="15" spans="1:17" x14ac:dyDescent="0.25">
      <c r="A15" s="29" t="s">
        <v>29</v>
      </c>
      <c r="B15" s="29"/>
      <c r="I15" s="12">
        <v>250</v>
      </c>
      <c r="J15" s="14">
        <f t="shared" si="2"/>
        <v>73.113499999999974</v>
      </c>
      <c r="M15" s="11">
        <v>250</v>
      </c>
      <c r="N15" s="39">
        <f t="shared" si="3"/>
        <v>102.43063552826776</v>
      </c>
      <c r="O15" s="40"/>
    </row>
    <row r="16" spans="1:17" x14ac:dyDescent="0.25">
      <c r="A16" s="29" t="s">
        <v>30</v>
      </c>
      <c r="B16" s="29"/>
      <c r="I16" s="12">
        <v>500</v>
      </c>
      <c r="J16" s="14">
        <f t="shared" si="2"/>
        <v>112.89069999999998</v>
      </c>
      <c r="M16" s="11">
        <v>500</v>
      </c>
      <c r="N16" s="39">
        <f t="shared" si="3"/>
        <v>202.28725390065742</v>
      </c>
      <c r="O16" s="40"/>
    </row>
    <row r="17" spans="1:15" x14ac:dyDescent="0.25">
      <c r="A17" s="29" t="s">
        <v>31</v>
      </c>
      <c r="B17" s="29"/>
      <c r="I17" s="12">
        <v>1000</v>
      </c>
      <c r="J17" s="14">
        <f t="shared" si="2"/>
        <v>132.59360000000001</v>
      </c>
      <c r="M17" s="11">
        <v>1000</v>
      </c>
      <c r="N17" s="39">
        <f t="shared" si="3"/>
        <v>275.69613890688646</v>
      </c>
      <c r="O17" s="40"/>
    </row>
    <row r="18" spans="1:15" x14ac:dyDescent="0.25">
      <c r="I18" s="12">
        <v>2000</v>
      </c>
      <c r="J18" s="14">
        <f t="shared" si="2"/>
        <v>131.44829999999999</v>
      </c>
      <c r="M18" s="11">
        <v>2000</v>
      </c>
      <c r="N18" s="39">
        <f t="shared" si="3"/>
        <v>270.79038622051144</v>
      </c>
      <c r="O18" s="40"/>
    </row>
    <row r="19" spans="1:15" x14ac:dyDescent="0.25">
      <c r="A19" s="41" t="s">
        <v>49</v>
      </c>
      <c r="B19" s="41"/>
      <c r="F19" s="13"/>
      <c r="I19" s="12">
        <v>4000</v>
      </c>
      <c r="J19" s="14">
        <f t="shared" si="2"/>
        <v>129.83809999999997</v>
      </c>
      <c r="M19" s="11">
        <v>4000</v>
      </c>
      <c r="N19" s="39">
        <f t="shared" si="3"/>
        <v>264.04459008262739</v>
      </c>
      <c r="O19" s="40"/>
    </row>
    <row r="21" spans="1:15" x14ac:dyDescent="0.25">
      <c r="C21" s="37" t="s">
        <v>40</v>
      </c>
      <c r="D21" s="38"/>
      <c r="E21" s="37" t="s">
        <v>41</v>
      </c>
      <c r="F21" s="38"/>
      <c r="I21" s="37" t="s">
        <v>44</v>
      </c>
      <c r="J21" s="37"/>
    </row>
    <row r="22" spans="1:15" x14ac:dyDescent="0.25">
      <c r="B22" s="11" t="s">
        <v>17</v>
      </c>
      <c r="D22" s="16" t="s">
        <v>42</v>
      </c>
      <c r="F22" s="16" t="s">
        <v>43</v>
      </c>
      <c r="I22" s="12" t="s">
        <v>17</v>
      </c>
      <c r="J22" s="14" t="s">
        <v>45</v>
      </c>
    </row>
    <row r="23" spans="1:15" x14ac:dyDescent="0.25">
      <c r="B23" s="15"/>
      <c r="I23" s="12"/>
    </row>
    <row r="24" spans="1:15" x14ac:dyDescent="0.25">
      <c r="B24" s="11">
        <v>125</v>
      </c>
      <c r="D24" s="16">
        <f t="shared" ref="D24:D29" si="4">16*volume_A/J14</f>
        <v>33.958908170478651</v>
      </c>
      <c r="F24" s="16">
        <f t="shared" ref="F24:F29" si="5">-16*(volume_A/(surface_A*LN(ABS(1-N4))))</f>
        <v>27.721744776365384</v>
      </c>
      <c r="I24" s="12">
        <v>125</v>
      </c>
      <c r="J24" s="14">
        <f>(D24-F24)/D24</f>
        <v>0.18366796019476836</v>
      </c>
    </row>
    <row r="25" spans="1:15" x14ac:dyDescent="0.25">
      <c r="B25" s="11">
        <v>250</v>
      </c>
      <c r="D25" s="16">
        <f t="shared" si="4"/>
        <v>40.736662859800184</v>
      </c>
      <c r="F25" s="16">
        <f t="shared" si="5"/>
        <v>34.579966225272685</v>
      </c>
      <c r="I25" s="12">
        <v>250</v>
      </c>
      <c r="J25" s="14">
        <f t="shared" ref="J25:J29" si="6">(D25-F25)/D25</f>
        <v>0.15113404491959651</v>
      </c>
    </row>
    <row r="26" spans="1:15" x14ac:dyDescent="0.25">
      <c r="B26" s="11">
        <v>500</v>
      </c>
      <c r="D26" s="16">
        <f t="shared" si="4"/>
        <v>26.383041295695751</v>
      </c>
      <c r="F26" s="16">
        <f t="shared" si="5"/>
        <v>19.989801782163106</v>
      </c>
      <c r="I26" s="12">
        <v>500</v>
      </c>
      <c r="J26" s="14">
        <f t="shared" si="6"/>
        <v>0.24232382619875092</v>
      </c>
    </row>
    <row r="27" spans="1:15" x14ac:dyDescent="0.25">
      <c r="B27" s="11">
        <v>1000</v>
      </c>
      <c r="D27" s="16">
        <f t="shared" si="4"/>
        <v>22.462622630353195</v>
      </c>
      <c r="F27" s="16">
        <f t="shared" si="5"/>
        <v>15.927947087154459</v>
      </c>
      <c r="I27" s="12">
        <v>1000</v>
      </c>
      <c r="J27" s="14">
        <f t="shared" si="6"/>
        <v>0.29091329408564198</v>
      </c>
    </row>
    <row r="28" spans="1:15" x14ac:dyDescent="0.25">
      <c r="B28" s="11">
        <v>2000</v>
      </c>
      <c r="D28" s="16">
        <f t="shared" si="4"/>
        <v>22.658337916884431</v>
      </c>
      <c r="F28" s="16">
        <f t="shared" si="5"/>
        <v>16.132444519195758</v>
      </c>
      <c r="I28" s="12">
        <v>2000</v>
      </c>
      <c r="J28" s="14">
        <f t="shared" si="6"/>
        <v>0.28801289051416873</v>
      </c>
    </row>
    <row r="29" spans="1:15" x14ac:dyDescent="0.25">
      <c r="B29" s="11">
        <v>4000</v>
      </c>
      <c r="D29" s="16">
        <f t="shared" si="4"/>
        <v>22.939337528814733</v>
      </c>
      <c r="F29" s="16">
        <f t="shared" si="5"/>
        <v>16.425664533854462</v>
      </c>
      <c r="I29" s="12">
        <v>4000</v>
      </c>
      <c r="J29" s="14">
        <f t="shared" si="6"/>
        <v>0.2839520969940072</v>
      </c>
    </row>
    <row r="30" spans="1:15" x14ac:dyDescent="0.25">
      <c r="F30" s="17"/>
    </row>
  </sheetData>
  <mergeCells count="29">
    <mergeCell ref="C21:D21"/>
    <mergeCell ref="E21:F21"/>
    <mergeCell ref="I21:J21"/>
    <mergeCell ref="A19:B19"/>
    <mergeCell ref="A16:B16"/>
    <mergeCell ref="N16:O16"/>
    <mergeCell ref="A17:B17"/>
    <mergeCell ref="N17:O17"/>
    <mergeCell ref="N18:O18"/>
    <mergeCell ref="N19:O19"/>
    <mergeCell ref="A15:B15"/>
    <mergeCell ref="N15:O15"/>
    <mergeCell ref="N7:O7"/>
    <mergeCell ref="N8:O8"/>
    <mergeCell ref="N9:O9"/>
    <mergeCell ref="A11:B11"/>
    <mergeCell ref="I11:J11"/>
    <mergeCell ref="M11:P11"/>
    <mergeCell ref="A12:B12"/>
    <mergeCell ref="N12:O12"/>
    <mergeCell ref="A13:B13"/>
    <mergeCell ref="A14:B14"/>
    <mergeCell ref="N14:O14"/>
    <mergeCell ref="N6:O6"/>
    <mergeCell ref="C1:F1"/>
    <mergeCell ref="N1:Q1"/>
    <mergeCell ref="N2:O2"/>
    <mergeCell ref="N4:O4"/>
    <mergeCell ref="N5:O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C297D-ECEA-4085-97BE-CE6B7482A8FD}">
  <sheetPr>
    <tabColor rgb="FFFF0000"/>
  </sheetPr>
  <dimension ref="A1:Q30"/>
  <sheetViews>
    <sheetView workbookViewId="0">
      <selection activeCell="K2" sqref="K2:K9"/>
    </sheetView>
  </sheetViews>
  <sheetFormatPr defaultRowHeight="15" x14ac:dyDescent="0.25"/>
  <cols>
    <col min="3" max="3" width="16.140625" customWidth="1"/>
    <col min="7" max="8" width="18.140625" customWidth="1"/>
  </cols>
  <sheetData>
    <row r="1" spans="1:17" x14ac:dyDescent="0.25">
      <c r="C1" s="30" t="s">
        <v>19</v>
      </c>
      <c r="D1" s="30"/>
      <c r="E1" s="30"/>
      <c r="F1" s="30"/>
      <c r="N1" s="30" t="s">
        <v>32</v>
      </c>
      <c r="O1" s="30"/>
      <c r="P1" s="30"/>
      <c r="Q1" s="30"/>
    </row>
    <row r="2" spans="1:17" x14ac:dyDescent="0.25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47</v>
      </c>
      <c r="K2" s="20" t="s">
        <v>48</v>
      </c>
      <c r="N2" s="35" t="s">
        <v>33</v>
      </c>
      <c r="O2" s="36"/>
    </row>
    <row r="3" spans="1:17" x14ac:dyDescent="0.25">
      <c r="A3" s="8"/>
      <c r="B3" s="8"/>
    </row>
    <row r="4" spans="1:17" x14ac:dyDescent="0.25">
      <c r="A4" s="8">
        <v>0</v>
      </c>
      <c r="B4" s="8">
        <f>125*2^(A4)</f>
        <v>125</v>
      </c>
      <c r="C4" s="9">
        <v>0.15</v>
      </c>
      <c r="D4" s="9">
        <v>0.08</v>
      </c>
      <c r="E4" s="9">
        <v>0.1</v>
      </c>
      <c r="F4" s="9">
        <v>0.3</v>
      </c>
      <c r="G4" s="9">
        <v>0.74</v>
      </c>
      <c r="H4" s="9">
        <v>0.74</v>
      </c>
      <c r="I4" s="9">
        <v>0.12</v>
      </c>
      <c r="J4" s="9">
        <v>0.14000000000000001</v>
      </c>
      <c r="K4" s="9">
        <v>0.3</v>
      </c>
      <c r="N4" s="31">
        <f t="shared" ref="N4:N9" si="0">1/(surface_B1)*(0.4*C4*area_S1_B1+D4*area_S2_B1+E4*area_S3_B1+F4*area_S4_B1+G4*area_S5_B1_1+H4*area_S5_B1_2+I4*area_S6_B1+J4*area_S7_B1+0.6*K4*area_S1_B1)</f>
        <v>0.34397833579517478</v>
      </c>
      <c r="O4" s="32"/>
    </row>
    <row r="5" spans="1:17" x14ac:dyDescent="0.25">
      <c r="A5" s="8">
        <v>1</v>
      </c>
      <c r="B5" s="8">
        <f>125*2^(A5)</f>
        <v>250</v>
      </c>
      <c r="C5" s="9">
        <v>0.11</v>
      </c>
      <c r="D5" s="9">
        <v>0.28999999999999998</v>
      </c>
      <c r="E5" s="9">
        <v>0.05</v>
      </c>
      <c r="F5" s="9">
        <v>0.25</v>
      </c>
      <c r="G5" s="9">
        <v>0.37</v>
      </c>
      <c r="H5" s="9">
        <v>0.37</v>
      </c>
      <c r="I5" s="9">
        <v>0.09</v>
      </c>
      <c r="J5" s="9">
        <v>0.35</v>
      </c>
      <c r="K5" s="9">
        <v>0.41</v>
      </c>
      <c r="N5" s="31">
        <f t="shared" si="0"/>
        <v>0.28684884293451501</v>
      </c>
      <c r="O5" s="32"/>
    </row>
    <row r="6" spans="1:17" x14ac:dyDescent="0.25">
      <c r="A6" s="8">
        <v>2</v>
      </c>
      <c r="B6" s="8">
        <f t="shared" ref="B6:B9" si="1">125*2^(A6)</f>
        <v>500</v>
      </c>
      <c r="C6" s="9">
        <v>0.1</v>
      </c>
      <c r="D6" s="9">
        <v>0.75</v>
      </c>
      <c r="E6" s="9">
        <v>0.06</v>
      </c>
      <c r="F6" s="9">
        <v>0.2</v>
      </c>
      <c r="G6" s="9">
        <v>0.45</v>
      </c>
      <c r="H6" s="9">
        <v>0.45</v>
      </c>
      <c r="I6" s="9">
        <v>7.0000000000000007E-2</v>
      </c>
      <c r="J6" s="9">
        <v>0.55000000000000004</v>
      </c>
      <c r="K6" s="9">
        <v>0.49</v>
      </c>
      <c r="N6" s="31">
        <f t="shared" si="0"/>
        <v>0.44221171836533729</v>
      </c>
      <c r="O6" s="32"/>
    </row>
    <row r="7" spans="1:17" x14ac:dyDescent="0.25">
      <c r="A7" s="8">
        <v>3</v>
      </c>
      <c r="B7" s="8">
        <f t="shared" si="1"/>
        <v>1000</v>
      </c>
      <c r="C7" s="9">
        <v>7.0000000000000007E-2</v>
      </c>
      <c r="D7" s="9">
        <v>0.98</v>
      </c>
      <c r="E7" s="9">
        <v>7.0000000000000007E-2</v>
      </c>
      <c r="F7" s="9">
        <v>0.17</v>
      </c>
      <c r="G7" s="9">
        <v>0.35</v>
      </c>
      <c r="H7" s="9">
        <v>0.35</v>
      </c>
      <c r="I7" s="9">
        <v>0.05</v>
      </c>
      <c r="J7" s="9">
        <v>0.72</v>
      </c>
      <c r="K7" s="9">
        <v>0.84</v>
      </c>
      <c r="N7" s="31">
        <f t="shared" si="0"/>
        <v>0.51912653865091085</v>
      </c>
      <c r="O7" s="32"/>
    </row>
    <row r="8" spans="1:17" x14ac:dyDescent="0.25">
      <c r="A8" s="8">
        <v>4</v>
      </c>
      <c r="B8" s="8">
        <f t="shared" si="1"/>
        <v>2000</v>
      </c>
      <c r="C8" s="9">
        <v>0.06</v>
      </c>
      <c r="D8" s="9">
        <v>0.93</v>
      </c>
      <c r="E8" s="9">
        <v>0.09</v>
      </c>
      <c r="F8" s="9">
        <v>0.15</v>
      </c>
      <c r="G8" s="9">
        <v>0.36</v>
      </c>
      <c r="H8" s="9">
        <v>0.36</v>
      </c>
      <c r="I8" s="9">
        <v>0.05</v>
      </c>
      <c r="J8" s="9">
        <v>0.7</v>
      </c>
      <c r="K8" s="9">
        <v>0.87</v>
      </c>
      <c r="N8" s="31">
        <f t="shared" si="0"/>
        <v>0.51449926144756286</v>
      </c>
      <c r="O8" s="32"/>
    </row>
    <row r="9" spans="1:17" x14ac:dyDescent="0.25">
      <c r="A9" s="8">
        <v>5</v>
      </c>
      <c r="B9" s="8">
        <f t="shared" si="1"/>
        <v>4000</v>
      </c>
      <c r="C9" s="9">
        <v>7.0000000000000007E-2</v>
      </c>
      <c r="D9" s="9">
        <v>0.96</v>
      </c>
      <c r="E9" s="9">
        <v>0.08</v>
      </c>
      <c r="F9" s="9">
        <v>0.1</v>
      </c>
      <c r="G9" s="9">
        <v>0.34</v>
      </c>
      <c r="H9" s="9">
        <v>0.34</v>
      </c>
      <c r="I9" s="9">
        <v>0.04</v>
      </c>
      <c r="J9" s="9">
        <v>0.65</v>
      </c>
      <c r="K9" s="9">
        <v>0.84</v>
      </c>
      <c r="N9" s="31">
        <f t="shared" si="0"/>
        <v>0.50803348104382073</v>
      </c>
      <c r="O9" s="32"/>
    </row>
    <row r="10" spans="1:17" x14ac:dyDescent="0.25">
      <c r="G10" s="10"/>
    </row>
    <row r="11" spans="1:17" x14ac:dyDescent="0.25">
      <c r="A11" s="29" t="s">
        <v>50</v>
      </c>
      <c r="B11" s="29"/>
      <c r="I11" s="37" t="s">
        <v>38</v>
      </c>
      <c r="J11" s="37"/>
      <c r="M11" s="30" t="s">
        <v>36</v>
      </c>
      <c r="N11" s="30"/>
      <c r="O11" s="30"/>
      <c r="P11" s="30"/>
    </row>
    <row r="12" spans="1:17" x14ac:dyDescent="0.25">
      <c r="A12" s="29" t="s">
        <v>25</v>
      </c>
      <c r="B12" s="29"/>
      <c r="I12" s="12" t="s">
        <v>17</v>
      </c>
      <c r="J12" s="14" t="s">
        <v>39</v>
      </c>
      <c r="L12" s="13"/>
      <c r="M12" s="11" t="s">
        <v>17</v>
      </c>
      <c r="N12" s="33" t="s">
        <v>37</v>
      </c>
      <c r="O12" s="34"/>
    </row>
    <row r="13" spans="1:17" x14ac:dyDescent="0.25">
      <c r="A13" s="29" t="s">
        <v>27</v>
      </c>
      <c r="B13" s="29"/>
      <c r="I13" s="12"/>
    </row>
    <row r="14" spans="1:17" x14ac:dyDescent="0.25">
      <c r="A14" s="29" t="s">
        <v>28</v>
      </c>
      <c r="B14" s="29"/>
      <c r="I14" s="12">
        <v>125</v>
      </c>
      <c r="J14" s="14">
        <f t="shared" ref="J14:J19" si="2">N4*surface_B1</f>
        <v>55.889599999999994</v>
      </c>
      <c r="M14" s="11">
        <v>125</v>
      </c>
      <c r="N14" s="39">
        <f t="shared" ref="N14:N19" si="3">(N4*surface_B1)/(1-N4)</f>
        <v>85.194747444422759</v>
      </c>
      <c r="O14" s="40"/>
    </row>
    <row r="15" spans="1:17" x14ac:dyDescent="0.25">
      <c r="A15" s="29" t="s">
        <v>29</v>
      </c>
      <c r="B15" s="29"/>
      <c r="I15" s="12">
        <v>250</v>
      </c>
      <c r="J15" s="14">
        <f t="shared" si="2"/>
        <v>46.607199999999999</v>
      </c>
      <c r="M15" s="11">
        <v>250</v>
      </c>
      <c r="N15" s="39">
        <f t="shared" si="3"/>
        <v>65.35388681381653</v>
      </c>
      <c r="O15" s="40"/>
    </row>
    <row r="16" spans="1:17" x14ac:dyDescent="0.25">
      <c r="A16" s="29" t="s">
        <v>30</v>
      </c>
      <c r="B16" s="29"/>
      <c r="I16" s="12">
        <v>500</v>
      </c>
      <c r="J16" s="14">
        <f t="shared" si="2"/>
        <v>71.850560000000002</v>
      </c>
      <c r="M16" s="11">
        <v>500</v>
      </c>
      <c r="N16" s="39">
        <f t="shared" si="3"/>
        <v>128.81331925696551</v>
      </c>
      <c r="O16" s="40"/>
    </row>
    <row r="17" spans="1:15" x14ac:dyDescent="0.25">
      <c r="A17" s="29" t="s">
        <v>31</v>
      </c>
      <c r="B17" s="29"/>
      <c r="I17" s="12">
        <v>1000</v>
      </c>
      <c r="J17" s="14">
        <f t="shared" si="2"/>
        <v>84.347679999999997</v>
      </c>
      <c r="M17" s="11">
        <v>1000</v>
      </c>
      <c r="N17" s="39">
        <f t="shared" si="3"/>
        <v>175.40514663330103</v>
      </c>
      <c r="O17" s="40"/>
    </row>
    <row r="18" spans="1:15" x14ac:dyDescent="0.25">
      <c r="I18" s="12">
        <v>2000</v>
      </c>
      <c r="J18" s="14">
        <f t="shared" si="2"/>
        <v>83.59584000000001</v>
      </c>
      <c r="M18" s="11">
        <v>2000</v>
      </c>
      <c r="N18" s="39">
        <f t="shared" si="3"/>
        <v>172.18478441299246</v>
      </c>
      <c r="O18" s="40"/>
    </row>
    <row r="19" spans="1:15" x14ac:dyDescent="0.25">
      <c r="F19" s="13"/>
      <c r="I19" s="12">
        <v>4000</v>
      </c>
      <c r="J19" s="14">
        <f t="shared" si="2"/>
        <v>82.545279999999991</v>
      </c>
      <c r="M19" s="11">
        <v>4000</v>
      </c>
      <c r="N19" s="39">
        <f t="shared" si="3"/>
        <v>167.78637736392892</v>
      </c>
      <c r="O19" s="40"/>
    </row>
    <row r="21" spans="1:15" x14ac:dyDescent="0.25">
      <c r="C21" s="37" t="s">
        <v>40</v>
      </c>
      <c r="D21" s="38"/>
      <c r="E21" s="37" t="s">
        <v>41</v>
      </c>
      <c r="F21" s="38"/>
      <c r="I21" s="37" t="s">
        <v>44</v>
      </c>
      <c r="J21" s="37"/>
    </row>
    <row r="22" spans="1:15" x14ac:dyDescent="0.25">
      <c r="B22" s="11" t="s">
        <v>17</v>
      </c>
      <c r="D22" s="16" t="s">
        <v>42</v>
      </c>
      <c r="F22" s="16" t="s">
        <v>43</v>
      </c>
      <c r="I22" s="12" t="s">
        <v>17</v>
      </c>
      <c r="J22" s="14" t="s">
        <v>45</v>
      </c>
    </row>
    <row r="23" spans="1:15" x14ac:dyDescent="0.25">
      <c r="B23" s="15"/>
      <c r="I23" s="12"/>
    </row>
    <row r="24" spans="1:15" x14ac:dyDescent="0.25">
      <c r="B24" s="11">
        <v>125</v>
      </c>
      <c r="D24" s="16">
        <f t="shared" ref="D24:D29" si="4">16*volume_B1/J14</f>
        <v>27.097993186567805</v>
      </c>
      <c r="F24" s="16">
        <f t="shared" ref="F24:F29" si="5">-16*(volume_B1/(surface_B1*LN(ABS(1-N4))))</f>
        <v>22.110945506434327</v>
      </c>
      <c r="I24" s="12">
        <v>125</v>
      </c>
      <c r="J24" s="14">
        <f>(D24-F24)/D24</f>
        <v>0.1840375280116871</v>
      </c>
    </row>
    <row r="25" spans="1:15" x14ac:dyDescent="0.25">
      <c r="B25" s="11">
        <v>250</v>
      </c>
      <c r="D25" s="16">
        <f t="shared" si="4"/>
        <v>32.494893492850885</v>
      </c>
      <c r="F25" s="16">
        <f t="shared" si="5"/>
        <v>27.572237994759259</v>
      </c>
      <c r="I25" s="12">
        <v>250</v>
      </c>
      <c r="J25" s="14">
        <f t="shared" ref="J25:J29" si="6">(D25-F25)/D25</f>
        <v>0.15149012564619255</v>
      </c>
    </row>
    <row r="26" spans="1:15" x14ac:dyDescent="0.25">
      <c r="B26" s="11">
        <v>500</v>
      </c>
      <c r="D26" s="16">
        <f t="shared" si="4"/>
        <v>21.078416090285167</v>
      </c>
      <c r="F26" s="16">
        <f t="shared" si="5"/>
        <v>15.966955815921242</v>
      </c>
      <c r="I26" s="12">
        <v>500</v>
      </c>
      <c r="J26" s="14">
        <f t="shared" si="6"/>
        <v>0.24249736092455951</v>
      </c>
    </row>
    <row r="27" spans="1:15" x14ac:dyDescent="0.25">
      <c r="B27" s="11">
        <v>1000</v>
      </c>
      <c r="D27" s="16">
        <f t="shared" si="4"/>
        <v>17.955396046459132</v>
      </c>
      <c r="F27" s="16">
        <f t="shared" si="5"/>
        <v>12.731145764277096</v>
      </c>
      <c r="I27" s="12">
        <v>1000</v>
      </c>
      <c r="J27" s="14">
        <f t="shared" si="6"/>
        <v>0.29095711777475808</v>
      </c>
    </row>
    <row r="28" spans="1:15" x14ac:dyDescent="0.25">
      <c r="B28" s="11">
        <v>2000</v>
      </c>
      <c r="D28" s="16">
        <f t="shared" si="4"/>
        <v>18.116882371180189</v>
      </c>
      <c r="F28" s="16">
        <f t="shared" si="5"/>
        <v>12.899878125082752</v>
      </c>
      <c r="I28" s="12">
        <v>2000</v>
      </c>
      <c r="J28" s="14">
        <f t="shared" si="6"/>
        <v>0.28796368708539477</v>
      </c>
    </row>
    <row r="29" spans="1:15" x14ac:dyDescent="0.25">
      <c r="B29" s="11">
        <v>4000</v>
      </c>
      <c r="D29" s="16">
        <f t="shared" si="4"/>
        <v>18.347457298588122</v>
      </c>
      <c r="F29" s="16">
        <f t="shared" si="5"/>
        <v>13.140471349610616</v>
      </c>
      <c r="I29" s="12">
        <v>4000</v>
      </c>
      <c r="J29" s="14">
        <f t="shared" si="6"/>
        <v>0.28379877735854958</v>
      </c>
    </row>
    <row r="30" spans="1:15" x14ac:dyDescent="0.25">
      <c r="F30" s="17"/>
    </row>
  </sheetData>
  <mergeCells count="28">
    <mergeCell ref="C21:D21"/>
    <mergeCell ref="E21:F21"/>
    <mergeCell ref="I21:J21"/>
    <mergeCell ref="A16:B16"/>
    <mergeCell ref="N16:O16"/>
    <mergeCell ref="A17:B17"/>
    <mergeCell ref="N17:O17"/>
    <mergeCell ref="N18:O18"/>
    <mergeCell ref="N19:O19"/>
    <mergeCell ref="A15:B15"/>
    <mergeCell ref="N15:O15"/>
    <mergeCell ref="N7:O7"/>
    <mergeCell ref="N8:O8"/>
    <mergeCell ref="N9:O9"/>
    <mergeCell ref="A11:B11"/>
    <mergeCell ref="I11:J11"/>
    <mergeCell ref="M11:P11"/>
    <mergeCell ref="A12:B12"/>
    <mergeCell ref="N12:O12"/>
    <mergeCell ref="A13:B13"/>
    <mergeCell ref="A14:B14"/>
    <mergeCell ref="N14:O14"/>
    <mergeCell ref="N6:O6"/>
    <mergeCell ref="C1:F1"/>
    <mergeCell ref="N1:Q1"/>
    <mergeCell ref="N2:O2"/>
    <mergeCell ref="N4:O4"/>
    <mergeCell ref="N5:O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BAF06-0949-4E54-AA8E-E916AB5E9F48}">
  <sheetPr>
    <tabColor theme="7" tint="-0.249977111117893"/>
  </sheetPr>
  <dimension ref="A1:Q30"/>
  <sheetViews>
    <sheetView workbookViewId="0">
      <selection activeCell="A9" sqref="A2:B9"/>
    </sheetView>
  </sheetViews>
  <sheetFormatPr defaultRowHeight="15" x14ac:dyDescent="0.25"/>
  <cols>
    <col min="3" max="3" width="16.140625" customWidth="1"/>
    <col min="7" max="8" width="18.140625" customWidth="1"/>
  </cols>
  <sheetData>
    <row r="1" spans="1:17" x14ac:dyDescent="0.25">
      <c r="C1" s="30" t="s">
        <v>19</v>
      </c>
      <c r="D1" s="30"/>
      <c r="E1" s="30"/>
      <c r="F1" s="30"/>
      <c r="N1" s="30" t="s">
        <v>32</v>
      </c>
      <c r="O1" s="30"/>
      <c r="P1" s="30"/>
      <c r="Q1" s="30"/>
    </row>
    <row r="2" spans="1:17" x14ac:dyDescent="0.25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47</v>
      </c>
      <c r="K2" s="20" t="s">
        <v>48</v>
      </c>
      <c r="N2" s="35" t="s">
        <v>33</v>
      </c>
      <c r="O2" s="36"/>
    </row>
    <row r="3" spans="1:17" x14ac:dyDescent="0.25">
      <c r="A3" s="8"/>
      <c r="B3" s="8"/>
    </row>
    <row r="4" spans="1:17" x14ac:dyDescent="0.25">
      <c r="A4" s="8">
        <v>0</v>
      </c>
      <c r="B4" s="8">
        <f>125*2^(A4)</f>
        <v>125</v>
      </c>
      <c r="C4" s="9">
        <v>0.15</v>
      </c>
      <c r="D4" s="9">
        <v>0.08</v>
      </c>
      <c r="E4" s="9">
        <v>0.1</v>
      </c>
      <c r="F4" s="9">
        <v>0.3</v>
      </c>
      <c r="G4" s="9">
        <v>0.74</v>
      </c>
      <c r="H4" s="9">
        <v>0.74</v>
      </c>
      <c r="I4" s="9">
        <v>0.12</v>
      </c>
      <c r="J4" s="9">
        <v>0.14000000000000001</v>
      </c>
      <c r="K4" s="9">
        <v>0.3</v>
      </c>
      <c r="N4" s="31">
        <f t="shared" ref="N4:N9" si="0">1/(surface_B2)*(0.4*C4*area_S1_B2+D4*area_S2_B2+E4*area_S3_B2+F4*area_S4_B2+G4*area_S5_B2_1+H4*area_S5_B2_2+I4*area_S6_B2+J4*area_S7_B2 + K4*0.6*area_S1_B2)</f>
        <v>0.3426292466765139</v>
      </c>
      <c r="O4" s="32"/>
    </row>
    <row r="5" spans="1:17" x14ac:dyDescent="0.25">
      <c r="A5" s="8">
        <v>1</v>
      </c>
      <c r="B5" s="8">
        <f>125*2^(A5)</f>
        <v>250</v>
      </c>
      <c r="C5" s="9">
        <v>0.11</v>
      </c>
      <c r="D5" s="9">
        <v>0.28999999999999998</v>
      </c>
      <c r="E5" s="9">
        <v>0.05</v>
      </c>
      <c r="F5" s="9">
        <v>0.25</v>
      </c>
      <c r="G5" s="9">
        <v>0.37</v>
      </c>
      <c r="H5" s="9">
        <v>0.37</v>
      </c>
      <c r="I5" s="9">
        <v>0.09</v>
      </c>
      <c r="J5" s="9">
        <v>0.35</v>
      </c>
      <c r="K5" s="9">
        <v>0.41</v>
      </c>
      <c r="N5" s="31">
        <f t="shared" si="0"/>
        <v>0.28408173313638591</v>
      </c>
      <c r="O5" s="32"/>
    </row>
    <row r="6" spans="1:17" x14ac:dyDescent="0.25">
      <c r="A6" s="8">
        <v>2</v>
      </c>
      <c r="B6" s="8">
        <f t="shared" ref="B6:B9" si="1">125*2^(A6)</f>
        <v>500</v>
      </c>
      <c r="C6" s="9">
        <v>0.1</v>
      </c>
      <c r="D6" s="9">
        <v>0.75</v>
      </c>
      <c r="E6" s="9">
        <v>0.06</v>
      </c>
      <c r="F6" s="9">
        <v>0.2</v>
      </c>
      <c r="G6" s="9">
        <v>0.45</v>
      </c>
      <c r="H6" s="9">
        <v>0.45</v>
      </c>
      <c r="I6" s="9">
        <v>7.0000000000000007E-2</v>
      </c>
      <c r="J6" s="9">
        <v>0.55000000000000004</v>
      </c>
      <c r="K6" s="9">
        <v>0.49</v>
      </c>
      <c r="N6" s="31">
        <f t="shared" si="0"/>
        <v>0.4385140324963071</v>
      </c>
      <c r="O6" s="32"/>
    </row>
    <row r="7" spans="1:17" x14ac:dyDescent="0.25">
      <c r="A7" s="8">
        <v>3</v>
      </c>
      <c r="B7" s="8">
        <f t="shared" si="1"/>
        <v>1000</v>
      </c>
      <c r="C7" s="9">
        <v>7.0000000000000007E-2</v>
      </c>
      <c r="D7" s="9">
        <v>0.98</v>
      </c>
      <c r="E7" s="9">
        <v>7.0000000000000007E-2</v>
      </c>
      <c r="F7" s="9">
        <v>0.17</v>
      </c>
      <c r="G7" s="9">
        <v>0.35</v>
      </c>
      <c r="H7" s="9">
        <v>0.35</v>
      </c>
      <c r="I7" s="9">
        <v>0.05</v>
      </c>
      <c r="J7" s="9">
        <v>0.72</v>
      </c>
      <c r="K7" s="9">
        <v>0.84</v>
      </c>
      <c r="N7" s="31">
        <f t="shared" si="0"/>
        <v>0.51455243722304278</v>
      </c>
      <c r="O7" s="32"/>
    </row>
    <row r="8" spans="1:17" x14ac:dyDescent="0.25">
      <c r="A8" s="8">
        <v>4</v>
      </c>
      <c r="B8" s="8">
        <f t="shared" si="1"/>
        <v>2000</v>
      </c>
      <c r="C8" s="9">
        <v>0.06</v>
      </c>
      <c r="D8" s="9">
        <v>0.93</v>
      </c>
      <c r="E8" s="9">
        <v>0.09</v>
      </c>
      <c r="F8" s="9">
        <v>0.15</v>
      </c>
      <c r="G8" s="9">
        <v>0.36</v>
      </c>
      <c r="H8" s="9">
        <v>0.36</v>
      </c>
      <c r="I8" s="9">
        <v>0.05</v>
      </c>
      <c r="J8" s="9">
        <v>0.7</v>
      </c>
      <c r="K8" s="9">
        <v>0.87</v>
      </c>
      <c r="N8" s="31">
        <f t="shared" si="0"/>
        <v>0.51028951255539134</v>
      </c>
      <c r="O8" s="32"/>
    </row>
    <row r="9" spans="1:17" x14ac:dyDescent="0.25">
      <c r="A9" s="8">
        <v>5</v>
      </c>
      <c r="B9" s="8">
        <f t="shared" si="1"/>
        <v>4000</v>
      </c>
      <c r="C9" s="9">
        <v>7.0000000000000007E-2</v>
      </c>
      <c r="D9" s="9">
        <v>0.96</v>
      </c>
      <c r="E9" s="9">
        <v>0.08</v>
      </c>
      <c r="F9" s="9">
        <v>0.1</v>
      </c>
      <c r="G9" s="9">
        <v>0.34</v>
      </c>
      <c r="H9" s="9">
        <v>0.34</v>
      </c>
      <c r="I9" s="9">
        <v>0.04</v>
      </c>
      <c r="J9" s="9">
        <v>0.65</v>
      </c>
      <c r="K9" s="9">
        <v>0.84</v>
      </c>
      <c r="N9" s="31">
        <f t="shared" si="0"/>
        <v>0.50430625307730181</v>
      </c>
      <c r="O9" s="32"/>
    </row>
    <row r="10" spans="1:17" x14ac:dyDescent="0.25">
      <c r="G10" s="10"/>
    </row>
    <row r="11" spans="1:17" x14ac:dyDescent="0.25">
      <c r="A11" s="29" t="s">
        <v>51</v>
      </c>
      <c r="B11" s="29"/>
      <c r="I11" s="37" t="s">
        <v>38</v>
      </c>
      <c r="J11" s="37"/>
      <c r="M11" s="30" t="s">
        <v>36</v>
      </c>
      <c r="N11" s="30"/>
      <c r="O11" s="30"/>
      <c r="P11" s="30"/>
    </row>
    <row r="12" spans="1:17" x14ac:dyDescent="0.25">
      <c r="A12" s="29" t="s">
        <v>25</v>
      </c>
      <c r="B12" s="29"/>
      <c r="I12" s="12" t="s">
        <v>17</v>
      </c>
      <c r="J12" s="14" t="s">
        <v>39</v>
      </c>
      <c r="L12" s="13"/>
      <c r="M12" s="11" t="s">
        <v>17</v>
      </c>
      <c r="N12" s="33" t="s">
        <v>37</v>
      </c>
      <c r="O12" s="34"/>
    </row>
    <row r="13" spans="1:17" x14ac:dyDescent="0.25">
      <c r="A13" s="29" t="s">
        <v>27</v>
      </c>
      <c r="B13" s="29"/>
      <c r="I13" s="12"/>
    </row>
    <row r="14" spans="1:17" x14ac:dyDescent="0.25">
      <c r="A14" s="29" t="s">
        <v>28</v>
      </c>
      <c r="B14" s="29"/>
      <c r="I14" s="12">
        <v>125</v>
      </c>
      <c r="J14" s="14">
        <f t="shared" ref="J14:J19" si="2">N4*surface_B2</f>
        <v>125.25839999999995</v>
      </c>
      <c r="M14" s="11">
        <v>125</v>
      </c>
      <c r="N14" s="39">
        <f t="shared" ref="N14:N19" si="3">(N4*surface_B2)/(1-N4)</f>
        <v>190.54452813230262</v>
      </c>
      <c r="O14" s="40"/>
    </row>
    <row r="15" spans="1:17" x14ac:dyDescent="0.25">
      <c r="A15" s="29" t="s">
        <v>29</v>
      </c>
      <c r="B15" s="29"/>
      <c r="I15" s="12">
        <v>250</v>
      </c>
      <c r="J15" s="14">
        <f t="shared" si="2"/>
        <v>103.85459999999995</v>
      </c>
      <c r="M15" s="11">
        <v>250</v>
      </c>
      <c r="N15" s="39">
        <f t="shared" si="3"/>
        <v>145.06488353060104</v>
      </c>
      <c r="O15" s="40"/>
    </row>
    <row r="16" spans="1:17" x14ac:dyDescent="0.25">
      <c r="A16" s="29" t="s">
        <v>30</v>
      </c>
      <c r="B16" s="29"/>
      <c r="I16" s="12">
        <v>500</v>
      </c>
      <c r="J16" s="14">
        <f t="shared" si="2"/>
        <v>160.31195999999994</v>
      </c>
      <c r="M16" s="11">
        <v>500</v>
      </c>
      <c r="N16" s="39">
        <f t="shared" si="3"/>
        <v>285.51374260113732</v>
      </c>
      <c r="O16" s="40"/>
    </row>
    <row r="17" spans="1:15" x14ac:dyDescent="0.25">
      <c r="A17" s="29" t="s">
        <v>31</v>
      </c>
      <c r="B17" s="29"/>
      <c r="I17" s="12">
        <v>1000</v>
      </c>
      <c r="J17" s="14">
        <f t="shared" si="2"/>
        <v>188.11007999999998</v>
      </c>
      <c r="M17" s="11">
        <v>1000</v>
      </c>
      <c r="N17" s="39">
        <f t="shared" si="3"/>
        <v>387.49824785180488</v>
      </c>
      <c r="O17" s="40"/>
    </row>
    <row r="18" spans="1:15" x14ac:dyDescent="0.25">
      <c r="I18" s="12">
        <v>2000</v>
      </c>
      <c r="J18" s="14">
        <f t="shared" si="2"/>
        <v>186.55163999999996</v>
      </c>
      <c r="M18" s="11">
        <v>2000</v>
      </c>
      <c r="N18" s="39">
        <f t="shared" si="3"/>
        <v>380.94270958634695</v>
      </c>
      <c r="O18" s="40"/>
    </row>
    <row r="19" spans="1:15" x14ac:dyDescent="0.25">
      <c r="F19" s="13"/>
      <c r="I19" s="12">
        <v>4000</v>
      </c>
      <c r="J19" s="14">
        <f t="shared" si="2"/>
        <v>184.36427999999998</v>
      </c>
      <c r="M19" s="11">
        <v>4000</v>
      </c>
      <c r="N19" s="39">
        <f t="shared" si="3"/>
        <v>371.93182513305135</v>
      </c>
      <c r="O19" s="40"/>
    </row>
    <row r="21" spans="1:15" x14ac:dyDescent="0.25">
      <c r="C21" s="37" t="s">
        <v>40</v>
      </c>
      <c r="D21" s="38"/>
      <c r="E21" s="37" t="s">
        <v>41</v>
      </c>
      <c r="F21" s="38"/>
      <c r="I21" s="37" t="s">
        <v>44</v>
      </c>
      <c r="J21" s="37"/>
    </row>
    <row r="22" spans="1:15" x14ac:dyDescent="0.25">
      <c r="B22" s="11" t="s">
        <v>17</v>
      </c>
      <c r="D22" s="16" t="s">
        <v>42</v>
      </c>
      <c r="F22" s="16" t="s">
        <v>43</v>
      </c>
      <c r="I22" s="12" t="s">
        <v>17</v>
      </c>
      <c r="J22" s="14" t="s">
        <v>45</v>
      </c>
    </row>
    <row r="23" spans="1:15" x14ac:dyDescent="0.25">
      <c r="B23" s="15"/>
      <c r="I23" s="12"/>
    </row>
    <row r="24" spans="1:15" x14ac:dyDescent="0.25">
      <c r="B24" s="11">
        <v>125</v>
      </c>
      <c r="D24" s="16">
        <f t="shared" ref="D24:D29" si="4">16*volume_B2/J14</f>
        <v>40.807035695809631</v>
      </c>
      <c r="F24" s="16">
        <f t="shared" ref="F24:F29" si="5">-16*(volume_B2/(surface_B2*LN(ABS(1-N4))))</f>
        <v>33.328836773953114</v>
      </c>
      <c r="I24" s="12">
        <v>125</v>
      </c>
      <c r="J24" s="14">
        <f>(D24-F24)/D24</f>
        <v>0.18325758767683373</v>
      </c>
    </row>
    <row r="25" spans="1:15" x14ac:dyDescent="0.25">
      <c r="B25" s="11">
        <v>250</v>
      </c>
      <c r="D25" s="16">
        <f t="shared" si="4"/>
        <v>49.217117007816711</v>
      </c>
      <c r="F25" s="16">
        <f t="shared" si="5"/>
        <v>41.837620517523959</v>
      </c>
      <c r="I25" s="12">
        <v>250</v>
      </c>
      <c r="J25" s="14">
        <f t="shared" ref="J25:J29" si="6">(D25-F25)/D25</f>
        <v>0.14993760177217882</v>
      </c>
    </row>
    <row r="26" spans="1:15" x14ac:dyDescent="0.25">
      <c r="B26" s="11">
        <v>500</v>
      </c>
      <c r="D26" s="16">
        <f t="shared" si="4"/>
        <v>31.884233715313574</v>
      </c>
      <c r="F26" s="16">
        <f t="shared" si="5"/>
        <v>24.224613767900287</v>
      </c>
      <c r="I26" s="12">
        <v>500</v>
      </c>
      <c r="J26" s="14">
        <f t="shared" si="6"/>
        <v>0.24023221055911634</v>
      </c>
    </row>
    <row r="27" spans="1:15" x14ac:dyDescent="0.25">
      <c r="B27" s="11">
        <v>1000</v>
      </c>
      <c r="D27" s="16">
        <f t="shared" si="4"/>
        <v>27.17251515708249</v>
      </c>
      <c r="F27" s="16">
        <f t="shared" si="5"/>
        <v>19.346884430177088</v>
      </c>
      <c r="I27" s="12">
        <v>1000</v>
      </c>
      <c r="J27" s="14">
        <f t="shared" si="6"/>
        <v>0.28799802600774921</v>
      </c>
    </row>
    <row r="28" spans="1:15" x14ac:dyDescent="0.25">
      <c r="B28" s="11">
        <v>2000</v>
      </c>
      <c r="D28" s="16">
        <f t="shared" si="4"/>
        <v>27.399512542478856</v>
      </c>
      <c r="F28" s="16">
        <f t="shared" si="5"/>
        <v>19.58381122659231</v>
      </c>
      <c r="I28" s="12">
        <v>2000</v>
      </c>
      <c r="J28" s="14">
        <f t="shared" si="6"/>
        <v>0.28524964828368632</v>
      </c>
    </row>
    <row r="29" spans="1:15" x14ac:dyDescent="0.25">
      <c r="B29" s="11">
        <v>4000</v>
      </c>
      <c r="D29" s="16">
        <f t="shared" si="4"/>
        <v>27.72458960054518</v>
      </c>
      <c r="F29" s="16">
        <f t="shared" si="5"/>
        <v>19.922690073009235</v>
      </c>
      <c r="I29" s="12">
        <v>4000</v>
      </c>
      <c r="J29" s="14">
        <f t="shared" si="6"/>
        <v>0.28140721431571802</v>
      </c>
    </row>
    <row r="30" spans="1:15" x14ac:dyDescent="0.25">
      <c r="F30" s="17"/>
    </row>
  </sheetData>
  <mergeCells count="28">
    <mergeCell ref="C21:D21"/>
    <mergeCell ref="E21:F21"/>
    <mergeCell ref="I21:J21"/>
    <mergeCell ref="A16:B16"/>
    <mergeCell ref="N16:O16"/>
    <mergeCell ref="A17:B17"/>
    <mergeCell ref="N17:O17"/>
    <mergeCell ref="N18:O18"/>
    <mergeCell ref="N19:O19"/>
    <mergeCell ref="A15:B15"/>
    <mergeCell ref="N15:O15"/>
    <mergeCell ref="N7:O7"/>
    <mergeCell ref="N8:O8"/>
    <mergeCell ref="N9:O9"/>
    <mergeCell ref="A11:B11"/>
    <mergeCell ref="I11:J11"/>
    <mergeCell ref="M11:P11"/>
    <mergeCell ref="A12:B12"/>
    <mergeCell ref="N12:O12"/>
    <mergeCell ref="A13:B13"/>
    <mergeCell ref="A14:B14"/>
    <mergeCell ref="N14:O14"/>
    <mergeCell ref="N6:O6"/>
    <mergeCell ref="C1:F1"/>
    <mergeCell ref="N1:Q1"/>
    <mergeCell ref="N2:O2"/>
    <mergeCell ref="N4:O4"/>
    <mergeCell ref="N5:O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0CBB5-40AE-455F-ADD0-22916ECDCA78}">
  <sheetPr>
    <tabColor theme="4"/>
  </sheetPr>
  <dimension ref="M1:Q9"/>
  <sheetViews>
    <sheetView tabSelected="1" workbookViewId="0">
      <selection activeCell="B2" sqref="B2"/>
    </sheetView>
  </sheetViews>
  <sheetFormatPr defaultRowHeight="15" x14ac:dyDescent="0.25"/>
  <sheetData>
    <row r="1" spans="13:17" x14ac:dyDescent="0.25">
      <c r="M1" s="42" t="s">
        <v>52</v>
      </c>
      <c r="N1" s="43"/>
      <c r="O1" s="43"/>
    </row>
    <row r="2" spans="13:17" x14ac:dyDescent="0.25">
      <c r="M2" s="43"/>
      <c r="N2" s="43"/>
      <c r="O2" s="43"/>
    </row>
    <row r="3" spans="13:17" x14ac:dyDescent="0.25">
      <c r="M3" s="8" t="s">
        <v>18</v>
      </c>
      <c r="N3" s="21" t="s">
        <v>17</v>
      </c>
      <c r="O3" s="24" t="s">
        <v>53</v>
      </c>
      <c r="Q3" s="22"/>
    </row>
    <row r="4" spans="13:17" x14ac:dyDescent="0.25">
      <c r="M4" s="8"/>
      <c r="N4" s="8"/>
      <c r="O4" s="23"/>
    </row>
    <row r="5" spans="13:17" x14ac:dyDescent="0.25">
      <c r="M5" s="8">
        <v>0</v>
      </c>
      <c r="N5" s="8">
        <f>125*2^(M5)</f>
        <v>125</v>
      </c>
      <c r="O5" s="23">
        <v>67</v>
      </c>
    </row>
    <row r="6" spans="13:17" x14ac:dyDescent="0.25">
      <c r="M6" s="8">
        <v>1</v>
      </c>
      <c r="N6" s="8">
        <f>125*2^(M6)</f>
        <v>250</v>
      </c>
      <c r="O6" s="23">
        <v>67</v>
      </c>
    </row>
    <row r="7" spans="13:17" x14ac:dyDescent="0.25">
      <c r="M7" s="8">
        <v>2</v>
      </c>
      <c r="N7" s="8">
        <f>125*2^(M7)</f>
        <v>500</v>
      </c>
      <c r="O7" s="23">
        <v>65</v>
      </c>
    </row>
    <row r="8" spans="13:17" x14ac:dyDescent="0.25">
      <c r="M8" s="8">
        <v>3</v>
      </c>
      <c r="N8" s="8">
        <f>125*2^(M8)</f>
        <v>1000</v>
      </c>
      <c r="O8" s="23">
        <v>62</v>
      </c>
    </row>
    <row r="9" spans="13:17" x14ac:dyDescent="0.25">
      <c r="M9" s="8">
        <v>4</v>
      </c>
      <c r="N9" s="8">
        <f>125*2^(M9)</f>
        <v>2000</v>
      </c>
      <c r="O9" s="23">
        <v>49</v>
      </c>
    </row>
  </sheetData>
  <mergeCells count="1">
    <mergeCell ref="M1:O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31</vt:i4>
      </vt:variant>
    </vt:vector>
  </HeadingPairs>
  <TitlesOfParts>
    <vt:vector size="39" baseType="lpstr">
      <vt:lpstr>DATA</vt:lpstr>
      <vt:lpstr>CASE A</vt:lpstr>
      <vt:lpstr>CASE  B1</vt:lpstr>
      <vt:lpstr>CASE B2</vt:lpstr>
      <vt:lpstr>CASE C_A</vt:lpstr>
      <vt:lpstr>CASE  C_B1</vt:lpstr>
      <vt:lpstr>CASE C_B2</vt:lpstr>
      <vt:lpstr>D - FLOOR</vt:lpstr>
      <vt:lpstr>area_S1</vt:lpstr>
      <vt:lpstr>area_S1_B1</vt:lpstr>
      <vt:lpstr>area_S1_B2</vt:lpstr>
      <vt:lpstr>area_S2</vt:lpstr>
      <vt:lpstr>area_S2_B1</vt:lpstr>
      <vt:lpstr>area_S2_B2</vt:lpstr>
      <vt:lpstr>area_S3</vt:lpstr>
      <vt:lpstr>area_S3_B1</vt:lpstr>
      <vt:lpstr>area_S3_B2</vt:lpstr>
      <vt:lpstr>area_S4</vt:lpstr>
      <vt:lpstr>area_S4_B1</vt:lpstr>
      <vt:lpstr>area_S4_B2</vt:lpstr>
      <vt:lpstr>area_S5_1</vt:lpstr>
      <vt:lpstr>area_S5_2</vt:lpstr>
      <vt:lpstr>area_S5_B1</vt:lpstr>
      <vt:lpstr>area_S5_B1_1</vt:lpstr>
      <vt:lpstr>area_S5_B1_2</vt:lpstr>
      <vt:lpstr>area_S5_B2_1</vt:lpstr>
      <vt:lpstr>area_S5_B2_2</vt:lpstr>
      <vt:lpstr>area_S6</vt:lpstr>
      <vt:lpstr>area_S6_B1</vt:lpstr>
      <vt:lpstr>area_S6_B2</vt:lpstr>
      <vt:lpstr>area_S7</vt:lpstr>
      <vt:lpstr>area_S7_B1</vt:lpstr>
      <vt:lpstr>area_S7_B2</vt:lpstr>
      <vt:lpstr>surface_A</vt:lpstr>
      <vt:lpstr>surface_B1</vt:lpstr>
      <vt:lpstr>surface_B2</vt:lpstr>
      <vt:lpstr>volume_A</vt:lpstr>
      <vt:lpstr>volume_B1</vt:lpstr>
      <vt:lpstr>volume_B2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</dc:creator>
  <cp:lastModifiedBy>Alessio</cp:lastModifiedBy>
  <dcterms:created xsi:type="dcterms:W3CDTF">2015-06-05T18:17:20Z</dcterms:created>
  <dcterms:modified xsi:type="dcterms:W3CDTF">2020-11-16T13:19:14Z</dcterms:modified>
</cp:coreProperties>
</file>