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7\Documents\GitHub\MusicalAcousticsHWs\RoomAcoustics\modulo 1\5_design_room\"/>
    </mc:Choice>
  </mc:AlternateContent>
  <xr:revisionPtr revIDLastSave="0" documentId="13_ncr:1_{09144FBB-15E8-4FF4-84B8-9CD5102032B7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RT" sheetId="4" r:id="rId1"/>
    <sheet name="assorbimento" sheetId="1" r:id="rId2"/>
  </sheets>
  <definedNames>
    <definedName name="c_sound">RT!$C$36</definedName>
    <definedName name="s_1">assorbimento!$J$37</definedName>
    <definedName name="s_2">assorbimento!$K$37</definedName>
    <definedName name="s_3">assorbimento!$L$37</definedName>
    <definedName name="s_4">assorbimento!$M$37</definedName>
    <definedName name="surf">RT!$C$32</definedName>
    <definedName name="volume">RT!$C$4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0" i="1" l="1"/>
  <c r="J9" i="1"/>
  <c r="J8" i="1"/>
  <c r="J7" i="1"/>
  <c r="M49" i="1"/>
  <c r="M50" i="1"/>
  <c r="M51" i="1"/>
  <c r="M52" i="1"/>
  <c r="L49" i="1"/>
  <c r="L50" i="1"/>
  <c r="L51" i="1"/>
  <c r="L52" i="1"/>
  <c r="K49" i="1"/>
  <c r="K50" i="1"/>
  <c r="K51" i="1"/>
  <c r="K52" i="1"/>
  <c r="K48" i="1"/>
  <c r="L48" i="1"/>
  <c r="M48" i="1"/>
  <c r="J49" i="1"/>
  <c r="J50" i="1"/>
  <c r="J51" i="1"/>
  <c r="J52" i="1"/>
  <c r="J48" i="1"/>
  <c r="M41" i="1"/>
  <c r="M42" i="1"/>
  <c r="M43" i="1"/>
  <c r="M44" i="1"/>
  <c r="M40" i="1"/>
  <c r="L41" i="1"/>
  <c r="L42" i="1"/>
  <c r="L43" i="1"/>
  <c r="L44" i="1"/>
  <c r="L40" i="1"/>
  <c r="K41" i="1"/>
  <c r="K42" i="1"/>
  <c r="K43" i="1"/>
  <c r="K44" i="1"/>
  <c r="K40" i="1"/>
  <c r="J41" i="1"/>
  <c r="J42" i="1"/>
  <c r="J43" i="1"/>
  <c r="J44" i="1"/>
  <c r="J40" i="1"/>
  <c r="J53" i="1" l="1"/>
  <c r="K53" i="1"/>
  <c r="L53" i="1"/>
  <c r="M53" i="1"/>
  <c r="F9" i="1"/>
  <c r="F10" i="1"/>
  <c r="F11" i="1"/>
  <c r="F12" i="1"/>
  <c r="F13" i="1"/>
  <c r="F14" i="1"/>
  <c r="F15" i="1"/>
  <c r="F16" i="1"/>
  <c r="F17" i="1"/>
  <c r="F18" i="1"/>
  <c r="F19" i="1"/>
  <c r="F20" i="1"/>
  <c r="F43" i="1" s="1"/>
  <c r="M33" i="1" s="1"/>
  <c r="F21" i="1"/>
  <c r="F22" i="1"/>
  <c r="F23" i="1"/>
  <c r="F24" i="1"/>
  <c r="F25" i="1"/>
  <c r="F8" i="1"/>
  <c r="F31" i="1" s="1"/>
  <c r="M29" i="1" s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8" i="1"/>
  <c r="E31" i="1" s="1"/>
  <c r="L29" i="1" s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8" i="1"/>
  <c r="D31" i="1" s="1"/>
  <c r="K29" i="1" s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8" i="1"/>
  <c r="C31" i="1" s="1"/>
  <c r="J29" i="1" s="1"/>
  <c r="N54" i="4"/>
  <c r="N55" i="4"/>
  <c r="N56" i="4"/>
  <c r="N57" i="4"/>
  <c r="N58" i="4"/>
  <c r="N59" i="4"/>
  <c r="N60" i="4"/>
  <c r="N61" i="4"/>
  <c r="N62" i="4"/>
  <c r="N63" i="4"/>
  <c r="N64" i="4"/>
  <c r="N65" i="4"/>
  <c r="N66" i="4"/>
  <c r="N67" i="4"/>
  <c r="N68" i="4"/>
  <c r="N69" i="4"/>
  <c r="N70" i="4"/>
  <c r="N71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54" i="4"/>
  <c r="M45" i="1"/>
  <c r="L45" i="1"/>
  <c r="K45" i="1"/>
  <c r="E44" i="1" l="1"/>
  <c r="E40" i="1"/>
  <c r="L32" i="1" s="1"/>
  <c r="E36" i="1"/>
  <c r="E32" i="1"/>
  <c r="F46" i="1"/>
  <c r="M34" i="1" s="1"/>
  <c r="F42" i="1"/>
  <c r="F38" i="1"/>
  <c r="F34" i="1"/>
  <c r="M30" i="1" s="1"/>
  <c r="C43" i="1"/>
  <c r="J33" i="1" s="1"/>
  <c r="C39" i="1"/>
  <c r="C35" i="1"/>
  <c r="D45" i="1"/>
  <c r="D41" i="1"/>
  <c r="D37" i="1"/>
  <c r="K31" i="1" s="1"/>
  <c r="D33" i="1"/>
  <c r="E43" i="1"/>
  <c r="L33" i="1" s="1"/>
  <c r="E39" i="1"/>
  <c r="E35" i="1"/>
  <c r="F45" i="1"/>
  <c r="F41" i="1"/>
  <c r="F37" i="1"/>
  <c r="M31" i="1" s="1"/>
  <c r="F33" i="1"/>
  <c r="C45" i="1"/>
  <c r="C41" i="1"/>
  <c r="C37" i="1"/>
  <c r="J31" i="1" s="1"/>
  <c r="C33" i="1"/>
  <c r="D46" i="1"/>
  <c r="K34" i="1" s="1"/>
  <c r="D43" i="1"/>
  <c r="K33" i="1" s="1"/>
  <c r="D39" i="1"/>
  <c r="D35" i="1"/>
  <c r="D32" i="1"/>
  <c r="E46" i="1"/>
  <c r="L34" i="1" s="1"/>
  <c r="E42" i="1"/>
  <c r="E38" i="1"/>
  <c r="E34" i="1"/>
  <c r="L30" i="1" s="1"/>
  <c r="F44" i="1"/>
  <c r="F39" i="1"/>
  <c r="F36" i="1"/>
  <c r="F32" i="1"/>
  <c r="C40" i="1"/>
  <c r="J32" i="1" s="1"/>
  <c r="C32" i="1"/>
  <c r="D42" i="1"/>
  <c r="D34" i="1"/>
  <c r="K30" i="1" s="1"/>
  <c r="E41" i="1"/>
  <c r="F40" i="1"/>
  <c r="M32" i="1" s="1"/>
  <c r="C44" i="1"/>
  <c r="C36" i="1"/>
  <c r="D38" i="1"/>
  <c r="E45" i="1"/>
  <c r="E37" i="1"/>
  <c r="L31" i="1" s="1"/>
  <c r="E33" i="1"/>
  <c r="F35" i="1"/>
  <c r="C46" i="1"/>
  <c r="J34" i="1" s="1"/>
  <c r="C42" i="1"/>
  <c r="C38" i="1"/>
  <c r="C34" i="1"/>
  <c r="J30" i="1" s="1"/>
  <c r="D44" i="1"/>
  <c r="D40" i="1"/>
  <c r="K32" i="1" s="1"/>
  <c r="D36" i="1"/>
  <c r="J45" i="1"/>
  <c r="C14" i="4" l="1"/>
  <c r="C12" i="4"/>
  <c r="C13" i="4" s="1"/>
  <c r="C4" i="4"/>
  <c r="C5" i="4" s="1"/>
  <c r="C16" i="4" l="1"/>
  <c r="G20" i="4" s="1"/>
  <c r="G18" i="4" l="1"/>
  <c r="G21" i="4"/>
  <c r="K37" i="4"/>
  <c r="M37" i="4" s="1"/>
  <c r="I37" i="4"/>
  <c r="K48" i="4"/>
  <c r="G22" i="4"/>
  <c r="K34" i="4"/>
  <c r="G23" i="4"/>
  <c r="G15" i="4"/>
  <c r="G6" i="4"/>
  <c r="G19" i="4"/>
  <c r="K36" i="4"/>
  <c r="K46" i="4"/>
  <c r="G12" i="4"/>
  <c r="K43" i="4"/>
  <c r="G14" i="4"/>
  <c r="K38" i="4"/>
  <c r="K31" i="4"/>
  <c r="G8" i="4"/>
  <c r="G17" i="4"/>
  <c r="G11" i="4"/>
  <c r="K44" i="4"/>
  <c r="K40" i="4"/>
  <c r="K35" i="4"/>
  <c r="G10" i="4"/>
  <c r="K32" i="4"/>
  <c r="K42" i="4"/>
  <c r="G16" i="4"/>
  <c r="K39" i="4"/>
  <c r="G9" i="4"/>
  <c r="G13" i="4"/>
  <c r="K41" i="4"/>
  <c r="G7" i="4"/>
  <c r="I45" i="4"/>
  <c r="I46" i="4"/>
  <c r="I36" i="4"/>
  <c r="I48" i="4"/>
  <c r="I32" i="4"/>
  <c r="I35" i="4"/>
  <c r="K47" i="4" l="1"/>
  <c r="K33" i="4"/>
  <c r="I34" i="4"/>
  <c r="K45" i="4"/>
  <c r="M45" i="4" s="1"/>
  <c r="I43" i="4"/>
  <c r="I33" i="4"/>
  <c r="I31" i="4"/>
  <c r="I41" i="4"/>
  <c r="I38" i="4"/>
  <c r="I47" i="4"/>
  <c r="I39" i="4"/>
  <c r="I42" i="4"/>
  <c r="I44" i="4"/>
  <c r="I40" i="4"/>
  <c r="M47" i="4"/>
  <c r="M48" i="4"/>
  <c r="M46" i="4"/>
  <c r="M44" i="4"/>
  <c r="M34" i="4"/>
  <c r="M35" i="4"/>
  <c r="M32" i="4"/>
  <c r="M36" i="4"/>
  <c r="M33" i="4"/>
  <c r="M31" i="4"/>
  <c r="M41" i="4" l="1"/>
  <c r="M43" i="4"/>
  <c r="M40" i="4"/>
  <c r="M42" i="4"/>
  <c r="M39" i="4"/>
  <c r="M38" i="4"/>
</calcChain>
</file>

<file path=xl/sharedStrings.xml><?xml version="1.0" encoding="utf-8"?>
<sst xmlns="http://schemas.openxmlformats.org/spreadsheetml/2006/main" count="107" uniqueCount="63">
  <si>
    <t>Frequency</t>
  </si>
  <si>
    <t xml:space="preserve">Hz </t>
  </si>
  <si>
    <t>Data</t>
  </si>
  <si>
    <t>Results</t>
  </si>
  <si>
    <t>panel 1</t>
  </si>
  <si>
    <t>panel 2</t>
  </si>
  <si>
    <t>panel 3</t>
  </si>
  <si>
    <t>panel 4</t>
  </si>
  <si>
    <t>Absorption class</t>
  </si>
  <si>
    <t>A</t>
  </si>
  <si>
    <t>B</t>
  </si>
  <si>
    <t>C</t>
  </si>
  <si>
    <t>D</t>
  </si>
  <si>
    <t>E</t>
  </si>
  <si>
    <r>
      <t>a</t>
    </r>
    <r>
      <rPr>
        <b/>
        <vertAlign val="subscript"/>
        <sz val="11"/>
        <color theme="1"/>
        <rFont val="Calibri"/>
        <family val="2"/>
      </rPr>
      <t>w</t>
    </r>
  </si>
  <si>
    <t xml:space="preserve">Panels </t>
  </si>
  <si>
    <t>Hz</t>
  </si>
  <si>
    <t>Value</t>
  </si>
  <si>
    <t>Reference curve</t>
  </si>
  <si>
    <t>a</t>
  </si>
  <si>
    <r>
      <t>a</t>
    </r>
    <r>
      <rPr>
        <b/>
        <sz val="11"/>
        <color theme="1"/>
        <rFont val="Calibri"/>
        <family val="2"/>
        <scheme val="minor"/>
      </rPr>
      <t>p</t>
    </r>
  </si>
  <si>
    <r>
      <t>(ai-</t>
    </r>
    <r>
      <rPr>
        <b/>
        <sz val="8"/>
        <color theme="1"/>
        <rFont val="Symbol"/>
        <family val="1"/>
        <charset val="2"/>
      </rPr>
      <t>1</t>
    </r>
    <r>
      <rPr>
        <b/>
        <sz val="11"/>
        <color theme="1"/>
        <rFont val="Symbol"/>
        <family val="1"/>
        <charset val="2"/>
      </rPr>
      <t>+ai+ai+1)/3</t>
    </r>
  </si>
  <si>
    <r>
      <t>A</t>
    </r>
    <r>
      <rPr>
        <vertAlign val="subscript"/>
        <sz val="11"/>
        <color theme="1"/>
        <rFont val="Arial"/>
        <family val="2"/>
      </rPr>
      <t>T</t>
    </r>
  </si>
  <si>
    <r>
      <t>a</t>
    </r>
    <r>
      <rPr>
        <vertAlign val="subscript"/>
        <sz val="11"/>
        <color theme="1"/>
        <rFont val="Arial"/>
        <family val="2"/>
      </rPr>
      <t>s</t>
    </r>
  </si>
  <si>
    <t>area assorbente equivalente</t>
  </si>
  <si>
    <t>S</t>
  </si>
  <si>
    <t>coefficiente di assorbimento</t>
  </si>
  <si>
    <t>L</t>
  </si>
  <si>
    <t>W</t>
  </si>
  <si>
    <r>
      <t>V [m</t>
    </r>
    <r>
      <rPr>
        <vertAlign val="superscript"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>]</t>
    </r>
  </si>
  <si>
    <t>Dimensioni della stanza</t>
  </si>
  <si>
    <r>
      <t>I</t>
    </r>
    <r>
      <rPr>
        <vertAlign val="subscript"/>
        <sz val="11"/>
        <color theme="1"/>
        <rFont val="Arial"/>
        <family val="2"/>
      </rPr>
      <t>max</t>
    </r>
  </si>
  <si>
    <t>dimensioni [m]</t>
  </si>
  <si>
    <t>H</t>
  </si>
  <si>
    <t>pavimento</t>
  </si>
  <si>
    <t>soffitto</t>
  </si>
  <si>
    <t>pareti</t>
  </si>
  <si>
    <r>
      <t>area perimetrale [m</t>
    </r>
    <r>
      <rPr>
        <vertAlign val="super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]</t>
    </r>
  </si>
  <si>
    <r>
      <t>Superfici [m</t>
    </r>
    <r>
      <rPr>
        <b/>
        <vertAlign val="superscript"/>
        <sz val="11"/>
        <color theme="1"/>
        <rFont val="Arial"/>
        <family val="2"/>
      </rPr>
      <t>2</t>
    </r>
    <r>
      <rPr>
        <b/>
        <sz val="11"/>
        <color theme="1"/>
        <rFont val="Arial"/>
        <family val="2"/>
      </rPr>
      <t>]</t>
    </r>
  </si>
  <si>
    <t>s</t>
  </si>
  <si>
    <t>RT</t>
  </si>
  <si>
    <t>RT stanza vuota</t>
  </si>
  <si>
    <t xml:space="preserve">RT pannello 1 </t>
  </si>
  <si>
    <t>RT pannello 2</t>
  </si>
  <si>
    <t>RT pannello 3</t>
  </si>
  <si>
    <t xml:space="preserve">RT pannello 4 </t>
  </si>
  <si>
    <t>Misure</t>
  </si>
  <si>
    <r>
      <t>C</t>
    </r>
    <r>
      <rPr>
        <vertAlign val="subscript"/>
        <sz val="11"/>
        <color theme="1"/>
        <rFont val="Arial"/>
        <family val="2"/>
      </rPr>
      <t>1</t>
    </r>
    <r>
      <rPr>
        <sz val="11"/>
        <color theme="1"/>
        <rFont val="Arial"/>
        <family val="2"/>
      </rPr>
      <t>=C</t>
    </r>
    <r>
      <rPr>
        <vertAlign val="subscript"/>
        <sz val="11"/>
        <color theme="1"/>
        <rFont val="Arial"/>
        <family val="2"/>
      </rPr>
      <t>2</t>
    </r>
  </si>
  <si>
    <t>velocità</t>
  </si>
  <si>
    <r>
      <t>area del provino [m</t>
    </r>
    <r>
      <rPr>
        <b/>
        <vertAlign val="superscript"/>
        <sz val="11"/>
        <color theme="1"/>
        <rFont val="Arial"/>
        <family val="2"/>
      </rPr>
      <t>2</t>
    </r>
    <r>
      <rPr>
        <b/>
        <sz val="11"/>
        <color theme="1"/>
        <rFont val="Arial"/>
        <family val="2"/>
      </rPr>
      <t>]</t>
    </r>
  </si>
  <si>
    <t>m/s</t>
  </si>
  <si>
    <r>
      <t>A</t>
    </r>
    <r>
      <rPr>
        <b/>
        <vertAlign val="subscript"/>
        <sz val="11"/>
        <color theme="1"/>
        <rFont val="Arial"/>
        <family val="2"/>
      </rPr>
      <t>T</t>
    </r>
  </si>
  <si>
    <r>
      <t>a</t>
    </r>
    <r>
      <rPr>
        <b/>
        <vertAlign val="subscript"/>
        <sz val="11"/>
        <color theme="1"/>
        <rFont val="Arial"/>
        <family val="2"/>
      </rPr>
      <t>s</t>
    </r>
  </si>
  <si>
    <t>step</t>
  </si>
  <si>
    <t>&lt;0,10</t>
  </si>
  <si>
    <r>
      <t>a</t>
    </r>
    <r>
      <rPr>
        <b/>
        <vertAlign val="subscript"/>
        <sz val="11"/>
        <color theme="1"/>
        <rFont val="Arial"/>
        <family val="2"/>
      </rPr>
      <t>w</t>
    </r>
  </si>
  <si>
    <t>0,90; 0,95; 1,00</t>
  </si>
  <si>
    <t>0,80; 0,85</t>
  </si>
  <si>
    <t>0.60; 0.65; 0.70; 0.75</t>
  </si>
  <si>
    <t>0.30; 0.35; 0.40; 0.45; 0.50; 0.55</t>
  </si>
  <si>
    <t>0.52; 0.20; 0.15;</t>
  </si>
  <si>
    <t>Class</t>
  </si>
  <si>
    <t>range of each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</si>
</sst>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&quot; &quot;[$€-407];[Red]&quot;-&quot;#,##0.00&quot; &quot;[$€-407]"/>
    <numFmt numFmtId="165" formatCode="0.0"/>
  </numFmts>
  <fonts count="15" x14ac:knownFonts="1"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Symbol"/>
      <family val="1"/>
      <charset val="2"/>
    </font>
    <font>
      <b/>
      <vertAlign val="subscript"/>
      <sz val="11"/>
      <color theme="1"/>
      <name val="Calibri"/>
      <family val="2"/>
    </font>
    <font>
      <b/>
      <sz val="8"/>
      <color theme="1"/>
      <name val="Symbol"/>
      <family val="1"/>
      <charset val="2"/>
    </font>
    <font>
      <vertAlign val="subscript"/>
      <sz val="11"/>
      <color theme="1"/>
      <name val="Arial"/>
      <family val="2"/>
    </font>
    <font>
      <vertAlign val="superscript"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b/>
      <vertAlign val="subscript"/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rgb="FFFF0000"/>
      <name val="Arial"/>
      <family val="2"/>
    </font>
    <font>
      <sz val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4" fontId="3" fillId="0" borderId="0"/>
  </cellStyleXfs>
  <cellXfs count="125">
    <xf numFmtId="0" fontId="0" fillId="0" borderId="0" xfId="0"/>
    <xf numFmtId="0" fontId="4" fillId="0" borderId="0" xfId="0" applyFont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5" fillId="0" borderId="4" xfId="0" applyFont="1" applyBorder="1" applyAlignment="1">
      <alignment horizontal="center"/>
    </xf>
    <xf numFmtId="0" fontId="4" fillId="0" borderId="3" xfId="0" applyFont="1" applyBorder="1"/>
    <xf numFmtId="0" fontId="0" fillId="0" borderId="9" xfId="0" applyBorder="1"/>
    <xf numFmtId="0" fontId="0" fillId="0" borderId="4" xfId="0" applyBorder="1"/>
    <xf numFmtId="0" fontId="4" fillId="0" borderId="5" xfId="0" applyFont="1" applyBorder="1"/>
    <xf numFmtId="0" fontId="4" fillId="0" borderId="7" xfId="0" applyFont="1" applyBorder="1"/>
    <xf numFmtId="0" fontId="0" fillId="0" borderId="10" xfId="0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6" xfId="0" applyBorder="1" applyAlignment="1">
      <alignment horizontal="right"/>
    </xf>
    <xf numFmtId="0" fontId="0" fillId="0" borderId="8" xfId="0" applyBorder="1" applyAlignment="1">
      <alignment horizontal="right"/>
    </xf>
    <xf numFmtId="49" fontId="5" fillId="0" borderId="4" xfId="0" applyNumberFormat="1" applyFont="1" applyBorder="1" applyAlignment="1">
      <alignment horizontal="center"/>
    </xf>
    <xf numFmtId="0" fontId="0" fillId="0" borderId="1" xfId="0" applyBorder="1"/>
    <xf numFmtId="0" fontId="0" fillId="0" borderId="11" xfId="0" applyBorder="1"/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0" fillId="0" borderId="15" xfId="0" applyBorder="1"/>
    <xf numFmtId="0" fontId="0" fillId="0" borderId="0" xfId="0" applyBorder="1"/>
    <xf numFmtId="0" fontId="0" fillId="0" borderId="0" xfId="0" applyFill="1" applyBorder="1"/>
    <xf numFmtId="3" fontId="0" fillId="0" borderId="0" xfId="0" applyNumberFormat="1" applyBorder="1" applyAlignment="1">
      <alignment horizontal="center" vertical="center"/>
    </xf>
    <xf numFmtId="2" fontId="0" fillId="0" borderId="0" xfId="0" applyNumberFormat="1"/>
    <xf numFmtId="2" fontId="0" fillId="0" borderId="2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3" fontId="0" fillId="0" borderId="5" xfId="0" applyNumberFormat="1" applyBorder="1" applyAlignment="1">
      <alignment horizontal="center" vertical="center"/>
    </xf>
    <xf numFmtId="3" fontId="0" fillId="0" borderId="7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0" fillId="2" borderId="0" xfId="0" applyFill="1"/>
    <xf numFmtId="2" fontId="0" fillId="2" borderId="0" xfId="0" applyNumberFormat="1" applyFill="1"/>
    <xf numFmtId="0" fontId="4" fillId="2" borderId="0" xfId="0" applyFont="1" applyFill="1"/>
    <xf numFmtId="0" fontId="0" fillId="3" borderId="0" xfId="0" applyFill="1"/>
    <xf numFmtId="2" fontId="0" fillId="3" borderId="0" xfId="0" applyNumberFormat="1" applyFill="1"/>
    <xf numFmtId="0" fontId="0" fillId="2" borderId="0" xfId="0" applyFont="1" applyFill="1"/>
    <xf numFmtId="0" fontId="0" fillId="2" borderId="2" xfId="0" applyFont="1" applyFill="1" applyBorder="1"/>
    <xf numFmtId="0" fontId="0" fillId="2" borderId="2" xfId="0" applyFill="1" applyBorder="1"/>
    <xf numFmtId="0" fontId="4" fillId="2" borderId="2" xfId="0" applyFont="1" applyFill="1" applyBorder="1"/>
    <xf numFmtId="0" fontId="0" fillId="4" borderId="0" xfId="0" applyFill="1"/>
    <xf numFmtId="2" fontId="0" fillId="4" borderId="0" xfId="0" applyNumberFormat="1" applyFill="1"/>
    <xf numFmtId="0" fontId="0" fillId="2" borderId="21" xfId="0" applyFill="1" applyBorder="1"/>
    <xf numFmtId="0" fontId="0" fillId="2" borderId="22" xfId="0" applyFill="1" applyBorder="1" applyAlignment="1">
      <alignment horizontal="center"/>
    </xf>
    <xf numFmtId="0" fontId="0" fillId="2" borderId="22" xfId="0" applyFill="1" applyBorder="1" applyAlignment="1">
      <alignment horizontal="center" vertical="center"/>
    </xf>
    <xf numFmtId="3" fontId="0" fillId="2" borderId="22" xfId="0" applyNumberFormat="1" applyFill="1" applyBorder="1" applyAlignment="1">
      <alignment horizontal="center" vertical="center"/>
    </xf>
    <xf numFmtId="3" fontId="0" fillId="2" borderId="23" xfId="0" applyNumberFormat="1" applyFill="1" applyBorder="1" applyAlignment="1">
      <alignment horizontal="center" vertical="center"/>
    </xf>
    <xf numFmtId="2" fontId="0" fillId="0" borderId="2" xfId="0" applyNumberFormat="1" applyBorder="1"/>
    <xf numFmtId="2" fontId="0" fillId="0" borderId="2" xfId="0" applyNumberFormat="1" applyFill="1" applyBorder="1"/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/>
    <xf numFmtId="2" fontId="0" fillId="0" borderId="1" xfId="0" applyNumberFormat="1" applyBorder="1"/>
    <xf numFmtId="0" fontId="0" fillId="3" borderId="2" xfId="0" applyFill="1" applyBorder="1"/>
    <xf numFmtId="2" fontId="0" fillId="3" borderId="2" xfId="0" applyNumberFormat="1" applyFill="1" applyBorder="1"/>
    <xf numFmtId="0" fontId="4" fillId="3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2" fontId="0" fillId="3" borderId="2" xfId="0" applyNumberFormat="1" applyFill="1" applyBorder="1" applyAlignment="1">
      <alignment horizontal="center"/>
    </xf>
    <xf numFmtId="3" fontId="0" fillId="3" borderId="2" xfId="0" applyNumberFormat="1" applyFill="1" applyBorder="1" applyAlignment="1">
      <alignment horizontal="center" vertical="center"/>
    </xf>
    <xf numFmtId="0" fontId="4" fillId="4" borderId="0" xfId="0" applyFont="1" applyFill="1"/>
    <xf numFmtId="2" fontId="4" fillId="4" borderId="0" xfId="0" applyNumberFormat="1" applyFont="1" applyFill="1"/>
    <xf numFmtId="0" fontId="0" fillId="4" borderId="14" xfId="0" applyFill="1" applyBorder="1"/>
    <xf numFmtId="0" fontId="0" fillId="4" borderId="15" xfId="0" applyFill="1" applyBorder="1"/>
    <xf numFmtId="0" fontId="0" fillId="4" borderId="3" xfId="0" applyFill="1" applyBorder="1"/>
    <xf numFmtId="2" fontId="0" fillId="4" borderId="4" xfId="0" applyNumberFormat="1" applyFill="1" applyBorder="1" applyAlignment="1">
      <alignment horizontal="center" vertical="center"/>
    </xf>
    <xf numFmtId="0" fontId="0" fillId="4" borderId="16" xfId="0" applyFill="1" applyBorder="1"/>
    <xf numFmtId="0" fontId="0" fillId="4" borderId="17" xfId="0" applyFill="1" applyBorder="1"/>
    <xf numFmtId="0" fontId="0" fillId="4" borderId="5" xfId="0" applyFill="1" applyBorder="1" applyAlignment="1">
      <alignment horizontal="center"/>
    </xf>
    <xf numFmtId="2" fontId="0" fillId="4" borderId="6" xfId="0" applyNumberForma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0" xfId="0" applyFill="1" applyAlignment="1">
      <alignment horizontal="right"/>
    </xf>
    <xf numFmtId="0" fontId="4" fillId="4" borderId="16" xfId="0" applyFont="1" applyFill="1" applyBorder="1"/>
    <xf numFmtId="0" fontId="0" fillId="4" borderId="18" xfId="0" applyFill="1" applyBorder="1"/>
    <xf numFmtId="0" fontId="0" fillId="4" borderId="19" xfId="0" applyFill="1" applyBorder="1"/>
    <xf numFmtId="3" fontId="0" fillId="4" borderId="5" xfId="0" applyNumberFormat="1" applyFill="1" applyBorder="1" applyAlignment="1">
      <alignment horizontal="center" vertical="center"/>
    </xf>
    <xf numFmtId="3" fontId="0" fillId="4" borderId="7" xfId="0" applyNumberFormat="1" applyFill="1" applyBorder="1" applyAlignment="1">
      <alignment horizontal="center" vertical="center"/>
    </xf>
    <xf numFmtId="0" fontId="0" fillId="0" borderId="0" xfId="0" applyFill="1"/>
    <xf numFmtId="2" fontId="0" fillId="0" borderId="0" xfId="0" applyNumberFormat="1" applyFill="1"/>
    <xf numFmtId="0" fontId="0" fillId="0" borderId="28" xfId="0" applyBorder="1"/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5" fontId="0" fillId="0" borderId="9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2" fontId="0" fillId="0" borderId="31" xfId="0" applyNumberFormat="1" applyBorder="1"/>
    <xf numFmtId="0" fontId="4" fillId="0" borderId="1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4" fontId="0" fillId="0" borderId="0" xfId="0" applyNumberForma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2" fontId="0" fillId="0" borderId="9" xfId="0" applyNumberFormat="1" applyBorder="1"/>
    <xf numFmtId="2" fontId="0" fillId="0" borderId="4" xfId="0" applyNumberFormat="1" applyBorder="1"/>
    <xf numFmtId="2" fontId="13" fillId="0" borderId="10" xfId="0" applyNumberFormat="1" applyFont="1" applyBorder="1"/>
    <xf numFmtId="2" fontId="13" fillId="0" borderId="8" xfId="0" applyNumberFormat="1" applyFont="1" applyBorder="1"/>
    <xf numFmtId="0" fontId="4" fillId="0" borderId="7" xfId="0" applyFont="1" applyBorder="1" applyAlignment="1">
      <alignment horizontal="center"/>
    </xf>
    <xf numFmtId="0" fontId="4" fillId="0" borderId="14" xfId="0" applyFont="1" applyBorder="1"/>
    <xf numFmtId="0" fontId="0" fillId="0" borderId="20" xfId="0" applyBorder="1"/>
    <xf numFmtId="2" fontId="0" fillId="0" borderId="7" xfId="0" applyNumberFormat="1" applyFill="1" applyBorder="1"/>
    <xf numFmtId="0" fontId="4" fillId="0" borderId="7" xfId="0" applyFont="1" applyBorder="1" applyAlignment="1">
      <alignment horizontal="right"/>
    </xf>
    <xf numFmtId="2" fontId="12" fillId="0" borderId="10" xfId="0" applyNumberFormat="1" applyFont="1" applyBorder="1"/>
    <xf numFmtId="2" fontId="12" fillId="0" borderId="8" xfId="0" applyNumberFormat="1" applyFont="1" applyBorder="1"/>
    <xf numFmtId="2" fontId="0" fillId="0" borderId="9" xfId="0" applyNumberFormat="1" applyBorder="1"/>
    <xf numFmtId="2" fontId="0" fillId="0" borderId="4" xfId="0" applyNumberFormat="1" applyBorder="1"/>
    <xf numFmtId="2" fontId="0" fillId="2" borderId="26" xfId="0" applyNumberFormat="1" applyFill="1" applyBorder="1" applyAlignment="1">
      <alignment horizontal="center" vertical="center"/>
    </xf>
    <xf numFmtId="2" fontId="0" fillId="2" borderId="27" xfId="0" applyNumberForma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2" fontId="0" fillId="2" borderId="24" xfId="0" applyNumberFormat="1" applyFill="1" applyBorder="1" applyAlignment="1">
      <alignment horizontal="center" vertical="center"/>
    </xf>
    <xf numFmtId="2" fontId="0" fillId="2" borderId="25" xfId="0" applyNumberFormat="1" applyFill="1" applyBorder="1" applyAlignment="1">
      <alignment horizontal="center" vertical="center"/>
    </xf>
    <xf numFmtId="0" fontId="4" fillId="5" borderId="0" xfId="0" applyFont="1" applyFill="1"/>
    <xf numFmtId="0" fontId="4" fillId="6" borderId="2" xfId="0" applyFont="1" applyFill="1" applyBorder="1"/>
    <xf numFmtId="0" fontId="0" fillId="7" borderId="5" xfId="0" applyFill="1" applyBorder="1"/>
    <xf numFmtId="2" fontId="0" fillId="7" borderId="32" xfId="0" applyNumberFormat="1" applyFill="1" applyBorder="1"/>
    <xf numFmtId="0" fontId="4" fillId="7" borderId="2" xfId="0" applyFont="1" applyFill="1" applyBorder="1"/>
    <xf numFmtId="0" fontId="0" fillId="8" borderId="5" xfId="0" applyFill="1" applyBorder="1"/>
    <xf numFmtId="2" fontId="0" fillId="8" borderId="32" xfId="0" applyNumberFormat="1" applyFill="1" applyBorder="1"/>
    <xf numFmtId="0" fontId="4" fillId="8" borderId="2" xfId="0" applyFont="1" applyFill="1" applyBorder="1"/>
    <xf numFmtId="0" fontId="0" fillId="6" borderId="7" xfId="0" applyFill="1" applyBorder="1"/>
    <xf numFmtId="2" fontId="0" fillId="6" borderId="33" xfId="0" applyNumberFormat="1" applyFill="1" applyBorder="1"/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Reference curve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solidFill>
                <a:schemeClr val="lt1">
                  <a:alpha val="50000"/>
                </a:schemeClr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xVal>
            <c:numRef>
              <c:f>assorbimento!$R$7:$R$12</c:f>
              <c:numCache>
                <c:formatCode>General</c:formatCode>
                <c:ptCount val="6"/>
                <c:pt idx="0">
                  <c:v>125</c:v>
                </c:pt>
                <c:pt idx="1">
                  <c:v>250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4000</c:v>
                </c:pt>
              </c:numCache>
            </c:numRef>
          </c:xVal>
          <c:yVal>
            <c:numRef>
              <c:f>assorbimento!$S$7:$S$12</c:f>
              <c:numCache>
                <c:formatCode>General</c:formatCode>
                <c:ptCount val="6"/>
                <c:pt idx="0">
                  <c:v>0</c:v>
                </c:pt>
                <c:pt idx="1">
                  <c:v>0.8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C9-497B-BADF-D52D6F8BCE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1271808"/>
        <c:axId val="1031273056"/>
      </c:scatterChart>
      <c:valAx>
        <c:axId val="1031271808"/>
        <c:scaling>
          <c:orientation val="minMax"/>
          <c:max val="4000"/>
          <c:min val="125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31273056"/>
        <c:crosses val="autoZero"/>
        <c:crossBetween val="midCat"/>
        <c:minorUnit val="1000"/>
      </c:valAx>
      <c:valAx>
        <c:axId val="1031273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31271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Repositioned reference</a:t>
            </a:r>
            <a:r>
              <a:rPr lang="en-US" baseline="0"/>
              <a:t> curve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panel 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assorbimento!$I$40:$I$44</c:f>
              <c:numCache>
                <c:formatCode>General</c:formatCode>
                <c:ptCount val="5"/>
                <c:pt idx="0">
                  <c:v>250</c:v>
                </c:pt>
                <c:pt idx="1">
                  <c:v>500</c:v>
                </c:pt>
                <c:pt idx="2">
                  <c:v>1000</c:v>
                </c:pt>
                <c:pt idx="3">
                  <c:v>2000</c:v>
                </c:pt>
                <c:pt idx="4">
                  <c:v>4000</c:v>
                </c:pt>
              </c:numCache>
            </c:numRef>
          </c:xVal>
          <c:yVal>
            <c:numRef>
              <c:f>assorbimento!$J$40:$J$44</c:f>
              <c:numCache>
                <c:formatCode>0.00</c:formatCode>
                <c:ptCount val="5"/>
                <c:pt idx="0">
                  <c:v>0.30000000000000004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17-432B-8BA9-9992D5E8097C}"/>
            </c:ext>
          </c:extLst>
        </c:ser>
        <c:ser>
          <c:idx val="1"/>
          <c:order val="1"/>
          <c:tx>
            <c:v>panel 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assorbimento!$I$40:$I$44</c:f>
              <c:numCache>
                <c:formatCode>General</c:formatCode>
                <c:ptCount val="5"/>
                <c:pt idx="0">
                  <c:v>250</c:v>
                </c:pt>
                <c:pt idx="1">
                  <c:v>500</c:v>
                </c:pt>
                <c:pt idx="2">
                  <c:v>1000</c:v>
                </c:pt>
                <c:pt idx="3">
                  <c:v>2000</c:v>
                </c:pt>
                <c:pt idx="4">
                  <c:v>4000</c:v>
                </c:pt>
              </c:numCache>
            </c:numRef>
          </c:xVal>
          <c:yVal>
            <c:numRef>
              <c:f>assorbimento!$K$40:$K$44</c:f>
              <c:numCache>
                <c:formatCode>0.00</c:formatCode>
                <c:ptCount val="5"/>
                <c:pt idx="0">
                  <c:v>0.55000000000000004</c:v>
                </c:pt>
                <c:pt idx="1">
                  <c:v>0.75</c:v>
                </c:pt>
                <c:pt idx="2">
                  <c:v>0.75</c:v>
                </c:pt>
                <c:pt idx="3">
                  <c:v>0.75</c:v>
                </c:pt>
                <c:pt idx="4">
                  <c:v>0.65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E17-432B-8BA9-9992D5E8097C}"/>
            </c:ext>
          </c:extLst>
        </c:ser>
        <c:ser>
          <c:idx val="2"/>
          <c:order val="2"/>
          <c:tx>
            <c:v>panel 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assorbimento!$I$40:$I$44</c:f>
              <c:numCache>
                <c:formatCode>General</c:formatCode>
                <c:ptCount val="5"/>
                <c:pt idx="0">
                  <c:v>250</c:v>
                </c:pt>
                <c:pt idx="1">
                  <c:v>500</c:v>
                </c:pt>
                <c:pt idx="2">
                  <c:v>1000</c:v>
                </c:pt>
                <c:pt idx="3">
                  <c:v>2000</c:v>
                </c:pt>
                <c:pt idx="4">
                  <c:v>4000</c:v>
                </c:pt>
              </c:numCache>
            </c:numRef>
          </c:xVal>
          <c:yVal>
            <c:numRef>
              <c:f>assorbimento!$L$40:$L$44</c:f>
              <c:numCache>
                <c:formatCode>0.00</c:formatCode>
                <c:ptCount val="5"/>
                <c:pt idx="0">
                  <c:v>0.5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0.60000000000000009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E17-432B-8BA9-9992D5E8097C}"/>
            </c:ext>
          </c:extLst>
        </c:ser>
        <c:ser>
          <c:idx val="3"/>
          <c:order val="3"/>
          <c:tx>
            <c:v>panel 4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assorbimento!$I$40:$I$44</c:f>
              <c:numCache>
                <c:formatCode>General</c:formatCode>
                <c:ptCount val="5"/>
                <c:pt idx="0">
                  <c:v>250</c:v>
                </c:pt>
                <c:pt idx="1">
                  <c:v>500</c:v>
                </c:pt>
                <c:pt idx="2">
                  <c:v>1000</c:v>
                </c:pt>
                <c:pt idx="3">
                  <c:v>2000</c:v>
                </c:pt>
                <c:pt idx="4">
                  <c:v>4000</c:v>
                </c:pt>
              </c:numCache>
            </c:numRef>
          </c:xVal>
          <c:yVal>
            <c:numRef>
              <c:f>assorbimento!$M$40:$M$44</c:f>
              <c:numCache>
                <c:formatCode>0.00</c:formatCode>
                <c:ptCount val="5"/>
                <c:pt idx="0">
                  <c:v>0.75</c:v>
                </c:pt>
                <c:pt idx="1">
                  <c:v>0.95</c:v>
                </c:pt>
                <c:pt idx="2">
                  <c:v>0.95</c:v>
                </c:pt>
                <c:pt idx="3">
                  <c:v>0.95</c:v>
                </c:pt>
                <c:pt idx="4">
                  <c:v>0.85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E17-432B-8BA9-9992D5E8097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100214032"/>
        <c:axId val="1100225264"/>
      </c:scatterChart>
      <c:valAx>
        <c:axId val="1100214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00225264"/>
        <c:crosses val="autoZero"/>
        <c:crossBetween val="midCat"/>
      </c:valAx>
      <c:valAx>
        <c:axId val="1100225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002140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347385</xdr:colOff>
      <xdr:row>3</xdr:row>
      <xdr:rowOff>0</xdr:rowOff>
    </xdr:from>
    <xdr:to>
      <xdr:col>24</xdr:col>
      <xdr:colOff>481855</xdr:colOff>
      <xdr:row>15</xdr:row>
      <xdr:rowOff>144555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9EEDF33-FCD2-498D-9B29-458CDA1590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313762</xdr:colOff>
      <xdr:row>10</xdr:row>
      <xdr:rowOff>113180</xdr:rowOff>
    </xdr:from>
    <xdr:to>
      <xdr:col>15</xdr:col>
      <xdr:colOff>717174</xdr:colOff>
      <xdr:row>25</xdr:row>
      <xdr:rowOff>144557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9790E21-2790-4847-840B-7AFF08725C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2"/>
  <sheetViews>
    <sheetView topLeftCell="A43" zoomScale="90" zoomScaleNormal="90" workbookViewId="0">
      <selection activeCell="M54" sqref="M54"/>
    </sheetView>
  </sheetViews>
  <sheetFormatPr defaultRowHeight="13.8" x14ac:dyDescent="0.25"/>
  <cols>
    <col min="6" max="6" width="9" customWidth="1"/>
    <col min="7" max="7" width="9.09765625" style="29" customWidth="1"/>
  </cols>
  <sheetData>
    <row r="1" spans="1:14" s="80" customFormat="1" x14ac:dyDescent="0.25">
      <c r="G1" s="81"/>
    </row>
    <row r="2" spans="1:14" x14ac:dyDescent="0.25">
      <c r="A2" s="44"/>
      <c r="B2" s="63" t="s">
        <v>30</v>
      </c>
      <c r="C2" s="44"/>
      <c r="D2" s="44"/>
      <c r="E2" s="44"/>
      <c r="F2" s="63" t="s">
        <v>41</v>
      </c>
      <c r="G2" s="64"/>
      <c r="H2" s="44"/>
    </row>
    <row r="3" spans="1:14" ht="14.4" thickBot="1" x14ac:dyDescent="0.3">
      <c r="A3" s="44"/>
      <c r="B3" s="63"/>
      <c r="C3" s="44"/>
      <c r="D3" s="44"/>
      <c r="E3" s="44"/>
      <c r="F3" s="44"/>
      <c r="G3" s="45"/>
      <c r="H3" s="44"/>
    </row>
    <row r="4" spans="1:14" ht="16.2" x14ac:dyDescent="0.25">
      <c r="A4" s="44"/>
      <c r="B4" s="65" t="s">
        <v>29</v>
      </c>
      <c r="C4" s="66">
        <f>C7*C8*C9</f>
        <v>260</v>
      </c>
      <c r="D4" s="44"/>
      <c r="E4" s="44"/>
      <c r="F4" s="67" t="s">
        <v>0</v>
      </c>
      <c r="G4" s="68" t="s">
        <v>40</v>
      </c>
      <c r="H4" s="44"/>
    </row>
    <row r="5" spans="1:14" ht="16.2" x14ac:dyDescent="0.35">
      <c r="A5" s="44"/>
      <c r="B5" s="69" t="s">
        <v>31</v>
      </c>
      <c r="C5" s="70">
        <f>1.9*(C4)^(1/3)</f>
        <v>12.126758167833824</v>
      </c>
      <c r="D5" s="44"/>
      <c r="E5" s="44"/>
      <c r="F5" s="71" t="s">
        <v>1</v>
      </c>
      <c r="G5" s="72" t="s">
        <v>39</v>
      </c>
      <c r="H5" s="44"/>
    </row>
    <row r="6" spans="1:14" x14ac:dyDescent="0.25">
      <c r="A6" s="44"/>
      <c r="B6" s="69" t="s">
        <v>32</v>
      </c>
      <c r="C6" s="70"/>
      <c r="D6" s="44"/>
      <c r="E6" s="44"/>
      <c r="F6" s="73">
        <v>100</v>
      </c>
      <c r="G6" s="72">
        <f>0.16*$C$4/($C$16*0.03)</f>
        <v>5.2926208651399493</v>
      </c>
      <c r="H6" s="44"/>
    </row>
    <row r="7" spans="1:14" x14ac:dyDescent="0.25">
      <c r="A7" s="44"/>
      <c r="B7" s="69" t="s">
        <v>27</v>
      </c>
      <c r="C7" s="70">
        <v>10</v>
      </c>
      <c r="D7" s="74"/>
      <c r="E7" s="44"/>
      <c r="F7" s="73">
        <v>125</v>
      </c>
      <c r="G7" s="72">
        <f t="shared" ref="G7:G10" si="0">0.16*$C$4/($C$16*0.03)</f>
        <v>5.2926208651399493</v>
      </c>
      <c r="H7" s="44"/>
    </row>
    <row r="8" spans="1:14" x14ac:dyDescent="0.25">
      <c r="A8" s="44"/>
      <c r="B8" s="69" t="s">
        <v>28</v>
      </c>
      <c r="C8" s="70">
        <v>6.5</v>
      </c>
      <c r="D8" s="44"/>
      <c r="E8" s="44"/>
      <c r="F8" s="73">
        <v>160</v>
      </c>
      <c r="G8" s="72">
        <f t="shared" si="0"/>
        <v>5.2926208651399493</v>
      </c>
      <c r="H8" s="44"/>
    </row>
    <row r="9" spans="1:14" x14ac:dyDescent="0.25">
      <c r="A9" s="44"/>
      <c r="B9" s="69" t="s">
        <v>33</v>
      </c>
      <c r="C9" s="70">
        <v>4</v>
      </c>
      <c r="D9" s="44"/>
      <c r="E9" s="44"/>
      <c r="F9" s="73">
        <v>200</v>
      </c>
      <c r="G9" s="72">
        <f t="shared" si="0"/>
        <v>5.2926208651399493</v>
      </c>
      <c r="H9" s="44"/>
    </row>
    <row r="10" spans="1:14" x14ac:dyDescent="0.25">
      <c r="A10" s="44"/>
      <c r="B10" s="69"/>
      <c r="C10" s="70"/>
      <c r="D10" s="44"/>
      <c r="E10" s="44"/>
      <c r="F10" s="73">
        <v>250</v>
      </c>
      <c r="G10" s="72">
        <f t="shared" si="0"/>
        <v>5.2926208651399493</v>
      </c>
      <c r="H10" s="44"/>
    </row>
    <row r="11" spans="1:14" ht="16.2" x14ac:dyDescent="0.25">
      <c r="A11" s="44"/>
      <c r="B11" s="75" t="s">
        <v>38</v>
      </c>
      <c r="C11" s="70"/>
      <c r="D11" s="44"/>
      <c r="E11" s="44"/>
      <c r="F11" s="73">
        <v>315</v>
      </c>
      <c r="G11" s="72">
        <f>0.16*$C$4/($C$16*0.036)</f>
        <v>4.4105173876166255</v>
      </c>
      <c r="H11" s="44"/>
    </row>
    <row r="12" spans="1:14" x14ac:dyDescent="0.25">
      <c r="A12" s="44"/>
      <c r="B12" s="69" t="s">
        <v>34</v>
      </c>
      <c r="C12" s="70">
        <f>C8*C7</f>
        <v>65</v>
      </c>
      <c r="D12" s="44"/>
      <c r="E12" s="44"/>
      <c r="F12" s="73">
        <v>400</v>
      </c>
      <c r="G12" s="72">
        <f t="shared" ref="G12:G15" si="1">0.16*$C$4/($C$16*0.036)</f>
        <v>4.4105173876166255</v>
      </c>
      <c r="H12" s="44"/>
      <c r="J12" s="27"/>
      <c r="K12" s="27"/>
    </row>
    <row r="13" spans="1:14" x14ac:dyDescent="0.25">
      <c r="A13" s="44"/>
      <c r="B13" s="69" t="s">
        <v>35</v>
      </c>
      <c r="C13" s="70">
        <f>C12</f>
        <v>65</v>
      </c>
      <c r="D13" s="44"/>
      <c r="E13" s="44"/>
      <c r="F13" s="73">
        <v>500</v>
      </c>
      <c r="G13" s="72">
        <f t="shared" si="1"/>
        <v>4.4105173876166255</v>
      </c>
      <c r="H13" s="44"/>
      <c r="N13" s="1"/>
    </row>
    <row r="14" spans="1:14" x14ac:dyDescent="0.25">
      <c r="A14" s="44"/>
      <c r="B14" s="69" t="s">
        <v>36</v>
      </c>
      <c r="C14" s="70">
        <f>(C7+C8)*C9*2</f>
        <v>132</v>
      </c>
      <c r="D14" s="44"/>
      <c r="E14" s="44"/>
      <c r="F14" s="73">
        <v>630</v>
      </c>
      <c r="G14" s="72">
        <f t="shared" si="1"/>
        <v>4.4105173876166255</v>
      </c>
      <c r="H14" s="44"/>
    </row>
    <row r="15" spans="1:14" ht="16.2" x14ac:dyDescent="0.25">
      <c r="A15" s="44"/>
      <c r="B15" s="69" t="s">
        <v>37</v>
      </c>
      <c r="C15" s="70"/>
      <c r="D15" s="44"/>
      <c r="E15" s="44"/>
      <c r="F15" s="73">
        <v>800</v>
      </c>
      <c r="G15" s="72">
        <f t="shared" si="1"/>
        <v>4.4105173876166255</v>
      </c>
      <c r="H15" s="44"/>
    </row>
    <row r="16" spans="1:14" ht="14.4" thickBot="1" x14ac:dyDescent="0.3">
      <c r="A16" s="44"/>
      <c r="B16" s="76"/>
      <c r="C16" s="77">
        <f>SUM(C12:C14)</f>
        <v>262</v>
      </c>
      <c r="D16" s="44"/>
      <c r="E16" s="44"/>
      <c r="F16" s="78">
        <v>1000</v>
      </c>
      <c r="G16" s="72">
        <f>0.16*$C$4/($C$16*0.04)</f>
        <v>3.9694656488549618</v>
      </c>
      <c r="H16" s="44"/>
    </row>
    <row r="17" spans="1:15" x14ac:dyDescent="0.25">
      <c r="A17" s="44"/>
      <c r="B17" s="44"/>
      <c r="C17" s="44"/>
      <c r="D17" s="44"/>
      <c r="E17" s="44"/>
      <c r="F17" s="78">
        <v>1250</v>
      </c>
      <c r="G17" s="72">
        <f t="shared" ref="G17" si="2">0.16*$C$4/($C$16*0.04)</f>
        <v>3.9694656488549618</v>
      </c>
      <c r="H17" s="44"/>
    </row>
    <row r="18" spans="1:15" x14ac:dyDescent="0.25">
      <c r="A18" s="44"/>
      <c r="B18" s="44"/>
      <c r="C18" s="44"/>
      <c r="D18" s="44"/>
      <c r="E18" s="44"/>
      <c r="F18" s="78">
        <v>1600</v>
      </c>
      <c r="G18" s="72">
        <f>0.16*$C$4/($C$16*0.045)</f>
        <v>3.5284139100932999</v>
      </c>
      <c r="H18" s="44"/>
    </row>
    <row r="19" spans="1:15" x14ac:dyDescent="0.25">
      <c r="A19" s="44"/>
      <c r="B19" s="44"/>
      <c r="C19" s="44"/>
      <c r="D19" s="44"/>
      <c r="E19" s="44"/>
      <c r="F19" s="78">
        <v>2000</v>
      </c>
      <c r="G19" s="72">
        <f t="shared" ref="G19:G23" si="3">0.16*$C$4/($C$16*0.045)</f>
        <v>3.5284139100932999</v>
      </c>
      <c r="H19" s="44"/>
    </row>
    <row r="20" spans="1:15" x14ac:dyDescent="0.25">
      <c r="A20" s="44"/>
      <c r="B20" s="44"/>
      <c r="C20" s="44"/>
      <c r="D20" s="44"/>
      <c r="E20" s="44"/>
      <c r="F20" s="78">
        <v>2500</v>
      </c>
      <c r="G20" s="72">
        <f t="shared" si="3"/>
        <v>3.5284139100932999</v>
      </c>
      <c r="H20" s="44"/>
    </row>
    <row r="21" spans="1:15" x14ac:dyDescent="0.25">
      <c r="A21" s="44"/>
      <c r="B21" s="44"/>
      <c r="C21" s="44"/>
      <c r="D21" s="44"/>
      <c r="E21" s="44"/>
      <c r="F21" s="78">
        <v>3150</v>
      </c>
      <c r="G21" s="72">
        <f t="shared" si="3"/>
        <v>3.5284139100932999</v>
      </c>
      <c r="H21" s="44"/>
    </row>
    <row r="22" spans="1:15" x14ac:dyDescent="0.25">
      <c r="A22" s="44"/>
      <c r="B22" s="44"/>
      <c r="C22" s="44"/>
      <c r="D22" s="44"/>
      <c r="E22" s="44"/>
      <c r="F22" s="78">
        <v>4000</v>
      </c>
      <c r="G22" s="72">
        <f t="shared" si="3"/>
        <v>3.5284139100932999</v>
      </c>
      <c r="H22" s="44"/>
    </row>
    <row r="23" spans="1:15" ht="14.4" thickBot="1" x14ac:dyDescent="0.3">
      <c r="A23" s="44"/>
      <c r="B23" s="44"/>
      <c r="C23" s="44"/>
      <c r="D23" s="44"/>
      <c r="E23" s="44"/>
      <c r="F23" s="79">
        <v>5000</v>
      </c>
      <c r="G23" s="72">
        <f t="shared" si="3"/>
        <v>3.5284139100932999</v>
      </c>
      <c r="H23" s="44"/>
    </row>
    <row r="24" spans="1:15" x14ac:dyDescent="0.25">
      <c r="A24" s="44"/>
      <c r="B24" s="44"/>
      <c r="C24" s="44"/>
      <c r="D24" s="44"/>
      <c r="E24" s="44"/>
      <c r="F24" s="44"/>
      <c r="G24" s="45"/>
      <c r="H24" s="44"/>
    </row>
    <row r="26" spans="1:15" x14ac:dyDescent="0.25">
      <c r="A26" s="35"/>
      <c r="B26" s="35"/>
      <c r="C26" s="35"/>
      <c r="D26" s="35"/>
      <c r="E26" s="35"/>
      <c r="F26" s="35"/>
      <c r="G26" s="36"/>
      <c r="H26" s="35"/>
      <c r="I26" s="35"/>
      <c r="J26" s="35"/>
      <c r="K26" s="35"/>
      <c r="L26" s="35"/>
      <c r="M26" s="35"/>
      <c r="N26" s="35"/>
      <c r="O26" s="35"/>
    </row>
    <row r="27" spans="1:15" x14ac:dyDescent="0.25">
      <c r="A27" s="35"/>
      <c r="B27" s="37" t="s">
        <v>46</v>
      </c>
      <c r="C27" s="35"/>
      <c r="D27" s="35"/>
      <c r="E27" s="35"/>
      <c r="F27" s="35"/>
      <c r="G27" s="36"/>
      <c r="H27" s="35"/>
      <c r="I27" s="35"/>
      <c r="J27" s="35"/>
      <c r="K27" s="35"/>
      <c r="L27" s="35"/>
      <c r="M27" s="35"/>
      <c r="N27" s="35"/>
      <c r="O27" s="35"/>
    </row>
    <row r="28" spans="1:15" ht="14.4" thickBot="1" x14ac:dyDescent="0.3">
      <c r="A28" s="35"/>
      <c r="B28" s="37"/>
      <c r="C28" s="35"/>
      <c r="D28" s="35"/>
      <c r="E28" s="35"/>
      <c r="F28" s="35"/>
      <c r="G28" s="112" t="s">
        <v>42</v>
      </c>
      <c r="H28" s="112"/>
      <c r="I28" s="112" t="s">
        <v>43</v>
      </c>
      <c r="J28" s="112"/>
      <c r="K28" s="112" t="s">
        <v>44</v>
      </c>
      <c r="L28" s="112"/>
      <c r="M28" s="112" t="s">
        <v>45</v>
      </c>
      <c r="N28" s="112"/>
      <c r="O28" s="35"/>
    </row>
    <row r="29" spans="1:15" x14ac:dyDescent="0.25">
      <c r="A29" s="35"/>
      <c r="B29" s="43" t="s">
        <v>24</v>
      </c>
      <c r="C29" s="41"/>
      <c r="D29" s="41"/>
      <c r="E29" s="40"/>
      <c r="F29" s="46" t="s">
        <v>0</v>
      </c>
      <c r="G29" s="113" t="s">
        <v>40</v>
      </c>
      <c r="H29" s="114"/>
      <c r="I29" s="110" t="s">
        <v>40</v>
      </c>
      <c r="J29" s="111"/>
      <c r="K29" s="110" t="s">
        <v>40</v>
      </c>
      <c r="L29" s="111"/>
      <c r="M29" s="110" t="s">
        <v>40</v>
      </c>
      <c r="N29" s="111"/>
      <c r="O29" s="35"/>
    </row>
    <row r="30" spans="1:15" ht="16.2" x14ac:dyDescent="0.35">
      <c r="A30" s="35"/>
      <c r="B30" s="42" t="s">
        <v>22</v>
      </c>
      <c r="C30" s="42"/>
      <c r="D30" s="42"/>
      <c r="E30" s="35"/>
      <c r="F30" s="47" t="s">
        <v>1</v>
      </c>
      <c r="G30" s="110" t="s">
        <v>39</v>
      </c>
      <c r="H30" s="111"/>
      <c r="I30" s="110" t="s">
        <v>39</v>
      </c>
      <c r="J30" s="111"/>
      <c r="K30" s="110" t="s">
        <v>39</v>
      </c>
      <c r="L30" s="111"/>
      <c r="M30" s="110" t="s">
        <v>39</v>
      </c>
      <c r="N30" s="111"/>
      <c r="O30" s="35"/>
    </row>
    <row r="31" spans="1:15" ht="16.2" x14ac:dyDescent="0.25">
      <c r="A31" s="35"/>
      <c r="B31" s="43" t="s">
        <v>49</v>
      </c>
      <c r="C31" s="42"/>
      <c r="D31" s="42"/>
      <c r="E31" s="35"/>
      <c r="F31" s="48">
        <v>100</v>
      </c>
      <c r="G31" s="110">
        <v>2.8610396219556522</v>
      </c>
      <c r="H31" s="111"/>
      <c r="I31" s="110">
        <f>G31-G31*0.15</f>
        <v>2.4318836786623041</v>
      </c>
      <c r="J31" s="111"/>
      <c r="K31" s="110">
        <f>G31-G31*0.12</f>
        <v>2.5177148673209739</v>
      </c>
      <c r="L31" s="111"/>
      <c r="M31" s="110">
        <f>K31-K31*0.14</f>
        <v>2.1652347858960375</v>
      </c>
      <c r="N31" s="111"/>
      <c r="O31" s="35"/>
    </row>
    <row r="32" spans="1:15" x14ac:dyDescent="0.25">
      <c r="A32" s="35"/>
      <c r="B32" s="42" t="s">
        <v>25</v>
      </c>
      <c r="C32" s="42">
        <v>12</v>
      </c>
      <c r="D32" s="42"/>
      <c r="E32" s="35"/>
      <c r="F32" s="48">
        <v>125</v>
      </c>
      <c r="G32" s="110">
        <v>2.8610396219556522</v>
      </c>
      <c r="H32" s="111"/>
      <c r="I32" s="110">
        <f t="shared" ref="I32:I48" si="4">G32-G32*0.15</f>
        <v>2.4318836786623041</v>
      </c>
      <c r="J32" s="111"/>
      <c r="K32" s="110">
        <f t="shared" ref="K32:K48" si="5">G32-G32*0.12</f>
        <v>2.5177148673209739</v>
      </c>
      <c r="L32" s="111"/>
      <c r="M32" s="110">
        <f t="shared" ref="M32:M48" si="6">K32-K32*0.14</f>
        <v>2.1652347858960375</v>
      </c>
      <c r="N32" s="111"/>
      <c r="O32" s="35"/>
    </row>
    <row r="33" spans="1:15" x14ac:dyDescent="0.25">
      <c r="A33" s="35"/>
      <c r="B33" s="43" t="s">
        <v>26</v>
      </c>
      <c r="C33" s="42"/>
      <c r="D33" s="42"/>
      <c r="E33" s="35"/>
      <c r="F33" s="48">
        <v>160</v>
      </c>
      <c r="G33" s="110">
        <v>2.8610396219556522</v>
      </c>
      <c r="H33" s="111"/>
      <c r="I33" s="110">
        <f t="shared" si="4"/>
        <v>2.4318836786623041</v>
      </c>
      <c r="J33" s="111"/>
      <c r="K33" s="110">
        <f t="shared" si="5"/>
        <v>2.5177148673209739</v>
      </c>
      <c r="L33" s="111"/>
      <c r="M33" s="110">
        <f t="shared" si="6"/>
        <v>2.1652347858960375</v>
      </c>
      <c r="N33" s="111"/>
      <c r="O33" s="35"/>
    </row>
    <row r="34" spans="1:15" ht="16.2" x14ac:dyDescent="0.35">
      <c r="A34" s="35"/>
      <c r="B34" s="42" t="s">
        <v>23</v>
      </c>
      <c r="C34" s="42"/>
      <c r="D34" s="42"/>
      <c r="E34" s="35"/>
      <c r="F34" s="48">
        <v>200</v>
      </c>
      <c r="G34" s="110">
        <v>2.8610396219556522</v>
      </c>
      <c r="H34" s="111"/>
      <c r="I34" s="110">
        <f t="shared" si="4"/>
        <v>2.4318836786623041</v>
      </c>
      <c r="J34" s="111"/>
      <c r="K34" s="110">
        <f t="shared" si="5"/>
        <v>2.5177148673209739</v>
      </c>
      <c r="L34" s="111"/>
      <c r="M34" s="110">
        <f t="shared" si="6"/>
        <v>2.1652347858960375</v>
      </c>
      <c r="N34" s="111"/>
      <c r="O34" s="35"/>
    </row>
    <row r="35" spans="1:15" x14ac:dyDescent="0.25">
      <c r="A35" s="35"/>
      <c r="B35" s="43" t="s">
        <v>48</v>
      </c>
      <c r="C35" s="42"/>
      <c r="D35" s="42"/>
      <c r="E35" s="35"/>
      <c r="F35" s="48">
        <v>250</v>
      </c>
      <c r="G35" s="110">
        <v>2.8610396219556522</v>
      </c>
      <c r="H35" s="111"/>
      <c r="I35" s="110">
        <f t="shared" si="4"/>
        <v>2.4318836786623041</v>
      </c>
      <c r="J35" s="111"/>
      <c r="K35" s="110">
        <f t="shared" si="5"/>
        <v>2.5177148673209739</v>
      </c>
      <c r="L35" s="111"/>
      <c r="M35" s="110">
        <f t="shared" si="6"/>
        <v>2.1652347858960375</v>
      </c>
      <c r="N35" s="111"/>
      <c r="O35" s="35"/>
    </row>
    <row r="36" spans="1:15" ht="16.2" x14ac:dyDescent="0.35">
      <c r="A36" s="35"/>
      <c r="B36" s="42" t="s">
        <v>47</v>
      </c>
      <c r="C36" s="42">
        <v>340</v>
      </c>
      <c r="D36" s="42" t="s">
        <v>50</v>
      </c>
      <c r="E36" s="35"/>
      <c r="F36" s="48">
        <v>315</v>
      </c>
      <c r="G36" s="110">
        <v>2.8610396219556522</v>
      </c>
      <c r="H36" s="111"/>
      <c r="I36" s="110">
        <f t="shared" si="4"/>
        <v>2.4318836786623041</v>
      </c>
      <c r="J36" s="111"/>
      <c r="K36" s="110">
        <f t="shared" si="5"/>
        <v>2.5177148673209739</v>
      </c>
      <c r="L36" s="111"/>
      <c r="M36" s="110">
        <f t="shared" si="6"/>
        <v>2.1652347858960375</v>
      </c>
      <c r="N36" s="111"/>
      <c r="O36" s="35"/>
    </row>
    <row r="37" spans="1:15" x14ac:dyDescent="0.25">
      <c r="A37" s="35"/>
      <c r="B37" s="35"/>
      <c r="C37" s="35"/>
      <c r="D37" s="35"/>
      <c r="E37" s="35"/>
      <c r="F37" s="48">
        <v>400</v>
      </c>
      <c r="G37" s="110">
        <v>2.670303647158609</v>
      </c>
      <c r="H37" s="111"/>
      <c r="I37" s="110">
        <f t="shared" si="4"/>
        <v>2.2697581000848177</v>
      </c>
      <c r="J37" s="111"/>
      <c r="K37" s="110">
        <f t="shared" si="5"/>
        <v>2.3498672094995761</v>
      </c>
      <c r="L37" s="111"/>
      <c r="M37" s="110">
        <f t="shared" si="6"/>
        <v>2.0208858001696353</v>
      </c>
      <c r="N37" s="111"/>
      <c r="O37" s="35"/>
    </row>
    <row r="38" spans="1:15" x14ac:dyDescent="0.25">
      <c r="A38" s="35"/>
      <c r="B38" s="35"/>
      <c r="C38" s="35"/>
      <c r="D38" s="35"/>
      <c r="E38" s="35"/>
      <c r="F38" s="48">
        <v>500</v>
      </c>
      <c r="G38" s="110">
        <v>2.670303647158609</v>
      </c>
      <c r="H38" s="111"/>
      <c r="I38" s="110">
        <f t="shared" si="4"/>
        <v>2.2697581000848177</v>
      </c>
      <c r="J38" s="111"/>
      <c r="K38" s="110">
        <f t="shared" si="5"/>
        <v>2.3498672094995761</v>
      </c>
      <c r="L38" s="111"/>
      <c r="M38" s="110">
        <f t="shared" si="6"/>
        <v>2.0208858001696353</v>
      </c>
      <c r="N38" s="111"/>
      <c r="O38" s="35"/>
    </row>
    <row r="39" spans="1:15" x14ac:dyDescent="0.25">
      <c r="A39" s="35"/>
      <c r="B39" s="35"/>
      <c r="C39" s="35"/>
      <c r="D39" s="35"/>
      <c r="E39" s="35"/>
      <c r="F39" s="48">
        <v>630</v>
      </c>
      <c r="G39" s="110">
        <v>2.670303647158609</v>
      </c>
      <c r="H39" s="111"/>
      <c r="I39" s="110">
        <f t="shared" si="4"/>
        <v>2.2697581000848177</v>
      </c>
      <c r="J39" s="111"/>
      <c r="K39" s="110">
        <f t="shared" si="5"/>
        <v>2.3498672094995761</v>
      </c>
      <c r="L39" s="111"/>
      <c r="M39" s="110">
        <f t="shared" si="6"/>
        <v>2.0208858001696353</v>
      </c>
      <c r="N39" s="111"/>
      <c r="O39" s="35"/>
    </row>
    <row r="40" spans="1:15" x14ac:dyDescent="0.25">
      <c r="A40" s="35"/>
      <c r="B40" s="35"/>
      <c r="C40" s="35"/>
      <c r="D40" s="35"/>
      <c r="E40" s="35"/>
      <c r="F40" s="48">
        <v>800</v>
      </c>
      <c r="G40" s="110">
        <v>2.670303647158609</v>
      </c>
      <c r="H40" s="111"/>
      <c r="I40" s="110">
        <f t="shared" si="4"/>
        <v>2.2697581000848177</v>
      </c>
      <c r="J40" s="111"/>
      <c r="K40" s="110">
        <f t="shared" si="5"/>
        <v>2.3498672094995761</v>
      </c>
      <c r="L40" s="111"/>
      <c r="M40" s="110">
        <f t="shared" si="6"/>
        <v>2.0208858001696353</v>
      </c>
      <c r="N40" s="111"/>
      <c r="O40" s="35"/>
    </row>
    <row r="41" spans="1:15" x14ac:dyDescent="0.25">
      <c r="A41" s="35"/>
      <c r="B41" s="35"/>
      <c r="C41" s="35"/>
      <c r="D41" s="35"/>
      <c r="E41" s="35"/>
      <c r="F41" s="49">
        <v>1000</v>
      </c>
      <c r="G41" s="110">
        <v>2.670303647158609</v>
      </c>
      <c r="H41" s="111"/>
      <c r="I41" s="110">
        <f t="shared" si="4"/>
        <v>2.2697581000848177</v>
      </c>
      <c r="J41" s="111"/>
      <c r="K41" s="110">
        <f t="shared" si="5"/>
        <v>2.3498672094995761</v>
      </c>
      <c r="L41" s="111"/>
      <c r="M41" s="110">
        <f t="shared" si="6"/>
        <v>2.0208858001696353</v>
      </c>
      <c r="N41" s="111"/>
      <c r="O41" s="35"/>
    </row>
    <row r="42" spans="1:15" x14ac:dyDescent="0.25">
      <c r="A42" s="35"/>
      <c r="B42" s="35"/>
      <c r="C42" s="35"/>
      <c r="D42" s="35"/>
      <c r="E42" s="35"/>
      <c r="F42" s="49">
        <v>1250</v>
      </c>
      <c r="G42" s="110">
        <v>2.670303647158609</v>
      </c>
      <c r="H42" s="111"/>
      <c r="I42" s="110">
        <f t="shared" si="4"/>
        <v>2.2697581000848177</v>
      </c>
      <c r="J42" s="111"/>
      <c r="K42" s="110">
        <f t="shared" si="5"/>
        <v>2.3498672094995761</v>
      </c>
      <c r="L42" s="111"/>
      <c r="M42" s="110">
        <f t="shared" si="6"/>
        <v>2.0208858001696353</v>
      </c>
      <c r="N42" s="111"/>
      <c r="O42" s="35"/>
    </row>
    <row r="43" spans="1:15" x14ac:dyDescent="0.25">
      <c r="A43" s="35"/>
      <c r="B43" s="35"/>
      <c r="C43" s="35"/>
      <c r="D43" s="35"/>
      <c r="E43" s="35"/>
      <c r="F43" s="49">
        <v>1600</v>
      </c>
      <c r="G43" s="110">
        <v>2.4032732824427478</v>
      </c>
      <c r="H43" s="111"/>
      <c r="I43" s="110">
        <f t="shared" si="4"/>
        <v>2.0427822900763357</v>
      </c>
      <c r="J43" s="111"/>
      <c r="K43" s="110">
        <f t="shared" si="5"/>
        <v>2.114880488549618</v>
      </c>
      <c r="L43" s="111"/>
      <c r="M43" s="110">
        <f t="shared" si="6"/>
        <v>1.8187972201526714</v>
      </c>
      <c r="N43" s="111"/>
      <c r="O43" s="35"/>
    </row>
    <row r="44" spans="1:15" x14ac:dyDescent="0.25">
      <c r="A44" s="35"/>
      <c r="B44" s="35"/>
      <c r="C44" s="35"/>
      <c r="D44" s="35"/>
      <c r="E44" s="35"/>
      <c r="F44" s="49">
        <v>2000</v>
      </c>
      <c r="G44" s="110">
        <v>2.4032732824427478</v>
      </c>
      <c r="H44" s="111"/>
      <c r="I44" s="110">
        <f t="shared" si="4"/>
        <v>2.0427822900763357</v>
      </c>
      <c r="J44" s="111"/>
      <c r="K44" s="110">
        <f t="shared" si="5"/>
        <v>2.114880488549618</v>
      </c>
      <c r="L44" s="111"/>
      <c r="M44" s="110">
        <f t="shared" si="6"/>
        <v>1.8187972201526714</v>
      </c>
      <c r="N44" s="111"/>
      <c r="O44" s="35"/>
    </row>
    <row r="45" spans="1:15" x14ac:dyDescent="0.25">
      <c r="A45" s="35"/>
      <c r="B45" s="35"/>
      <c r="C45" s="35"/>
      <c r="D45" s="35"/>
      <c r="E45" s="35"/>
      <c r="F45" s="49">
        <v>2500</v>
      </c>
      <c r="G45" s="110">
        <v>2.4032732824427478</v>
      </c>
      <c r="H45" s="111"/>
      <c r="I45" s="110">
        <f t="shared" si="4"/>
        <v>2.0427822900763357</v>
      </c>
      <c r="J45" s="111"/>
      <c r="K45" s="110">
        <f t="shared" si="5"/>
        <v>2.114880488549618</v>
      </c>
      <c r="L45" s="111"/>
      <c r="M45" s="110">
        <f t="shared" si="6"/>
        <v>1.8187972201526714</v>
      </c>
      <c r="N45" s="111"/>
      <c r="O45" s="35"/>
    </row>
    <row r="46" spans="1:15" x14ac:dyDescent="0.25">
      <c r="A46" s="35"/>
      <c r="B46" s="35"/>
      <c r="C46" s="35"/>
      <c r="D46" s="35"/>
      <c r="E46" s="35"/>
      <c r="F46" s="49">
        <v>3150</v>
      </c>
      <c r="G46" s="110">
        <v>2.4032732824427478</v>
      </c>
      <c r="H46" s="111"/>
      <c r="I46" s="110">
        <f t="shared" si="4"/>
        <v>2.0427822900763357</v>
      </c>
      <c r="J46" s="111"/>
      <c r="K46" s="110">
        <f t="shared" si="5"/>
        <v>2.114880488549618</v>
      </c>
      <c r="L46" s="111"/>
      <c r="M46" s="110">
        <f t="shared" si="6"/>
        <v>1.8187972201526714</v>
      </c>
      <c r="N46" s="111"/>
      <c r="O46" s="35"/>
    </row>
    <row r="47" spans="1:15" x14ac:dyDescent="0.25">
      <c r="A47" s="35"/>
      <c r="B47" s="35"/>
      <c r="C47" s="35"/>
      <c r="D47" s="35"/>
      <c r="E47" s="35"/>
      <c r="F47" s="49">
        <v>4000</v>
      </c>
      <c r="G47" s="110">
        <v>2.4032732824427478</v>
      </c>
      <c r="H47" s="111"/>
      <c r="I47" s="110">
        <f t="shared" si="4"/>
        <v>2.0427822900763357</v>
      </c>
      <c r="J47" s="111"/>
      <c r="K47" s="110">
        <f t="shared" si="5"/>
        <v>2.114880488549618</v>
      </c>
      <c r="L47" s="111"/>
      <c r="M47" s="110">
        <f t="shared" si="6"/>
        <v>1.8187972201526714</v>
      </c>
      <c r="N47" s="111"/>
      <c r="O47" s="35"/>
    </row>
    <row r="48" spans="1:15" ht="14.4" thickBot="1" x14ac:dyDescent="0.3">
      <c r="A48" s="35"/>
      <c r="B48" s="35"/>
      <c r="C48" s="35"/>
      <c r="D48" s="35"/>
      <c r="E48" s="35"/>
      <c r="F48" s="50">
        <v>5000</v>
      </c>
      <c r="G48" s="110">
        <v>2.4032732824427478</v>
      </c>
      <c r="H48" s="111"/>
      <c r="I48" s="110">
        <f t="shared" si="4"/>
        <v>2.0427822900763357</v>
      </c>
      <c r="J48" s="111"/>
      <c r="K48" s="110">
        <f t="shared" si="5"/>
        <v>2.114880488549618</v>
      </c>
      <c r="L48" s="111"/>
      <c r="M48" s="110">
        <f t="shared" si="6"/>
        <v>1.8187972201526714</v>
      </c>
      <c r="N48" s="111"/>
      <c r="O48" s="35"/>
    </row>
    <row r="49" spans="1:15" x14ac:dyDescent="0.25">
      <c r="A49" s="35"/>
      <c r="B49" s="35"/>
      <c r="C49" s="35"/>
      <c r="D49" s="35"/>
      <c r="E49" s="35"/>
      <c r="F49" s="35"/>
      <c r="G49" s="36"/>
      <c r="H49" s="35"/>
      <c r="I49" s="35"/>
      <c r="J49" s="35"/>
      <c r="K49" s="35"/>
      <c r="L49" s="35"/>
      <c r="M49" s="35"/>
      <c r="N49" s="35"/>
      <c r="O49" s="35"/>
    </row>
    <row r="51" spans="1:15" x14ac:dyDescent="0.25">
      <c r="A51" s="38"/>
      <c r="B51" s="38"/>
      <c r="C51" s="38"/>
      <c r="D51" s="38"/>
      <c r="E51" s="38"/>
      <c r="F51" s="38"/>
      <c r="G51" s="39"/>
      <c r="H51" s="38"/>
      <c r="I51" s="38"/>
      <c r="J51" s="38"/>
      <c r="K51" s="38"/>
      <c r="L51" s="38"/>
      <c r="M51" s="38"/>
      <c r="N51" s="38"/>
      <c r="O51" s="38"/>
    </row>
    <row r="52" spans="1:15" x14ac:dyDescent="0.25">
      <c r="A52" s="38"/>
      <c r="B52" s="38"/>
      <c r="C52" s="38"/>
      <c r="D52" s="38"/>
      <c r="E52" s="38"/>
      <c r="F52" s="56" t="s">
        <v>0</v>
      </c>
      <c r="G52" s="57"/>
      <c r="H52" s="56"/>
      <c r="I52" s="56"/>
      <c r="J52" s="56"/>
      <c r="K52" s="56"/>
      <c r="L52" s="56"/>
      <c r="M52" s="56"/>
      <c r="N52" s="56"/>
      <c r="O52" s="38"/>
    </row>
    <row r="53" spans="1:15" ht="16.2" x14ac:dyDescent="0.25">
      <c r="A53" s="38"/>
      <c r="B53" s="38"/>
      <c r="C53" s="38"/>
      <c r="D53" s="38"/>
      <c r="E53" s="38"/>
      <c r="F53" s="58" t="s">
        <v>1</v>
      </c>
      <c r="G53" s="59" t="s">
        <v>51</v>
      </c>
      <c r="H53" s="59" t="s">
        <v>52</v>
      </c>
      <c r="I53" s="59" t="s">
        <v>51</v>
      </c>
      <c r="J53" s="59" t="s">
        <v>52</v>
      </c>
      <c r="K53" s="59" t="s">
        <v>51</v>
      </c>
      <c r="L53" s="59" t="s">
        <v>52</v>
      </c>
      <c r="M53" s="59" t="s">
        <v>51</v>
      </c>
      <c r="N53" s="59" t="s">
        <v>52</v>
      </c>
      <c r="O53" s="38"/>
    </row>
    <row r="54" spans="1:15" x14ac:dyDescent="0.25">
      <c r="A54" s="38"/>
      <c r="B54" s="38"/>
      <c r="C54" s="38"/>
      <c r="D54" s="38"/>
      <c r="E54" s="38"/>
      <c r="F54" s="60">
        <v>100</v>
      </c>
      <c r="G54" s="61">
        <f t="shared" ref="G54:G71" si="7">55.3*volume*(1/(c_sound*G31) - 1/(c_sound*G6))</f>
        <v>6.7906866372341765</v>
      </c>
      <c r="H54" s="61">
        <f t="shared" ref="H54:H71" si="8">G54/surf</f>
        <v>0.56589055310284808</v>
      </c>
      <c r="I54" s="61">
        <f t="shared" ref="I54:I71" si="9">55.3*volume*(1/(c_sound*I31) - 1/(c_sound*G6))</f>
        <v>9.399049590517718</v>
      </c>
      <c r="J54" s="61">
        <f t="shared" ref="J54:J71" si="10">I54/surf</f>
        <v>0.78325413254314313</v>
      </c>
      <c r="K54" s="61">
        <f t="shared" ref="K54:K71" si="11">55.3*volume*(1/(c_sound*K31) - 1/(c_sound*G6))</f>
        <v>8.8062398284078185</v>
      </c>
      <c r="L54" s="61">
        <f t="shared" ref="L54:L71" si="12">K54/surf</f>
        <v>0.73385331903398487</v>
      </c>
      <c r="M54" s="61">
        <f t="shared" ref="M54:M71" si="13">55.3*volume*(1/(c_sound*M31) - 1/(c_sound*G6))</f>
        <v>11.540517413333307</v>
      </c>
      <c r="N54" s="61">
        <f t="shared" ref="N54:N71" si="14">M54/surf</f>
        <v>0.96170978444444222</v>
      </c>
      <c r="O54" s="38"/>
    </row>
    <row r="55" spans="1:15" x14ac:dyDescent="0.25">
      <c r="A55" s="38"/>
      <c r="B55" s="38"/>
      <c r="C55" s="38"/>
      <c r="D55" s="38"/>
      <c r="E55" s="38"/>
      <c r="F55" s="60">
        <v>125</v>
      </c>
      <c r="G55" s="61">
        <f t="shared" si="7"/>
        <v>6.7906866372341765</v>
      </c>
      <c r="H55" s="61">
        <f t="shared" si="8"/>
        <v>0.56589055310284808</v>
      </c>
      <c r="I55" s="61">
        <f t="shared" si="9"/>
        <v>9.399049590517718</v>
      </c>
      <c r="J55" s="61">
        <f t="shared" si="10"/>
        <v>0.78325413254314313</v>
      </c>
      <c r="K55" s="61">
        <f t="shared" si="11"/>
        <v>8.8062398284078185</v>
      </c>
      <c r="L55" s="61">
        <f t="shared" si="12"/>
        <v>0.73385331903398487</v>
      </c>
      <c r="M55" s="61">
        <f t="shared" si="13"/>
        <v>11.540517413333307</v>
      </c>
      <c r="N55" s="61">
        <f t="shared" si="14"/>
        <v>0.96170978444444222</v>
      </c>
      <c r="O55" s="38"/>
    </row>
    <row r="56" spans="1:15" x14ac:dyDescent="0.25">
      <c r="A56" s="38"/>
      <c r="B56" s="38"/>
      <c r="C56" s="38"/>
      <c r="D56" s="38"/>
      <c r="E56" s="38"/>
      <c r="F56" s="60">
        <v>160</v>
      </c>
      <c r="G56" s="61">
        <f t="shared" si="7"/>
        <v>6.7906866372341765</v>
      </c>
      <c r="H56" s="61">
        <f t="shared" si="8"/>
        <v>0.56589055310284808</v>
      </c>
      <c r="I56" s="61">
        <f t="shared" si="9"/>
        <v>9.399049590517718</v>
      </c>
      <c r="J56" s="61">
        <f t="shared" si="10"/>
        <v>0.78325413254314313</v>
      </c>
      <c r="K56" s="61">
        <f t="shared" si="11"/>
        <v>8.8062398284078185</v>
      </c>
      <c r="L56" s="61">
        <f t="shared" si="12"/>
        <v>0.73385331903398487</v>
      </c>
      <c r="M56" s="61">
        <f t="shared" si="13"/>
        <v>11.540517413333307</v>
      </c>
      <c r="N56" s="61">
        <f t="shared" si="14"/>
        <v>0.96170978444444222</v>
      </c>
      <c r="O56" s="38"/>
    </row>
    <row r="57" spans="1:15" x14ac:dyDescent="0.25">
      <c r="A57" s="38"/>
      <c r="B57" s="38"/>
      <c r="C57" s="38"/>
      <c r="D57" s="38"/>
      <c r="E57" s="38"/>
      <c r="F57" s="60">
        <v>200</v>
      </c>
      <c r="G57" s="61">
        <f t="shared" si="7"/>
        <v>6.7906866372341765</v>
      </c>
      <c r="H57" s="61">
        <f t="shared" si="8"/>
        <v>0.56589055310284808</v>
      </c>
      <c r="I57" s="61">
        <f t="shared" si="9"/>
        <v>9.399049590517718</v>
      </c>
      <c r="J57" s="61">
        <f t="shared" si="10"/>
        <v>0.78325413254314313</v>
      </c>
      <c r="K57" s="61">
        <f t="shared" si="11"/>
        <v>8.8062398284078185</v>
      </c>
      <c r="L57" s="61">
        <f t="shared" si="12"/>
        <v>0.73385331903398487</v>
      </c>
      <c r="M57" s="61">
        <f t="shared" si="13"/>
        <v>11.540517413333307</v>
      </c>
      <c r="N57" s="61">
        <f t="shared" si="14"/>
        <v>0.96170978444444222</v>
      </c>
      <c r="O57" s="38"/>
    </row>
    <row r="58" spans="1:15" x14ac:dyDescent="0.25">
      <c r="A58" s="38"/>
      <c r="B58" s="38"/>
      <c r="C58" s="38"/>
      <c r="D58" s="38"/>
      <c r="E58" s="38"/>
      <c r="F58" s="60">
        <v>250</v>
      </c>
      <c r="G58" s="61">
        <f t="shared" si="7"/>
        <v>6.7906866372341765</v>
      </c>
      <c r="H58" s="61">
        <f t="shared" si="8"/>
        <v>0.56589055310284808</v>
      </c>
      <c r="I58" s="61">
        <f t="shared" si="9"/>
        <v>9.399049590517718</v>
      </c>
      <c r="J58" s="61">
        <f t="shared" si="10"/>
        <v>0.78325413254314313</v>
      </c>
      <c r="K58" s="61">
        <f t="shared" si="11"/>
        <v>8.8062398284078185</v>
      </c>
      <c r="L58" s="61">
        <f t="shared" si="12"/>
        <v>0.73385331903398487</v>
      </c>
      <c r="M58" s="61">
        <f t="shared" si="13"/>
        <v>11.540517413333307</v>
      </c>
      <c r="N58" s="61">
        <f t="shared" si="14"/>
        <v>0.96170978444444222</v>
      </c>
      <c r="O58" s="38"/>
    </row>
    <row r="59" spans="1:15" x14ac:dyDescent="0.25">
      <c r="A59" s="38"/>
      <c r="B59" s="38"/>
      <c r="C59" s="38"/>
      <c r="D59" s="38"/>
      <c r="E59" s="38"/>
      <c r="F59" s="60">
        <v>315</v>
      </c>
      <c r="G59" s="61">
        <f t="shared" si="7"/>
        <v>5.1926792842930034</v>
      </c>
      <c r="H59" s="61">
        <f t="shared" si="8"/>
        <v>0.4327232736910836</v>
      </c>
      <c r="I59" s="61">
        <f t="shared" si="9"/>
        <v>7.8010422375765449</v>
      </c>
      <c r="J59" s="61">
        <f t="shared" si="10"/>
        <v>0.65008685313137871</v>
      </c>
      <c r="K59" s="61">
        <f t="shared" si="11"/>
        <v>7.2082324754666462</v>
      </c>
      <c r="L59" s="61">
        <f t="shared" si="12"/>
        <v>0.60068603962222056</v>
      </c>
      <c r="M59" s="61">
        <f t="shared" si="13"/>
        <v>9.9425100603921344</v>
      </c>
      <c r="N59" s="61">
        <f t="shared" si="14"/>
        <v>0.8285425050326779</v>
      </c>
      <c r="O59" s="38"/>
    </row>
    <row r="60" spans="1:15" x14ac:dyDescent="0.25">
      <c r="A60" s="38"/>
      <c r="B60" s="38"/>
      <c r="C60" s="38"/>
      <c r="D60" s="38"/>
      <c r="E60" s="38"/>
      <c r="F60" s="60">
        <v>400</v>
      </c>
      <c r="G60" s="61">
        <f t="shared" si="7"/>
        <v>6.2484452415744327</v>
      </c>
      <c r="H60" s="61">
        <f t="shared" si="8"/>
        <v>0.52070377013120273</v>
      </c>
      <c r="I60" s="61">
        <f t="shared" si="9"/>
        <v>9.043119834378226</v>
      </c>
      <c r="J60" s="61">
        <f t="shared" si="10"/>
        <v>0.75359331953151887</v>
      </c>
      <c r="K60" s="61">
        <f t="shared" si="11"/>
        <v>8.407966517831909</v>
      </c>
      <c r="L60" s="61">
        <f t="shared" si="12"/>
        <v>0.70066387648599238</v>
      </c>
      <c r="M60" s="61">
        <f t="shared" si="13"/>
        <v>11.337549644537791</v>
      </c>
      <c r="N60" s="61">
        <f t="shared" si="14"/>
        <v>0.94479580371148264</v>
      </c>
      <c r="O60" s="38"/>
    </row>
    <row r="61" spans="1:15" x14ac:dyDescent="0.25">
      <c r="A61" s="38"/>
      <c r="B61" s="38"/>
      <c r="C61" s="38"/>
      <c r="D61" s="38"/>
      <c r="E61" s="38"/>
      <c r="F61" s="60">
        <v>500</v>
      </c>
      <c r="G61" s="61">
        <f t="shared" si="7"/>
        <v>6.2484452415744327</v>
      </c>
      <c r="H61" s="61">
        <f t="shared" si="8"/>
        <v>0.52070377013120273</v>
      </c>
      <c r="I61" s="61">
        <f t="shared" si="9"/>
        <v>9.043119834378226</v>
      </c>
      <c r="J61" s="61">
        <f t="shared" si="10"/>
        <v>0.75359331953151887</v>
      </c>
      <c r="K61" s="61">
        <f t="shared" si="11"/>
        <v>8.407966517831909</v>
      </c>
      <c r="L61" s="61">
        <f t="shared" si="12"/>
        <v>0.70066387648599238</v>
      </c>
      <c r="M61" s="61">
        <f t="shared" si="13"/>
        <v>11.337549644537791</v>
      </c>
      <c r="N61" s="61">
        <f t="shared" si="14"/>
        <v>0.94479580371148264</v>
      </c>
      <c r="O61" s="38"/>
    </row>
    <row r="62" spans="1:15" x14ac:dyDescent="0.25">
      <c r="A62" s="38"/>
      <c r="B62" s="38"/>
      <c r="C62" s="38"/>
      <c r="D62" s="38"/>
      <c r="E62" s="38"/>
      <c r="F62" s="60">
        <v>630</v>
      </c>
      <c r="G62" s="61">
        <f t="shared" si="7"/>
        <v>6.2484452415744327</v>
      </c>
      <c r="H62" s="61">
        <f t="shared" si="8"/>
        <v>0.52070377013120273</v>
      </c>
      <c r="I62" s="61">
        <f t="shared" si="9"/>
        <v>9.043119834378226</v>
      </c>
      <c r="J62" s="61">
        <f t="shared" si="10"/>
        <v>0.75359331953151887</v>
      </c>
      <c r="K62" s="61">
        <f t="shared" si="11"/>
        <v>8.407966517831909</v>
      </c>
      <c r="L62" s="61">
        <f t="shared" si="12"/>
        <v>0.70066387648599238</v>
      </c>
      <c r="M62" s="61">
        <f t="shared" si="13"/>
        <v>11.337549644537791</v>
      </c>
      <c r="N62" s="61">
        <f t="shared" si="14"/>
        <v>0.94479580371148264</v>
      </c>
      <c r="O62" s="38"/>
    </row>
    <row r="63" spans="1:15" x14ac:dyDescent="0.25">
      <c r="A63" s="38"/>
      <c r="B63" s="38"/>
      <c r="C63" s="38"/>
      <c r="D63" s="38"/>
      <c r="E63" s="38"/>
      <c r="F63" s="60">
        <v>800</v>
      </c>
      <c r="G63" s="61">
        <f t="shared" si="7"/>
        <v>6.2484452415744327</v>
      </c>
      <c r="H63" s="61">
        <f t="shared" si="8"/>
        <v>0.52070377013120273</v>
      </c>
      <c r="I63" s="61">
        <f t="shared" si="9"/>
        <v>9.043119834378226</v>
      </c>
      <c r="J63" s="61">
        <f t="shared" si="10"/>
        <v>0.75359331953151887</v>
      </c>
      <c r="K63" s="61">
        <f t="shared" si="11"/>
        <v>8.407966517831909</v>
      </c>
      <c r="L63" s="61">
        <f t="shared" si="12"/>
        <v>0.70066387648599238</v>
      </c>
      <c r="M63" s="61">
        <f t="shared" si="13"/>
        <v>11.337549644537791</v>
      </c>
      <c r="N63" s="61">
        <f t="shared" si="14"/>
        <v>0.94479580371148264</v>
      </c>
      <c r="O63" s="38"/>
    </row>
    <row r="64" spans="1:15" x14ac:dyDescent="0.25">
      <c r="A64" s="38"/>
      <c r="B64" s="38"/>
      <c r="C64" s="38"/>
      <c r="D64" s="38"/>
      <c r="E64" s="38"/>
      <c r="F64" s="62">
        <v>1000</v>
      </c>
      <c r="G64" s="61">
        <f t="shared" si="7"/>
        <v>5.183107006280312</v>
      </c>
      <c r="H64" s="61">
        <f t="shared" si="8"/>
        <v>0.43192558385669266</v>
      </c>
      <c r="I64" s="61">
        <f t="shared" si="9"/>
        <v>7.9777815990841052</v>
      </c>
      <c r="J64" s="61">
        <f t="shared" si="10"/>
        <v>0.66481513325700881</v>
      </c>
      <c r="K64" s="61">
        <f t="shared" si="11"/>
        <v>7.3426282825377882</v>
      </c>
      <c r="L64" s="61">
        <f t="shared" si="12"/>
        <v>0.61188569021148231</v>
      </c>
      <c r="M64" s="61">
        <f t="shared" si="13"/>
        <v>10.27221140924367</v>
      </c>
      <c r="N64" s="61">
        <f t="shared" si="14"/>
        <v>0.85601761743697258</v>
      </c>
      <c r="O64" s="38"/>
    </row>
    <row r="65" spans="1:15" x14ac:dyDescent="0.25">
      <c r="A65" s="38"/>
      <c r="B65" s="38"/>
      <c r="C65" s="38"/>
      <c r="D65" s="38"/>
      <c r="E65" s="38"/>
      <c r="F65" s="62">
        <v>1250</v>
      </c>
      <c r="G65" s="61">
        <f t="shared" si="7"/>
        <v>5.183107006280312</v>
      </c>
      <c r="H65" s="61">
        <f t="shared" si="8"/>
        <v>0.43192558385669266</v>
      </c>
      <c r="I65" s="61">
        <f t="shared" si="9"/>
        <v>7.9777815990841052</v>
      </c>
      <c r="J65" s="61">
        <f t="shared" si="10"/>
        <v>0.66481513325700881</v>
      </c>
      <c r="K65" s="61">
        <f t="shared" si="11"/>
        <v>7.3426282825377882</v>
      </c>
      <c r="L65" s="61">
        <f t="shared" si="12"/>
        <v>0.61188569021148231</v>
      </c>
      <c r="M65" s="61">
        <f t="shared" si="13"/>
        <v>10.27221140924367</v>
      </c>
      <c r="N65" s="61">
        <f t="shared" si="14"/>
        <v>0.85601761743697258</v>
      </c>
      <c r="O65" s="38"/>
    </row>
    <row r="66" spans="1:15" x14ac:dyDescent="0.25">
      <c r="A66" s="38"/>
      <c r="B66" s="38"/>
      <c r="C66" s="38"/>
      <c r="D66" s="38"/>
      <c r="E66" s="38"/>
      <c r="F66" s="62">
        <v>1600</v>
      </c>
      <c r="G66" s="61">
        <f t="shared" si="7"/>
        <v>5.6110441409650553</v>
      </c>
      <c r="H66" s="61">
        <f t="shared" si="8"/>
        <v>0.46758701174708794</v>
      </c>
      <c r="I66" s="61">
        <f t="shared" si="9"/>
        <v>8.71623813296927</v>
      </c>
      <c r="J66" s="61">
        <f t="shared" si="10"/>
        <v>0.72635317774743913</v>
      </c>
      <c r="K66" s="61">
        <f t="shared" si="11"/>
        <v>8.0105122256955852</v>
      </c>
      <c r="L66" s="61">
        <f t="shared" si="12"/>
        <v>0.66754268547463214</v>
      </c>
      <c r="M66" s="61">
        <f t="shared" si="13"/>
        <v>11.265604588702121</v>
      </c>
      <c r="N66" s="61">
        <f t="shared" si="14"/>
        <v>0.93880038239184349</v>
      </c>
      <c r="O66" s="38"/>
    </row>
    <row r="67" spans="1:15" x14ac:dyDescent="0.25">
      <c r="A67" s="38"/>
      <c r="B67" s="38"/>
      <c r="C67" s="38"/>
      <c r="D67" s="38"/>
      <c r="E67" s="38"/>
      <c r="F67" s="62">
        <v>2000</v>
      </c>
      <c r="G67" s="61">
        <f t="shared" si="7"/>
        <v>5.6110441409650553</v>
      </c>
      <c r="H67" s="61">
        <f t="shared" si="8"/>
        <v>0.46758701174708794</v>
      </c>
      <c r="I67" s="61">
        <f t="shared" si="9"/>
        <v>8.71623813296927</v>
      </c>
      <c r="J67" s="61">
        <f t="shared" si="10"/>
        <v>0.72635317774743913</v>
      </c>
      <c r="K67" s="61">
        <f t="shared" si="11"/>
        <v>8.0105122256955852</v>
      </c>
      <c r="L67" s="61">
        <f t="shared" si="12"/>
        <v>0.66754268547463214</v>
      </c>
      <c r="M67" s="61">
        <f t="shared" si="13"/>
        <v>11.265604588702121</v>
      </c>
      <c r="N67" s="61">
        <f t="shared" si="14"/>
        <v>0.93880038239184349</v>
      </c>
      <c r="O67" s="38"/>
    </row>
    <row r="68" spans="1:15" x14ac:dyDescent="0.25">
      <c r="A68" s="38"/>
      <c r="B68" s="38"/>
      <c r="C68" s="38"/>
      <c r="D68" s="38"/>
      <c r="E68" s="38"/>
      <c r="F68" s="62">
        <v>2500</v>
      </c>
      <c r="G68" s="61">
        <f t="shared" si="7"/>
        <v>5.6110441409650553</v>
      </c>
      <c r="H68" s="61">
        <f t="shared" si="8"/>
        <v>0.46758701174708794</v>
      </c>
      <c r="I68" s="61">
        <f t="shared" si="9"/>
        <v>8.71623813296927</v>
      </c>
      <c r="J68" s="61">
        <f t="shared" si="10"/>
        <v>0.72635317774743913</v>
      </c>
      <c r="K68" s="61">
        <f t="shared" si="11"/>
        <v>8.0105122256955852</v>
      </c>
      <c r="L68" s="61">
        <f t="shared" si="12"/>
        <v>0.66754268547463214</v>
      </c>
      <c r="M68" s="61">
        <f t="shared" si="13"/>
        <v>11.265604588702121</v>
      </c>
      <c r="N68" s="61">
        <f t="shared" si="14"/>
        <v>0.93880038239184349</v>
      </c>
      <c r="O68" s="38"/>
    </row>
    <row r="69" spans="1:15" x14ac:dyDescent="0.25">
      <c r="A69" s="38"/>
      <c r="B69" s="38"/>
      <c r="C69" s="38"/>
      <c r="D69" s="38"/>
      <c r="E69" s="38"/>
      <c r="F69" s="62">
        <v>3150</v>
      </c>
      <c r="G69" s="61">
        <f t="shared" si="7"/>
        <v>5.6110441409650553</v>
      </c>
      <c r="H69" s="61">
        <f t="shared" si="8"/>
        <v>0.46758701174708794</v>
      </c>
      <c r="I69" s="61">
        <f t="shared" si="9"/>
        <v>8.71623813296927</v>
      </c>
      <c r="J69" s="61">
        <f t="shared" si="10"/>
        <v>0.72635317774743913</v>
      </c>
      <c r="K69" s="61">
        <f t="shared" si="11"/>
        <v>8.0105122256955852</v>
      </c>
      <c r="L69" s="61">
        <f t="shared" si="12"/>
        <v>0.66754268547463214</v>
      </c>
      <c r="M69" s="61">
        <f t="shared" si="13"/>
        <v>11.265604588702121</v>
      </c>
      <c r="N69" s="61">
        <f t="shared" si="14"/>
        <v>0.93880038239184349</v>
      </c>
      <c r="O69" s="38"/>
    </row>
    <row r="70" spans="1:15" x14ac:dyDescent="0.25">
      <c r="A70" s="38"/>
      <c r="B70" s="38"/>
      <c r="C70" s="38"/>
      <c r="D70" s="38"/>
      <c r="E70" s="38"/>
      <c r="F70" s="62">
        <v>4000</v>
      </c>
      <c r="G70" s="61">
        <f t="shared" si="7"/>
        <v>5.6110441409650553</v>
      </c>
      <c r="H70" s="61">
        <f t="shared" si="8"/>
        <v>0.46758701174708794</v>
      </c>
      <c r="I70" s="61">
        <f t="shared" si="9"/>
        <v>8.71623813296927</v>
      </c>
      <c r="J70" s="61">
        <f t="shared" si="10"/>
        <v>0.72635317774743913</v>
      </c>
      <c r="K70" s="61">
        <f t="shared" si="11"/>
        <v>8.0105122256955852</v>
      </c>
      <c r="L70" s="61">
        <f t="shared" si="12"/>
        <v>0.66754268547463214</v>
      </c>
      <c r="M70" s="61">
        <f t="shared" si="13"/>
        <v>11.265604588702121</v>
      </c>
      <c r="N70" s="61">
        <f t="shared" si="14"/>
        <v>0.93880038239184349</v>
      </c>
      <c r="O70" s="38"/>
    </row>
    <row r="71" spans="1:15" x14ac:dyDescent="0.25">
      <c r="A71" s="38"/>
      <c r="B71" s="38"/>
      <c r="C71" s="38"/>
      <c r="D71" s="38"/>
      <c r="E71" s="38"/>
      <c r="F71" s="62">
        <v>5000</v>
      </c>
      <c r="G71" s="61">
        <f t="shared" si="7"/>
        <v>5.6110441409650553</v>
      </c>
      <c r="H71" s="61">
        <f t="shared" si="8"/>
        <v>0.46758701174708794</v>
      </c>
      <c r="I71" s="61">
        <f t="shared" si="9"/>
        <v>8.71623813296927</v>
      </c>
      <c r="J71" s="61">
        <f t="shared" si="10"/>
        <v>0.72635317774743913</v>
      </c>
      <c r="K71" s="61">
        <f t="shared" si="11"/>
        <v>8.0105122256955852</v>
      </c>
      <c r="L71" s="61">
        <f t="shared" si="12"/>
        <v>0.66754268547463214</v>
      </c>
      <c r="M71" s="61">
        <f t="shared" si="13"/>
        <v>11.265604588702121</v>
      </c>
      <c r="N71" s="61">
        <f t="shared" si="14"/>
        <v>0.93880038239184349</v>
      </c>
      <c r="O71" s="38"/>
    </row>
    <row r="72" spans="1:15" x14ac:dyDescent="0.25">
      <c r="A72" s="38"/>
      <c r="B72" s="38"/>
      <c r="C72" s="38"/>
      <c r="D72" s="38"/>
      <c r="E72" s="38"/>
      <c r="F72" s="38"/>
      <c r="G72" s="39"/>
      <c r="H72" s="38"/>
      <c r="I72" s="38"/>
      <c r="J72" s="38"/>
      <c r="K72" s="38"/>
      <c r="L72" s="38"/>
      <c r="M72" s="38"/>
      <c r="N72" s="38"/>
      <c r="O72" s="38"/>
    </row>
  </sheetData>
  <mergeCells count="84">
    <mergeCell ref="M47:N47"/>
    <mergeCell ref="M48:N48"/>
    <mergeCell ref="M41:N41"/>
    <mergeCell ref="M42:N42"/>
    <mergeCell ref="M43:N43"/>
    <mergeCell ref="M44:N44"/>
    <mergeCell ref="M45:N45"/>
    <mergeCell ref="M46:N46"/>
    <mergeCell ref="M40:N40"/>
    <mergeCell ref="M29:N29"/>
    <mergeCell ref="M30:N30"/>
    <mergeCell ref="M31:N31"/>
    <mergeCell ref="M32:N32"/>
    <mergeCell ref="M33:N33"/>
    <mergeCell ref="M34:N34"/>
    <mergeCell ref="M35:N35"/>
    <mergeCell ref="M36:N36"/>
    <mergeCell ref="M37:N37"/>
    <mergeCell ref="M38:N38"/>
    <mergeCell ref="M39:N39"/>
    <mergeCell ref="K48:L48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31:L31"/>
    <mergeCell ref="K32:L32"/>
    <mergeCell ref="K33:L33"/>
    <mergeCell ref="K34:L34"/>
    <mergeCell ref="K35:L35"/>
    <mergeCell ref="K36:L36"/>
    <mergeCell ref="I43:J43"/>
    <mergeCell ref="I44:J44"/>
    <mergeCell ref="I45:J45"/>
    <mergeCell ref="I46:J46"/>
    <mergeCell ref="I36:J36"/>
    <mergeCell ref="I47:J47"/>
    <mergeCell ref="I48:J48"/>
    <mergeCell ref="I37:J37"/>
    <mergeCell ref="I38:J38"/>
    <mergeCell ref="I39:J39"/>
    <mergeCell ref="I40:J40"/>
    <mergeCell ref="I41:J41"/>
    <mergeCell ref="I42:J42"/>
    <mergeCell ref="I31:J31"/>
    <mergeCell ref="I32:J32"/>
    <mergeCell ref="I33:J33"/>
    <mergeCell ref="I34:J34"/>
    <mergeCell ref="I35:J35"/>
    <mergeCell ref="G48:H48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47:H47"/>
    <mergeCell ref="G36:H36"/>
    <mergeCell ref="G28:H28"/>
    <mergeCell ref="I28:J28"/>
    <mergeCell ref="K28:L28"/>
    <mergeCell ref="M28:N28"/>
    <mergeCell ref="G29:H29"/>
    <mergeCell ref="G30:H30"/>
    <mergeCell ref="I29:J29"/>
    <mergeCell ref="I30:J30"/>
    <mergeCell ref="K29:L29"/>
    <mergeCell ref="K30:L30"/>
    <mergeCell ref="G31:H31"/>
    <mergeCell ref="G32:H32"/>
    <mergeCell ref="G33:H33"/>
    <mergeCell ref="G34:H34"/>
    <mergeCell ref="G35:H3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S53"/>
  <sheetViews>
    <sheetView tabSelected="1" topLeftCell="A2" zoomScale="85" zoomScaleNormal="85" workbookViewId="0">
      <selection activeCell="K10" activeCellId="2" sqref="I10 J10 K10"/>
    </sheetView>
  </sheetViews>
  <sheetFormatPr defaultRowHeight="13.8" x14ac:dyDescent="0.25"/>
  <cols>
    <col min="2" max="2" width="10.69921875" customWidth="1"/>
    <col min="3" max="3" width="19.5" customWidth="1"/>
    <col min="10" max="10" width="9.8984375" bestFit="1" customWidth="1"/>
    <col min="16" max="16" width="9.8984375" bestFit="1" customWidth="1"/>
  </cols>
  <sheetData>
    <row r="3" spans="2:19" x14ac:dyDescent="0.25">
      <c r="B3" s="1" t="s">
        <v>2</v>
      </c>
      <c r="I3" s="115" t="s">
        <v>3</v>
      </c>
      <c r="K3" s="115" t="s">
        <v>61</v>
      </c>
      <c r="M3" s="1" t="s">
        <v>8</v>
      </c>
      <c r="R3" s="1" t="s">
        <v>18</v>
      </c>
    </row>
    <row r="4" spans="2:19" x14ac:dyDescent="0.25">
      <c r="B4" s="1"/>
      <c r="M4" t="s">
        <v>62</v>
      </c>
    </row>
    <row r="5" spans="2:19" ht="14.4" thickBot="1" x14ac:dyDescent="0.3"/>
    <row r="6" spans="2:19" ht="15.6" x14ac:dyDescent="0.35">
      <c r="B6" s="82" t="s">
        <v>0</v>
      </c>
      <c r="C6" s="7" t="s">
        <v>19</v>
      </c>
      <c r="D6" s="7" t="s">
        <v>19</v>
      </c>
      <c r="E6" s="7" t="s">
        <v>19</v>
      </c>
      <c r="F6" s="7" t="s">
        <v>19</v>
      </c>
      <c r="I6" s="3" t="s">
        <v>15</v>
      </c>
      <c r="J6" s="7" t="s">
        <v>14</v>
      </c>
      <c r="M6" s="8" t="s">
        <v>9</v>
      </c>
      <c r="N6" s="9" t="s">
        <v>56</v>
      </c>
      <c r="O6" s="9"/>
      <c r="P6" s="10"/>
      <c r="R6" s="14" t="s">
        <v>16</v>
      </c>
      <c r="S6" s="15" t="s">
        <v>17</v>
      </c>
    </row>
    <row r="7" spans="2:19" ht="14.4" thickBot="1" x14ac:dyDescent="0.3">
      <c r="B7" s="83" t="s">
        <v>1</v>
      </c>
      <c r="C7" s="93" t="s">
        <v>4</v>
      </c>
      <c r="D7" s="93" t="s">
        <v>5</v>
      </c>
      <c r="E7" s="93" t="s">
        <v>6</v>
      </c>
      <c r="F7" s="94" t="s">
        <v>7</v>
      </c>
      <c r="I7" s="117" t="s">
        <v>4</v>
      </c>
      <c r="J7" s="118">
        <f>J45</f>
        <v>0.5</v>
      </c>
      <c r="K7" s="119" t="s">
        <v>12</v>
      </c>
      <c r="M7" s="11" t="s">
        <v>10</v>
      </c>
      <c r="N7" s="2" t="s">
        <v>57</v>
      </c>
      <c r="O7" s="2"/>
      <c r="P7" s="5"/>
      <c r="R7" s="16">
        <v>125</v>
      </c>
      <c r="S7" s="18">
        <v>0</v>
      </c>
    </row>
    <row r="8" spans="2:19" x14ac:dyDescent="0.25">
      <c r="B8" s="91">
        <v>100</v>
      </c>
      <c r="C8" s="90">
        <f>RT!H54</f>
        <v>0.56589055310284808</v>
      </c>
      <c r="D8" s="90">
        <f>RT!J54</f>
        <v>0.78325413254314313</v>
      </c>
      <c r="E8" s="90">
        <f>RT!L54</f>
        <v>0.73385331903398487</v>
      </c>
      <c r="F8" s="92">
        <f>RT!N54</f>
        <v>0.96170978444444222</v>
      </c>
      <c r="I8" s="120" t="s">
        <v>5</v>
      </c>
      <c r="J8" s="121">
        <f>K45</f>
        <v>0.75</v>
      </c>
      <c r="K8" s="122" t="s">
        <v>11</v>
      </c>
      <c r="M8" s="11" t="s">
        <v>11</v>
      </c>
      <c r="N8" s="2" t="s">
        <v>58</v>
      </c>
      <c r="O8" s="2"/>
      <c r="P8" s="5"/>
      <c r="R8" s="16">
        <v>250</v>
      </c>
      <c r="S8" s="18">
        <v>0.8</v>
      </c>
    </row>
    <row r="9" spans="2:19" x14ac:dyDescent="0.25">
      <c r="B9" s="31">
        <v>125</v>
      </c>
      <c r="C9" s="90">
        <f>RT!H55</f>
        <v>0.56589055310284808</v>
      </c>
      <c r="D9" s="90">
        <f>RT!J55</f>
        <v>0.78325413254314313</v>
      </c>
      <c r="E9" s="90">
        <f>RT!L55</f>
        <v>0.73385331903398487</v>
      </c>
      <c r="F9" s="92">
        <f>RT!N55</f>
        <v>0.96170978444444222</v>
      </c>
      <c r="I9" s="120" t="s">
        <v>6</v>
      </c>
      <c r="J9" s="121">
        <f>L45</f>
        <v>0.7</v>
      </c>
      <c r="K9" s="122" t="s">
        <v>11</v>
      </c>
      <c r="M9" s="11" t="s">
        <v>12</v>
      </c>
      <c r="N9" s="2" t="s">
        <v>59</v>
      </c>
      <c r="O9" s="2"/>
      <c r="P9" s="5"/>
      <c r="R9" s="16">
        <v>500</v>
      </c>
      <c r="S9" s="18">
        <v>1</v>
      </c>
    </row>
    <row r="10" spans="2:19" ht="14.4" thickBot="1" x14ac:dyDescent="0.3">
      <c r="B10" s="31">
        <v>160</v>
      </c>
      <c r="C10" s="90">
        <f>RT!H56</f>
        <v>0.56589055310284808</v>
      </c>
      <c r="D10" s="90">
        <f>RT!J56</f>
        <v>0.78325413254314313</v>
      </c>
      <c r="E10" s="90">
        <f>RT!L56</f>
        <v>0.73385331903398487</v>
      </c>
      <c r="F10" s="92">
        <f>RT!N56</f>
        <v>0.96170978444444222</v>
      </c>
      <c r="I10" s="123" t="s">
        <v>7</v>
      </c>
      <c r="J10" s="124">
        <f>M45</f>
        <v>0.95</v>
      </c>
      <c r="K10" s="116" t="s">
        <v>9</v>
      </c>
      <c r="M10" s="12" t="s">
        <v>13</v>
      </c>
      <c r="N10" s="13" t="s">
        <v>60</v>
      </c>
      <c r="O10" s="13"/>
      <c r="P10" s="6"/>
      <c r="R10" s="16">
        <v>1000</v>
      </c>
      <c r="S10" s="18">
        <v>1</v>
      </c>
    </row>
    <row r="11" spans="2:19" x14ac:dyDescent="0.25">
      <c r="B11" s="31">
        <v>200</v>
      </c>
      <c r="C11" s="90">
        <f>RT!H57</f>
        <v>0.56589055310284808</v>
      </c>
      <c r="D11" s="90">
        <f>RT!J57</f>
        <v>0.78325413254314313</v>
      </c>
      <c r="E11" s="90">
        <f>RT!L57</f>
        <v>0.73385331903398487</v>
      </c>
      <c r="F11" s="92">
        <f>RT!N57</f>
        <v>0.96170978444444222</v>
      </c>
      <c r="R11" s="16">
        <v>2000</v>
      </c>
      <c r="S11" s="18">
        <v>1</v>
      </c>
    </row>
    <row r="12" spans="2:19" ht="14.4" thickBot="1" x14ac:dyDescent="0.3">
      <c r="B12" s="31">
        <v>250</v>
      </c>
      <c r="C12" s="90">
        <f>RT!H58</f>
        <v>0.56589055310284808</v>
      </c>
      <c r="D12" s="90">
        <f>RT!J58</f>
        <v>0.78325413254314313</v>
      </c>
      <c r="E12" s="90">
        <f>RT!L58</f>
        <v>0.73385331903398487</v>
      </c>
      <c r="F12" s="92">
        <f>RT!N58</f>
        <v>0.96170978444444222</v>
      </c>
      <c r="R12" s="17">
        <v>4000</v>
      </c>
      <c r="S12" s="19">
        <v>0.9</v>
      </c>
    </row>
    <row r="13" spans="2:19" x14ac:dyDescent="0.25">
      <c r="B13" s="31">
        <v>315</v>
      </c>
      <c r="C13" s="90">
        <f>RT!H59</f>
        <v>0.4327232736910836</v>
      </c>
      <c r="D13" s="90">
        <f>RT!J59</f>
        <v>0.65008685313137871</v>
      </c>
      <c r="E13" s="90">
        <f>RT!L59</f>
        <v>0.60068603962222056</v>
      </c>
      <c r="F13" s="92">
        <f>RT!N59</f>
        <v>0.8285425050326779</v>
      </c>
    </row>
    <row r="14" spans="2:19" x14ac:dyDescent="0.25">
      <c r="B14" s="31">
        <v>400</v>
      </c>
      <c r="C14" s="90">
        <f>RT!H60</f>
        <v>0.52070377013120273</v>
      </c>
      <c r="D14" s="90">
        <f>RT!J60</f>
        <v>0.75359331953151887</v>
      </c>
      <c r="E14" s="90">
        <f>RT!L60</f>
        <v>0.70066387648599238</v>
      </c>
      <c r="F14" s="92">
        <f>RT!N60</f>
        <v>0.94479580371148264</v>
      </c>
    </row>
    <row r="15" spans="2:19" x14ac:dyDescent="0.25">
      <c r="B15" s="31">
        <v>500</v>
      </c>
      <c r="C15" s="90">
        <f>RT!H61</f>
        <v>0.52070377013120273</v>
      </c>
      <c r="D15" s="90">
        <f>RT!J61</f>
        <v>0.75359331953151887</v>
      </c>
      <c r="E15" s="90">
        <f>RT!L61</f>
        <v>0.70066387648599238</v>
      </c>
      <c r="F15" s="92">
        <f>RT!N61</f>
        <v>0.94479580371148264</v>
      </c>
    </row>
    <row r="16" spans="2:19" x14ac:dyDescent="0.25">
      <c r="B16" s="31">
        <v>630</v>
      </c>
      <c r="C16" s="90">
        <f>RT!H62</f>
        <v>0.52070377013120273</v>
      </c>
      <c r="D16" s="90">
        <f>RT!J62</f>
        <v>0.75359331953151887</v>
      </c>
      <c r="E16" s="90">
        <f>RT!L62</f>
        <v>0.70066387648599238</v>
      </c>
      <c r="F16" s="92">
        <f>RT!N62</f>
        <v>0.94479580371148264</v>
      </c>
    </row>
    <row r="17" spans="2:13" x14ac:dyDescent="0.25">
      <c r="B17" s="31">
        <v>800</v>
      </c>
      <c r="C17" s="90">
        <f>RT!H63</f>
        <v>0.52070377013120273</v>
      </c>
      <c r="D17" s="90">
        <f>RT!J63</f>
        <v>0.75359331953151887</v>
      </c>
      <c r="E17" s="90">
        <f>RT!L63</f>
        <v>0.70066387648599238</v>
      </c>
      <c r="F17" s="92">
        <f>RT!N63</f>
        <v>0.94479580371148264</v>
      </c>
    </row>
    <row r="18" spans="2:13" x14ac:dyDescent="0.25">
      <c r="B18" s="32">
        <v>1000</v>
      </c>
      <c r="C18" s="90">
        <f>RT!H64</f>
        <v>0.43192558385669266</v>
      </c>
      <c r="D18" s="90">
        <f>RT!J64</f>
        <v>0.66481513325700881</v>
      </c>
      <c r="E18" s="90">
        <f>RT!L64</f>
        <v>0.61188569021148231</v>
      </c>
      <c r="F18" s="92">
        <f>RT!N64</f>
        <v>0.85601761743697258</v>
      </c>
    </row>
    <row r="19" spans="2:13" x14ac:dyDescent="0.25">
      <c r="B19" s="32">
        <v>1250</v>
      </c>
      <c r="C19" s="90">
        <f>RT!H65</f>
        <v>0.43192558385669266</v>
      </c>
      <c r="D19" s="90">
        <f>RT!J65</f>
        <v>0.66481513325700881</v>
      </c>
      <c r="E19" s="90">
        <f>RT!L65</f>
        <v>0.61188569021148231</v>
      </c>
      <c r="F19" s="92">
        <f>RT!N65</f>
        <v>0.85601761743697258</v>
      </c>
    </row>
    <row r="20" spans="2:13" x14ac:dyDescent="0.25">
      <c r="B20" s="32">
        <v>1600</v>
      </c>
      <c r="C20" s="90">
        <f>RT!H66</f>
        <v>0.46758701174708794</v>
      </c>
      <c r="D20" s="90">
        <f>RT!J66</f>
        <v>0.72635317774743913</v>
      </c>
      <c r="E20" s="90">
        <f>RT!L66</f>
        <v>0.66754268547463214</v>
      </c>
      <c r="F20" s="92">
        <f>RT!N66</f>
        <v>0.93880038239184349</v>
      </c>
    </row>
    <row r="21" spans="2:13" x14ac:dyDescent="0.25">
      <c r="B21" s="32">
        <v>2000</v>
      </c>
      <c r="C21" s="90">
        <f>RT!H67</f>
        <v>0.46758701174708794</v>
      </c>
      <c r="D21" s="90">
        <f>RT!J67</f>
        <v>0.72635317774743913</v>
      </c>
      <c r="E21" s="90">
        <f>RT!L67</f>
        <v>0.66754268547463214</v>
      </c>
      <c r="F21" s="92">
        <f>RT!N67</f>
        <v>0.93880038239184349</v>
      </c>
    </row>
    <row r="22" spans="2:13" x14ac:dyDescent="0.25">
      <c r="B22" s="32">
        <v>2500</v>
      </c>
      <c r="C22" s="90">
        <f>RT!H68</f>
        <v>0.46758701174708794</v>
      </c>
      <c r="D22" s="90">
        <f>RT!J68</f>
        <v>0.72635317774743913</v>
      </c>
      <c r="E22" s="90">
        <f>RT!L68</f>
        <v>0.66754268547463214</v>
      </c>
      <c r="F22" s="92">
        <f>RT!N68</f>
        <v>0.93880038239184349</v>
      </c>
    </row>
    <row r="23" spans="2:13" x14ac:dyDescent="0.25">
      <c r="B23" s="32">
        <v>3150</v>
      </c>
      <c r="C23" s="90">
        <f>RT!H69</f>
        <v>0.46758701174708794</v>
      </c>
      <c r="D23" s="90">
        <f>RT!J69</f>
        <v>0.72635317774743913</v>
      </c>
      <c r="E23" s="90">
        <f>RT!L69</f>
        <v>0.66754268547463214</v>
      </c>
      <c r="F23" s="92">
        <f>RT!N69</f>
        <v>0.93880038239184349</v>
      </c>
    </row>
    <row r="24" spans="2:13" x14ac:dyDescent="0.25">
      <c r="B24" s="32">
        <v>4000</v>
      </c>
      <c r="C24" s="90">
        <f>RT!H70</f>
        <v>0.46758701174708794</v>
      </c>
      <c r="D24" s="90">
        <f>RT!J70</f>
        <v>0.72635317774743913</v>
      </c>
      <c r="E24" s="90">
        <f>RT!L70</f>
        <v>0.66754268547463214</v>
      </c>
      <c r="F24" s="92">
        <f>RT!N70</f>
        <v>0.93880038239184349</v>
      </c>
    </row>
    <row r="25" spans="2:13" ht="14.4" thickBot="1" x14ac:dyDescent="0.3">
      <c r="B25" s="33">
        <v>5000</v>
      </c>
      <c r="C25" s="90">
        <f>RT!H71</f>
        <v>0.46758701174708794</v>
      </c>
      <c r="D25" s="90">
        <f>RT!J71</f>
        <v>0.72635317774743913</v>
      </c>
      <c r="E25" s="90">
        <f>RT!L71</f>
        <v>0.66754268547463214</v>
      </c>
      <c r="F25" s="92">
        <f>RT!N71</f>
        <v>0.93880038239184349</v>
      </c>
    </row>
    <row r="26" spans="2:13" x14ac:dyDescent="0.25">
      <c r="B26" s="28"/>
      <c r="C26" s="53"/>
      <c r="D26" s="53"/>
      <c r="E26" s="53"/>
      <c r="F26" s="54"/>
    </row>
    <row r="27" spans="2:13" ht="14.4" thickBot="1" x14ac:dyDescent="0.3"/>
    <row r="28" spans="2:13" ht="15" thickBot="1" x14ac:dyDescent="0.35">
      <c r="B28" s="82" t="s">
        <v>0</v>
      </c>
      <c r="C28" s="20" t="s">
        <v>21</v>
      </c>
      <c r="D28" s="7" t="s">
        <v>20</v>
      </c>
      <c r="E28" s="7" t="s">
        <v>20</v>
      </c>
      <c r="F28" s="7" t="s">
        <v>20</v>
      </c>
      <c r="I28" s="22" t="s">
        <v>16</v>
      </c>
      <c r="J28" s="23" t="s">
        <v>20</v>
      </c>
      <c r="K28" s="23" t="s">
        <v>20</v>
      </c>
      <c r="L28" s="23" t="s">
        <v>20</v>
      </c>
      <c r="M28" s="24" t="s">
        <v>20</v>
      </c>
    </row>
    <row r="29" spans="2:13" ht="14.4" thickBot="1" x14ac:dyDescent="0.3">
      <c r="B29" s="83" t="s">
        <v>1</v>
      </c>
      <c r="C29" s="84" t="s">
        <v>4</v>
      </c>
      <c r="D29" s="84" t="s">
        <v>5</v>
      </c>
      <c r="E29" s="84" t="s">
        <v>6</v>
      </c>
      <c r="F29" s="85" t="s">
        <v>7</v>
      </c>
      <c r="I29" s="21">
        <v>125</v>
      </c>
      <c r="J29" s="55">
        <f>C31</f>
        <v>0.56589055310284808</v>
      </c>
      <c r="K29" s="55">
        <f>D31</f>
        <v>0.78325413254314313</v>
      </c>
      <c r="L29" s="55">
        <f t="shared" ref="L29:M29" si="0">E31</f>
        <v>0.73385331903398487</v>
      </c>
      <c r="M29" s="55">
        <f t="shared" si="0"/>
        <v>0.96170978444444222</v>
      </c>
    </row>
    <row r="30" spans="2:13" x14ac:dyDescent="0.25">
      <c r="B30" s="86">
        <v>100</v>
      </c>
      <c r="C30" s="87"/>
      <c r="D30" s="88"/>
      <c r="E30" s="87"/>
      <c r="F30" s="10"/>
      <c r="I30" s="2">
        <v>250</v>
      </c>
      <c r="J30" s="51">
        <f>C34</f>
        <v>0.52150145996559327</v>
      </c>
      <c r="K30" s="51">
        <f t="shared" ref="K30:M30" si="1">D34</f>
        <v>0.73886503940588832</v>
      </c>
      <c r="L30" s="51">
        <f t="shared" si="1"/>
        <v>0.68946422589673018</v>
      </c>
      <c r="M30" s="51">
        <f t="shared" si="1"/>
        <v>0.91732069130718752</v>
      </c>
    </row>
    <row r="31" spans="2:13" x14ac:dyDescent="0.25">
      <c r="B31" s="31">
        <v>125</v>
      </c>
      <c r="C31" s="30">
        <f>(C8+C9+C10)/3</f>
        <v>0.56589055310284808</v>
      </c>
      <c r="D31" s="30">
        <f>(D8+D9+D10)/3</f>
        <v>0.78325413254314313</v>
      </c>
      <c r="E31" s="30">
        <f t="shared" ref="E31:F31" si="2">(E8+E9+E10)/3</f>
        <v>0.73385331903398487</v>
      </c>
      <c r="F31" s="30">
        <f t="shared" si="2"/>
        <v>0.96170978444444222</v>
      </c>
      <c r="I31" s="2">
        <v>500</v>
      </c>
      <c r="J31" s="51">
        <f>C37</f>
        <v>0.52070377013120273</v>
      </c>
      <c r="K31" s="51">
        <f t="shared" ref="K31:L31" si="3">D37</f>
        <v>0.75359331953151887</v>
      </c>
      <c r="L31" s="51">
        <f t="shared" si="3"/>
        <v>0.70066387648599238</v>
      </c>
      <c r="M31" s="51">
        <f>F37</f>
        <v>0.94479580371148264</v>
      </c>
    </row>
    <row r="32" spans="2:13" x14ac:dyDescent="0.25">
      <c r="B32" s="31">
        <v>160</v>
      </c>
      <c r="C32" s="30">
        <f t="shared" ref="C32:F46" si="4">(C9+C10+C11)/3</f>
        <v>0.56589055310284808</v>
      </c>
      <c r="D32" s="30">
        <f t="shared" si="4"/>
        <v>0.78325413254314313</v>
      </c>
      <c r="E32" s="30">
        <f t="shared" si="4"/>
        <v>0.73385331903398487</v>
      </c>
      <c r="F32" s="30">
        <f t="shared" si="4"/>
        <v>0.96170978444444222</v>
      </c>
      <c r="I32" s="2">
        <v>1000</v>
      </c>
      <c r="J32" s="51">
        <f>C40</f>
        <v>0.4615183126148627</v>
      </c>
      <c r="K32" s="51">
        <f t="shared" ref="K32:M32" si="5">D40</f>
        <v>0.69440786201517879</v>
      </c>
      <c r="L32" s="51">
        <f t="shared" si="5"/>
        <v>0.64147841896965241</v>
      </c>
      <c r="M32" s="51">
        <f t="shared" si="5"/>
        <v>0.88561034619514256</v>
      </c>
    </row>
    <row r="33" spans="2:13" x14ac:dyDescent="0.25">
      <c r="B33" s="31">
        <v>200</v>
      </c>
      <c r="C33" s="30">
        <f t="shared" si="4"/>
        <v>0.56589055310284808</v>
      </c>
      <c r="D33" s="30">
        <f t="shared" si="4"/>
        <v>0.78325413254314313</v>
      </c>
      <c r="E33" s="30">
        <f t="shared" si="4"/>
        <v>0.73385331903398487</v>
      </c>
      <c r="F33" s="30">
        <f t="shared" si="4"/>
        <v>0.96170978444444222</v>
      </c>
      <c r="I33" s="2">
        <v>2000</v>
      </c>
      <c r="J33" s="51">
        <f>C43</f>
        <v>0.46758701174708794</v>
      </c>
      <c r="K33" s="51">
        <f t="shared" ref="K33:M33" si="6">D43</f>
        <v>0.72635317774743913</v>
      </c>
      <c r="L33" s="51">
        <f t="shared" si="6"/>
        <v>0.66754268547463214</v>
      </c>
      <c r="M33" s="51">
        <f t="shared" si="6"/>
        <v>0.93880038239184349</v>
      </c>
    </row>
    <row r="34" spans="2:13" x14ac:dyDescent="0.25">
      <c r="B34" s="31">
        <v>250</v>
      </c>
      <c r="C34" s="30">
        <f t="shared" si="4"/>
        <v>0.52150145996559327</v>
      </c>
      <c r="D34" s="30">
        <f t="shared" si="4"/>
        <v>0.73886503940588832</v>
      </c>
      <c r="E34" s="30">
        <f t="shared" si="4"/>
        <v>0.68946422589673018</v>
      </c>
      <c r="F34" s="30">
        <f t="shared" si="4"/>
        <v>0.91732069130718752</v>
      </c>
      <c r="I34" s="2">
        <v>4000</v>
      </c>
      <c r="J34" s="52">
        <f>C46</f>
        <v>0.46758701174708794</v>
      </c>
      <c r="K34" s="52">
        <f t="shared" ref="K34:M34" si="7">D46</f>
        <v>0.72635317774743913</v>
      </c>
      <c r="L34" s="52">
        <f>E46</f>
        <v>0.66754268547463214</v>
      </c>
      <c r="M34" s="52">
        <f t="shared" si="7"/>
        <v>0.93880038239184349</v>
      </c>
    </row>
    <row r="35" spans="2:13" ht="14.4" thickBot="1" x14ac:dyDescent="0.3">
      <c r="B35" s="31">
        <v>315</v>
      </c>
      <c r="C35" s="30">
        <f t="shared" si="4"/>
        <v>0.50643919897504486</v>
      </c>
      <c r="D35" s="30">
        <f t="shared" si="4"/>
        <v>0.72897810173534694</v>
      </c>
      <c r="E35" s="30">
        <f t="shared" si="4"/>
        <v>0.6784010783807326</v>
      </c>
      <c r="F35" s="30">
        <f t="shared" si="4"/>
        <v>0.91168269772953436</v>
      </c>
    </row>
    <row r="36" spans="2:13" x14ac:dyDescent="0.25">
      <c r="B36" s="31">
        <v>400</v>
      </c>
      <c r="C36" s="30">
        <f t="shared" si="4"/>
        <v>0.49137693798449633</v>
      </c>
      <c r="D36" s="30">
        <f t="shared" si="4"/>
        <v>0.71909116406480544</v>
      </c>
      <c r="E36" s="30">
        <f t="shared" si="4"/>
        <v>0.66733793086473503</v>
      </c>
      <c r="F36" s="30">
        <f t="shared" si="4"/>
        <v>0.90604470415188099</v>
      </c>
      <c r="J36" s="102" t="s">
        <v>53</v>
      </c>
      <c r="K36" s="103"/>
      <c r="L36" s="103"/>
      <c r="M36" s="25"/>
    </row>
    <row r="37" spans="2:13" ht="14.4" thickBot="1" x14ac:dyDescent="0.3">
      <c r="B37" s="31">
        <v>500</v>
      </c>
      <c r="C37" s="30">
        <f t="shared" si="4"/>
        <v>0.52070377013120273</v>
      </c>
      <c r="D37" s="30">
        <f t="shared" si="4"/>
        <v>0.75359331953151887</v>
      </c>
      <c r="E37" s="30">
        <f t="shared" si="4"/>
        <v>0.70066387648599238</v>
      </c>
      <c r="F37" s="30">
        <f t="shared" si="4"/>
        <v>0.94479580371148264</v>
      </c>
      <c r="J37" s="104">
        <v>0.5</v>
      </c>
      <c r="K37" s="13">
        <v>0.25</v>
      </c>
      <c r="L37" s="13">
        <v>0.3</v>
      </c>
      <c r="M37" s="6">
        <v>0.05</v>
      </c>
    </row>
    <row r="38" spans="2:13" x14ac:dyDescent="0.25">
      <c r="B38" s="31">
        <v>630</v>
      </c>
      <c r="C38" s="30">
        <f t="shared" si="4"/>
        <v>0.52070377013120273</v>
      </c>
      <c r="D38" s="30">
        <f t="shared" si="4"/>
        <v>0.75359331953151887</v>
      </c>
      <c r="E38" s="30">
        <f t="shared" si="4"/>
        <v>0.70066387648599238</v>
      </c>
      <c r="F38" s="30">
        <f t="shared" si="4"/>
        <v>0.94479580371148264</v>
      </c>
    </row>
    <row r="39" spans="2:13" ht="14.4" thickBot="1" x14ac:dyDescent="0.3">
      <c r="B39" s="31">
        <v>800</v>
      </c>
      <c r="C39" s="30">
        <f t="shared" si="4"/>
        <v>0.49111104137303269</v>
      </c>
      <c r="D39" s="30">
        <f t="shared" si="4"/>
        <v>0.72400059077334877</v>
      </c>
      <c r="E39" s="30">
        <f t="shared" si="4"/>
        <v>0.67107114772782239</v>
      </c>
      <c r="F39" s="30">
        <f>(F16+F17+F18)/3</f>
        <v>0.91520307495331255</v>
      </c>
      <c r="J39" s="96"/>
      <c r="K39" s="29"/>
      <c r="L39" s="29"/>
      <c r="M39" s="29"/>
    </row>
    <row r="40" spans="2:13" ht="14.4" thickBot="1" x14ac:dyDescent="0.3">
      <c r="B40" s="32">
        <v>1000</v>
      </c>
      <c r="C40" s="30">
        <f t="shared" si="4"/>
        <v>0.4615183126148627</v>
      </c>
      <c r="D40" s="30">
        <f t="shared" si="4"/>
        <v>0.69440786201517879</v>
      </c>
      <c r="E40" s="30">
        <f t="shared" si="4"/>
        <v>0.64147841896965241</v>
      </c>
      <c r="F40" s="30">
        <f t="shared" si="4"/>
        <v>0.88561034619514256</v>
      </c>
      <c r="I40" s="3">
        <v>250</v>
      </c>
      <c r="J40" s="97">
        <f>S8-s_1</f>
        <v>0.30000000000000004</v>
      </c>
      <c r="K40" s="97">
        <f>S8-s_2</f>
        <v>0.55000000000000004</v>
      </c>
      <c r="L40" s="97">
        <f>S8-s_3</f>
        <v>0.5</v>
      </c>
      <c r="M40" s="98">
        <f>S8-s_4</f>
        <v>0.75</v>
      </c>
    </row>
    <row r="41" spans="2:13" ht="14.4" thickBot="1" x14ac:dyDescent="0.3">
      <c r="B41" s="32">
        <v>1250</v>
      </c>
      <c r="C41" s="30">
        <f t="shared" si="4"/>
        <v>0.4438127264868244</v>
      </c>
      <c r="D41" s="30">
        <f t="shared" si="4"/>
        <v>0.68532781475381899</v>
      </c>
      <c r="E41" s="30">
        <f t="shared" si="4"/>
        <v>0.63043802196586551</v>
      </c>
      <c r="F41" s="30">
        <f t="shared" si="4"/>
        <v>0.88361187242192951</v>
      </c>
      <c r="I41" s="4">
        <v>500</v>
      </c>
      <c r="J41" s="108">
        <f>S9-s_1</f>
        <v>0.5</v>
      </c>
      <c r="K41" s="108">
        <f>S9-s_2</f>
        <v>0.75</v>
      </c>
      <c r="L41" s="108">
        <f>S9-s_3</f>
        <v>0.7</v>
      </c>
      <c r="M41" s="109">
        <f>S9-s_4</f>
        <v>0.95</v>
      </c>
    </row>
    <row r="42" spans="2:13" ht="14.4" thickBot="1" x14ac:dyDescent="0.3">
      <c r="B42" s="32">
        <v>1600</v>
      </c>
      <c r="C42" s="30">
        <f t="shared" si="4"/>
        <v>0.4556998691169562</v>
      </c>
      <c r="D42" s="30">
        <f t="shared" si="4"/>
        <v>0.70584049625062895</v>
      </c>
      <c r="E42" s="30">
        <f t="shared" si="4"/>
        <v>0.64899035372024894</v>
      </c>
      <c r="F42" s="30">
        <f t="shared" si="4"/>
        <v>0.91120612740688645</v>
      </c>
      <c r="I42" s="4">
        <v>1000</v>
      </c>
      <c r="J42" s="108">
        <f>S10-s_1</f>
        <v>0.5</v>
      </c>
      <c r="K42" s="108">
        <f>S10-s_2</f>
        <v>0.75</v>
      </c>
      <c r="L42" s="108">
        <f>S10-s_3</f>
        <v>0.7</v>
      </c>
      <c r="M42" s="109">
        <f>S10-s_4</f>
        <v>0.95</v>
      </c>
    </row>
    <row r="43" spans="2:13" ht="14.4" thickBot="1" x14ac:dyDescent="0.3">
      <c r="B43" s="32">
        <v>2000</v>
      </c>
      <c r="C43" s="30">
        <f t="shared" si="4"/>
        <v>0.46758701174708794</v>
      </c>
      <c r="D43" s="30">
        <f t="shared" si="4"/>
        <v>0.72635317774743913</v>
      </c>
      <c r="E43" s="30">
        <f t="shared" si="4"/>
        <v>0.66754268547463214</v>
      </c>
      <c r="F43" s="30">
        <f t="shared" si="4"/>
        <v>0.93880038239184349</v>
      </c>
      <c r="I43" s="4">
        <v>2000</v>
      </c>
      <c r="J43" s="108">
        <f>S11-s_1</f>
        <v>0.5</v>
      </c>
      <c r="K43" s="108">
        <f>S11-s_2</f>
        <v>0.75</v>
      </c>
      <c r="L43" s="108">
        <f>S11-s_3</f>
        <v>0.7</v>
      </c>
      <c r="M43" s="109">
        <f>S11-s_4</f>
        <v>0.95</v>
      </c>
    </row>
    <row r="44" spans="2:13" x14ac:dyDescent="0.25">
      <c r="B44" s="32">
        <v>2500</v>
      </c>
      <c r="C44" s="30">
        <f t="shared" si="4"/>
        <v>0.46758701174708794</v>
      </c>
      <c r="D44" s="30">
        <f t="shared" si="4"/>
        <v>0.72635317774743913</v>
      </c>
      <c r="E44" s="30">
        <f t="shared" si="4"/>
        <v>0.66754268547463214</v>
      </c>
      <c r="F44" s="30">
        <f t="shared" si="4"/>
        <v>0.93880038239184349</v>
      </c>
      <c r="I44" s="4">
        <v>4000</v>
      </c>
      <c r="J44" s="108">
        <f>S12-s_1</f>
        <v>0.4</v>
      </c>
      <c r="K44" s="108">
        <f>S12-s_2</f>
        <v>0.65</v>
      </c>
      <c r="L44" s="108">
        <f>S12-s_3</f>
        <v>0.60000000000000009</v>
      </c>
      <c r="M44" s="109">
        <f>S12-s_4</f>
        <v>0.85</v>
      </c>
    </row>
    <row r="45" spans="2:13" ht="16.8" thickBot="1" x14ac:dyDescent="0.4">
      <c r="B45" s="32">
        <v>3150</v>
      </c>
      <c r="C45" s="30">
        <f t="shared" si="4"/>
        <v>0.46758701174708794</v>
      </c>
      <c r="D45" s="30">
        <f t="shared" si="4"/>
        <v>0.72635317774743913</v>
      </c>
      <c r="E45" s="30">
        <f t="shared" si="4"/>
        <v>0.66754268547463214</v>
      </c>
      <c r="F45" s="30">
        <f t="shared" si="4"/>
        <v>0.93880038239184349</v>
      </c>
      <c r="I45" s="101" t="s">
        <v>55</v>
      </c>
      <c r="J45" s="99">
        <f>J41</f>
        <v>0.5</v>
      </c>
      <c r="K45" s="99">
        <f t="shared" ref="K45:M45" si="8">K41</f>
        <v>0.75</v>
      </c>
      <c r="L45" s="99">
        <f t="shared" si="8"/>
        <v>0.7</v>
      </c>
      <c r="M45" s="100">
        <f t="shared" si="8"/>
        <v>0.95</v>
      </c>
    </row>
    <row r="46" spans="2:13" x14ac:dyDescent="0.25">
      <c r="B46" s="32">
        <v>4000</v>
      </c>
      <c r="C46" s="30">
        <f t="shared" si="4"/>
        <v>0.46758701174708794</v>
      </c>
      <c r="D46" s="30">
        <f t="shared" si="4"/>
        <v>0.72635317774743913</v>
      </c>
      <c r="E46" s="30">
        <f t="shared" si="4"/>
        <v>0.66754268547463214</v>
      </c>
      <c r="F46" s="30">
        <f t="shared" si="4"/>
        <v>0.93880038239184349</v>
      </c>
    </row>
    <row r="47" spans="2:13" ht="14.4" thickBot="1" x14ac:dyDescent="0.3">
      <c r="B47" s="33">
        <v>5000</v>
      </c>
      <c r="C47" s="89"/>
      <c r="D47" s="89"/>
      <c r="E47" s="89"/>
      <c r="F47" s="34"/>
      <c r="I47" s="26"/>
      <c r="J47" s="29"/>
    </row>
    <row r="48" spans="2:13" ht="14.4" thickBot="1" x14ac:dyDescent="0.3">
      <c r="I48" s="3">
        <v>250</v>
      </c>
      <c r="J48" s="108">
        <f>MAX(0,J40-J30)</f>
        <v>0</v>
      </c>
      <c r="K48" s="108">
        <f t="shared" ref="K48:M48" si="9">MAX(0,K40-K30)</f>
        <v>0</v>
      </c>
      <c r="L48" s="108">
        <f t="shared" si="9"/>
        <v>0</v>
      </c>
      <c r="M48" s="108">
        <f t="shared" si="9"/>
        <v>0</v>
      </c>
    </row>
    <row r="49" spans="2:13" ht="14.4" thickBot="1" x14ac:dyDescent="0.3">
      <c r="I49" s="4">
        <v>500</v>
      </c>
      <c r="J49" s="108">
        <f t="shared" ref="J49:M52" si="10">MAX(0,J41-J31)</f>
        <v>0</v>
      </c>
      <c r="K49" s="108">
        <f t="shared" si="10"/>
        <v>0</v>
      </c>
      <c r="L49" s="108">
        <f t="shared" si="10"/>
        <v>0</v>
      </c>
      <c r="M49" s="108">
        <f t="shared" si="10"/>
        <v>5.2041962885173154E-3</v>
      </c>
    </row>
    <row r="50" spans="2:13" ht="14.4" thickBot="1" x14ac:dyDescent="0.3">
      <c r="B50" s="95"/>
      <c r="I50" s="4">
        <v>1000</v>
      </c>
      <c r="J50" s="108">
        <f t="shared" si="10"/>
        <v>3.8481687385137298E-2</v>
      </c>
      <c r="K50" s="108">
        <f t="shared" si="10"/>
        <v>5.559213798482121E-2</v>
      </c>
      <c r="L50" s="108">
        <f t="shared" si="10"/>
        <v>5.8521581030347547E-2</v>
      </c>
      <c r="M50" s="108">
        <f t="shared" si="10"/>
        <v>6.4389653804857394E-2</v>
      </c>
    </row>
    <row r="51" spans="2:13" ht="14.4" thickBot="1" x14ac:dyDescent="0.3">
      <c r="I51" s="4">
        <v>2000</v>
      </c>
      <c r="J51" s="108">
        <f t="shared" si="10"/>
        <v>3.2412988252912056E-2</v>
      </c>
      <c r="K51" s="108">
        <f t="shared" si="10"/>
        <v>2.3646822252560873E-2</v>
      </c>
      <c r="L51" s="108">
        <f t="shared" si="10"/>
        <v>3.245731452536782E-2</v>
      </c>
      <c r="M51" s="108">
        <f t="shared" si="10"/>
        <v>1.1199617608156465E-2</v>
      </c>
    </row>
    <row r="52" spans="2:13" x14ac:dyDescent="0.25">
      <c r="I52" s="4">
        <v>4000</v>
      </c>
      <c r="J52" s="108">
        <f t="shared" si="10"/>
        <v>0</v>
      </c>
      <c r="K52" s="108">
        <f t="shared" si="10"/>
        <v>0</v>
      </c>
      <c r="L52" s="108">
        <f t="shared" si="10"/>
        <v>0</v>
      </c>
      <c r="M52" s="108">
        <f t="shared" si="10"/>
        <v>0</v>
      </c>
    </row>
    <row r="53" spans="2:13" ht="14.4" thickBot="1" x14ac:dyDescent="0.3">
      <c r="I53" s="105" t="s">
        <v>54</v>
      </c>
      <c r="J53" s="106">
        <f>SUM(J47:J52)</f>
        <v>7.0894675638049354E-2</v>
      </c>
      <c r="K53" s="106">
        <f t="shared" ref="K53:M53" si="11">SUM(K47:K52)</f>
        <v>7.9238960237382083E-2</v>
      </c>
      <c r="L53" s="106">
        <f t="shared" si="11"/>
        <v>9.0978895555715367E-2</v>
      </c>
      <c r="M53" s="107">
        <f t="shared" si="11"/>
        <v>8.0793467701531174E-2</v>
      </c>
    </row>
  </sheetData>
  <phoneticPr fontId="14" type="noConversion"/>
  <pageMargins left="0" right="0" top="0.39409448818897641" bottom="0.39409448818897641" header="0" footer="0"/>
  <pageSetup paperSize="9" orientation="portrait" r:id="rId1"/>
  <headerFooter>
    <oddHeader>&amp;C&amp;A</oddHeader>
    <oddFooter>&amp;CPage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RT</vt:lpstr>
      <vt:lpstr>assorbimento</vt:lpstr>
      <vt:lpstr>c_sound</vt:lpstr>
      <vt:lpstr>s_1</vt:lpstr>
      <vt:lpstr>s_2</vt:lpstr>
      <vt:lpstr>s_3</vt:lpstr>
      <vt:lpstr>s_4</vt:lpstr>
      <vt:lpstr>surf</vt:lpstr>
      <vt:lpstr>volume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Mattia Lercari</cp:lastModifiedBy>
  <cp:revision>2</cp:revision>
  <dcterms:created xsi:type="dcterms:W3CDTF">2009-04-16T11:32:48Z</dcterms:created>
  <dcterms:modified xsi:type="dcterms:W3CDTF">2021-02-14T11:17:46Z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