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ttia\Documents\GitHub\MusicalAcousticsHWs\RoomAcoustics\6_room_design_absorption\"/>
    </mc:Choice>
  </mc:AlternateContent>
  <xr:revisionPtr revIDLastSave="0" documentId="13_ncr:1_{B7E44FA6-AFC0-46B5-836A-CADE5B318A71}" xr6:coauthVersionLast="45" xr6:coauthVersionMax="45" xr10:uidLastSave="{00000000-0000-0000-0000-000000000000}"/>
  <bookViews>
    <workbookView xWindow="-98" yWindow="503" windowWidth="20715" windowHeight="13274" activeTab="7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conclusion" sheetId="10" r:id="rId9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F25" i="5"/>
  <c r="F26" i="5"/>
  <c r="F27" i="5"/>
  <c r="F28" i="5"/>
  <c r="F29" i="5"/>
  <c r="F24" i="5"/>
  <c r="D25" i="5"/>
  <c r="D26" i="5"/>
  <c r="D27" i="5"/>
  <c r="D28" i="5"/>
  <c r="D29" i="5"/>
  <c r="D24" i="5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16" i="5" s="1"/>
  <c r="N6" i="8"/>
  <c r="N4" i="8"/>
  <c r="N7" i="5"/>
  <c r="N17" i="5" s="1"/>
  <c r="N7" i="8"/>
  <c r="N17" i="8" s="1"/>
  <c r="N8" i="5"/>
  <c r="J18" i="5" s="1"/>
  <c r="N8" i="8"/>
  <c r="N5" i="5"/>
  <c r="N9" i="5"/>
  <c r="N4" i="5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28" i="5"/>
  <c r="J14" i="7"/>
  <c r="J24" i="7" s="1"/>
  <c r="J16" i="7"/>
  <c r="J18" i="7"/>
  <c r="J28" i="7" s="1"/>
  <c r="N14" i="7"/>
  <c r="N18" i="7"/>
  <c r="N14" i="4"/>
  <c r="N15" i="5"/>
  <c r="J18" i="4"/>
  <c r="J15" i="5"/>
  <c r="J25" i="5" s="1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9" i="7" l="1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J24" i="5" s="1"/>
  <c r="N18" i="5"/>
  <c r="J17" i="5"/>
  <c r="N14" i="5"/>
  <c r="J16" i="5"/>
  <c r="J29" i="8"/>
  <c r="J27" i="8"/>
  <c r="N19" i="5"/>
  <c r="J19" i="5"/>
  <c r="J29" i="5" s="1"/>
  <c r="N19" i="8"/>
  <c r="N16" i="8"/>
  <c r="J16" i="8"/>
  <c r="J26" i="8" s="1"/>
  <c r="J26" i="7"/>
  <c r="J27" i="7"/>
  <c r="N5" i="2"/>
  <c r="N9" i="2"/>
  <c r="N6" i="2"/>
  <c r="N7" i="2"/>
  <c r="N8" i="2"/>
  <c r="N17" i="6" l="1"/>
  <c r="J17" i="6"/>
  <c r="D27" i="6" s="1"/>
  <c r="J15" i="6"/>
  <c r="D25" i="6" s="1"/>
  <c r="J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D28" i="6" l="1"/>
  <c r="J28" i="6" s="1"/>
  <c r="D29" i="6"/>
  <c r="J29" i="6" s="1"/>
  <c r="D24" i="6"/>
  <c r="J24" i="6" s="1"/>
  <c r="J27" i="6"/>
  <c r="J26" i="6"/>
  <c r="D26" i="6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<sst xmlns="http://schemas.openxmlformats.org/spreadsheetml/2006/main" count="301" uniqueCount="96">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</sst>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8" fillId="11" borderId="2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0.1851824338421468</c:v>
                </c:pt>
                <c:pt idx="1">
                  <c:v>0.11989617113525272</c:v>
                </c:pt>
                <c:pt idx="2">
                  <c:v>0.17047592448424267</c:v>
                </c:pt>
                <c:pt idx="3">
                  <c:v>0.16532356554326968</c:v>
                </c:pt>
                <c:pt idx="4">
                  <c:v>0.16144322041694723</c:v>
                </c:pt>
                <c:pt idx="5">
                  <c:v>0.15775092634196683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9.2796481929268204E-2</c:v>
                </c:pt>
                <c:pt idx="1">
                  <c:v>0.14330885797888879</c:v>
                </c:pt>
                <c:pt idx="2">
                  <c:v>0.24149778251730669</c:v>
                </c:pt>
                <c:pt idx="3">
                  <c:v>0.30941426704234282</c:v>
                </c:pt>
                <c:pt idx="4">
                  <c:v>0.30485141113974895</c:v>
                </c:pt>
                <c:pt idx="5">
                  <c:v>0.30220803261721307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workbookViewId="0">
      <selection activeCell="C10" sqref="C10"/>
    </sheetView>
  </sheetViews>
  <sheetFormatPr defaultRowHeight="14.25" x14ac:dyDescent="0.45"/>
  <cols>
    <col min="1" max="1" width="20.73046875" customWidth="1"/>
    <col min="2" max="2" width="11" customWidth="1"/>
    <col min="3" max="3" width="12.265625" customWidth="1"/>
    <col min="4" max="4" width="11.86328125" customWidth="1"/>
  </cols>
  <sheetData>
    <row r="1" spans="1:5" x14ac:dyDescent="0.45">
      <c r="B1" s="67" t="s">
        <v>0</v>
      </c>
      <c r="C1" s="67"/>
      <c r="D1" s="67" t="s">
        <v>9</v>
      </c>
      <c r="E1" s="67"/>
    </row>
    <row r="2" spans="1:5" x14ac:dyDescent="0.45">
      <c r="B2" s="2">
        <v>1</v>
      </c>
      <c r="C2" s="3">
        <v>2</v>
      </c>
      <c r="D2" s="4">
        <v>3</v>
      </c>
    </row>
    <row r="3" spans="1:5" x14ac:dyDescent="0.45">
      <c r="B3" s="68" t="s">
        <v>9</v>
      </c>
      <c r="C3" s="70" t="s">
        <v>9</v>
      </c>
      <c r="D3" s="70" t="s">
        <v>9</v>
      </c>
    </row>
    <row r="4" spans="1:5" x14ac:dyDescent="0.45">
      <c r="B4" s="69"/>
      <c r="C4" s="70"/>
      <c r="D4" s="70"/>
    </row>
    <row r="5" spans="1:5" x14ac:dyDescent="0.45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45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4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45">
      <c r="A8" s="5" t="s">
        <v>4</v>
      </c>
      <c r="B8" s="1">
        <v>1.8</v>
      </c>
      <c r="C8" s="18">
        <v>1.8</v>
      </c>
      <c r="D8" s="19">
        <v>1.8</v>
      </c>
    </row>
    <row r="9" spans="1:5" x14ac:dyDescent="0.45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45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4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4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45">
      <c r="B14" s="67" t="s">
        <v>0</v>
      </c>
      <c r="C14" s="67"/>
      <c r="D14" s="67" t="s">
        <v>10</v>
      </c>
      <c r="E14" s="67"/>
    </row>
    <row r="15" spans="1:5" ht="30.75" customHeight="1" x14ac:dyDescent="0.45">
      <c r="B15" s="6" t="s">
        <v>14</v>
      </c>
      <c r="C15" s="6" t="s">
        <v>14</v>
      </c>
      <c r="D15" s="6" t="s">
        <v>14</v>
      </c>
    </row>
    <row r="16" spans="1:5" x14ac:dyDescent="0.45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45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45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45">
      <c r="A19" s="5"/>
      <c r="B19" s="7" t="s">
        <v>15</v>
      </c>
      <c r="C19" s="7" t="s">
        <v>15</v>
      </c>
      <c r="D19" s="7" t="s">
        <v>15</v>
      </c>
    </row>
    <row r="20" spans="1:4" x14ac:dyDescent="0.4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45">
      <c r="B21" s="7" t="s">
        <v>35</v>
      </c>
      <c r="C21" s="7" t="s">
        <v>35</v>
      </c>
      <c r="D21" s="7" t="s">
        <v>35</v>
      </c>
    </row>
    <row r="22" spans="1:4" x14ac:dyDescent="0.45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2" workbookViewId="0">
      <selection activeCell="D24" sqref="D24:D29"/>
    </sheetView>
  </sheetViews>
  <sheetFormatPr defaultRowHeight="14.25" x14ac:dyDescent="0.45"/>
  <cols>
    <col min="3" max="3" width="16.1328125" customWidth="1"/>
    <col min="7" max="8" width="18.1328125" customWidth="1"/>
  </cols>
  <sheetData>
    <row r="1" spans="1:17" x14ac:dyDescent="0.45">
      <c r="C1" s="72" t="s">
        <v>19</v>
      </c>
      <c r="D1" s="72"/>
      <c r="E1" s="72"/>
      <c r="F1" s="72"/>
      <c r="N1" s="72" t="s">
        <v>32</v>
      </c>
      <c r="O1" s="72"/>
      <c r="P1" s="72"/>
      <c r="Q1" s="72"/>
    </row>
    <row r="2" spans="1:17" x14ac:dyDescent="0.4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77" t="s">
        <v>33</v>
      </c>
      <c r="O2" s="78"/>
    </row>
    <row r="3" spans="1:17" x14ac:dyDescent="0.45">
      <c r="A3" s="8"/>
      <c r="B3" s="8"/>
    </row>
    <row r="4" spans="1:17" x14ac:dyDescent="0.4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73">
        <f>1/(surface_A)*(C4*area_S1+D4*area_S2+E4*area_S3+F4*area_S4+G4*area_S5_1+H4*area_S5_2+I4*area_S6+J4*area_S7)</f>
        <v>0.14322978529008681</v>
      </c>
      <c r="O4" s="74"/>
    </row>
    <row r="5" spans="1:17" x14ac:dyDescent="0.4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73">
        <f t="shared" ref="N5:N9" si="0">1/(surface_A)*(C5*area_S1+D5*area_S2+E5*area_S3+F5*area_S4+G5*area_S5_1+H5*area_S5_2+I5*area_S6+J5*area_S7)</f>
        <v>0.10523069894929193</v>
      </c>
      <c r="O5" s="74"/>
    </row>
    <row r="6" spans="1:17" x14ac:dyDescent="0.4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73">
        <f t="shared" si="0"/>
        <v>9.174280493375972E-2</v>
      </c>
      <c r="O6" s="74"/>
    </row>
    <row r="7" spans="1:17" x14ac:dyDescent="0.4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73">
        <f t="shared" si="0"/>
        <v>6.7512562814070379E-2</v>
      </c>
      <c r="O7" s="74"/>
    </row>
    <row r="8" spans="1:17" x14ac:dyDescent="0.4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73">
        <f t="shared" si="0"/>
        <v>6.1685701233439943E-2</v>
      </c>
      <c r="O8" s="74"/>
    </row>
    <row r="9" spans="1:17" x14ac:dyDescent="0.4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73">
        <f t="shared" si="0"/>
        <v>6.1831886706258575E-2</v>
      </c>
      <c r="O9" s="74"/>
    </row>
    <row r="10" spans="1:17" x14ac:dyDescent="0.45">
      <c r="G10" s="10"/>
    </row>
    <row r="11" spans="1:17" x14ac:dyDescent="0.45">
      <c r="A11" s="71" t="s">
        <v>24</v>
      </c>
      <c r="B11" s="71"/>
      <c r="I11" s="79" t="s">
        <v>38</v>
      </c>
      <c r="J11" s="79"/>
      <c r="M11" s="72" t="s">
        <v>36</v>
      </c>
      <c r="N11" s="72"/>
      <c r="O11" s="72"/>
      <c r="P11" s="72"/>
    </row>
    <row r="12" spans="1:17" x14ac:dyDescent="0.45">
      <c r="A12" s="71" t="s">
        <v>25</v>
      </c>
      <c r="B12" s="71"/>
      <c r="I12" s="12" t="s">
        <v>17</v>
      </c>
      <c r="J12" s="14" t="s">
        <v>39</v>
      </c>
      <c r="L12" s="13"/>
      <c r="M12" s="11" t="s">
        <v>17</v>
      </c>
      <c r="N12" s="75" t="s">
        <v>37</v>
      </c>
      <c r="O12" s="76"/>
    </row>
    <row r="13" spans="1:17" x14ac:dyDescent="0.45">
      <c r="A13" s="71" t="s">
        <v>27</v>
      </c>
      <c r="B13" s="71"/>
      <c r="I13" s="12"/>
    </row>
    <row r="14" spans="1:17" x14ac:dyDescent="0.45">
      <c r="A14" s="71" t="s">
        <v>28</v>
      </c>
      <c r="B14" s="71"/>
      <c r="I14" s="12">
        <v>125</v>
      </c>
      <c r="J14" s="14">
        <f t="shared" ref="J14:J19" si="2">N4*surface_A</f>
        <v>31.353000000000002</v>
      </c>
      <c r="M14" s="11">
        <v>125</v>
      </c>
      <c r="N14" s="81">
        <f t="shared" ref="N14:N19" si="3">(N4*surface_A)/(1-N4)</f>
        <v>36.594409401376723</v>
      </c>
      <c r="O14" s="82"/>
    </row>
    <row r="15" spans="1:17" x14ac:dyDescent="0.45">
      <c r="A15" s="71" t="s">
        <v>29</v>
      </c>
      <c r="B15" s="71"/>
      <c r="I15" s="12">
        <v>250</v>
      </c>
      <c r="J15" s="14">
        <f t="shared" si="2"/>
        <v>23.035000000000004</v>
      </c>
      <c r="M15" s="11">
        <v>250</v>
      </c>
      <c r="N15" s="81">
        <f t="shared" si="3"/>
        <v>25.744066065912751</v>
      </c>
      <c r="O15" s="82"/>
    </row>
    <row r="16" spans="1:17" x14ac:dyDescent="0.45">
      <c r="A16" s="71" t="s">
        <v>30</v>
      </c>
      <c r="B16" s="71"/>
      <c r="I16" s="12">
        <v>500</v>
      </c>
      <c r="J16" s="14">
        <f t="shared" si="2"/>
        <v>20.0825</v>
      </c>
      <c r="M16" s="11">
        <v>500</v>
      </c>
      <c r="N16" s="81">
        <f t="shared" si="3"/>
        <v>22.111027701283842</v>
      </c>
      <c r="O16" s="82"/>
    </row>
    <row r="17" spans="1:15" x14ac:dyDescent="0.45">
      <c r="A17" s="71" t="s">
        <v>31</v>
      </c>
      <c r="B17" s="71"/>
      <c r="I17" s="12">
        <v>1000</v>
      </c>
      <c r="J17" s="14">
        <f t="shared" si="2"/>
        <v>14.778500000000005</v>
      </c>
      <c r="M17" s="11">
        <v>1000</v>
      </c>
      <c r="N17" s="81">
        <f t="shared" si="3"/>
        <v>15.848470886212384</v>
      </c>
      <c r="O17" s="82"/>
    </row>
    <row r="18" spans="1:15" x14ac:dyDescent="0.45">
      <c r="I18" s="12">
        <v>2000</v>
      </c>
      <c r="J18" s="14">
        <f t="shared" si="2"/>
        <v>13.503000000000002</v>
      </c>
      <c r="M18" s="11">
        <v>2000</v>
      </c>
      <c r="N18" s="81">
        <f t="shared" si="3"/>
        <v>14.390700448399931</v>
      </c>
      <c r="O18" s="82"/>
    </row>
    <row r="19" spans="1:15" x14ac:dyDescent="0.45">
      <c r="F19" s="13"/>
      <c r="I19" s="12">
        <v>4000</v>
      </c>
      <c r="J19" s="14">
        <f t="shared" si="2"/>
        <v>13.535</v>
      </c>
      <c r="M19" s="11">
        <v>4000</v>
      </c>
      <c r="N19" s="81">
        <f t="shared" si="3"/>
        <v>14.427051834538505</v>
      </c>
      <c r="O19" s="82"/>
    </row>
    <row r="21" spans="1:15" x14ac:dyDescent="0.45">
      <c r="C21" s="79" t="s">
        <v>40</v>
      </c>
      <c r="D21" s="80"/>
      <c r="E21" s="79" t="s">
        <v>41</v>
      </c>
      <c r="F21" s="80"/>
      <c r="I21" s="79" t="s">
        <v>44</v>
      </c>
      <c r="J21" s="79"/>
    </row>
    <row r="22" spans="1:15" x14ac:dyDescent="0.4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45">
      <c r="B23" s="15"/>
      <c r="I23" s="12"/>
    </row>
    <row r="24" spans="1:15" x14ac:dyDescent="0.45">
      <c r="B24" s="11">
        <v>125</v>
      </c>
      <c r="D24" s="16">
        <f>0.16*volume_A/J14</f>
        <v>0.94995694191943336</v>
      </c>
      <c r="F24" s="16">
        <f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45">
      <c r="B25" s="11">
        <v>250</v>
      </c>
      <c r="D25" s="16">
        <f>0.16*volume_A/J15</f>
        <v>1.2929889298892985</v>
      </c>
      <c r="F25" s="16">
        <f>-0.16*(volume_A/(surface_A*LN(ABS(1-N5))))</f>
        <v>1.2236974034423818</v>
      </c>
      <c r="I25" s="12">
        <v>250</v>
      </c>
      <c r="J25" s="14">
        <f t="shared" ref="J25:J29" si="4">(D25-F25)/D25</f>
        <v>5.3590193113911062E-2</v>
      </c>
    </row>
    <row r="26" spans="1:15" x14ac:dyDescent="0.45">
      <c r="B26" s="11">
        <v>500</v>
      </c>
      <c r="D26" s="16">
        <f>0.16*volume_A/J16</f>
        <v>1.4830822855720152</v>
      </c>
      <c r="F26" s="16">
        <f>-0.16*(volume_A/(surface_A*LN(ABS(1-N6))))</f>
        <v>1.4139603108566092</v>
      </c>
      <c r="I26" s="12">
        <v>500</v>
      </c>
      <c r="J26" s="14">
        <f t="shared" si="4"/>
        <v>4.6606972106571984E-2</v>
      </c>
    </row>
    <row r="27" spans="1:15" x14ac:dyDescent="0.45">
      <c r="B27" s="11">
        <v>1000</v>
      </c>
      <c r="D27" s="16">
        <f>0.16*volume_A/J17</f>
        <v>2.0153601515715387</v>
      </c>
      <c r="F27" s="16">
        <f>-0.16*(volume_A/(surface_A*LN(ABS(1-N7))))</f>
        <v>1.9465365943289623</v>
      </c>
      <c r="I27" s="12">
        <v>1000</v>
      </c>
      <c r="J27" s="14">
        <f t="shared" si="4"/>
        <v>3.4149507813235815E-2</v>
      </c>
    </row>
    <row r="28" spans="1:15" x14ac:dyDescent="0.45">
      <c r="B28" s="11">
        <v>2000</v>
      </c>
      <c r="D28" s="16">
        <f>0.16*volume_A/J18</f>
        <v>2.2057320595423233</v>
      </c>
      <c r="F28" s="16">
        <f>-0.16*(volume_A/(surface_A*LN(ABS(1-N8))))</f>
        <v>2.1369791173766264</v>
      </c>
      <c r="I28" s="12">
        <v>2000</v>
      </c>
      <c r="J28" s="14">
        <f t="shared" si="4"/>
        <v>3.1170124162752017E-2</v>
      </c>
    </row>
    <row r="29" spans="1:15" x14ac:dyDescent="0.45">
      <c r="B29" s="11">
        <v>4000</v>
      </c>
      <c r="D29" s="16">
        <f>0.16*volume_A/J19</f>
        <v>2.2005171776874763</v>
      </c>
      <c r="F29" s="16">
        <f>-0.16*(volume_A/(surface_A*LN(ABS(1-N9))))</f>
        <v>2.1317624692501598</v>
      </c>
      <c r="I29" s="12">
        <v>4000</v>
      </c>
      <c r="J29" s="14">
        <f t="shared" si="4"/>
        <v>3.1244795148370939E-2</v>
      </c>
    </row>
    <row r="30" spans="1:15" x14ac:dyDescent="0.45">
      <c r="F30" s="17"/>
    </row>
  </sheetData>
  <mergeCells count="28"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B1" workbookViewId="0">
      <selection activeCell="F24" sqref="F24:F29"/>
    </sheetView>
  </sheetViews>
  <sheetFormatPr defaultRowHeight="14.25" x14ac:dyDescent="0.45"/>
  <cols>
    <col min="3" max="3" width="16.1328125" customWidth="1"/>
    <col min="7" max="8" width="18.1328125" customWidth="1"/>
  </cols>
  <sheetData>
    <row r="1" spans="1:17" x14ac:dyDescent="0.45">
      <c r="C1" s="72" t="s">
        <v>19</v>
      </c>
      <c r="D1" s="72"/>
      <c r="E1" s="72"/>
      <c r="F1" s="72"/>
      <c r="N1" s="72" t="s">
        <v>32</v>
      </c>
      <c r="O1" s="72"/>
      <c r="P1" s="72"/>
      <c r="Q1" s="72"/>
    </row>
    <row r="2" spans="1:17" x14ac:dyDescent="0.4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77" t="s">
        <v>33</v>
      </c>
      <c r="O2" s="78"/>
    </row>
    <row r="3" spans="1:17" x14ac:dyDescent="0.45">
      <c r="A3" s="8"/>
      <c r="B3" s="8"/>
    </row>
    <row r="4" spans="1:17" x14ac:dyDescent="0.4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73">
        <f t="shared" ref="N4:N9" si="0">1/(surface_B1)*(C4*area_S1_B1+D4*area_S2_B1+E4*area_S3_B1+F4*area_S4_B1+G4*area_S5_B1_1+H4*area_S5_B1_2+I4*area_S6_B1+J4*area_S7_B1)</f>
        <v>0.14411021814006889</v>
      </c>
      <c r="O4" s="74"/>
    </row>
    <row r="5" spans="1:17" x14ac:dyDescent="0.4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73">
        <f t="shared" si="0"/>
        <v>0.10610792192881746</v>
      </c>
      <c r="O5" s="74"/>
    </row>
    <row r="6" spans="1:17" x14ac:dyDescent="0.4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73">
        <f t="shared" si="0"/>
        <v>9.2353616532721006E-2</v>
      </c>
      <c r="O6" s="74"/>
    </row>
    <row r="7" spans="1:17" x14ac:dyDescent="0.4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73">
        <f t="shared" si="0"/>
        <v>6.7967853042479931E-2</v>
      </c>
      <c r="O7" s="74"/>
    </row>
    <row r="8" spans="1:17" x14ac:dyDescent="0.4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73">
        <f t="shared" si="0"/>
        <v>6.1980482204362801E-2</v>
      </c>
      <c r="O8" s="74"/>
    </row>
    <row r="9" spans="1:17" x14ac:dyDescent="0.4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73">
        <f t="shared" si="0"/>
        <v>6.1923076923076942E-2</v>
      </c>
      <c r="O9" s="74"/>
    </row>
    <row r="10" spans="1:17" x14ac:dyDescent="0.45">
      <c r="G10" s="10"/>
    </row>
    <row r="11" spans="1:17" x14ac:dyDescent="0.45">
      <c r="A11" s="71" t="s">
        <v>24</v>
      </c>
      <c r="B11" s="71"/>
      <c r="I11" s="79" t="s">
        <v>38</v>
      </c>
      <c r="J11" s="79"/>
      <c r="M11" s="72" t="s">
        <v>36</v>
      </c>
      <c r="N11" s="72"/>
      <c r="O11" s="72"/>
      <c r="P11" s="72"/>
    </row>
    <row r="12" spans="1:17" x14ac:dyDescent="0.45">
      <c r="A12" s="71" t="s">
        <v>25</v>
      </c>
      <c r="B12" s="71"/>
      <c r="I12" s="12" t="s">
        <v>17</v>
      </c>
      <c r="J12" s="14" t="s">
        <v>39</v>
      </c>
      <c r="L12" s="13"/>
      <c r="M12" s="11" t="s">
        <v>17</v>
      </c>
      <c r="N12" s="75" t="s">
        <v>37</v>
      </c>
      <c r="O12" s="76"/>
    </row>
    <row r="13" spans="1:17" x14ac:dyDescent="0.45">
      <c r="A13" s="71" t="s">
        <v>27</v>
      </c>
      <c r="B13" s="71"/>
      <c r="I13" s="12"/>
    </row>
    <row r="14" spans="1:17" x14ac:dyDescent="0.45">
      <c r="A14" s="71" t="s">
        <v>28</v>
      </c>
      <c r="B14" s="71"/>
      <c r="I14" s="12">
        <v>125</v>
      </c>
      <c r="J14" s="14">
        <f t="shared" ref="J14:J19" si="2">N4*surface_B1</f>
        <v>20.083199999999998</v>
      </c>
      <c r="M14" s="11">
        <v>125</v>
      </c>
      <c r="N14" s="81">
        <f t="shared" ref="N14:N19" si="3">(N4*surface_B1)/(1-N4)</f>
        <v>23.464703546708158</v>
      </c>
      <c r="O14" s="82"/>
    </row>
    <row r="15" spans="1:17" x14ac:dyDescent="0.45">
      <c r="A15" s="71" t="s">
        <v>29</v>
      </c>
      <c r="B15" s="71"/>
      <c r="I15" s="12">
        <v>250</v>
      </c>
      <c r="J15" s="14">
        <f t="shared" si="2"/>
        <v>14.7872</v>
      </c>
      <c r="M15" s="11">
        <v>250</v>
      </c>
      <c r="N15" s="81">
        <f t="shared" si="3"/>
        <v>16.542489146908476</v>
      </c>
      <c r="O15" s="82"/>
    </row>
    <row r="16" spans="1:17" x14ac:dyDescent="0.45">
      <c r="A16" s="71" t="s">
        <v>30</v>
      </c>
      <c r="B16" s="71"/>
      <c r="I16" s="12">
        <v>500</v>
      </c>
      <c r="J16" s="14">
        <f t="shared" si="2"/>
        <v>12.870399999999998</v>
      </c>
      <c r="M16" s="11">
        <v>500</v>
      </c>
      <c r="N16" s="81">
        <f t="shared" si="3"/>
        <v>14.179971665654724</v>
      </c>
      <c r="O16" s="82"/>
    </row>
    <row r="17" spans="1:15" x14ac:dyDescent="0.45">
      <c r="A17" s="71" t="s">
        <v>31</v>
      </c>
      <c r="B17" s="71"/>
      <c r="I17" s="12">
        <v>1000</v>
      </c>
      <c r="J17" s="14">
        <f t="shared" si="2"/>
        <v>9.4720000000000013</v>
      </c>
      <c r="M17" s="11">
        <v>1000</v>
      </c>
      <c r="N17" s="81">
        <f t="shared" si="3"/>
        <v>10.162739591032276</v>
      </c>
      <c r="O17" s="82"/>
    </row>
    <row r="18" spans="1:15" x14ac:dyDescent="0.45">
      <c r="I18" s="12">
        <v>2000</v>
      </c>
      <c r="J18" s="14">
        <f t="shared" si="2"/>
        <v>8.6375999999999991</v>
      </c>
      <c r="M18" s="11">
        <v>2000</v>
      </c>
      <c r="N18" s="81">
        <f t="shared" si="3"/>
        <v>9.2083371786319699</v>
      </c>
      <c r="O18" s="82"/>
    </row>
    <row r="19" spans="1:15" x14ac:dyDescent="0.45">
      <c r="F19" s="13"/>
      <c r="I19" s="12">
        <v>4000</v>
      </c>
      <c r="J19" s="14">
        <f t="shared" si="2"/>
        <v>8.6296000000000017</v>
      </c>
      <c r="M19" s="11">
        <v>4000</v>
      </c>
      <c r="N19" s="81">
        <f t="shared" si="3"/>
        <v>9.1992455924559273</v>
      </c>
      <c r="O19" s="82"/>
    </row>
    <row r="21" spans="1:15" x14ac:dyDescent="0.45">
      <c r="C21" s="79" t="s">
        <v>40</v>
      </c>
      <c r="D21" s="80"/>
      <c r="E21" s="79" t="s">
        <v>41</v>
      </c>
      <c r="F21" s="80"/>
      <c r="I21" s="79" t="s">
        <v>44</v>
      </c>
      <c r="J21" s="79"/>
    </row>
    <row r="22" spans="1:15" x14ac:dyDescent="0.4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45">
      <c r="B23" s="15"/>
      <c r="I23" s="12"/>
    </row>
    <row r="24" spans="1:15" x14ac:dyDescent="0.45">
      <c r="B24" s="11">
        <v>125</v>
      </c>
      <c r="D24" s="16">
        <f>0.16*volume_B1/J14</f>
        <v>0.75411089866156789</v>
      </c>
      <c r="F24" s="16">
        <f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45">
      <c r="B25" s="11">
        <v>250</v>
      </c>
      <c r="D25" s="16">
        <f>0.16*volume_B1/J15</f>
        <v>1.0241938974247997</v>
      </c>
      <c r="F25" s="16">
        <f>-0.16*(volume_B1/(surface_B1*LN(ABS(1-N5))))</f>
        <v>0.96884072488940032</v>
      </c>
      <c r="I25" s="12">
        <v>250</v>
      </c>
      <c r="J25" s="14">
        <f t="shared" ref="J25:J29" si="4">(D25-F25)/D25</f>
        <v>5.4045598860311156E-2</v>
      </c>
    </row>
    <row r="26" spans="1:15" x14ac:dyDescent="0.45">
      <c r="B26" s="11">
        <v>500</v>
      </c>
      <c r="D26" s="16">
        <f>0.16*volume_B1/J16</f>
        <v>1.1767279960218797</v>
      </c>
      <c r="F26" s="16">
        <f>-0.16*(volume_B1/(surface_B1*LN(ABS(1-N6))))</f>
        <v>1.1215130351302505</v>
      </c>
      <c r="I26" s="12">
        <v>500</v>
      </c>
      <c r="J26" s="14">
        <f t="shared" si="4"/>
        <v>4.6922450284426306E-2</v>
      </c>
    </row>
    <row r="27" spans="1:15" x14ac:dyDescent="0.45">
      <c r="B27" s="11">
        <v>1000</v>
      </c>
      <c r="D27" s="16">
        <f>0.16*volume_B1/J17</f>
        <v>1.5989189189189186</v>
      </c>
      <c r="F27" s="16">
        <f>-0.16*(volume_B1/(surface_B1*LN(ABS(1-N7))))</f>
        <v>1.5439439769154004</v>
      </c>
      <c r="I27" s="12">
        <v>1000</v>
      </c>
      <c r="J27" s="14">
        <f t="shared" si="4"/>
        <v>3.4382570218562752E-2</v>
      </c>
    </row>
    <row r="28" spans="1:15" x14ac:dyDescent="0.45">
      <c r="B28" s="11">
        <v>2000</v>
      </c>
      <c r="D28" s="16">
        <f>0.16*volume_B1/J18</f>
        <v>1.7533759377604892</v>
      </c>
      <c r="F28" s="16">
        <f>-0.16*(volume_B1/(surface_B1*LN(ABS(1-N8))))</f>
        <v>1.6984589739520835</v>
      </c>
      <c r="I28" s="12">
        <v>2000</v>
      </c>
      <c r="J28" s="14">
        <f t="shared" si="4"/>
        <v>3.1320701183197922E-2</v>
      </c>
    </row>
    <row r="29" spans="1:15" x14ac:dyDescent="0.45">
      <c r="B29" s="11">
        <v>4000</v>
      </c>
      <c r="D29" s="16">
        <f>0.16*volume_B1/J19</f>
        <v>1.755001390562714</v>
      </c>
      <c r="F29" s="16">
        <f>-0.16*(volume_B1/(surface_B1*LN(ABS(1-N9))))</f>
        <v>1.7000849808523586</v>
      </c>
      <c r="I29" s="12">
        <v>4000</v>
      </c>
      <c r="J29" s="14">
        <f t="shared" si="4"/>
        <v>3.1291376750845361E-2</v>
      </c>
    </row>
    <row r="30" spans="1:15" x14ac:dyDescent="0.4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E1" workbookViewId="0">
      <selection activeCell="F24" sqref="F24:F29"/>
    </sheetView>
  </sheetViews>
  <sheetFormatPr defaultRowHeight="14.25" x14ac:dyDescent="0.45"/>
  <cols>
    <col min="3" max="3" width="16.1328125" customWidth="1"/>
    <col min="7" max="8" width="18.1328125" customWidth="1"/>
  </cols>
  <sheetData>
    <row r="1" spans="1:17" x14ac:dyDescent="0.45">
      <c r="C1" s="72" t="s">
        <v>19</v>
      </c>
      <c r="D1" s="72"/>
      <c r="E1" s="72"/>
      <c r="F1" s="72"/>
      <c r="N1" s="72" t="s">
        <v>32</v>
      </c>
      <c r="O1" s="72"/>
      <c r="P1" s="72"/>
      <c r="Q1" s="72"/>
    </row>
    <row r="2" spans="1:17" x14ac:dyDescent="0.4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77" t="s">
        <v>33</v>
      </c>
      <c r="O2" s="78"/>
    </row>
    <row r="3" spans="1:17" x14ac:dyDescent="0.45">
      <c r="A3" s="8"/>
      <c r="B3" s="8"/>
    </row>
    <row r="4" spans="1:17" x14ac:dyDescent="0.4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0.28000000000000003</v>
      </c>
      <c r="N4" s="73">
        <f t="shared" ref="N4:N9" si="0">1/(surface_B2)*(C4*area_S1_B2+D4*area_S2_B2+E4*area_S3_B2+F4*area_S4_B2+G4*area_S5_B2_1+H4*area_S5_B2_2+I4*area_S6_B2+J4*area_S7_B2)</f>
        <v>0.34595692307692311</v>
      </c>
      <c r="O4" s="74"/>
    </row>
    <row r="5" spans="1:17" x14ac:dyDescent="0.4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73">
        <f t="shared" si="0"/>
        <v>0.22980307692307692</v>
      </c>
      <c r="O5" s="74"/>
    </row>
    <row r="6" spans="1:17" x14ac:dyDescent="0.4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73">
        <f t="shared" si="0"/>
        <v>0.32038</v>
      </c>
      <c r="O6" s="74"/>
    </row>
    <row r="7" spans="1:17" x14ac:dyDescent="0.4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73">
        <f t="shared" si="0"/>
        <v>0.31133692307692307</v>
      </c>
      <c r="O7" s="74"/>
    </row>
    <row r="8" spans="1:17" x14ac:dyDescent="0.4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73">
        <f t="shared" si="0"/>
        <v>0.30449846153846155</v>
      </c>
      <c r="O8" s="74"/>
    </row>
    <row r="9" spans="1:17" x14ac:dyDescent="0.4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73">
        <f t="shared" si="0"/>
        <v>0.29796923076923076</v>
      </c>
      <c r="O9" s="74"/>
    </row>
    <row r="10" spans="1:17" x14ac:dyDescent="0.45">
      <c r="G10" s="10"/>
    </row>
    <row r="11" spans="1:17" x14ac:dyDescent="0.45">
      <c r="A11" s="71" t="s">
        <v>24</v>
      </c>
      <c r="B11" s="71"/>
      <c r="I11" s="79" t="s">
        <v>38</v>
      </c>
      <c r="J11" s="79"/>
      <c r="M11" s="72" t="s">
        <v>36</v>
      </c>
      <c r="N11" s="72"/>
      <c r="O11" s="72"/>
      <c r="P11" s="72"/>
    </row>
    <row r="12" spans="1:17" x14ac:dyDescent="0.45">
      <c r="A12" s="71" t="s">
        <v>25</v>
      </c>
      <c r="B12" s="71"/>
      <c r="I12" s="12" t="s">
        <v>17</v>
      </c>
      <c r="J12" s="14" t="s">
        <v>39</v>
      </c>
      <c r="L12" s="13"/>
      <c r="M12" s="11" t="s">
        <v>17</v>
      </c>
      <c r="N12" s="75" t="s">
        <v>37</v>
      </c>
      <c r="O12" s="76"/>
    </row>
    <row r="13" spans="1:17" x14ac:dyDescent="0.45">
      <c r="A13" s="71" t="s">
        <v>27</v>
      </c>
      <c r="B13" s="71"/>
      <c r="I13" s="12"/>
    </row>
    <row r="14" spans="1:17" x14ac:dyDescent="0.45">
      <c r="A14" s="71" t="s">
        <v>28</v>
      </c>
      <c r="B14" s="71"/>
      <c r="I14" s="12">
        <v>125</v>
      </c>
      <c r="J14" s="14">
        <f t="shared" ref="J14:J19" si="2">N4*surface_B2</f>
        <v>44.974400000000003</v>
      </c>
      <c r="M14" s="11">
        <v>125</v>
      </c>
      <c r="N14" s="81">
        <f t="shared" ref="N14:N19" si="3">(N4*surface_B2)/(1-N4)</f>
        <v>68.763666472215434</v>
      </c>
      <c r="O14" s="82"/>
    </row>
    <row r="15" spans="1:17" x14ac:dyDescent="0.45">
      <c r="A15" s="71" t="s">
        <v>29</v>
      </c>
      <c r="B15" s="71"/>
      <c r="I15" s="12">
        <v>250</v>
      </c>
      <c r="J15" s="14">
        <f t="shared" si="2"/>
        <v>29.874399999999998</v>
      </c>
      <c r="M15" s="11">
        <v>250</v>
      </c>
      <c r="N15" s="81">
        <f t="shared" si="3"/>
        <v>38.788002269149942</v>
      </c>
      <c r="O15" s="82"/>
    </row>
    <row r="16" spans="1:17" x14ac:dyDescent="0.45">
      <c r="A16" s="71" t="s">
        <v>30</v>
      </c>
      <c r="B16" s="71"/>
      <c r="I16" s="12">
        <v>500</v>
      </c>
      <c r="J16" s="14">
        <f t="shared" si="2"/>
        <v>41.6494</v>
      </c>
      <c r="M16" s="11">
        <v>500</v>
      </c>
      <c r="N16" s="81">
        <f t="shared" si="3"/>
        <v>61.283364232953708</v>
      </c>
      <c r="O16" s="82"/>
    </row>
    <row r="17" spans="1:15" x14ac:dyDescent="0.45">
      <c r="A17" s="71" t="s">
        <v>31</v>
      </c>
      <c r="B17" s="71"/>
      <c r="I17" s="12">
        <v>1000</v>
      </c>
      <c r="J17" s="14">
        <f t="shared" si="2"/>
        <v>40.473799999999997</v>
      </c>
      <c r="M17" s="11">
        <v>1000</v>
      </c>
      <c r="N17" s="81">
        <f t="shared" si="3"/>
        <v>58.771555142516931</v>
      </c>
      <c r="O17" s="82"/>
    </row>
    <row r="18" spans="1:15" x14ac:dyDescent="0.45">
      <c r="I18" s="12">
        <v>2000</v>
      </c>
      <c r="J18" s="14">
        <f t="shared" si="2"/>
        <v>39.584800000000001</v>
      </c>
      <c r="M18" s="11">
        <v>2000</v>
      </c>
      <c r="N18" s="81">
        <f t="shared" si="3"/>
        <v>56.915474389261988</v>
      </c>
      <c r="O18" s="82"/>
    </row>
    <row r="19" spans="1:15" x14ac:dyDescent="0.45">
      <c r="F19" s="13"/>
      <c r="I19" s="12">
        <v>4000</v>
      </c>
      <c r="J19" s="14">
        <f t="shared" si="2"/>
        <v>38.735999999999997</v>
      </c>
      <c r="M19" s="11">
        <v>4000</v>
      </c>
      <c r="N19" s="81">
        <f t="shared" si="3"/>
        <v>55.177068723702661</v>
      </c>
      <c r="O19" s="82"/>
    </row>
    <row r="21" spans="1:15" x14ac:dyDescent="0.45">
      <c r="C21" s="79" t="s">
        <v>40</v>
      </c>
      <c r="D21" s="80"/>
      <c r="E21" s="79" t="s">
        <v>41</v>
      </c>
      <c r="F21" s="80"/>
      <c r="I21" s="79" t="s">
        <v>44</v>
      </c>
      <c r="J21" s="79"/>
    </row>
    <row r="22" spans="1:15" x14ac:dyDescent="0.4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45">
      <c r="B23" s="15"/>
      <c r="I23" s="12"/>
    </row>
    <row r="24" spans="1:15" x14ac:dyDescent="0.45">
      <c r="B24" s="11">
        <v>125</v>
      </c>
      <c r="D24" s="16">
        <f>0.16*volume_B2/J14</f>
        <v>0.35575794229606172</v>
      </c>
      <c r="F24" s="16">
        <f>-0.16*(volume_B2/(surface_B2*LN(ABS(1-N4))))</f>
        <v>0.289877820683003</v>
      </c>
      <c r="I24" s="12">
        <v>125</v>
      </c>
      <c r="J24" s="14">
        <f>(D24-F24)/D24</f>
        <v>0.1851824338421468</v>
      </c>
    </row>
    <row r="25" spans="1:15" x14ac:dyDescent="0.45">
      <c r="B25" s="11">
        <v>250</v>
      </c>
      <c r="D25" s="16">
        <f>0.16*volume_B2/J15</f>
        <v>0.53557560988672581</v>
      </c>
      <c r="F25" s="16">
        <f>-0.16*(volume_B2/(surface_B2*LN(ABS(1-N5))))</f>
        <v>0.47136214490787959</v>
      </c>
      <c r="I25" s="12">
        <v>250</v>
      </c>
      <c r="J25" s="14">
        <f t="shared" ref="J25:J29" si="4">(D25-F25)/D25</f>
        <v>0.11989617113525272</v>
      </c>
    </row>
    <row r="26" spans="1:15" x14ac:dyDescent="0.45">
      <c r="B26" s="11">
        <v>500</v>
      </c>
      <c r="D26" s="16">
        <f>0.16*volume_B2/J16</f>
        <v>0.38415919557064448</v>
      </c>
      <c r="F26" s="16">
        <f>-0.16*(volume_B2/(surface_B2*LN(ABS(1-N6))))</f>
        <v>0.31866930155661588</v>
      </c>
      <c r="I26" s="12">
        <v>500</v>
      </c>
      <c r="J26" s="14">
        <f t="shared" si="4"/>
        <v>0.17047592448424267</v>
      </c>
    </row>
    <row r="27" spans="1:15" x14ac:dyDescent="0.45">
      <c r="B27" s="11">
        <v>1000</v>
      </c>
      <c r="D27" s="16">
        <f>0.16*volume_B2/J17</f>
        <v>0.39531746463144063</v>
      </c>
      <c r="F27" s="16">
        <f>-0.16*(volume_B2/(surface_B2*LN(ABS(1-N7))))</f>
        <v>0.32996217185704546</v>
      </c>
      <c r="I27" s="12">
        <v>1000</v>
      </c>
      <c r="J27" s="14">
        <f t="shared" si="4"/>
        <v>0.16532356554326968</v>
      </c>
    </row>
    <row r="28" spans="1:15" x14ac:dyDescent="0.45">
      <c r="B28" s="11">
        <v>2000</v>
      </c>
      <c r="D28" s="16">
        <f>0.16*volume_B2/J18</f>
        <v>0.40419554980699662</v>
      </c>
      <c r="F28" s="16">
        <f>-0.16*(volume_B2/(surface_B2*LN(ABS(1-N8))))</f>
        <v>0.3389409185679565</v>
      </c>
      <c r="I28" s="12">
        <v>2000</v>
      </c>
      <c r="J28" s="14">
        <f t="shared" si="4"/>
        <v>0.16144322041694723</v>
      </c>
    </row>
    <row r="29" spans="1:15" x14ac:dyDescent="0.45">
      <c r="B29" s="11">
        <v>4000</v>
      </c>
      <c r="D29" s="16">
        <f>0.16*volume_B2/J19</f>
        <v>0.41305245766212312</v>
      </c>
      <c r="F29" s="16">
        <f>-0.16*(volume_B2/(surface_B2*LN(ABS(1-N9))))</f>
        <v>0.34789304983809716</v>
      </c>
      <c r="I29" s="12">
        <v>4000</v>
      </c>
      <c r="J29" s="14">
        <f t="shared" si="4"/>
        <v>0.15775092634196683</v>
      </c>
    </row>
    <row r="30" spans="1:15" x14ac:dyDescent="0.4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C10" workbookViewId="0">
      <selection activeCell="F26" sqref="F26"/>
    </sheetView>
  </sheetViews>
  <sheetFormatPr defaultRowHeight="14.25" x14ac:dyDescent="0.45"/>
  <cols>
    <col min="3" max="3" width="16.1328125" customWidth="1"/>
    <col min="7" max="8" width="18.1328125" customWidth="1"/>
  </cols>
  <sheetData>
    <row r="1" spans="1:17" x14ac:dyDescent="0.45">
      <c r="C1" s="72" t="s">
        <v>19</v>
      </c>
      <c r="D1" s="72"/>
      <c r="E1" s="72"/>
      <c r="F1" s="72"/>
      <c r="N1" s="72" t="s">
        <v>32</v>
      </c>
      <c r="O1" s="72"/>
      <c r="P1" s="72"/>
      <c r="Q1" s="72"/>
    </row>
    <row r="2" spans="1:17" x14ac:dyDescent="0.4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77" t="s">
        <v>33</v>
      </c>
      <c r="O2" s="78"/>
    </row>
    <row r="3" spans="1:17" x14ac:dyDescent="0.45">
      <c r="A3" s="8"/>
      <c r="B3" s="8"/>
    </row>
    <row r="4" spans="1:17" x14ac:dyDescent="0.4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3">
        <f t="shared" ref="N4:N9" si="0">1/(surface_A)*(0.4*C4*area_S1+D4*area_S2+E4*area_S3+F4*area_S4+G4*area_S5_1+H4*area_S5_2+I4*area_S6+J4*area_S7 + 0.6*K4*area_S1)</f>
        <v>0.17966651439013248</v>
      </c>
      <c r="O4" s="74"/>
    </row>
    <row r="5" spans="1:17" x14ac:dyDescent="0.4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3">
        <f t="shared" si="0"/>
        <v>0.27222476016445868</v>
      </c>
      <c r="O5" s="74"/>
    </row>
    <row r="6" spans="1:17" x14ac:dyDescent="0.4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3">
        <f t="shared" si="0"/>
        <v>0.44058108725445411</v>
      </c>
      <c r="O6" s="74"/>
    </row>
    <row r="7" spans="1:17" x14ac:dyDescent="0.4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3">
        <f t="shared" si="0"/>
        <v>0.54728688899040667</v>
      </c>
      <c r="O7" s="74"/>
    </row>
    <row r="8" spans="1:17" x14ac:dyDescent="0.4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3">
        <f t="shared" si="0"/>
        <v>0.54038510735495671</v>
      </c>
      <c r="O8" s="74"/>
    </row>
    <row r="9" spans="1:17" x14ac:dyDescent="0.4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3">
        <f t="shared" si="0"/>
        <v>0.53636866148926465</v>
      </c>
      <c r="O9" s="74"/>
    </row>
    <row r="10" spans="1:17" x14ac:dyDescent="0.45">
      <c r="G10" s="10"/>
    </row>
    <row r="11" spans="1:17" x14ac:dyDescent="0.45">
      <c r="A11" s="71" t="s">
        <v>46</v>
      </c>
      <c r="B11" s="71"/>
      <c r="I11" s="79" t="s">
        <v>38</v>
      </c>
      <c r="J11" s="79"/>
      <c r="M11" s="72" t="s">
        <v>36</v>
      </c>
      <c r="N11" s="72"/>
      <c r="O11" s="72"/>
      <c r="P11" s="72"/>
    </row>
    <row r="12" spans="1:17" x14ac:dyDescent="0.45">
      <c r="A12" s="71" t="s">
        <v>25</v>
      </c>
      <c r="B12" s="71"/>
      <c r="I12" s="12" t="s">
        <v>17</v>
      </c>
      <c r="J12" s="14" t="s">
        <v>39</v>
      </c>
      <c r="L12" s="13"/>
      <c r="M12" s="11" t="s">
        <v>17</v>
      </c>
      <c r="N12" s="75" t="s">
        <v>37</v>
      </c>
      <c r="O12" s="76"/>
    </row>
    <row r="13" spans="1:17" x14ac:dyDescent="0.45">
      <c r="A13" s="71" t="s">
        <v>27</v>
      </c>
      <c r="B13" s="71"/>
      <c r="I13" s="12"/>
    </row>
    <row r="14" spans="1:17" x14ac:dyDescent="0.45">
      <c r="A14" s="71" t="s">
        <v>28</v>
      </c>
      <c r="B14" s="71"/>
      <c r="I14" s="12">
        <v>125</v>
      </c>
      <c r="J14" s="14">
        <f t="shared" ref="J14:J19" si="2">N4*surface_A</f>
        <v>39.328999999999994</v>
      </c>
      <c r="M14" s="11">
        <v>125</v>
      </c>
      <c r="N14" s="81">
        <f t="shared" ref="N14:N19" si="3">(N4*surface_A)/(1-N4)</f>
        <v>47.942697317495579</v>
      </c>
      <c r="O14" s="82"/>
    </row>
    <row r="15" spans="1:17" x14ac:dyDescent="0.45">
      <c r="A15" s="71" t="s">
        <v>29</v>
      </c>
      <c r="B15" s="71"/>
      <c r="I15" s="12">
        <v>250</v>
      </c>
      <c r="J15" s="14">
        <f t="shared" si="2"/>
        <v>59.589999999999996</v>
      </c>
      <c r="M15" s="11">
        <v>250</v>
      </c>
      <c r="N15" s="81">
        <f t="shared" si="3"/>
        <v>81.879674847781061</v>
      </c>
      <c r="O15" s="82"/>
    </row>
    <row r="16" spans="1:17" x14ac:dyDescent="0.45">
      <c r="A16" s="71" t="s">
        <v>30</v>
      </c>
      <c r="B16" s="71"/>
      <c r="I16" s="12">
        <v>500</v>
      </c>
      <c r="J16" s="14">
        <f t="shared" si="2"/>
        <v>96.44319999999999</v>
      </c>
      <c r="M16" s="11">
        <v>500</v>
      </c>
      <c r="N16" s="81">
        <f t="shared" si="3"/>
        <v>172.39889071084659</v>
      </c>
      <c r="O16" s="82"/>
    </row>
    <row r="17" spans="1:15" x14ac:dyDescent="0.45">
      <c r="A17" s="71" t="s">
        <v>31</v>
      </c>
      <c r="B17" s="71"/>
      <c r="I17" s="12">
        <v>1000</v>
      </c>
      <c r="J17" s="14">
        <f t="shared" si="2"/>
        <v>119.80110000000001</v>
      </c>
      <c r="M17" s="11">
        <v>1000</v>
      </c>
      <c r="N17" s="81">
        <f t="shared" si="3"/>
        <v>264.62918145408281</v>
      </c>
      <c r="O17" s="82"/>
    </row>
    <row r="18" spans="1:15" x14ac:dyDescent="0.45">
      <c r="I18" s="12">
        <v>2000</v>
      </c>
      <c r="J18" s="14">
        <f t="shared" si="2"/>
        <v>118.29030000000002</v>
      </c>
      <c r="M18" s="11">
        <v>2000</v>
      </c>
      <c r="N18" s="81">
        <f t="shared" si="3"/>
        <v>257.36829222232063</v>
      </c>
      <c r="O18" s="82"/>
    </row>
    <row r="19" spans="1:15" x14ac:dyDescent="0.45">
      <c r="A19" s="83" t="s">
        <v>49</v>
      </c>
      <c r="B19" s="83"/>
      <c r="F19" s="13"/>
      <c r="I19" s="12">
        <v>4000</v>
      </c>
      <c r="J19" s="14">
        <f t="shared" si="2"/>
        <v>117.41110000000002</v>
      </c>
      <c r="M19" s="11">
        <v>4000</v>
      </c>
      <c r="N19" s="81">
        <f t="shared" si="3"/>
        <v>253.24237222001631</v>
      </c>
      <c r="O19" s="82"/>
    </row>
    <row r="21" spans="1:15" x14ac:dyDescent="0.45">
      <c r="C21" s="79" t="s">
        <v>40</v>
      </c>
      <c r="D21" s="80"/>
      <c r="E21" s="79" t="s">
        <v>41</v>
      </c>
      <c r="F21" s="80"/>
      <c r="I21" s="79" t="s">
        <v>44</v>
      </c>
      <c r="J21" s="79"/>
    </row>
    <row r="22" spans="1:15" x14ac:dyDescent="0.4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45">
      <c r="B23" s="15"/>
      <c r="I23" s="12"/>
    </row>
    <row r="24" spans="1:15" x14ac:dyDescent="0.45">
      <c r="B24" s="11">
        <v>125</v>
      </c>
      <c r="D24" s="16">
        <f t="shared" ref="D24:D29" si="4">0.16*volume_A/J14</f>
        <v>0.75730377075440514</v>
      </c>
      <c r="F24" s="16">
        <f t="shared" ref="F24:F29" si="5">-0.16*(volume_A/(surface_A*LN(ABS(1-N4))))</f>
        <v>0.68702864507662731</v>
      </c>
      <c r="I24" s="12">
        <v>125</v>
      </c>
      <c r="J24" s="14">
        <f>(D24-F24)/D24</f>
        <v>9.2796481929268204E-2</v>
      </c>
    </row>
    <row r="25" spans="1:15" x14ac:dyDescent="0.45">
      <c r="B25" s="11">
        <v>250</v>
      </c>
      <c r="D25" s="16">
        <f t="shared" si="4"/>
        <v>0.49981540526934043</v>
      </c>
      <c r="F25" s="16">
        <f t="shared" si="5"/>
        <v>0.42818743033993578</v>
      </c>
      <c r="I25" s="12">
        <v>250</v>
      </c>
      <c r="J25" s="14">
        <f t="shared" ref="J25:J29" si="6">(D25-F25)/D25</f>
        <v>0.14330885797888879</v>
      </c>
    </row>
    <row r="26" spans="1:15" x14ac:dyDescent="0.45">
      <c r="B26" s="11">
        <v>500</v>
      </c>
      <c r="D26" s="16">
        <f t="shared" si="4"/>
        <v>0.30882426132687424</v>
      </c>
      <c r="F26" s="16">
        <f t="shared" si="5"/>
        <v>0.23424388702888888</v>
      </c>
      <c r="I26" s="12">
        <v>500</v>
      </c>
      <c r="J26" s="14">
        <f t="shared" si="6"/>
        <v>0.24149778251730669</v>
      </c>
    </row>
    <row r="27" spans="1:15" x14ac:dyDescent="0.45">
      <c r="B27" s="11">
        <v>1000</v>
      </c>
      <c r="D27" s="16">
        <f t="shared" si="4"/>
        <v>0.24861207451350609</v>
      </c>
      <c r="F27" s="16">
        <f t="shared" si="5"/>
        <v>0.17168795170003329</v>
      </c>
      <c r="I27" s="12">
        <v>1000</v>
      </c>
      <c r="J27" s="14">
        <f t="shared" si="6"/>
        <v>0.30941426704234282</v>
      </c>
    </row>
    <row r="28" spans="1:15" x14ac:dyDescent="0.45">
      <c r="B28" s="11">
        <v>2000</v>
      </c>
      <c r="D28" s="16">
        <f t="shared" si="4"/>
        <v>0.25178734012848047</v>
      </c>
      <c r="F28" s="16">
        <f t="shared" si="5"/>
        <v>0.17502961418318927</v>
      </c>
      <c r="I28" s="12">
        <v>2000</v>
      </c>
      <c r="J28" s="14">
        <f t="shared" si="6"/>
        <v>0.30485141113974895</v>
      </c>
    </row>
    <row r="29" spans="1:15" x14ac:dyDescent="0.45">
      <c r="B29" s="11">
        <v>4000</v>
      </c>
      <c r="D29" s="16">
        <f t="shared" si="4"/>
        <v>0.25367277880881783</v>
      </c>
      <c r="F29" s="16">
        <f t="shared" si="5"/>
        <v>0.17701082739646354</v>
      </c>
      <c r="I29" s="12">
        <v>4000</v>
      </c>
      <c r="J29" s="14">
        <f t="shared" si="6"/>
        <v>0.30220803261721307</v>
      </c>
    </row>
    <row r="30" spans="1:15" x14ac:dyDescent="0.45">
      <c r="F30" s="17"/>
    </row>
  </sheetData>
  <mergeCells count="29">
    <mergeCell ref="C21:D21"/>
    <mergeCell ref="E21:F21"/>
    <mergeCell ref="I21:J21"/>
    <mergeCell ref="A19:B19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workbookViewId="0">
      <selection activeCell="F24" sqref="F24:F29"/>
    </sheetView>
  </sheetViews>
  <sheetFormatPr defaultRowHeight="14.25" x14ac:dyDescent="0.45"/>
  <cols>
    <col min="3" max="3" width="16.1328125" customWidth="1"/>
    <col min="7" max="8" width="18.1328125" customWidth="1"/>
  </cols>
  <sheetData>
    <row r="1" spans="1:17" x14ac:dyDescent="0.45">
      <c r="C1" s="72" t="s">
        <v>19</v>
      </c>
      <c r="D1" s="72"/>
      <c r="E1" s="72"/>
      <c r="F1" s="72"/>
      <c r="N1" s="72" t="s">
        <v>32</v>
      </c>
      <c r="O1" s="72"/>
      <c r="P1" s="72"/>
      <c r="Q1" s="72"/>
    </row>
    <row r="2" spans="1:17" x14ac:dyDescent="0.4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77" t="s">
        <v>33</v>
      </c>
      <c r="O2" s="78"/>
    </row>
    <row r="3" spans="1:17" x14ac:dyDescent="0.45">
      <c r="A3" s="8"/>
      <c r="B3" s="8"/>
    </row>
    <row r="4" spans="1:17" x14ac:dyDescent="0.4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3">
        <f t="shared" ref="N4:N9" si="0">1/(surface_B1)*(0.4*C4*area_S1_B1+D4*area_S2_B1+E4*area_S3_B1+F4*area_S4_B1+G4*area_S5_B1_1+H4*area_S5_B1_2+I4*area_S6_B1+J4*area_S7_B1+0.6*K4*area_S1_B1)</f>
        <v>0.18063145809414469</v>
      </c>
      <c r="O4" s="74"/>
    </row>
    <row r="5" spans="1:17" x14ac:dyDescent="0.4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3">
        <f t="shared" si="0"/>
        <v>0.27305396096440876</v>
      </c>
      <c r="O5" s="74"/>
    </row>
    <row r="6" spans="1:17" x14ac:dyDescent="0.4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3">
        <f t="shared" si="0"/>
        <v>0.44091963260619982</v>
      </c>
      <c r="O6" s="74"/>
    </row>
    <row r="7" spans="1:17" x14ac:dyDescent="0.4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3">
        <f t="shared" si="0"/>
        <v>0.54718484500574061</v>
      </c>
      <c r="O7" s="74"/>
    </row>
    <row r="8" spans="1:17" x14ac:dyDescent="0.4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3">
        <f t="shared" si="0"/>
        <v>0.5401308840413318</v>
      </c>
      <c r="O8" s="74"/>
    </row>
    <row r="9" spans="1:17" x14ac:dyDescent="0.4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3">
        <f t="shared" si="0"/>
        <v>0.53591044776119412</v>
      </c>
      <c r="O9" s="74"/>
    </row>
    <row r="10" spans="1:17" x14ac:dyDescent="0.45">
      <c r="G10" s="10"/>
    </row>
    <row r="11" spans="1:17" x14ac:dyDescent="0.45">
      <c r="A11" s="71" t="s">
        <v>50</v>
      </c>
      <c r="B11" s="71"/>
      <c r="I11" s="79" t="s">
        <v>38</v>
      </c>
      <c r="J11" s="79"/>
      <c r="M11" s="72" t="s">
        <v>36</v>
      </c>
      <c r="N11" s="72"/>
      <c r="O11" s="72"/>
      <c r="P11" s="72"/>
    </row>
    <row r="12" spans="1:17" x14ac:dyDescent="0.45">
      <c r="A12" s="71" t="s">
        <v>25</v>
      </c>
      <c r="B12" s="71"/>
      <c r="I12" s="12" t="s">
        <v>17</v>
      </c>
      <c r="J12" s="14" t="s">
        <v>39</v>
      </c>
      <c r="L12" s="13"/>
      <c r="M12" s="11" t="s">
        <v>17</v>
      </c>
      <c r="N12" s="75" t="s">
        <v>37</v>
      </c>
      <c r="O12" s="76"/>
    </row>
    <row r="13" spans="1:17" x14ac:dyDescent="0.45">
      <c r="A13" s="71" t="s">
        <v>27</v>
      </c>
      <c r="B13" s="71"/>
      <c r="I13" s="12"/>
    </row>
    <row r="14" spans="1:17" x14ac:dyDescent="0.45">
      <c r="A14" s="71" t="s">
        <v>28</v>
      </c>
      <c r="B14" s="71"/>
      <c r="I14" s="12">
        <v>125</v>
      </c>
      <c r="J14" s="14">
        <f t="shared" ref="J14:J19" si="2">N4*surface_B1</f>
        <v>25.172800000000002</v>
      </c>
      <c r="M14" s="11">
        <v>125</v>
      </c>
      <c r="N14" s="81">
        <f t="shared" ref="N14:N19" si="3">(N4*surface_B1)/(1-N4)</f>
        <v>30.722194851962396</v>
      </c>
      <c r="O14" s="82"/>
    </row>
    <row r="15" spans="1:17" x14ac:dyDescent="0.45">
      <c r="A15" s="71" t="s">
        <v>29</v>
      </c>
      <c r="B15" s="71"/>
      <c r="I15" s="12">
        <v>250</v>
      </c>
      <c r="J15" s="14">
        <f t="shared" si="2"/>
        <v>38.052799999999998</v>
      </c>
      <c r="M15" s="11">
        <v>250</v>
      </c>
      <c r="N15" s="81">
        <f t="shared" si="3"/>
        <v>52.346113681949554</v>
      </c>
      <c r="O15" s="82"/>
    </row>
    <row r="16" spans="1:17" x14ac:dyDescent="0.45">
      <c r="A16" s="71" t="s">
        <v>30</v>
      </c>
      <c r="B16" s="71"/>
      <c r="I16" s="12">
        <v>500</v>
      </c>
      <c r="J16" s="14">
        <f t="shared" si="2"/>
        <v>61.446559999999998</v>
      </c>
      <c r="M16" s="11">
        <v>500</v>
      </c>
      <c r="N16" s="81">
        <f t="shared" si="3"/>
        <v>109.9064885544779</v>
      </c>
      <c r="O16" s="82"/>
    </row>
    <row r="17" spans="1:15" x14ac:dyDescent="0.45">
      <c r="A17" s="71" t="s">
        <v>31</v>
      </c>
      <c r="B17" s="71"/>
      <c r="I17" s="12">
        <v>1000</v>
      </c>
      <c r="J17" s="14">
        <f t="shared" si="2"/>
        <v>76.255679999999998</v>
      </c>
      <c r="M17" s="11">
        <v>1000</v>
      </c>
      <c r="N17" s="81">
        <f t="shared" si="3"/>
        <v>168.40355089477237</v>
      </c>
      <c r="O17" s="82"/>
    </row>
    <row r="18" spans="1:15" x14ac:dyDescent="0.45">
      <c r="I18" s="12">
        <v>2000</v>
      </c>
      <c r="J18" s="14">
        <f t="shared" si="2"/>
        <v>75.272639999999996</v>
      </c>
      <c r="M18" s="11">
        <v>2000</v>
      </c>
      <c r="N18" s="81">
        <f t="shared" si="3"/>
        <v>163.68274665082163</v>
      </c>
      <c r="O18" s="82"/>
    </row>
    <row r="19" spans="1:15" x14ac:dyDescent="0.45">
      <c r="F19" s="13"/>
      <c r="I19" s="12">
        <v>4000</v>
      </c>
      <c r="J19" s="14">
        <f t="shared" si="2"/>
        <v>74.684480000000008</v>
      </c>
      <c r="M19" s="11">
        <v>4000</v>
      </c>
      <c r="N19" s="81">
        <f t="shared" si="3"/>
        <v>160.92687206535027</v>
      </c>
      <c r="O19" s="82"/>
    </row>
    <row r="21" spans="1:15" x14ac:dyDescent="0.45">
      <c r="C21" s="79" t="s">
        <v>40</v>
      </c>
      <c r="D21" s="80"/>
      <c r="E21" s="79" t="s">
        <v>41</v>
      </c>
      <c r="F21" s="80"/>
      <c r="I21" s="79" t="s">
        <v>44</v>
      </c>
      <c r="J21" s="79"/>
    </row>
    <row r="22" spans="1:15" x14ac:dyDescent="0.4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45">
      <c r="B23" s="15"/>
      <c r="I23" s="12"/>
    </row>
    <row r="24" spans="1:15" x14ac:dyDescent="0.45">
      <c r="B24" s="11">
        <v>125</v>
      </c>
      <c r="D24" s="16">
        <f>0.16*volume_B1/J14</f>
        <v>0.60163986525138236</v>
      </c>
      <c r="F24" s="16">
        <f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45">
      <c r="B25" s="11">
        <v>250</v>
      </c>
      <c r="D25" s="16">
        <f>0.16*volume_B1/J15</f>
        <v>0.39799857040743386</v>
      </c>
      <c r="F25" s="16">
        <f>-0.16*(volume_B1/(surface_B1*LN(ABS(1-N5))))</f>
        <v>0.34077784292488106</v>
      </c>
      <c r="I25" s="12">
        <v>250</v>
      </c>
      <c r="J25" s="14">
        <f t="shared" ref="J25:J29" si="4">(D25-F25)/D25</f>
        <v>0.14377118848435952</v>
      </c>
    </row>
    <row r="26" spans="1:15" x14ac:dyDescent="0.45">
      <c r="B26" s="11">
        <v>500</v>
      </c>
      <c r="D26" s="16">
        <f>0.16*volume_B1/J16</f>
        <v>0.246473683799386</v>
      </c>
      <c r="F26" s="16">
        <f>-0.16*(volume_B1/(surface_B1*LN(ABS(1-N6))))</f>
        <v>0.18689970706314707</v>
      </c>
      <c r="I26" s="12">
        <v>500</v>
      </c>
      <c r="J26" s="14">
        <f t="shared" si="4"/>
        <v>0.2417052231212172</v>
      </c>
    </row>
    <row r="27" spans="1:15" x14ac:dyDescent="0.45">
      <c r="B27" s="11">
        <v>1000</v>
      </c>
      <c r="D27" s="16">
        <f>0.16*volume_B1/J17</f>
        <v>0.19860763158888622</v>
      </c>
      <c r="F27" s="16">
        <f>-0.16*(volume_B1/(surface_B1*LN(ABS(1-N7))))</f>
        <v>0.13716903341088477</v>
      </c>
      <c r="I27" s="12">
        <v>1000</v>
      </c>
      <c r="J27" s="14">
        <f t="shared" si="4"/>
        <v>0.30934661315119105</v>
      </c>
    </row>
    <row r="28" spans="1:15" x14ac:dyDescent="0.45">
      <c r="B28" s="11">
        <v>2000</v>
      </c>
      <c r="D28" s="16">
        <f>0.16*volume_B1/J18</f>
        <v>0.20120139269726689</v>
      </c>
      <c r="F28" s="16">
        <f>-0.16*(volume_B1/(surface_B1*LN(ABS(1-N8))))</f>
        <v>0.1398985800611833</v>
      </c>
      <c r="I28" s="12">
        <v>2000</v>
      </c>
      <c r="J28" s="14">
        <f t="shared" si="4"/>
        <v>0.30468383848774583</v>
      </c>
    </row>
    <row r="29" spans="1:15" x14ac:dyDescent="0.45">
      <c r="B29" s="11">
        <v>4000</v>
      </c>
      <c r="D29" s="16">
        <f>0.16*volume_B1/J19</f>
        <v>0.20278590679080843</v>
      </c>
      <c r="F29" s="16">
        <f>-0.16*(volume_B1/(surface_B1*LN(ABS(1-N9))))</f>
        <v>0.14156341881091922</v>
      </c>
      <c r="I29" s="12">
        <v>4000</v>
      </c>
      <c r="J29" s="14">
        <f t="shared" si="4"/>
        <v>0.30190701587090873</v>
      </c>
    </row>
    <row r="30" spans="1:15" x14ac:dyDescent="0.4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0" workbookViewId="0">
      <selection activeCell="F24" sqref="F24:F29"/>
    </sheetView>
  </sheetViews>
  <sheetFormatPr defaultRowHeight="14.25" x14ac:dyDescent="0.45"/>
  <cols>
    <col min="3" max="3" width="16.1328125" customWidth="1"/>
    <col min="7" max="8" width="18.1328125" customWidth="1"/>
  </cols>
  <sheetData>
    <row r="1" spans="1:17" x14ac:dyDescent="0.45">
      <c r="C1" s="72" t="s">
        <v>19</v>
      </c>
      <c r="D1" s="72"/>
      <c r="E1" s="72"/>
      <c r="F1" s="72"/>
      <c r="N1" s="72" t="s">
        <v>32</v>
      </c>
      <c r="O1" s="72"/>
      <c r="P1" s="72"/>
      <c r="Q1" s="72"/>
    </row>
    <row r="2" spans="1:17" x14ac:dyDescent="0.4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77" t="s">
        <v>33</v>
      </c>
      <c r="O2" s="78"/>
    </row>
    <row r="3" spans="1:17" x14ac:dyDescent="0.45">
      <c r="A3" s="8"/>
      <c r="B3" s="8"/>
    </row>
    <row r="4" spans="1:17" x14ac:dyDescent="0.4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3">
        <f t="shared" ref="N4:N9" si="0">1/(surface_B2)*(0.4*C4*area_S1_B2+D4*area_S2_B2+E4*area_S3_B2+F4*area_S4_B2+G4*area_S5_B2_1+H4*area_S5_B2_2+I4*area_S6_B2+J4*area_S7_B2 + K4*0.6*area_S1_B2)</f>
        <v>0.19182153846153846</v>
      </c>
      <c r="O4" s="74"/>
    </row>
    <row r="5" spans="1:17" x14ac:dyDescent="0.4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3">
        <f t="shared" si="0"/>
        <v>0.26621846153846151</v>
      </c>
      <c r="O5" s="74"/>
    </row>
    <row r="6" spans="1:17" x14ac:dyDescent="0.4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3">
        <f t="shared" si="0"/>
        <v>0.38865538461538468</v>
      </c>
      <c r="O6" s="74"/>
    </row>
    <row r="7" spans="1:17" x14ac:dyDescent="0.4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3">
        <f t="shared" si="0"/>
        <v>0.43475230769230772</v>
      </c>
      <c r="O7" s="74"/>
    </row>
    <row r="8" spans="1:17" x14ac:dyDescent="0.4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3">
        <f t="shared" si="0"/>
        <v>0.43422307692307704</v>
      </c>
      <c r="O8" s="74"/>
    </row>
    <row r="9" spans="1:17" x14ac:dyDescent="0.4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3">
        <f t="shared" si="0"/>
        <v>0.42225692307692314</v>
      </c>
      <c r="O9" s="74"/>
    </row>
    <row r="10" spans="1:17" x14ac:dyDescent="0.45">
      <c r="G10" s="10"/>
    </row>
    <row r="11" spans="1:17" x14ac:dyDescent="0.45">
      <c r="A11" s="71" t="s">
        <v>51</v>
      </c>
      <c r="B11" s="71"/>
      <c r="I11" s="79" t="s">
        <v>38</v>
      </c>
      <c r="J11" s="79"/>
      <c r="M11" s="72" t="s">
        <v>36</v>
      </c>
      <c r="N11" s="72"/>
      <c r="O11" s="72"/>
      <c r="P11" s="72"/>
    </row>
    <row r="12" spans="1:17" x14ac:dyDescent="0.45">
      <c r="A12" s="71" t="s">
        <v>25</v>
      </c>
      <c r="B12" s="71"/>
      <c r="I12" s="12" t="s">
        <v>17</v>
      </c>
      <c r="J12" s="14" t="s">
        <v>39</v>
      </c>
      <c r="L12" s="13"/>
      <c r="M12" s="11" t="s">
        <v>17</v>
      </c>
      <c r="N12" s="75" t="s">
        <v>37</v>
      </c>
      <c r="O12" s="76"/>
    </row>
    <row r="13" spans="1:17" x14ac:dyDescent="0.45">
      <c r="A13" s="71" t="s">
        <v>27</v>
      </c>
      <c r="B13" s="71"/>
      <c r="I13" s="12"/>
    </row>
    <row r="14" spans="1:17" x14ac:dyDescent="0.45">
      <c r="A14" s="71" t="s">
        <v>28</v>
      </c>
      <c r="B14" s="71"/>
      <c r="I14" s="12">
        <v>125</v>
      </c>
      <c r="J14" s="14">
        <f t="shared" ref="J14:J19" si="2">N4*surface_B2</f>
        <v>24.936799999999998</v>
      </c>
      <c r="M14" s="11">
        <v>125</v>
      </c>
      <c r="N14" s="81">
        <f t="shared" ref="N14:N19" si="3">(N4*surface_B2)/(1-N4)</f>
        <v>30.855561224101301</v>
      </c>
      <c r="O14" s="82"/>
    </row>
    <row r="15" spans="1:17" x14ac:dyDescent="0.45">
      <c r="A15" s="71" t="s">
        <v>29</v>
      </c>
      <c r="B15" s="71"/>
      <c r="I15" s="12">
        <v>250</v>
      </c>
      <c r="J15" s="14">
        <f t="shared" si="2"/>
        <v>34.608399999999996</v>
      </c>
      <c r="M15" s="11">
        <v>250</v>
      </c>
      <c r="N15" s="81">
        <f t="shared" si="3"/>
        <v>47.164446345380512</v>
      </c>
      <c r="O15" s="82"/>
    </row>
    <row r="16" spans="1:17" x14ac:dyDescent="0.45">
      <c r="A16" s="71" t="s">
        <v>30</v>
      </c>
      <c r="B16" s="71"/>
      <c r="I16" s="12">
        <v>500</v>
      </c>
      <c r="J16" s="14">
        <f t="shared" si="2"/>
        <v>50.525200000000005</v>
      </c>
      <c r="M16" s="11">
        <v>500</v>
      </c>
      <c r="N16" s="81">
        <f t="shared" si="3"/>
        <v>82.64602112870999</v>
      </c>
      <c r="O16" s="82"/>
    </row>
    <row r="17" spans="1:15" x14ac:dyDescent="0.45">
      <c r="A17" s="71" t="s">
        <v>31</v>
      </c>
      <c r="B17" s="71"/>
      <c r="I17" s="12">
        <v>1000</v>
      </c>
      <c r="J17" s="14">
        <f t="shared" si="2"/>
        <v>56.517800000000001</v>
      </c>
      <c r="M17" s="11">
        <v>1000</v>
      </c>
      <c r="N17" s="81">
        <f t="shared" si="3"/>
        <v>99.987670483464015</v>
      </c>
      <c r="O17" s="82"/>
    </row>
    <row r="18" spans="1:15" x14ac:dyDescent="0.45">
      <c r="I18" s="12">
        <v>2000</v>
      </c>
      <c r="J18" s="14">
        <f t="shared" si="2"/>
        <v>56.449000000000012</v>
      </c>
      <c r="M18" s="11">
        <v>2000</v>
      </c>
      <c r="N18" s="81">
        <f t="shared" si="3"/>
        <v>99.772538782613466</v>
      </c>
      <c r="O18" s="82"/>
    </row>
    <row r="19" spans="1:15" x14ac:dyDescent="0.45">
      <c r="F19" s="13"/>
      <c r="I19" s="12">
        <v>4000</v>
      </c>
      <c r="J19" s="14">
        <f t="shared" si="2"/>
        <v>54.893400000000007</v>
      </c>
      <c r="M19" s="11">
        <v>4000</v>
      </c>
      <c r="N19" s="81">
        <f t="shared" si="3"/>
        <v>95.013514125256648</v>
      </c>
      <c r="O19" s="82"/>
    </row>
    <row r="21" spans="1:15" x14ac:dyDescent="0.45">
      <c r="C21" s="79" t="s">
        <v>40</v>
      </c>
      <c r="D21" s="80"/>
      <c r="E21" s="79" t="s">
        <v>41</v>
      </c>
      <c r="F21" s="80"/>
      <c r="I21" s="79" t="s">
        <v>44</v>
      </c>
      <c r="J21" s="79"/>
    </row>
    <row r="22" spans="1:15" x14ac:dyDescent="0.4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45">
      <c r="B23" s="15"/>
      <c r="I23" s="12"/>
    </row>
    <row r="24" spans="1:15" x14ac:dyDescent="0.45">
      <c r="B24" s="11">
        <v>125</v>
      </c>
      <c r="D24" s="16">
        <f>0.16*volume_B2/J14</f>
        <v>0.64162202046774253</v>
      </c>
      <c r="F24" s="16">
        <f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45">
      <c r="B25" s="11">
        <v>250</v>
      </c>
      <c r="D25" s="16">
        <f>0.16*volume_B2/J15</f>
        <v>0.46231550721790093</v>
      </c>
      <c r="F25" s="16">
        <f>-0.16*(volume_B2/(surface_B2*LN(ABS(1-N5))))</f>
        <v>0.39760729467648537</v>
      </c>
      <c r="I25" s="12">
        <v>250</v>
      </c>
      <c r="J25" s="14">
        <f t="shared" ref="J25:J29" si="4">(D25-F25)/D25</f>
        <v>0.13996548143239537</v>
      </c>
    </row>
    <row r="26" spans="1:15" x14ac:dyDescent="0.45">
      <c r="B26" s="11">
        <v>500</v>
      </c>
      <c r="D26" s="16">
        <f>0.16*volume_B2/J16</f>
        <v>0.31667365987665558</v>
      </c>
      <c r="F26" s="16">
        <f>-0.16*(volume_B2/(surface_B2*LN(ABS(1-N6))))</f>
        <v>0.25010832886185413</v>
      </c>
      <c r="I26" s="12">
        <v>500</v>
      </c>
      <c r="J26" s="14">
        <f t="shared" si="4"/>
        <v>0.2102016664118154</v>
      </c>
    </row>
    <row r="27" spans="1:15" x14ac:dyDescent="0.45">
      <c r="B27" s="11">
        <v>1000</v>
      </c>
      <c r="D27" s="16">
        <f>0.16*volume_B2/J17</f>
        <v>0.28309665273595219</v>
      </c>
      <c r="F27" s="16">
        <f>-0.16*(volume_B2/(surface_B2*LN(ABS(1-N7))))</f>
        <v>0.21573849376765239</v>
      </c>
      <c r="I27" s="12">
        <v>1000</v>
      </c>
      <c r="J27" s="14">
        <f t="shared" si="4"/>
        <v>0.23793343480866094</v>
      </c>
    </row>
    <row r="28" spans="1:15" x14ac:dyDescent="0.45">
      <c r="B28" s="11">
        <v>2000</v>
      </c>
      <c r="D28" s="16">
        <f>0.16*volume_B2/J18</f>
        <v>0.28344169072968511</v>
      </c>
      <c r="F28" s="16">
        <f>-0.16*(volume_B2/(surface_B2*LN(ABS(1-N8))))</f>
        <v>0.21609297620183074</v>
      </c>
      <c r="I28" s="12">
        <v>2000</v>
      </c>
      <c r="J28" s="14">
        <f t="shared" si="4"/>
        <v>0.2376104741489283</v>
      </c>
    </row>
    <row r="29" spans="1:15" x14ac:dyDescent="0.45">
      <c r="B29" s="11">
        <v>4000</v>
      </c>
      <c r="D29" s="16">
        <f>0.16*volume_B2/J19</f>
        <v>0.29147402055620525</v>
      </c>
      <c r="F29" s="16">
        <f>-0.16*(volume_B2/(surface_B2*LN(ABS(1-N9))))</f>
        <v>0.22433665233228126</v>
      </c>
      <c r="I29" s="12">
        <v>4000</v>
      </c>
      <c r="J29" s="14">
        <f t="shared" si="4"/>
        <v>0.23033740055394689</v>
      </c>
    </row>
    <row r="30" spans="1:15" x14ac:dyDescent="0.4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abSelected="1" topLeftCell="A18" workbookViewId="0">
      <selection activeCell="B11" sqref="B11"/>
    </sheetView>
  </sheetViews>
  <sheetFormatPr defaultRowHeight="14.25" x14ac:dyDescent="0.45"/>
  <cols>
    <col min="9" max="9" width="10.3984375" customWidth="1"/>
    <col min="12" max="12" width="10.86328125" customWidth="1"/>
    <col min="13" max="13" width="11.1328125" bestFit="1" customWidth="1"/>
    <col min="14" max="14" width="11.73046875" customWidth="1"/>
  </cols>
  <sheetData>
    <row r="1" spans="1:19" ht="18" x14ac:dyDescent="0.55000000000000004">
      <c r="A1" s="88" t="s">
        <v>54</v>
      </c>
      <c r="B1" s="88"/>
      <c r="C1" s="24"/>
      <c r="D1" s="97" t="s">
        <v>76</v>
      </c>
      <c r="E1" s="97"/>
      <c r="F1" s="97"/>
      <c r="G1" s="93" t="s">
        <v>61</v>
      </c>
      <c r="H1" s="93"/>
      <c r="I1" s="93"/>
      <c r="L1" s="93" t="s">
        <v>68</v>
      </c>
      <c r="M1" s="93"/>
      <c r="N1" s="93"/>
    </row>
    <row r="2" spans="1:19" x14ac:dyDescent="0.45">
      <c r="A2" s="89" t="s">
        <v>55</v>
      </c>
      <c r="B2" s="89"/>
      <c r="C2" s="89"/>
      <c r="D2" s="89"/>
      <c r="E2" s="89"/>
      <c r="F2" s="89"/>
      <c r="G2" s="94"/>
      <c r="H2" s="94"/>
      <c r="I2" s="94"/>
      <c r="L2" s="94"/>
      <c r="M2" s="94"/>
      <c r="N2" s="94"/>
    </row>
    <row r="3" spans="1:19" x14ac:dyDescent="0.45">
      <c r="A3" s="57"/>
      <c r="B3" s="57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92" t="s">
        <v>17</v>
      </c>
      <c r="K3" s="92"/>
      <c r="L3" s="44" t="s">
        <v>69</v>
      </c>
      <c r="M3" s="32" t="s">
        <v>70</v>
      </c>
      <c r="N3" s="32" t="s">
        <v>71</v>
      </c>
    </row>
    <row r="4" spans="1:19" x14ac:dyDescent="0.45">
      <c r="A4" s="58" t="s">
        <v>57</v>
      </c>
      <c r="B4" s="59">
        <v>58</v>
      </c>
      <c r="C4" s="90" t="s">
        <v>58</v>
      </c>
      <c r="D4" s="91"/>
      <c r="E4" s="91"/>
      <c r="F4" s="91"/>
      <c r="G4" s="30"/>
      <c r="H4" s="27"/>
      <c r="I4" s="36"/>
      <c r="J4" s="92"/>
      <c r="K4" s="92"/>
      <c r="L4" s="45"/>
      <c r="M4" s="27"/>
      <c r="N4" s="30"/>
    </row>
    <row r="5" spans="1:19" x14ac:dyDescent="0.45">
      <c r="G5" s="14">
        <v>60</v>
      </c>
      <c r="H5" s="8">
        <v>0</v>
      </c>
      <c r="I5" s="43">
        <f>G5-H5</f>
        <v>60</v>
      </c>
      <c r="J5" s="92">
        <v>125</v>
      </c>
      <c r="K5" s="92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45">
      <c r="G6" s="14">
        <v>65</v>
      </c>
      <c r="H6" s="8">
        <v>6</v>
      </c>
      <c r="I6" s="43">
        <f t="shared" ref="I6:I9" si="0">G6-H6</f>
        <v>59</v>
      </c>
      <c r="J6" s="92">
        <v>250</v>
      </c>
      <c r="K6" s="92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45">
      <c r="G7" s="14">
        <v>66</v>
      </c>
      <c r="H7" s="8">
        <v>18</v>
      </c>
      <c r="I7" s="43">
        <f t="shared" si="0"/>
        <v>48</v>
      </c>
      <c r="J7" s="92">
        <v>500</v>
      </c>
      <c r="K7" s="92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45">
      <c r="G8" s="14">
        <v>67</v>
      </c>
      <c r="H8" s="8">
        <v>30</v>
      </c>
      <c r="I8" s="43">
        <f t="shared" si="0"/>
        <v>37</v>
      </c>
      <c r="J8" s="92">
        <v>1000</v>
      </c>
      <c r="K8" s="92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45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92">
        <v>2000</v>
      </c>
      <c r="K9" s="92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4.65" thickBot="1" x14ac:dyDescent="0.5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4.65" thickBot="1" x14ac:dyDescent="0.5">
      <c r="A11" s="51" t="s">
        <v>57</v>
      </c>
      <c r="B11" s="100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45">
      <c r="D12" s="33"/>
      <c r="I12" s="40"/>
    </row>
    <row r="13" spans="1:19" x14ac:dyDescent="0.45">
      <c r="A13" s="95" t="s">
        <v>52</v>
      </c>
      <c r="B13" s="95"/>
      <c r="C13" s="95"/>
      <c r="F13" s="87" t="s">
        <v>67</v>
      </c>
      <c r="G13" s="86" t="s">
        <v>62</v>
      </c>
      <c r="H13" s="86" t="s">
        <v>66</v>
      </c>
      <c r="I13" s="86" t="s">
        <v>59</v>
      </c>
      <c r="L13" s="87" t="s">
        <v>67</v>
      </c>
      <c r="M13" s="86" t="s">
        <v>72</v>
      </c>
      <c r="N13" s="86" t="s">
        <v>66</v>
      </c>
      <c r="O13" s="86" t="s">
        <v>59</v>
      </c>
      <c r="R13" s="31" t="s">
        <v>87</v>
      </c>
      <c r="S13" s="65">
        <f>160*SQRT(40/40)</f>
        <v>160</v>
      </c>
    </row>
    <row r="14" spans="1:19" x14ac:dyDescent="0.45">
      <c r="A14" s="95"/>
      <c r="B14" s="95"/>
      <c r="C14" s="95"/>
      <c r="F14" s="87"/>
      <c r="G14" s="86"/>
      <c r="H14" s="86"/>
      <c r="I14" s="86"/>
      <c r="L14" s="87"/>
      <c r="M14" s="86"/>
      <c r="N14" s="86"/>
      <c r="O14" s="86"/>
    </row>
    <row r="15" spans="1:19" x14ac:dyDescent="0.45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45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45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45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45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45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4.65" thickBot="1" x14ac:dyDescent="0.5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4.65" thickBot="1" x14ac:dyDescent="0.5">
      <c r="I22" s="38">
        <f>IF(SUM(I17:I21) &gt; 10, "ERROR", SUM(I17:I21) )</f>
        <v>10</v>
      </c>
      <c r="J22" s="84" t="s">
        <v>60</v>
      </c>
      <c r="K22" s="85"/>
      <c r="O22" s="50">
        <f>IF(SUM(O17:O21) &gt; 10, "ERROR", SUM(O17:O21) )</f>
        <v>8.6853992195166114</v>
      </c>
      <c r="P22" s="84" t="s">
        <v>60</v>
      </c>
      <c r="Q22" s="85"/>
    </row>
    <row r="24" spans="1:19" ht="6.75" customHeight="1" x14ac:dyDescent="0.4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" x14ac:dyDescent="0.55000000000000004">
      <c r="A25" s="88" t="s">
        <v>54</v>
      </c>
      <c r="B25" s="88"/>
      <c r="C25" s="24"/>
      <c r="D25" s="97" t="s">
        <v>77</v>
      </c>
      <c r="E25" s="97"/>
      <c r="F25" s="97"/>
    </row>
    <row r="26" spans="1:19" x14ac:dyDescent="0.45">
      <c r="A26" s="89" t="s">
        <v>55</v>
      </c>
      <c r="B26" s="89"/>
      <c r="C26" s="89"/>
      <c r="D26" s="89"/>
      <c r="E26" s="89"/>
      <c r="F26" s="89"/>
    </row>
    <row r="27" spans="1:19" x14ac:dyDescent="0.45">
      <c r="A27" s="55" t="s">
        <v>56</v>
      </c>
      <c r="B27" s="56">
        <v>50</v>
      </c>
      <c r="C27" s="25"/>
      <c r="D27" s="25"/>
      <c r="E27" s="25"/>
      <c r="F27" s="25"/>
    </row>
    <row r="28" spans="1:19" x14ac:dyDescent="0.45">
      <c r="A28" s="57"/>
      <c r="B28" s="57"/>
      <c r="C28" s="96"/>
      <c r="D28" s="96"/>
      <c r="E28" s="96"/>
      <c r="F28" s="96"/>
    </row>
    <row r="29" spans="1:19" x14ac:dyDescent="0.45">
      <c r="H29" s="71" t="s">
        <v>93</v>
      </c>
      <c r="I29" s="71"/>
      <c r="J29" s="71"/>
      <c r="K29" s="99"/>
      <c r="L29" s="28" t="s">
        <v>84</v>
      </c>
      <c r="M29" s="26">
        <v>509</v>
      </c>
      <c r="N29" s="64" t="s">
        <v>88</v>
      </c>
    </row>
    <row r="30" spans="1:19" x14ac:dyDescent="0.45">
      <c r="H30" s="31" t="s">
        <v>91</v>
      </c>
      <c r="I30" s="65">
        <f>J40+M33</f>
        <v>63</v>
      </c>
      <c r="L30" s="28" t="s">
        <v>85</v>
      </c>
      <c r="M30" s="26">
        <v>40</v>
      </c>
      <c r="N30" s="64" t="s">
        <v>88</v>
      </c>
    </row>
    <row r="31" spans="1:19" x14ac:dyDescent="0.45">
      <c r="A31" s="28" t="s">
        <v>81</v>
      </c>
      <c r="B31" s="26">
        <v>509</v>
      </c>
      <c r="L31" s="28" t="s">
        <v>86</v>
      </c>
      <c r="M31" s="26">
        <v>10</v>
      </c>
      <c r="N31" s="64" t="s">
        <v>90</v>
      </c>
    </row>
    <row r="32" spans="1:19" x14ac:dyDescent="0.45">
      <c r="L32" s="28" t="s">
        <v>87</v>
      </c>
      <c r="M32" s="26">
        <f>160*SQRT(M31*((1/M29)+(1/M30)))</f>
        <v>83.08397531903104</v>
      </c>
      <c r="N32" s="64" t="s">
        <v>89</v>
      </c>
    </row>
    <row r="33" spans="1:14" x14ac:dyDescent="0.45">
      <c r="L33" s="66" t="s">
        <v>92</v>
      </c>
      <c r="M33" s="26">
        <v>7</v>
      </c>
    </row>
    <row r="34" spans="1:14" x14ac:dyDescent="0.45">
      <c r="A34" s="95" t="s">
        <v>52</v>
      </c>
      <c r="B34" s="95"/>
      <c r="C34" s="95"/>
      <c r="E34" s="93" t="s">
        <v>78</v>
      </c>
      <c r="F34" s="93"/>
      <c r="H34" s="87" t="s">
        <v>67</v>
      </c>
      <c r="I34" s="86" t="s">
        <v>82</v>
      </c>
      <c r="J34" s="86" t="s">
        <v>66</v>
      </c>
      <c r="K34" s="86" t="s">
        <v>59</v>
      </c>
    </row>
    <row r="35" spans="1:14" x14ac:dyDescent="0.45">
      <c r="A35" s="95"/>
      <c r="B35" s="95"/>
      <c r="C35" s="95"/>
      <c r="E35" s="93"/>
      <c r="F35" s="93"/>
      <c r="H35" s="87"/>
      <c r="I35" s="86"/>
      <c r="J35" s="86"/>
      <c r="K35" s="86"/>
    </row>
    <row r="36" spans="1:14" x14ac:dyDescent="0.45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45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45">
      <c r="A38" s="8">
        <v>0</v>
      </c>
      <c r="B38" s="8">
        <f>125*2^(A38)</f>
        <v>125</v>
      </c>
      <c r="C38" s="34">
        <v>36</v>
      </c>
      <c r="E38" s="61">
        <f xml:space="preserve"> 20*LOG10(mass_bare*B38) -42.3</f>
        <v>53.772555906896315</v>
      </c>
      <c r="F38" s="61">
        <f>E38-10*LOG10(0.23*E38)</f>
        <v>42.849670749016262</v>
      </c>
      <c r="H38" s="30">
        <v>4</v>
      </c>
      <c r="I38" s="49">
        <f>F38</f>
        <v>42.849670749016262</v>
      </c>
      <c r="J38" s="62">
        <f>C38+H38</f>
        <v>40</v>
      </c>
      <c r="K38" s="14">
        <f>IF(I38&gt;J38, I38-J38,0)</f>
        <v>2.8496707490162621</v>
      </c>
    </row>
    <row r="39" spans="1:14" x14ac:dyDescent="0.45">
      <c r="A39" s="8">
        <v>1</v>
      </c>
      <c r="B39" s="8">
        <f>125*2^(A39)</f>
        <v>250</v>
      </c>
      <c r="C39" s="34">
        <v>45</v>
      </c>
      <c r="E39" s="61">
        <f xml:space="preserve"> 20*LOG10(mass_bare*B39) -42.3</f>
        <v>59.79315582017594</v>
      </c>
      <c r="F39" s="61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2">
        <f t="shared" ref="J39:J42" si="10">C39+H39</f>
        <v>49</v>
      </c>
      <c r="K39" s="14">
        <f t="shared" ref="K39:K42" si="11">IF(I39&gt;J39, I39-J39,0)</f>
        <v>0</v>
      </c>
    </row>
    <row r="40" spans="1:14" x14ac:dyDescent="0.45">
      <c r="A40" s="8">
        <v>2</v>
      </c>
      <c r="B40" s="8">
        <f>125*2^(A40)</f>
        <v>500</v>
      </c>
      <c r="C40" s="34">
        <v>52</v>
      </c>
      <c r="E40" s="61">
        <f xml:space="preserve"> 20*LOG10(mass_bare*B40) -42.3</f>
        <v>65.813755733455565</v>
      </c>
      <c r="F40" s="61">
        <f t="shared" si="8"/>
        <v>54.013310623344665</v>
      </c>
      <c r="H40" s="30">
        <v>4</v>
      </c>
      <c r="I40" s="49">
        <f t="shared" si="9"/>
        <v>54.013310623344665</v>
      </c>
      <c r="J40" s="63">
        <f t="shared" si="10"/>
        <v>56</v>
      </c>
      <c r="K40" s="14">
        <f t="shared" si="11"/>
        <v>0</v>
      </c>
      <c r="L40" s="98" t="s">
        <v>83</v>
      </c>
      <c r="M40" s="71"/>
      <c r="N40" s="71"/>
    </row>
    <row r="41" spans="1:14" x14ac:dyDescent="0.45">
      <c r="A41" s="8">
        <v>3</v>
      </c>
      <c r="B41" s="8">
        <f>125*2^(A41)</f>
        <v>1000</v>
      </c>
      <c r="C41" s="34">
        <v>55</v>
      </c>
      <c r="E41" s="61">
        <f xml:space="preserve"> 20*LOG10(mass_bare*B41) -42.3</f>
        <v>71.834355646735176</v>
      </c>
      <c r="F41" s="61">
        <f t="shared" si="8"/>
        <v>59.653755281561935</v>
      </c>
      <c r="H41" s="30">
        <v>4</v>
      </c>
      <c r="I41" s="49">
        <f t="shared" si="9"/>
        <v>59.653755281561935</v>
      </c>
      <c r="J41" s="62">
        <f t="shared" si="10"/>
        <v>59</v>
      </c>
      <c r="K41" s="14">
        <f t="shared" si="11"/>
        <v>0.65375528156193496</v>
      </c>
    </row>
    <row r="42" spans="1:14" ht="14.65" thickBot="1" x14ac:dyDescent="0.5">
      <c r="A42" s="8">
        <v>4</v>
      </c>
      <c r="B42" s="8">
        <f>125*2^(A42)</f>
        <v>2000</v>
      </c>
      <c r="C42" s="34">
        <v>56</v>
      </c>
      <c r="E42" s="61">
        <f xml:space="preserve"> 20*LOG10(mass_bare*B42) -42.3</f>
        <v>77.854955560014801</v>
      </c>
      <c r="F42" s="61">
        <f t="shared" si="8"/>
        <v>65.324814588424516</v>
      </c>
      <c r="H42" s="30">
        <v>4</v>
      </c>
      <c r="I42" s="49">
        <f t="shared" si="9"/>
        <v>65.324814588424516</v>
      </c>
      <c r="J42" s="62">
        <f t="shared" si="10"/>
        <v>60</v>
      </c>
      <c r="K42" s="14">
        <f t="shared" si="11"/>
        <v>5.3248145884245162</v>
      </c>
    </row>
    <row r="43" spans="1:14" ht="14.65" thickBot="1" x14ac:dyDescent="0.5">
      <c r="A43" s="60"/>
      <c r="B43" s="60"/>
      <c r="C43" s="34"/>
      <c r="E43" s="61"/>
      <c r="F43" s="61"/>
      <c r="K43" s="38">
        <f>IF(SUM(K38:K42) &gt; 10, "ERROR", SUM(K38:K42) )</f>
        <v>8.8282406190027132</v>
      </c>
      <c r="L43" s="84" t="s">
        <v>60</v>
      </c>
      <c r="M43" s="85"/>
    </row>
  </sheetData>
  <mergeCells count="37"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  <mergeCell ref="A25:B25"/>
    <mergeCell ref="A26:F26"/>
    <mergeCell ref="C28:F28"/>
    <mergeCell ref="D1:F1"/>
    <mergeCell ref="D25:F25"/>
    <mergeCell ref="L13:L14"/>
    <mergeCell ref="M13:M14"/>
    <mergeCell ref="N13:N14"/>
    <mergeCell ref="O13:O14"/>
    <mergeCell ref="P22:Q22"/>
    <mergeCell ref="L1:N2"/>
    <mergeCell ref="J5:K5"/>
    <mergeCell ref="J6:K6"/>
    <mergeCell ref="J7:K7"/>
    <mergeCell ref="J8:K8"/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33</vt:i4>
      </vt:variant>
    </vt:vector>
  </HeadingPairs>
  <TitlesOfParts>
    <vt:vector size="4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Mattia</cp:lastModifiedBy>
  <dcterms:created xsi:type="dcterms:W3CDTF">2015-06-05T18:17:20Z</dcterms:created>
  <dcterms:modified xsi:type="dcterms:W3CDTF">2020-12-07T15:38:43Z</dcterms:modified>
</cp:coreProperties>
</file>