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7\Documents\GitHub\MusicalAcousticsHWs\RoomAcoustics\modulo 2\1_room_design_absorption\"/>
    </mc:Choice>
  </mc:AlternateContent>
  <xr:revisionPtr revIDLastSave="0" documentId="13_ncr:1_{F675CAE3-183A-49A3-94B9-6B9545ABB04E}" xr6:coauthVersionLast="46" xr6:coauthVersionMax="46" xr10:uidLastSave="{00000000-0000-0000-0000-000000000000}"/>
  <bookViews>
    <workbookView xWindow="-108" yWindow="-108" windowWidth="23256" windowHeight="12576" tabRatio="761" activeTab="4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Es 2" sheetId="11" r:id="rId9"/>
    <sheet name="conclusion" sheetId="10" r:id="rId10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lenx1">DATA!$B$17</definedName>
    <definedName name="lenx2">DATA!$C$17</definedName>
    <definedName name="lenx3">DATA!$D$17</definedName>
    <definedName name="leny1">DATA!$B$16</definedName>
    <definedName name="leny2">DATA!$C$16</definedName>
    <definedName name="leny3">DATA!$D$16</definedName>
    <definedName name="lenz1">DATA!$B$18</definedName>
    <definedName name="lenz2">DATA!$C$18</definedName>
    <definedName name="lenz3">DATA!$D$18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B8" i="11"/>
  <c r="C7" i="11"/>
  <c r="B7" i="11"/>
  <c r="C6" i="11"/>
  <c r="B6" i="11"/>
  <c r="C5" i="11"/>
  <c r="B5" i="11"/>
  <c r="J21" i="11"/>
  <c r="J22" i="11"/>
  <c r="J23" i="11"/>
  <c r="J24" i="11"/>
  <c r="J25" i="11"/>
  <c r="J26" i="11"/>
  <c r="J27" i="11"/>
  <c r="J28" i="11"/>
  <c r="J29" i="11"/>
  <c r="I21" i="11"/>
  <c r="I22" i="11"/>
  <c r="I23" i="11"/>
  <c r="I24" i="11"/>
  <c r="I25" i="11"/>
  <c r="I26" i="11"/>
  <c r="I27" i="11"/>
  <c r="I28" i="11"/>
  <c r="I29" i="11"/>
  <c r="H21" i="11"/>
  <c r="H22" i="11"/>
  <c r="H23" i="11"/>
  <c r="H24" i="11"/>
  <c r="H25" i="11"/>
  <c r="H26" i="11"/>
  <c r="H27" i="11"/>
  <c r="H28" i="11"/>
  <c r="H29" i="11"/>
  <c r="J12" i="11"/>
  <c r="J13" i="11"/>
  <c r="J14" i="11"/>
  <c r="J15" i="11"/>
  <c r="J16" i="11"/>
  <c r="J17" i="11"/>
  <c r="J18" i="11"/>
  <c r="J19" i="11"/>
  <c r="J20" i="11"/>
  <c r="I12" i="11"/>
  <c r="I13" i="11"/>
  <c r="I14" i="11"/>
  <c r="I15" i="11"/>
  <c r="I16" i="11"/>
  <c r="I17" i="11"/>
  <c r="I18" i="11"/>
  <c r="I19" i="11"/>
  <c r="I20" i="11"/>
  <c r="H12" i="11"/>
  <c r="H13" i="11"/>
  <c r="H14" i="11"/>
  <c r="H15" i="11"/>
  <c r="H16" i="11"/>
  <c r="H17" i="11"/>
  <c r="H18" i="11"/>
  <c r="H19" i="11"/>
  <c r="H20" i="11"/>
  <c r="I9" i="11"/>
  <c r="J6" i="11"/>
  <c r="J7" i="11"/>
  <c r="J8" i="11"/>
  <c r="J9" i="11"/>
  <c r="J10" i="11"/>
  <c r="J11" i="11"/>
  <c r="I6" i="11"/>
  <c r="I7" i="11"/>
  <c r="I8" i="11"/>
  <c r="I10" i="11"/>
  <c r="I11" i="11"/>
  <c r="H6" i="11"/>
  <c r="H7" i="11"/>
  <c r="H8" i="11"/>
  <c r="H9" i="11"/>
  <c r="H10" i="11"/>
  <c r="H11" i="11"/>
  <c r="J3" i="11"/>
  <c r="J4" i="11"/>
  <c r="J5" i="11"/>
  <c r="I4" i="11"/>
  <c r="I5" i="11"/>
  <c r="I3" i="11"/>
  <c r="H3" i="11"/>
  <c r="H4" i="11"/>
  <c r="H5" i="11"/>
  <c r="C4" i="11"/>
  <c r="D4" i="11"/>
  <c r="B4" i="11"/>
  <c r="B3" i="11"/>
  <c r="D3" i="11"/>
  <c r="C3" i="11"/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6" i="8"/>
  <c r="N4" i="8"/>
  <c r="N7" i="5"/>
  <c r="N7" i="8"/>
  <c r="N17" i="8" s="1"/>
  <c r="N8" i="5"/>
  <c r="N8" i="8"/>
  <c r="N5" i="5"/>
  <c r="F25" i="5" s="1"/>
  <c r="N9" i="5"/>
  <c r="F29" i="5" s="1"/>
  <c r="N4" i="5"/>
  <c r="F24" i="5" s="1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14" i="7"/>
  <c r="J24" i="7" s="1"/>
  <c r="J16" i="7"/>
  <c r="J18" i="7"/>
  <c r="J28" i="7" s="1"/>
  <c r="N14" i="7"/>
  <c r="N18" i="7"/>
  <c r="N14" i="4"/>
  <c r="N15" i="5"/>
  <c r="J18" i="4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5" i="5" l="1"/>
  <c r="D25" i="5"/>
  <c r="J25" i="5" s="1"/>
  <c r="J18" i="5"/>
  <c r="D28" i="5" s="1"/>
  <c r="F28" i="5"/>
  <c r="N16" i="5"/>
  <c r="F26" i="5"/>
  <c r="D6" i="11" s="1"/>
  <c r="D8" i="11" s="1"/>
  <c r="N17" i="5"/>
  <c r="F27" i="5"/>
  <c r="J19" i="7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N18" i="5"/>
  <c r="J17" i="5"/>
  <c r="D27" i="5" s="1"/>
  <c r="N14" i="5"/>
  <c r="J16" i="5"/>
  <c r="D26" i="5" s="1"/>
  <c r="D5" i="11" s="1"/>
  <c r="D7" i="11" s="1"/>
  <c r="J29" i="8"/>
  <c r="J27" i="8"/>
  <c r="N19" i="5"/>
  <c r="J19" i="5"/>
  <c r="N19" i="8"/>
  <c r="N16" i="8"/>
  <c r="J16" i="8"/>
  <c r="J26" i="8" s="1"/>
  <c r="J26" i="7"/>
  <c r="J27" i="7"/>
  <c r="N5" i="2"/>
  <c r="N9" i="2"/>
  <c r="N6" i="2"/>
  <c r="N7" i="2"/>
  <c r="N8" i="2"/>
  <c r="D29" i="5" l="1"/>
  <c r="J29" i="5" s="1"/>
  <c r="D24" i="5"/>
  <c r="J24" i="5" s="1"/>
  <c r="J28" i="5"/>
  <c r="N17" i="6"/>
  <c r="J17" i="6"/>
  <c r="D27" i="6" s="1"/>
  <c r="J15" i="6"/>
  <c r="D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J25" i="6" l="1"/>
  <c r="D28" i="6"/>
  <c r="J28" i="6" s="1"/>
  <c r="D29" i="6"/>
  <c r="J29" i="6" s="1"/>
  <c r="D24" i="6"/>
  <c r="J24" i="6" s="1"/>
  <c r="J27" i="6"/>
  <c r="D26" i="6"/>
  <c r="J26" i="6" s="1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<sst xmlns="http://schemas.openxmlformats.org/spreadsheetml/2006/main" count="319" uniqueCount="113">
  <si>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</si>
  <si>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</si>
  <si>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</si>
  <si>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</si>
  <si>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</si>
  <si>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</si>
  <si>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</si>
  <si>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</si>
  <si>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</si>
  <si>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</si>
  <si>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</si>
  <si>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</si>
  <si>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</si>
  <si>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</si>
  <si>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</si>
  <si>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</si>
  <si>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</si>
  <si>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</si>
  <si>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</si>
  <si>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</si>
  <si>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</si>
  <si>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</si>
  <si>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</si>
  <si>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</si>
  <si>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</si>
  <si>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</si>
  <si>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</si>
  <si>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</si>
  <si>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</si>
  <si>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</si>
  <si>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</si>
  <si>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</si>
  <si>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</si>
  <si>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</si>
  <si>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</si>
  <si>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</si>
  <si>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</si>
  <si>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</si>
  <si>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</si>
  <si>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</si>
  <si>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</si>
  <si>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</si>
  <si>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</si>
  <si>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</si>
  <si>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</si>
  <si>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</si>
  <si>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</si>
  <si>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</si>
  <si>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</si>
  <si>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</si>
  <si>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</si>
  <si>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</si>
  <si>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</si>
  <si>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</si>
  <si>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</si>
  <si>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</si>
  <si>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</si>
  <si>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</si>
  <si>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</si>
  <si>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</si>
  <si>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</si>
  <si>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</si>
  <si>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</si>
  <si>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</si>
  <si>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</si>
  <si>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</si>
  <si>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</si>
  <si>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</si>
  <si>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</si>
  <si>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</si>
  <si>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</si>
  <si>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</si>
  <si>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</si>
  <si>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</si>
  <si>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</si>
  <si>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</si>
  <si>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</si>
  <si>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</si>
  <si>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</si>
  <si>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</si>
  <si>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</si>
  <si>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</si>
  <si>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</si>
  <si>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</si>
  <si>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</si>
  <si>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</si>
  <si>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</si>
  <si>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</si>
  <si>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</si>
  <si>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</si>
  <si>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</si>
  <si>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</si>
  <si>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</si>
  <si>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</si>
  <si>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</si>
  <si>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</si>
  <si>
    <t>nx</t>
  </si>
  <si>
    <t>ny</t>
  </si>
  <si>
    <t>nz</t>
  </si>
  <si>
    <t>HEIGHT</t>
  </si>
  <si>
    <t>WIDTH</t>
  </si>
  <si>
    <t>LENGTH</t>
  </si>
  <si>
    <t>axial mode frequencies [Hz]</t>
  </si>
  <si>
    <t>characteristic dimension  L=(V)^1/3 [m]</t>
  </si>
  <si>
    <r>
      <t>small room  f =λ&gt;L -&gt; f= c/</t>
    </r>
    <r>
      <rPr>
        <sz val="11"/>
        <color theme="0"/>
        <rFont val="Calibri"/>
        <family val="2"/>
      </rPr>
      <t>λ</t>
    </r>
    <r>
      <rPr>
        <sz val="11"/>
        <color theme="0"/>
        <rFont val="Calibri"/>
        <family val="2"/>
        <scheme val="minor"/>
      </rPr>
      <t xml:space="preserve"> [Hz]</t>
    </r>
  </si>
  <si>
    <t>tangential mode frequencies [Hz]</t>
  </si>
  <si>
    <t>oblique  mode frequencies [Hz]</t>
  </si>
  <si>
    <t>T60 Eyring (from CASE_A, CASE_B1 AND CASE_B2) at 500 Hz</t>
  </si>
  <si>
    <t>T60 Sabine (from CASE A, CASE_B1 and CASE_B2) at 500 Hz</t>
  </si>
  <si>
    <t xml:space="preserve"> frequency of Schroder (Sabine)</t>
  </si>
  <si>
    <t xml:space="preserve"> frequency of Schroder (Eyring)</t>
  </si>
  <si>
    <t>curtain S7</t>
  </si>
  <si>
    <t>arbitrary increase of the wall absorption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</si>
</sst>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26465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4A26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18" fillId="11" borderId="21" xfId="0" applyFont="1" applyFill="1" applyBorder="1" applyAlignment="1">
      <alignment horizontal="center"/>
    </xf>
    <xf numFmtId="0" fontId="19" fillId="1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9" fillId="2" borderId="0" xfId="0" applyFont="1" applyFill="1"/>
    <xf numFmtId="0" fontId="21" fillId="17" borderId="0" xfId="0" applyFont="1" applyFill="1" applyAlignment="1">
      <alignment horizontal="left" wrapText="1"/>
    </xf>
    <xf numFmtId="0" fontId="22" fillId="18" borderId="0" xfId="0" applyFont="1" applyFill="1" applyAlignment="1">
      <alignment horizontal="left" wrapText="1"/>
    </xf>
    <xf numFmtId="0" fontId="0" fillId="18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7" borderId="0" xfId="0" applyFill="1"/>
    <xf numFmtId="0" fontId="23" fillId="19" borderId="0" xfId="0" applyFont="1" applyFill="1" applyAlignment="1">
      <alignment horizontal="left" wrapText="1"/>
    </xf>
    <xf numFmtId="0" fontId="0" fillId="19" borderId="0" xfId="0" applyFill="1"/>
    <xf numFmtId="0" fontId="0" fillId="0" borderId="1" xfId="0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16" borderId="0" xfId="0" applyFont="1" applyFill="1" applyAlignment="1">
      <alignment vertical="center" wrapText="1"/>
    </xf>
    <xf numFmtId="0" fontId="19" fillId="20" borderId="0" xfId="0" applyFont="1" applyFill="1" applyAlignment="1">
      <alignment vertical="center" wrapText="1"/>
    </xf>
    <xf numFmtId="0" fontId="19" fillId="16" borderId="0" xfId="0" applyFont="1" applyFill="1" applyAlignment="1">
      <alignment vertical="center"/>
    </xf>
    <xf numFmtId="0" fontId="19" fillId="20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4A261"/>
      <color rgb="FFE9C46A"/>
      <color rgb="FF2A9D8F"/>
      <color rgb="FFE76F51"/>
      <color rgb="FF264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7.28699058569586E-2</c:v>
                </c:pt>
                <c:pt idx="1">
                  <c:v>5.3567870339262406E-2</c:v>
                </c:pt>
                <c:pt idx="2">
                  <c:v>4.5109476496650654E-2</c:v>
                </c:pt>
                <c:pt idx="3">
                  <c:v>3.4138352672230254E-2</c:v>
                </c:pt>
                <c:pt idx="4">
                  <c:v>3.2017721552157201E-2</c:v>
                </c:pt>
                <c:pt idx="5">
                  <c:v>2.8880745714780942E-2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0.10345112857094275</c:v>
                </c:pt>
                <c:pt idx="1">
                  <c:v>0.11520435443898518</c:v>
                </c:pt>
                <c:pt idx="2">
                  <c:v>0.1344821100763561</c:v>
                </c:pt>
                <c:pt idx="3">
                  <c:v>0.15288726195938399</c:v>
                </c:pt>
                <c:pt idx="4">
                  <c:v>0.15538407349589695</c:v>
                </c:pt>
                <c:pt idx="5">
                  <c:v>0.14994044133726178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opLeftCell="A2" workbookViewId="0">
      <selection activeCell="D22" sqref="D22"/>
    </sheetView>
  </sheetViews>
  <sheetFormatPr defaultRowHeight="14.4" x14ac:dyDescent="0.3"/>
  <cols>
    <col min="1" max="1" width="20.6640625" customWidth="1"/>
    <col min="2" max="2" width="11" customWidth="1"/>
    <col min="3" max="3" width="12.33203125" customWidth="1"/>
    <col min="4" max="4" width="11.88671875" customWidth="1"/>
  </cols>
  <sheetData>
    <row r="1" spans="1:5" x14ac:dyDescent="0.3">
      <c r="B1" s="85" t="s">
        <v>0</v>
      </c>
      <c r="C1" s="85"/>
      <c r="D1" s="85" t="s">
        <v>9</v>
      </c>
      <c r="E1" s="85"/>
    </row>
    <row r="2" spans="1:5" x14ac:dyDescent="0.3">
      <c r="B2" s="2">
        <v>1</v>
      </c>
      <c r="C2" s="3">
        <v>2</v>
      </c>
      <c r="D2" s="4">
        <v>3</v>
      </c>
    </row>
    <row r="3" spans="1:5" x14ac:dyDescent="0.3">
      <c r="B3" s="86" t="s">
        <v>9</v>
      </c>
      <c r="C3" s="88" t="s">
        <v>9</v>
      </c>
      <c r="D3" s="88" t="s">
        <v>9</v>
      </c>
    </row>
    <row r="4" spans="1:5" x14ac:dyDescent="0.3">
      <c r="B4" s="87"/>
      <c r="C4" s="88"/>
      <c r="D4" s="88"/>
    </row>
    <row r="5" spans="1:5" x14ac:dyDescent="0.3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3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3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3">
      <c r="A8" s="5" t="s">
        <v>4</v>
      </c>
      <c r="B8" s="1">
        <v>1.8</v>
      </c>
      <c r="C8" s="18">
        <v>1.8</v>
      </c>
      <c r="D8" s="19">
        <v>1.8</v>
      </c>
    </row>
    <row r="9" spans="1:5" x14ac:dyDescent="0.3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3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3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3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3">
      <c r="B14" s="85" t="s">
        <v>0</v>
      </c>
      <c r="C14" s="85"/>
      <c r="D14" s="85" t="s">
        <v>10</v>
      </c>
      <c r="E14" s="85"/>
    </row>
    <row r="15" spans="1:5" ht="30.75" customHeight="1" x14ac:dyDescent="0.3">
      <c r="B15" s="6" t="s">
        <v>14</v>
      </c>
      <c r="C15" s="6" t="s">
        <v>14</v>
      </c>
      <c r="D15" s="6" t="s">
        <v>14</v>
      </c>
    </row>
    <row r="16" spans="1:5" x14ac:dyDescent="0.3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3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3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3">
      <c r="A19" s="5"/>
      <c r="B19" s="7" t="s">
        <v>15</v>
      </c>
      <c r="C19" s="7" t="s">
        <v>15</v>
      </c>
      <c r="D19" s="7" t="s">
        <v>15</v>
      </c>
    </row>
    <row r="20" spans="1:4" x14ac:dyDescent="0.3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3">
      <c r="B21" s="7" t="s">
        <v>35</v>
      </c>
      <c r="C21" s="7" t="s">
        <v>35</v>
      </c>
      <c r="D21" s="7" t="s">
        <v>35</v>
      </c>
    </row>
    <row r="22" spans="1:4" x14ac:dyDescent="0.3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workbookViewId="0">
      <selection activeCell="D4" sqref="D4:D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3" t="s">
        <v>19</v>
      </c>
      <c r="D1" s="93"/>
      <c r="E1" s="93"/>
      <c r="F1" s="93"/>
      <c r="N1" s="93" t="s">
        <v>32</v>
      </c>
      <c r="O1" s="93"/>
      <c r="P1" s="93"/>
      <c r="Q1" s="93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8" t="s">
        <v>33</v>
      </c>
      <c r="O2" s="99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4">
        <f>1/(surface_A)*(C4*area_S1+D4*area_S2+E4*area_S3+F4*area_S4+G4*area_S5_1+H4*area_S5_2+I4*area_S6+J4*area_S7)</f>
        <v>0.14322978529008681</v>
      </c>
      <c r="O4" s="95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4">
        <f t="shared" ref="N5:N9" si="0">1/(surface_A)*(C5*area_S1+D5*area_S2+E5*area_S3+F5*area_S4+G5*area_S5_1+H5*area_S5_2+I5*area_S6+J5*area_S7)</f>
        <v>0.10523069894929193</v>
      </c>
      <c r="O5" s="95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4">
        <f t="shared" si="0"/>
        <v>9.174280493375972E-2</v>
      </c>
      <c r="O6" s="95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4">
        <f t="shared" si="0"/>
        <v>6.7512562814070379E-2</v>
      </c>
      <c r="O7" s="95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4">
        <f t="shared" si="0"/>
        <v>6.1685701233439943E-2</v>
      </c>
      <c r="O8" s="95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4">
        <f t="shared" si="0"/>
        <v>6.1831886706258575E-2</v>
      </c>
      <c r="O9" s="95"/>
    </row>
    <row r="10" spans="1:17" x14ac:dyDescent="0.3">
      <c r="G10" s="10"/>
    </row>
    <row r="11" spans="1:17" x14ac:dyDescent="0.3">
      <c r="A11" s="100" t="s">
        <v>24</v>
      </c>
      <c r="B11" s="100"/>
      <c r="I11" s="89" t="s">
        <v>38</v>
      </c>
      <c r="J11" s="89"/>
      <c r="M11" s="93" t="s">
        <v>36</v>
      </c>
      <c r="N11" s="93"/>
      <c r="O11" s="93"/>
      <c r="P11" s="93"/>
    </row>
    <row r="12" spans="1:17" x14ac:dyDescent="0.3">
      <c r="A12" s="100" t="s">
        <v>25</v>
      </c>
      <c r="B12" s="100"/>
      <c r="I12" s="12" t="s">
        <v>17</v>
      </c>
      <c r="J12" s="14" t="s">
        <v>39</v>
      </c>
      <c r="L12" s="13"/>
      <c r="M12" s="11" t="s">
        <v>17</v>
      </c>
      <c r="N12" s="96" t="s">
        <v>37</v>
      </c>
      <c r="O12" s="97"/>
    </row>
    <row r="13" spans="1:17" x14ac:dyDescent="0.3">
      <c r="A13" s="100" t="s">
        <v>27</v>
      </c>
      <c r="B13" s="100"/>
      <c r="I13" s="12"/>
    </row>
    <row r="14" spans="1:17" x14ac:dyDescent="0.3">
      <c r="A14" s="100" t="s">
        <v>28</v>
      </c>
      <c r="B14" s="100"/>
      <c r="I14" s="12">
        <v>125</v>
      </c>
      <c r="J14" s="14">
        <f t="shared" ref="J14:J19" si="2">N4*surface_A</f>
        <v>31.353000000000002</v>
      </c>
      <c r="M14" s="11">
        <v>125</v>
      </c>
      <c r="N14" s="91">
        <f t="shared" ref="N14:N19" si="3">(N4*surface_A)/(1-N4)</f>
        <v>36.594409401376723</v>
      </c>
      <c r="O14" s="92"/>
    </row>
    <row r="15" spans="1:17" x14ac:dyDescent="0.3">
      <c r="A15" s="100" t="s">
        <v>29</v>
      </c>
      <c r="B15" s="100"/>
      <c r="I15" s="12">
        <v>250</v>
      </c>
      <c r="J15" s="14">
        <f t="shared" si="2"/>
        <v>23.035000000000004</v>
      </c>
      <c r="M15" s="11">
        <v>250</v>
      </c>
      <c r="N15" s="91">
        <f t="shared" si="3"/>
        <v>25.744066065912751</v>
      </c>
      <c r="O15" s="92"/>
    </row>
    <row r="16" spans="1:17" x14ac:dyDescent="0.3">
      <c r="A16" s="100" t="s">
        <v>30</v>
      </c>
      <c r="B16" s="100"/>
      <c r="I16" s="12">
        <v>500</v>
      </c>
      <c r="J16" s="14">
        <f t="shared" si="2"/>
        <v>20.0825</v>
      </c>
      <c r="M16" s="11">
        <v>500</v>
      </c>
      <c r="N16" s="91">
        <f t="shared" si="3"/>
        <v>22.111027701283842</v>
      </c>
      <c r="O16" s="92"/>
    </row>
    <row r="17" spans="1:15" x14ac:dyDescent="0.3">
      <c r="A17" s="100" t="s">
        <v>31</v>
      </c>
      <c r="B17" s="100"/>
      <c r="I17" s="12">
        <v>1000</v>
      </c>
      <c r="J17" s="14">
        <f t="shared" si="2"/>
        <v>14.778500000000005</v>
      </c>
      <c r="M17" s="11">
        <v>1000</v>
      </c>
      <c r="N17" s="91">
        <f t="shared" si="3"/>
        <v>15.848470886212384</v>
      </c>
      <c r="O17" s="92"/>
    </row>
    <row r="18" spans="1:15" x14ac:dyDescent="0.3">
      <c r="I18" s="12">
        <v>2000</v>
      </c>
      <c r="J18" s="14">
        <f t="shared" si="2"/>
        <v>13.503000000000002</v>
      </c>
      <c r="M18" s="11">
        <v>2000</v>
      </c>
      <c r="N18" s="91">
        <f t="shared" si="3"/>
        <v>14.390700448399931</v>
      </c>
      <c r="O18" s="92"/>
    </row>
    <row r="19" spans="1:15" x14ac:dyDescent="0.3">
      <c r="F19" s="13"/>
      <c r="I19" s="12">
        <v>4000</v>
      </c>
      <c r="J19" s="14">
        <f t="shared" si="2"/>
        <v>13.535</v>
      </c>
      <c r="M19" s="11">
        <v>4000</v>
      </c>
      <c r="N19" s="91">
        <f t="shared" si="3"/>
        <v>14.427051834538505</v>
      </c>
      <c r="O19" s="92"/>
    </row>
    <row r="21" spans="1:15" x14ac:dyDescent="0.3">
      <c r="C21" s="89" t="s">
        <v>40</v>
      </c>
      <c r="D21" s="90"/>
      <c r="E21" s="89" t="s">
        <v>41</v>
      </c>
      <c r="F21" s="90"/>
      <c r="I21" s="89" t="s">
        <v>44</v>
      </c>
      <c r="J21" s="8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0.16*volume_A/J14</f>
        <v>0.94995694191943336</v>
      </c>
      <c r="F24" s="16">
        <f t="shared" ref="F24:F29" si="5"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3">
      <c r="B25" s="11">
        <v>250</v>
      </c>
      <c r="D25" s="16">
        <f t="shared" si="4"/>
        <v>1.2929889298892985</v>
      </c>
      <c r="F25" s="16">
        <f t="shared" si="5"/>
        <v>1.2236974034423818</v>
      </c>
      <c r="I25" s="12">
        <v>250</v>
      </c>
      <c r="J25" s="14">
        <f t="shared" ref="J25:J29" si="6">(D25-F25)/D25</f>
        <v>5.3590193113911062E-2</v>
      </c>
    </row>
    <row r="26" spans="1:15" x14ac:dyDescent="0.3">
      <c r="B26" s="11">
        <v>500</v>
      </c>
      <c r="D26" s="16">
        <f t="shared" si="4"/>
        <v>1.4830822855720152</v>
      </c>
      <c r="F26" s="16">
        <f t="shared" si="5"/>
        <v>1.4139603108566092</v>
      </c>
      <c r="I26" s="12">
        <v>500</v>
      </c>
      <c r="J26" s="14">
        <f t="shared" si="6"/>
        <v>4.6606972106571984E-2</v>
      </c>
    </row>
    <row r="27" spans="1:15" x14ac:dyDescent="0.3">
      <c r="B27" s="11">
        <v>1000</v>
      </c>
      <c r="D27" s="16">
        <f t="shared" si="4"/>
        <v>2.0153601515715387</v>
      </c>
      <c r="F27" s="16">
        <f t="shared" si="5"/>
        <v>1.9465365943289623</v>
      </c>
      <c r="I27" s="12">
        <v>1000</v>
      </c>
      <c r="J27" s="14">
        <f t="shared" si="6"/>
        <v>3.4149507813235815E-2</v>
      </c>
    </row>
    <row r="28" spans="1:15" x14ac:dyDescent="0.3">
      <c r="B28" s="11">
        <v>2000</v>
      </c>
      <c r="D28" s="16">
        <f t="shared" si="4"/>
        <v>2.2057320595423233</v>
      </c>
      <c r="F28" s="16">
        <f t="shared" si="5"/>
        <v>2.1369791173766264</v>
      </c>
      <c r="I28" s="12">
        <v>2000</v>
      </c>
      <c r="J28" s="14">
        <f t="shared" si="6"/>
        <v>3.1170124162752017E-2</v>
      </c>
    </row>
    <row r="29" spans="1:15" x14ac:dyDescent="0.3">
      <c r="B29" s="11">
        <v>4000</v>
      </c>
      <c r="D29" s="16">
        <f t="shared" si="4"/>
        <v>2.2005171776874763</v>
      </c>
      <c r="F29" s="16">
        <f t="shared" si="5"/>
        <v>2.1317624692501598</v>
      </c>
      <c r="I29" s="12">
        <v>4000</v>
      </c>
      <c r="J29" s="14">
        <f t="shared" si="6"/>
        <v>3.1244795148370939E-2</v>
      </c>
    </row>
    <row r="30" spans="1:15" x14ac:dyDescent="0.3">
      <c r="F30" s="17"/>
    </row>
  </sheetData>
  <mergeCells count="28">
    <mergeCell ref="A16:B16"/>
    <mergeCell ref="A17:B17"/>
    <mergeCell ref="C1:F1"/>
    <mergeCell ref="A11:B11"/>
    <mergeCell ref="A12:B12"/>
    <mergeCell ref="A13:B13"/>
    <mergeCell ref="A14:B14"/>
    <mergeCell ref="A15:B15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B1" workbookViewId="0">
      <selection activeCell="G4" sqref="G4:H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3" t="s">
        <v>19</v>
      </c>
      <c r="D1" s="93"/>
      <c r="E1" s="93"/>
      <c r="F1" s="93"/>
      <c r="N1" s="93" t="s">
        <v>32</v>
      </c>
      <c r="O1" s="93"/>
      <c r="P1" s="93"/>
      <c r="Q1" s="93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8" t="s">
        <v>33</v>
      </c>
      <c r="O2" s="99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4">
        <f t="shared" ref="N4:N9" si="0">1/(surface_B1)*(C4*area_S1_B1+D4*area_S2_B1+E4*area_S3_B1+F4*area_S4_B1+G4*area_S5_B1_1+H4*area_S5_B1_2+I4*area_S6_B1+J4*area_S7_B1)</f>
        <v>0.14411021814006889</v>
      </c>
      <c r="O4" s="95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4">
        <f t="shared" si="0"/>
        <v>0.10610792192881746</v>
      </c>
      <c r="O5" s="95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4">
        <f t="shared" si="0"/>
        <v>9.2353616532721006E-2</v>
      </c>
      <c r="O6" s="95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4">
        <f t="shared" si="0"/>
        <v>6.7967853042479931E-2</v>
      </c>
      <c r="O7" s="95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4">
        <f t="shared" si="0"/>
        <v>6.1980482204362801E-2</v>
      </c>
      <c r="O8" s="95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4">
        <f t="shared" si="0"/>
        <v>6.1923076923076942E-2</v>
      </c>
      <c r="O9" s="95"/>
    </row>
    <row r="10" spans="1:17" x14ac:dyDescent="0.3">
      <c r="G10" s="10"/>
    </row>
    <row r="11" spans="1:17" x14ac:dyDescent="0.3">
      <c r="A11" s="100" t="s">
        <v>24</v>
      </c>
      <c r="B11" s="100"/>
      <c r="I11" s="89" t="s">
        <v>38</v>
      </c>
      <c r="J11" s="89"/>
      <c r="M11" s="93" t="s">
        <v>36</v>
      </c>
      <c r="N11" s="93"/>
      <c r="O11" s="93"/>
      <c r="P11" s="93"/>
    </row>
    <row r="12" spans="1:17" x14ac:dyDescent="0.3">
      <c r="A12" s="100" t="s">
        <v>25</v>
      </c>
      <c r="B12" s="100"/>
      <c r="I12" s="12" t="s">
        <v>17</v>
      </c>
      <c r="J12" s="14" t="s">
        <v>39</v>
      </c>
      <c r="L12" s="13"/>
      <c r="M12" s="11" t="s">
        <v>17</v>
      </c>
      <c r="N12" s="96" t="s">
        <v>37</v>
      </c>
      <c r="O12" s="97"/>
    </row>
    <row r="13" spans="1:17" x14ac:dyDescent="0.3">
      <c r="A13" s="100" t="s">
        <v>27</v>
      </c>
      <c r="B13" s="100"/>
      <c r="I13" s="12"/>
    </row>
    <row r="14" spans="1:17" x14ac:dyDescent="0.3">
      <c r="A14" s="100" t="s">
        <v>28</v>
      </c>
      <c r="B14" s="100"/>
      <c r="I14" s="12">
        <v>125</v>
      </c>
      <c r="J14" s="14">
        <f t="shared" ref="J14:J19" si="2">N4*surface_B1</f>
        <v>20.083199999999998</v>
      </c>
      <c r="M14" s="11">
        <v>125</v>
      </c>
      <c r="N14" s="91">
        <f t="shared" ref="N14:N19" si="3">(N4*surface_B1)/(1-N4)</f>
        <v>23.464703546708158</v>
      </c>
      <c r="O14" s="92"/>
    </row>
    <row r="15" spans="1:17" x14ac:dyDescent="0.3">
      <c r="A15" s="100" t="s">
        <v>29</v>
      </c>
      <c r="B15" s="100"/>
      <c r="I15" s="12">
        <v>250</v>
      </c>
      <c r="J15" s="14">
        <f t="shared" si="2"/>
        <v>14.7872</v>
      </c>
      <c r="M15" s="11">
        <v>250</v>
      </c>
      <c r="N15" s="91">
        <f t="shared" si="3"/>
        <v>16.542489146908476</v>
      </c>
      <c r="O15" s="92"/>
    </row>
    <row r="16" spans="1:17" x14ac:dyDescent="0.3">
      <c r="A16" s="100" t="s">
        <v>30</v>
      </c>
      <c r="B16" s="100"/>
      <c r="I16" s="12">
        <v>500</v>
      </c>
      <c r="J16" s="14">
        <f t="shared" si="2"/>
        <v>12.870399999999998</v>
      </c>
      <c r="M16" s="11">
        <v>500</v>
      </c>
      <c r="N16" s="91">
        <f t="shared" si="3"/>
        <v>14.179971665654724</v>
      </c>
      <c r="O16" s="92"/>
    </row>
    <row r="17" spans="1:15" x14ac:dyDescent="0.3">
      <c r="A17" s="100" t="s">
        <v>31</v>
      </c>
      <c r="B17" s="100"/>
      <c r="I17" s="12">
        <v>1000</v>
      </c>
      <c r="J17" s="14">
        <f t="shared" si="2"/>
        <v>9.4720000000000013</v>
      </c>
      <c r="M17" s="11">
        <v>1000</v>
      </c>
      <c r="N17" s="91">
        <f t="shared" si="3"/>
        <v>10.162739591032276</v>
      </c>
      <c r="O17" s="92"/>
    </row>
    <row r="18" spans="1:15" x14ac:dyDescent="0.3">
      <c r="I18" s="12">
        <v>2000</v>
      </c>
      <c r="J18" s="14">
        <f t="shared" si="2"/>
        <v>8.6375999999999991</v>
      </c>
      <c r="M18" s="11">
        <v>2000</v>
      </c>
      <c r="N18" s="91">
        <f t="shared" si="3"/>
        <v>9.2083371786319699</v>
      </c>
      <c r="O18" s="92"/>
    </row>
    <row r="19" spans="1:15" x14ac:dyDescent="0.3">
      <c r="F19" s="13"/>
      <c r="I19" s="12">
        <v>4000</v>
      </c>
      <c r="J19" s="14">
        <f t="shared" si="2"/>
        <v>8.6296000000000017</v>
      </c>
      <c r="M19" s="11">
        <v>4000</v>
      </c>
      <c r="N19" s="91">
        <f t="shared" si="3"/>
        <v>9.1992455924559273</v>
      </c>
      <c r="O19" s="92"/>
    </row>
    <row r="21" spans="1:15" x14ac:dyDescent="0.3">
      <c r="C21" s="89" t="s">
        <v>40</v>
      </c>
      <c r="D21" s="90"/>
      <c r="E21" s="89" t="s">
        <v>41</v>
      </c>
      <c r="F21" s="90"/>
      <c r="I21" s="89" t="s">
        <v>44</v>
      </c>
      <c r="J21" s="8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0.16*volume_B1/J14</f>
        <v>0.75411089866156789</v>
      </c>
      <c r="F24" s="16">
        <f t="shared" ref="F24:F29" si="5"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3">
      <c r="B25" s="11">
        <v>250</v>
      </c>
      <c r="D25" s="16">
        <f t="shared" si="4"/>
        <v>1.0241938974247997</v>
      </c>
      <c r="F25" s="16">
        <f t="shared" si="5"/>
        <v>0.96884072488940032</v>
      </c>
      <c r="I25" s="12">
        <v>250</v>
      </c>
      <c r="J25" s="14">
        <f t="shared" ref="J25:J29" si="6">(D25-F25)/D25</f>
        <v>5.4045598860311156E-2</v>
      </c>
    </row>
    <row r="26" spans="1:15" x14ac:dyDescent="0.3">
      <c r="B26" s="11">
        <v>500</v>
      </c>
      <c r="D26" s="16">
        <f t="shared" si="4"/>
        <v>1.1767279960218797</v>
      </c>
      <c r="F26" s="16">
        <f t="shared" si="5"/>
        <v>1.1215130351302505</v>
      </c>
      <c r="I26" s="12">
        <v>500</v>
      </c>
      <c r="J26" s="14">
        <f t="shared" si="6"/>
        <v>4.6922450284426306E-2</v>
      </c>
    </row>
    <row r="27" spans="1:15" x14ac:dyDescent="0.3">
      <c r="B27" s="11">
        <v>1000</v>
      </c>
      <c r="D27" s="16">
        <f t="shared" si="4"/>
        <v>1.5989189189189186</v>
      </c>
      <c r="F27" s="16">
        <f t="shared" si="5"/>
        <v>1.5439439769154004</v>
      </c>
      <c r="I27" s="12">
        <v>1000</v>
      </c>
      <c r="J27" s="14">
        <f t="shared" si="6"/>
        <v>3.4382570218562752E-2</v>
      </c>
    </row>
    <row r="28" spans="1:15" x14ac:dyDescent="0.3">
      <c r="B28" s="11">
        <v>2000</v>
      </c>
      <c r="D28" s="16">
        <f t="shared" si="4"/>
        <v>1.7533759377604892</v>
      </c>
      <c r="F28" s="16">
        <f t="shared" si="5"/>
        <v>1.6984589739520835</v>
      </c>
      <c r="I28" s="12">
        <v>2000</v>
      </c>
      <c r="J28" s="14">
        <f t="shared" si="6"/>
        <v>3.1320701183197922E-2</v>
      </c>
    </row>
    <row r="29" spans="1:15" x14ac:dyDescent="0.3">
      <c r="B29" s="11">
        <v>4000</v>
      </c>
      <c r="D29" s="16">
        <f t="shared" si="4"/>
        <v>1.755001390562714</v>
      </c>
      <c r="F29" s="16">
        <f t="shared" si="5"/>
        <v>1.7000849808523586</v>
      </c>
      <c r="I29" s="12">
        <v>4000</v>
      </c>
      <c r="J29" s="14">
        <f t="shared" si="6"/>
        <v>3.1291376750845361E-2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workbookViewId="0">
      <selection activeCell="D9" sqref="D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3" t="s">
        <v>19</v>
      </c>
      <c r="D1" s="93"/>
      <c r="E1" s="93"/>
      <c r="F1" s="93"/>
      <c r="N1" s="93" t="s">
        <v>32</v>
      </c>
      <c r="O1" s="93"/>
      <c r="P1" s="93"/>
      <c r="Q1" s="93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8" t="s">
        <v>33</v>
      </c>
      <c r="O2" s="99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4">
        <f t="shared" ref="N4:N9" si="0">1/(surface_B2)*(C4*area_S1_B2+D4*area_S2_B2+E4*area_S3_B2+F4*area_S4_B2+G4*area_S5_B2_1+H4*area_S5_B2_2+I4*area_S6_B2+J4*area_S7_B2)</f>
        <v>0.14211076923076923</v>
      </c>
      <c r="O4" s="95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4">
        <f t="shared" si="0"/>
        <v>0.10518769230769233</v>
      </c>
      <c r="O5" s="95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4">
        <f t="shared" si="0"/>
        <v>8.8841538461538472E-2</v>
      </c>
      <c r="O6" s="95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4">
        <f t="shared" si="0"/>
        <v>6.7490769230769229E-2</v>
      </c>
      <c r="O7" s="95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4">
        <f t="shared" si="0"/>
        <v>6.3344615384615388E-2</v>
      </c>
      <c r="O8" s="95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4">
        <f t="shared" si="0"/>
        <v>5.7200000000000001E-2</v>
      </c>
      <c r="O9" s="95"/>
    </row>
    <row r="10" spans="1:17" x14ac:dyDescent="0.3">
      <c r="G10" s="10"/>
    </row>
    <row r="11" spans="1:17" x14ac:dyDescent="0.3">
      <c r="A11" s="100" t="s">
        <v>24</v>
      </c>
      <c r="B11" s="100"/>
      <c r="I11" s="89" t="s">
        <v>38</v>
      </c>
      <c r="J11" s="89"/>
      <c r="M11" s="93" t="s">
        <v>36</v>
      </c>
      <c r="N11" s="93"/>
      <c r="O11" s="93"/>
      <c r="P11" s="93"/>
    </row>
    <row r="12" spans="1:17" x14ac:dyDescent="0.3">
      <c r="A12" s="100" t="s">
        <v>25</v>
      </c>
      <c r="B12" s="100"/>
      <c r="I12" s="12" t="s">
        <v>17</v>
      </c>
      <c r="J12" s="14" t="s">
        <v>39</v>
      </c>
      <c r="L12" s="13"/>
      <c r="M12" s="11" t="s">
        <v>17</v>
      </c>
      <c r="N12" s="96" t="s">
        <v>37</v>
      </c>
      <c r="O12" s="97"/>
    </row>
    <row r="13" spans="1:17" x14ac:dyDescent="0.3">
      <c r="A13" s="100" t="s">
        <v>27</v>
      </c>
      <c r="B13" s="100"/>
      <c r="I13" s="12"/>
    </row>
    <row r="14" spans="1:17" x14ac:dyDescent="0.3">
      <c r="A14" s="100" t="s">
        <v>28</v>
      </c>
      <c r="B14" s="100"/>
      <c r="I14" s="12">
        <v>125</v>
      </c>
      <c r="J14" s="14">
        <f t="shared" ref="J14:J19" si="2">N4*surface_B2</f>
        <v>18.474399999999999</v>
      </c>
      <c r="M14" s="11">
        <v>125</v>
      </c>
      <c r="N14" s="91">
        <f t="shared" ref="N14:N19" si="3">(N4*surface_B2)/(1-N4)</f>
        <v>21.534714899538759</v>
      </c>
      <c r="O14" s="92"/>
    </row>
    <row r="15" spans="1:17" x14ac:dyDescent="0.3">
      <c r="A15" s="100" t="s">
        <v>29</v>
      </c>
      <c r="B15" s="100"/>
      <c r="I15" s="12">
        <v>250</v>
      </c>
      <c r="J15" s="14">
        <f t="shared" si="2"/>
        <v>13.674400000000002</v>
      </c>
      <c r="M15" s="11">
        <v>250</v>
      </c>
      <c r="N15" s="91">
        <f t="shared" si="3"/>
        <v>15.281864009298042</v>
      </c>
      <c r="O15" s="92"/>
    </row>
    <row r="16" spans="1:17" x14ac:dyDescent="0.3">
      <c r="A16" s="100" t="s">
        <v>30</v>
      </c>
      <c r="B16" s="100"/>
      <c r="I16" s="12">
        <v>500</v>
      </c>
      <c r="J16" s="14">
        <f t="shared" si="2"/>
        <v>11.549400000000002</v>
      </c>
      <c r="M16" s="11">
        <v>500</v>
      </c>
      <c r="N16" s="91">
        <f t="shared" si="3"/>
        <v>12.675511985587242</v>
      </c>
      <c r="O16" s="92"/>
    </row>
    <row r="17" spans="1:15" x14ac:dyDescent="0.3">
      <c r="A17" s="100" t="s">
        <v>31</v>
      </c>
      <c r="B17" s="100"/>
      <c r="I17" s="12">
        <v>1000</v>
      </c>
      <c r="J17" s="14">
        <f t="shared" si="2"/>
        <v>8.7737999999999996</v>
      </c>
      <c r="M17" s="11">
        <v>1000</v>
      </c>
      <c r="N17" s="91">
        <f t="shared" si="3"/>
        <v>9.4088076669894782</v>
      </c>
      <c r="O17" s="92"/>
    </row>
    <row r="18" spans="1:15" x14ac:dyDescent="0.3">
      <c r="I18" s="12">
        <v>2000</v>
      </c>
      <c r="J18" s="14">
        <f t="shared" si="2"/>
        <v>8.2347999999999999</v>
      </c>
      <c r="M18" s="11">
        <v>2000</v>
      </c>
      <c r="N18" s="91">
        <f t="shared" si="3"/>
        <v>8.7917073186756145</v>
      </c>
      <c r="O18" s="92"/>
    </row>
    <row r="19" spans="1:15" x14ac:dyDescent="0.3">
      <c r="F19" s="13"/>
      <c r="I19" s="12">
        <v>4000</v>
      </c>
      <c r="J19" s="14">
        <f t="shared" si="2"/>
        <v>7.4359999999999999</v>
      </c>
      <c r="M19" s="11">
        <v>4000</v>
      </c>
      <c r="N19" s="91">
        <f t="shared" si="3"/>
        <v>7.8871446754348753</v>
      </c>
      <c r="O19" s="92"/>
    </row>
    <row r="21" spans="1:15" x14ac:dyDescent="0.3">
      <c r="C21" s="89" t="s">
        <v>40</v>
      </c>
      <c r="D21" s="90"/>
      <c r="E21" s="89" t="s">
        <v>41</v>
      </c>
      <c r="F21" s="90"/>
      <c r="I21" s="89" t="s">
        <v>44</v>
      </c>
      <c r="J21" s="8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0.16*volume_B2/J14</f>
        <v>0.86606330922790464</v>
      </c>
      <c r="F24" s="16">
        <f t="shared" ref="F24:F29" si="5">-0.16*(volume_B2/(surface_B2*LN(ABS(1-N4))))</f>
        <v>0.80295335741830121</v>
      </c>
      <c r="I24" s="12">
        <v>125</v>
      </c>
      <c r="J24" s="14">
        <f>(D24-F24)/D24</f>
        <v>7.28699058569586E-2</v>
      </c>
    </row>
    <row r="25" spans="1:15" x14ac:dyDescent="0.3">
      <c r="B25" s="11">
        <v>250</v>
      </c>
      <c r="D25" s="16">
        <f t="shared" si="4"/>
        <v>1.1700696191423388</v>
      </c>
      <c r="F25" s="16">
        <f t="shared" si="5"/>
        <v>1.1073914814962118</v>
      </c>
      <c r="I25" s="12">
        <v>250</v>
      </c>
      <c r="J25" s="14">
        <f t="shared" ref="J25:J29" si="6">(D25-F25)/D25</f>
        <v>5.3567870339262406E-2</v>
      </c>
    </row>
    <row r="26" spans="1:15" x14ac:dyDescent="0.3">
      <c r="B26" s="11">
        <v>500</v>
      </c>
      <c r="D26" s="16">
        <f t="shared" si="4"/>
        <v>1.3853533516892651</v>
      </c>
      <c r="F26" s="16">
        <f t="shared" si="5"/>
        <v>1.322860787231682</v>
      </c>
      <c r="I26" s="12">
        <v>500</v>
      </c>
      <c r="J26" s="14">
        <f t="shared" si="6"/>
        <v>4.5109476496650654E-2</v>
      </c>
    </row>
    <row r="27" spans="1:15" x14ac:dyDescent="0.3">
      <c r="B27" s="11">
        <v>1000</v>
      </c>
      <c r="D27" s="16">
        <f t="shared" si="4"/>
        <v>1.8236112060908616</v>
      </c>
      <c r="F27" s="16">
        <f t="shared" si="5"/>
        <v>1.7613561236003006</v>
      </c>
      <c r="I27" s="12">
        <v>1000</v>
      </c>
      <c r="J27" s="14">
        <f t="shared" si="6"/>
        <v>3.4138352672230254E-2</v>
      </c>
    </row>
    <row r="28" spans="1:15" x14ac:dyDescent="0.3">
      <c r="B28" s="11">
        <v>2000</v>
      </c>
      <c r="D28" s="16">
        <f t="shared" si="4"/>
        <v>1.9429737212804197</v>
      </c>
      <c r="F28" s="16">
        <f t="shared" si="5"/>
        <v>1.8807641296893045</v>
      </c>
      <c r="I28" s="12">
        <v>2000</v>
      </c>
      <c r="J28" s="14">
        <f t="shared" si="6"/>
        <v>3.2017721552157201E-2</v>
      </c>
    </row>
    <row r="29" spans="1:15" x14ac:dyDescent="0.3">
      <c r="B29" s="11">
        <v>4000</v>
      </c>
      <c r="D29" s="16">
        <f t="shared" si="4"/>
        <v>2.1516944593867673</v>
      </c>
      <c r="F29" s="16">
        <f t="shared" si="5"/>
        <v>2.089551918849315</v>
      </c>
      <c r="I29" s="12">
        <v>4000</v>
      </c>
      <c r="J29" s="14">
        <f t="shared" si="6"/>
        <v>2.8880745714780942E-2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abSelected="1" topLeftCell="C1" workbookViewId="0">
      <selection activeCell="D4" sqref="D4:D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3" t="s">
        <v>19</v>
      </c>
      <c r="D1" s="93"/>
      <c r="E1" s="93"/>
      <c r="F1" s="93"/>
      <c r="N1" s="93" t="s">
        <v>32</v>
      </c>
      <c r="O1" s="93"/>
      <c r="P1" s="93"/>
      <c r="Q1" s="93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111</v>
      </c>
      <c r="K2" s="20" t="s">
        <v>48</v>
      </c>
      <c r="N2" s="98" t="s">
        <v>33</v>
      </c>
      <c r="O2" s="99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4">
        <f t="shared" ref="N4:N9" si="0">1/(surface_A)*(0.4*C4*area_S1+D4*area_S2+E4*area_S3+F4*area_S4+G4*area_S5_1+H4*area_S5_2+I4*area_S6+J4*area_S7 + 0.6*K4*area_S1)</f>
        <v>0.19950890817724987</v>
      </c>
      <c r="O4" s="95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4">
        <f t="shared" si="0"/>
        <v>0.22120146185472822</v>
      </c>
      <c r="O5" s="95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4">
        <f t="shared" si="0"/>
        <v>0.2563302878026496</v>
      </c>
      <c r="O6" s="95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4">
        <f t="shared" si="0"/>
        <v>0.28933576975788033</v>
      </c>
      <c r="O7" s="95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4">
        <f t="shared" si="0"/>
        <v>0.293772498857926</v>
      </c>
      <c r="O8" s="95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4">
        <f t="shared" si="0"/>
        <v>0.28408679762448608</v>
      </c>
      <c r="O9" s="95"/>
    </row>
    <row r="10" spans="1:17" x14ac:dyDescent="0.3">
      <c r="G10" s="10"/>
    </row>
    <row r="11" spans="1:17" x14ac:dyDescent="0.3">
      <c r="A11" s="100" t="s">
        <v>46</v>
      </c>
      <c r="B11" s="100"/>
      <c r="I11" s="89" t="s">
        <v>38</v>
      </c>
      <c r="J11" s="89"/>
      <c r="M11" s="93" t="s">
        <v>36</v>
      </c>
      <c r="N11" s="93"/>
      <c r="O11" s="93"/>
      <c r="P11" s="93"/>
    </row>
    <row r="12" spans="1:17" x14ac:dyDescent="0.3">
      <c r="A12" s="100" t="s">
        <v>25</v>
      </c>
      <c r="B12" s="100"/>
      <c r="I12" s="12" t="s">
        <v>17</v>
      </c>
      <c r="J12" s="14" t="s">
        <v>39</v>
      </c>
      <c r="L12" s="13"/>
      <c r="M12" s="11" t="s">
        <v>17</v>
      </c>
      <c r="N12" s="96" t="s">
        <v>37</v>
      </c>
      <c r="O12" s="97"/>
    </row>
    <row r="13" spans="1:17" x14ac:dyDescent="0.3">
      <c r="A13" s="100" t="s">
        <v>27</v>
      </c>
      <c r="B13" s="100"/>
      <c r="I13" s="12"/>
    </row>
    <row r="14" spans="1:17" x14ac:dyDescent="0.3">
      <c r="A14" s="100" t="s">
        <v>28</v>
      </c>
      <c r="B14" s="100"/>
      <c r="I14" s="12">
        <v>125</v>
      </c>
      <c r="J14" s="14">
        <f t="shared" ref="J14:J19" si="2">N4*surface_A</f>
        <v>43.672499999999992</v>
      </c>
      <c r="M14" s="11">
        <v>125</v>
      </c>
      <c r="N14" s="91">
        <f t="shared" ref="N14:N19" si="3">(N4*surface_A)/(1-N4)</f>
        <v>54.557134296842662</v>
      </c>
      <c r="O14" s="92"/>
    </row>
    <row r="15" spans="1:17" x14ac:dyDescent="0.3">
      <c r="A15" s="100" t="s">
        <v>29</v>
      </c>
      <c r="B15" s="100"/>
      <c r="I15" s="12">
        <v>250</v>
      </c>
      <c r="J15" s="14">
        <f t="shared" si="2"/>
        <v>48.420999999999999</v>
      </c>
      <c r="M15" s="11">
        <v>250</v>
      </c>
      <c r="N15" s="91">
        <f t="shared" si="3"/>
        <v>62.173973920541535</v>
      </c>
      <c r="O15" s="92"/>
    </row>
    <row r="16" spans="1:17" x14ac:dyDescent="0.3">
      <c r="A16" s="100" t="s">
        <v>30</v>
      </c>
      <c r="B16" s="100"/>
      <c r="I16" s="12">
        <v>500</v>
      </c>
      <c r="J16" s="14">
        <f t="shared" si="2"/>
        <v>56.110699999999994</v>
      </c>
      <c r="M16" s="11">
        <v>500</v>
      </c>
      <c r="N16" s="91">
        <f t="shared" si="3"/>
        <v>75.451102928755148</v>
      </c>
      <c r="O16" s="92"/>
    </row>
    <row r="17" spans="1:15" x14ac:dyDescent="0.3">
      <c r="A17" s="100" t="s">
        <v>31</v>
      </c>
      <c r="B17" s="100"/>
      <c r="I17" s="12">
        <v>1000</v>
      </c>
      <c r="J17" s="14">
        <f t="shared" si="2"/>
        <v>63.335599999999999</v>
      </c>
      <c r="M17" s="11">
        <v>1000</v>
      </c>
      <c r="N17" s="91">
        <f t="shared" si="3"/>
        <v>89.121693909403433</v>
      </c>
      <c r="O17" s="92"/>
    </row>
    <row r="18" spans="1:15" x14ac:dyDescent="0.3">
      <c r="I18" s="12">
        <v>2000</v>
      </c>
      <c r="J18" s="14">
        <f t="shared" si="2"/>
        <v>64.306799999999996</v>
      </c>
      <c r="M18" s="11">
        <v>2000</v>
      </c>
      <c r="N18" s="91">
        <f t="shared" si="3"/>
        <v>91.056776882812429</v>
      </c>
      <c r="O18" s="92"/>
    </row>
    <row r="19" spans="1:15" x14ac:dyDescent="0.3">
      <c r="A19" s="101" t="s">
        <v>49</v>
      </c>
      <c r="B19" s="101"/>
      <c r="F19" s="13"/>
      <c r="I19" s="12">
        <v>4000</v>
      </c>
      <c r="J19" s="14">
        <f t="shared" si="2"/>
        <v>62.186599999999999</v>
      </c>
      <c r="M19" s="11">
        <v>4000</v>
      </c>
      <c r="N19" s="91">
        <f t="shared" si="3"/>
        <v>86.863323366093766</v>
      </c>
      <c r="O19" s="92"/>
    </row>
    <row r="21" spans="1:15" x14ac:dyDescent="0.3">
      <c r="C21" s="89" t="s">
        <v>40</v>
      </c>
      <c r="D21" s="90"/>
      <c r="E21" s="89" t="s">
        <v>41</v>
      </c>
      <c r="F21" s="90"/>
      <c r="I21" s="89" t="s">
        <v>44</v>
      </c>
      <c r="J21" s="8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0.16*volume_A/J14</f>
        <v>0.68198523098059416</v>
      </c>
      <c r="F24" s="16">
        <f t="shared" ref="F24:F29" si="5">-0.16*(volume_A/(surface_A*LN(ABS(1-N4))))</f>
        <v>0.61143308916693662</v>
      </c>
      <c r="I24" s="12">
        <v>125</v>
      </c>
      <c r="J24" s="14">
        <f>(D24-F24)/D24</f>
        <v>0.10345112857094275</v>
      </c>
    </row>
    <row r="25" spans="1:15" x14ac:dyDescent="0.3">
      <c r="B25" s="11">
        <v>250</v>
      </c>
      <c r="D25" s="16">
        <f t="shared" si="4"/>
        <v>0.61510501641849602</v>
      </c>
      <c r="F25" s="16">
        <f t="shared" si="5"/>
        <v>0.5442422400898218</v>
      </c>
      <c r="I25" s="12">
        <v>250</v>
      </c>
      <c r="J25" s="14">
        <f t="shared" ref="J25:J29" si="6">(D25-F25)/D25</f>
        <v>0.11520435443898518</v>
      </c>
    </row>
    <row r="26" spans="1:15" x14ac:dyDescent="0.3">
      <c r="B26" s="11">
        <v>500</v>
      </c>
      <c r="D26" s="16">
        <f t="shared" si="4"/>
        <v>0.53080784948325366</v>
      </c>
      <c r="F26" s="16">
        <f t="shared" si="5"/>
        <v>0.45942368983965287</v>
      </c>
      <c r="I26" s="12">
        <v>500</v>
      </c>
      <c r="J26" s="14">
        <f t="shared" si="6"/>
        <v>0.1344821100763561</v>
      </c>
    </row>
    <row r="27" spans="1:15" x14ac:dyDescent="0.3">
      <c r="B27" s="11">
        <v>1000</v>
      </c>
      <c r="D27" s="16">
        <f t="shared" si="4"/>
        <v>0.47025685396522643</v>
      </c>
      <c r="F27" s="16">
        <f t="shared" si="5"/>
        <v>0.39836057114484907</v>
      </c>
      <c r="I27" s="12">
        <v>1000</v>
      </c>
      <c r="J27" s="14">
        <f t="shared" si="6"/>
        <v>0.15288726195938399</v>
      </c>
    </row>
    <row r="28" spans="1:15" x14ac:dyDescent="0.3">
      <c r="B28" s="11">
        <v>2000</v>
      </c>
      <c r="D28" s="16">
        <f t="shared" si="4"/>
        <v>0.46315475190804078</v>
      </c>
      <c r="F28" s="16">
        <f t="shared" si="5"/>
        <v>0.39118787989758785</v>
      </c>
      <c r="I28" s="12">
        <v>2000</v>
      </c>
      <c r="J28" s="14">
        <f t="shared" si="6"/>
        <v>0.15538407349589695</v>
      </c>
    </row>
    <row r="29" spans="1:15" x14ac:dyDescent="0.3">
      <c r="B29" s="11">
        <v>4000</v>
      </c>
      <c r="D29" s="16">
        <f t="shared" si="4"/>
        <v>0.47894562494170762</v>
      </c>
      <c r="F29" s="16">
        <f t="shared" si="5"/>
        <v>0.40713230656139732</v>
      </c>
      <c r="I29" s="12">
        <v>4000</v>
      </c>
      <c r="J29" s="14">
        <f t="shared" si="6"/>
        <v>0.14994044133726178</v>
      </c>
    </row>
    <row r="30" spans="1:15" x14ac:dyDescent="0.3">
      <c r="F30" s="17"/>
    </row>
  </sheetData>
  <mergeCells count="29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16:O16"/>
    <mergeCell ref="A17:B17"/>
    <mergeCell ref="N17:O17"/>
    <mergeCell ref="N18:O18"/>
    <mergeCell ref="N19:O19"/>
    <mergeCell ref="C21:D21"/>
    <mergeCell ref="E21:F21"/>
    <mergeCell ref="I21:J21"/>
    <mergeCell ref="A19:B19"/>
    <mergeCell ref="A16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workbookViewId="0">
      <selection activeCell="G2" sqref="G2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3" t="s">
        <v>19</v>
      </c>
      <c r="D1" s="93"/>
      <c r="E1" s="93"/>
      <c r="F1" s="93"/>
      <c r="G1" s="121" t="s">
        <v>112</v>
      </c>
      <c r="H1" s="121"/>
      <c r="N1" s="93" t="s">
        <v>32</v>
      </c>
      <c r="O1" s="93"/>
      <c r="P1" s="93"/>
      <c r="Q1" s="93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8" t="s">
        <v>33</v>
      </c>
      <c r="O2" s="99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4">
        <f t="shared" ref="N4:N9" si="0">1/(surface_B1)*(0.4*C4*area_S1_B1+D4*area_S2_B1+E4*area_S3_B1+F4*area_S4_B1+G4*area_S5_B1_1+H4*area_S5_B1_2+I4*area_S6_B1+J4*area_S7_B1+0.6*K4*area_S1_B1)</f>
        <v>0.18063145809414469</v>
      </c>
      <c r="O4" s="95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4">
        <f t="shared" si="0"/>
        <v>0.27305396096440876</v>
      </c>
      <c r="O5" s="95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4">
        <f t="shared" si="0"/>
        <v>0.44091963260619982</v>
      </c>
      <c r="O6" s="95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4">
        <f t="shared" si="0"/>
        <v>0.54718484500574061</v>
      </c>
      <c r="O7" s="95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4">
        <f t="shared" si="0"/>
        <v>0.5401308840413318</v>
      </c>
      <c r="O8" s="95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4">
        <f t="shared" si="0"/>
        <v>0.53591044776119412</v>
      </c>
      <c r="O9" s="95"/>
    </row>
    <row r="10" spans="1:17" x14ac:dyDescent="0.3">
      <c r="G10" s="10"/>
    </row>
    <row r="11" spans="1:17" x14ac:dyDescent="0.3">
      <c r="A11" s="100" t="s">
        <v>50</v>
      </c>
      <c r="B11" s="100"/>
      <c r="I11" s="89" t="s">
        <v>38</v>
      </c>
      <c r="J11" s="89"/>
      <c r="M11" s="93" t="s">
        <v>36</v>
      </c>
      <c r="N11" s="93"/>
      <c r="O11" s="93"/>
      <c r="P11" s="93"/>
    </row>
    <row r="12" spans="1:17" x14ac:dyDescent="0.3">
      <c r="A12" s="100" t="s">
        <v>25</v>
      </c>
      <c r="B12" s="100"/>
      <c r="I12" s="12" t="s">
        <v>17</v>
      </c>
      <c r="J12" s="14" t="s">
        <v>39</v>
      </c>
      <c r="L12" s="13"/>
      <c r="M12" s="11" t="s">
        <v>17</v>
      </c>
      <c r="N12" s="96" t="s">
        <v>37</v>
      </c>
      <c r="O12" s="97"/>
    </row>
    <row r="13" spans="1:17" x14ac:dyDescent="0.3">
      <c r="A13" s="100" t="s">
        <v>27</v>
      </c>
      <c r="B13" s="100"/>
      <c r="I13" s="12"/>
    </row>
    <row r="14" spans="1:17" x14ac:dyDescent="0.3">
      <c r="A14" s="100" t="s">
        <v>28</v>
      </c>
      <c r="B14" s="100"/>
      <c r="I14" s="12">
        <v>125</v>
      </c>
      <c r="J14" s="14">
        <f t="shared" ref="J14:J19" si="2">N4*surface_B1</f>
        <v>25.172800000000002</v>
      </c>
      <c r="M14" s="11">
        <v>125</v>
      </c>
      <c r="N14" s="91">
        <f t="shared" ref="N14:N19" si="3">(N4*surface_B1)/(1-N4)</f>
        <v>30.722194851962396</v>
      </c>
      <c r="O14" s="92"/>
    </row>
    <row r="15" spans="1:17" x14ac:dyDescent="0.3">
      <c r="A15" s="100" t="s">
        <v>29</v>
      </c>
      <c r="B15" s="100"/>
      <c r="I15" s="12">
        <v>250</v>
      </c>
      <c r="J15" s="14">
        <f t="shared" si="2"/>
        <v>38.052799999999998</v>
      </c>
      <c r="M15" s="11">
        <v>250</v>
      </c>
      <c r="N15" s="91">
        <f t="shared" si="3"/>
        <v>52.346113681949554</v>
      </c>
      <c r="O15" s="92"/>
    </row>
    <row r="16" spans="1:17" x14ac:dyDescent="0.3">
      <c r="A16" s="100" t="s">
        <v>30</v>
      </c>
      <c r="B16" s="100"/>
      <c r="I16" s="12">
        <v>500</v>
      </c>
      <c r="J16" s="14">
        <f t="shared" si="2"/>
        <v>61.446559999999998</v>
      </c>
      <c r="M16" s="11">
        <v>500</v>
      </c>
      <c r="N16" s="91">
        <f t="shared" si="3"/>
        <v>109.9064885544779</v>
      </c>
      <c r="O16" s="92"/>
    </row>
    <row r="17" spans="1:15" x14ac:dyDescent="0.3">
      <c r="A17" s="100" t="s">
        <v>31</v>
      </c>
      <c r="B17" s="100"/>
      <c r="I17" s="12">
        <v>1000</v>
      </c>
      <c r="J17" s="14">
        <f t="shared" si="2"/>
        <v>76.255679999999998</v>
      </c>
      <c r="M17" s="11">
        <v>1000</v>
      </c>
      <c r="N17" s="91">
        <f t="shared" si="3"/>
        <v>168.40355089477237</v>
      </c>
      <c r="O17" s="92"/>
    </row>
    <row r="18" spans="1:15" x14ac:dyDescent="0.3">
      <c r="I18" s="12">
        <v>2000</v>
      </c>
      <c r="J18" s="14">
        <f t="shared" si="2"/>
        <v>75.272639999999996</v>
      </c>
      <c r="M18" s="11">
        <v>2000</v>
      </c>
      <c r="N18" s="91">
        <f t="shared" si="3"/>
        <v>163.68274665082163</v>
      </c>
      <c r="O18" s="92"/>
    </row>
    <row r="19" spans="1:15" x14ac:dyDescent="0.3">
      <c r="F19" s="13"/>
      <c r="I19" s="12">
        <v>4000</v>
      </c>
      <c r="J19" s="14">
        <f t="shared" si="2"/>
        <v>74.684480000000008</v>
      </c>
      <c r="M19" s="11">
        <v>4000</v>
      </c>
      <c r="N19" s="91">
        <f t="shared" si="3"/>
        <v>160.92687206535027</v>
      </c>
      <c r="O19" s="92"/>
    </row>
    <row r="21" spans="1:15" x14ac:dyDescent="0.3">
      <c r="C21" s="89" t="s">
        <v>40</v>
      </c>
      <c r="D21" s="90"/>
      <c r="E21" s="89" t="s">
        <v>41</v>
      </c>
      <c r="F21" s="90"/>
      <c r="I21" s="89" t="s">
        <v>44</v>
      </c>
      <c r="J21" s="8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0.16*volume_B1/J14</f>
        <v>0.60163986525138236</v>
      </c>
      <c r="F24" s="16">
        <f t="shared" ref="F24:F29" si="5"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3">
      <c r="B25" s="11">
        <v>250</v>
      </c>
      <c r="D25" s="16">
        <f t="shared" si="4"/>
        <v>0.39799857040743386</v>
      </c>
      <c r="F25" s="16">
        <f t="shared" si="5"/>
        <v>0.34077784292488106</v>
      </c>
      <c r="I25" s="12">
        <v>250</v>
      </c>
      <c r="J25" s="14">
        <f t="shared" ref="J25:J29" si="6">(D25-F25)/D25</f>
        <v>0.14377118848435952</v>
      </c>
    </row>
    <row r="26" spans="1:15" x14ac:dyDescent="0.3">
      <c r="B26" s="11">
        <v>500</v>
      </c>
      <c r="D26" s="16">
        <f t="shared" si="4"/>
        <v>0.246473683799386</v>
      </c>
      <c r="F26" s="16">
        <f t="shared" si="5"/>
        <v>0.18689970706314707</v>
      </c>
      <c r="I26" s="12">
        <v>500</v>
      </c>
      <c r="J26" s="14">
        <f t="shared" si="6"/>
        <v>0.2417052231212172</v>
      </c>
    </row>
    <row r="27" spans="1:15" x14ac:dyDescent="0.3">
      <c r="B27" s="11">
        <v>1000</v>
      </c>
      <c r="D27" s="16">
        <f t="shared" si="4"/>
        <v>0.19860763158888622</v>
      </c>
      <c r="F27" s="16">
        <f t="shared" si="5"/>
        <v>0.13716903341088477</v>
      </c>
      <c r="I27" s="12">
        <v>1000</v>
      </c>
      <c r="J27" s="14">
        <f t="shared" si="6"/>
        <v>0.30934661315119105</v>
      </c>
    </row>
    <row r="28" spans="1:15" x14ac:dyDescent="0.3">
      <c r="B28" s="11">
        <v>2000</v>
      </c>
      <c r="D28" s="16">
        <f t="shared" si="4"/>
        <v>0.20120139269726689</v>
      </c>
      <c r="F28" s="16">
        <f t="shared" si="5"/>
        <v>0.1398985800611833</v>
      </c>
      <c r="I28" s="12">
        <v>2000</v>
      </c>
      <c r="J28" s="14">
        <f t="shared" si="6"/>
        <v>0.30468383848774583</v>
      </c>
    </row>
    <row r="29" spans="1:15" x14ac:dyDescent="0.3">
      <c r="B29" s="11">
        <v>4000</v>
      </c>
      <c r="D29" s="16">
        <f t="shared" si="4"/>
        <v>0.20278590679080843</v>
      </c>
      <c r="F29" s="16">
        <f t="shared" si="5"/>
        <v>0.14156341881091922</v>
      </c>
      <c r="I29" s="12">
        <v>4000</v>
      </c>
      <c r="J29" s="14">
        <f t="shared" si="6"/>
        <v>0.30190701587090873</v>
      </c>
    </row>
    <row r="30" spans="1:15" x14ac:dyDescent="0.3">
      <c r="F30" s="17"/>
    </row>
  </sheetData>
  <mergeCells count="29">
    <mergeCell ref="N6:O6"/>
    <mergeCell ref="C1:F1"/>
    <mergeCell ref="N1:Q1"/>
    <mergeCell ref="N2:O2"/>
    <mergeCell ref="N4:O4"/>
    <mergeCell ref="N5:O5"/>
    <mergeCell ref="G1:H1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" workbookViewId="0">
      <selection activeCell="D6" sqref="D6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3" t="s">
        <v>19</v>
      </c>
      <c r="D1" s="93"/>
      <c r="E1" s="93"/>
      <c r="F1" s="93"/>
      <c r="N1" s="93" t="s">
        <v>32</v>
      </c>
      <c r="O1" s="93"/>
      <c r="P1" s="93"/>
      <c r="Q1" s="93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8" t="s">
        <v>33</v>
      </c>
      <c r="O2" s="99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4">
        <f t="shared" ref="N4:N9" si="0">1/(surface_B2)*(0.4*C4*area_S1_B2+D4*area_S2_B2+E4*area_S3_B2+F4*area_S4_B2+G4*area_S5_B2_1+H4*area_S5_B2_2+I4*area_S6_B2+J4*area_S7_B2 + K4*0.6*area_S1_B2)</f>
        <v>0.19182153846153846</v>
      </c>
      <c r="O4" s="95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4">
        <f t="shared" si="0"/>
        <v>0.26621846153846151</v>
      </c>
      <c r="O5" s="95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4">
        <f t="shared" si="0"/>
        <v>0.38865538461538468</v>
      </c>
      <c r="O6" s="95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4">
        <f t="shared" si="0"/>
        <v>0.43475230769230772</v>
      </c>
      <c r="O7" s="95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4">
        <f t="shared" si="0"/>
        <v>0.43422307692307704</v>
      </c>
      <c r="O8" s="95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4">
        <f t="shared" si="0"/>
        <v>0.42225692307692314</v>
      </c>
      <c r="O9" s="95"/>
    </row>
    <row r="10" spans="1:17" x14ac:dyDescent="0.3">
      <c r="G10" s="10"/>
    </row>
    <row r="11" spans="1:17" x14ac:dyDescent="0.3">
      <c r="A11" s="100" t="s">
        <v>51</v>
      </c>
      <c r="B11" s="100"/>
      <c r="I11" s="89" t="s">
        <v>38</v>
      </c>
      <c r="J11" s="89"/>
      <c r="M11" s="93" t="s">
        <v>36</v>
      </c>
      <c r="N11" s="93"/>
      <c r="O11" s="93"/>
      <c r="P11" s="93"/>
    </row>
    <row r="12" spans="1:17" x14ac:dyDescent="0.3">
      <c r="A12" s="100" t="s">
        <v>25</v>
      </c>
      <c r="B12" s="100"/>
      <c r="I12" s="12" t="s">
        <v>17</v>
      </c>
      <c r="J12" s="14" t="s">
        <v>39</v>
      </c>
      <c r="L12" s="13"/>
      <c r="M12" s="11" t="s">
        <v>17</v>
      </c>
      <c r="N12" s="96" t="s">
        <v>37</v>
      </c>
      <c r="O12" s="97"/>
    </row>
    <row r="13" spans="1:17" x14ac:dyDescent="0.3">
      <c r="A13" s="100" t="s">
        <v>27</v>
      </c>
      <c r="B13" s="100"/>
      <c r="I13" s="12"/>
    </row>
    <row r="14" spans="1:17" x14ac:dyDescent="0.3">
      <c r="A14" s="100" t="s">
        <v>28</v>
      </c>
      <c r="B14" s="100"/>
      <c r="I14" s="12">
        <v>125</v>
      </c>
      <c r="J14" s="14">
        <f t="shared" ref="J14:J19" si="2">N4*surface_B2</f>
        <v>24.936799999999998</v>
      </c>
      <c r="M14" s="11">
        <v>125</v>
      </c>
      <c r="N14" s="91">
        <f t="shared" ref="N14:N19" si="3">(N4*surface_B2)/(1-N4)</f>
        <v>30.855561224101301</v>
      </c>
      <c r="O14" s="92"/>
    </row>
    <row r="15" spans="1:17" x14ac:dyDescent="0.3">
      <c r="A15" s="100" t="s">
        <v>29</v>
      </c>
      <c r="B15" s="100"/>
      <c r="I15" s="12">
        <v>250</v>
      </c>
      <c r="J15" s="14">
        <f t="shared" si="2"/>
        <v>34.608399999999996</v>
      </c>
      <c r="M15" s="11">
        <v>250</v>
      </c>
      <c r="N15" s="91">
        <f t="shared" si="3"/>
        <v>47.164446345380512</v>
      </c>
      <c r="O15" s="92"/>
    </row>
    <row r="16" spans="1:17" x14ac:dyDescent="0.3">
      <c r="A16" s="100" t="s">
        <v>30</v>
      </c>
      <c r="B16" s="100"/>
      <c r="I16" s="12">
        <v>500</v>
      </c>
      <c r="J16" s="14">
        <f t="shared" si="2"/>
        <v>50.525200000000005</v>
      </c>
      <c r="M16" s="11">
        <v>500</v>
      </c>
      <c r="N16" s="91">
        <f t="shared" si="3"/>
        <v>82.64602112870999</v>
      </c>
      <c r="O16" s="92"/>
    </row>
    <row r="17" spans="1:15" x14ac:dyDescent="0.3">
      <c r="A17" s="100" t="s">
        <v>31</v>
      </c>
      <c r="B17" s="100"/>
      <c r="I17" s="12">
        <v>1000</v>
      </c>
      <c r="J17" s="14">
        <f t="shared" si="2"/>
        <v>56.517800000000001</v>
      </c>
      <c r="M17" s="11">
        <v>1000</v>
      </c>
      <c r="N17" s="91">
        <f t="shared" si="3"/>
        <v>99.987670483464015</v>
      </c>
      <c r="O17" s="92"/>
    </row>
    <row r="18" spans="1:15" x14ac:dyDescent="0.3">
      <c r="I18" s="12">
        <v>2000</v>
      </c>
      <c r="J18" s="14">
        <f t="shared" si="2"/>
        <v>56.449000000000012</v>
      </c>
      <c r="M18" s="11">
        <v>2000</v>
      </c>
      <c r="N18" s="91">
        <f t="shared" si="3"/>
        <v>99.772538782613466</v>
      </c>
      <c r="O18" s="92"/>
    </row>
    <row r="19" spans="1:15" x14ac:dyDescent="0.3">
      <c r="F19" s="13"/>
      <c r="I19" s="12">
        <v>4000</v>
      </c>
      <c r="J19" s="14">
        <f t="shared" si="2"/>
        <v>54.893400000000007</v>
      </c>
      <c r="M19" s="11">
        <v>4000</v>
      </c>
      <c r="N19" s="91">
        <f t="shared" si="3"/>
        <v>95.013514125256648</v>
      </c>
      <c r="O19" s="92"/>
    </row>
    <row r="21" spans="1:15" x14ac:dyDescent="0.3">
      <c r="C21" s="89" t="s">
        <v>40</v>
      </c>
      <c r="D21" s="90"/>
      <c r="E21" s="89" t="s">
        <v>41</v>
      </c>
      <c r="F21" s="90"/>
      <c r="I21" s="89" t="s">
        <v>44</v>
      </c>
      <c r="J21" s="8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0.16*volume_B2/J14</f>
        <v>0.64162202046774253</v>
      </c>
      <c r="F24" s="16">
        <f t="shared" ref="F24:F29" si="5"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3">
      <c r="B25" s="11">
        <v>250</v>
      </c>
      <c r="D25" s="16">
        <f t="shared" si="4"/>
        <v>0.46231550721790093</v>
      </c>
      <c r="F25" s="16">
        <f t="shared" si="5"/>
        <v>0.39760729467648537</v>
      </c>
      <c r="I25" s="12">
        <v>250</v>
      </c>
      <c r="J25" s="14">
        <f t="shared" ref="J25:J29" si="6">(D25-F25)/D25</f>
        <v>0.13996548143239537</v>
      </c>
    </row>
    <row r="26" spans="1:15" x14ac:dyDescent="0.3">
      <c r="B26" s="11">
        <v>500</v>
      </c>
      <c r="D26" s="16">
        <f t="shared" si="4"/>
        <v>0.31667365987665558</v>
      </c>
      <c r="F26" s="16">
        <f t="shared" si="5"/>
        <v>0.25010832886185413</v>
      </c>
      <c r="I26" s="12">
        <v>500</v>
      </c>
      <c r="J26" s="14">
        <f t="shared" si="6"/>
        <v>0.2102016664118154</v>
      </c>
    </row>
    <row r="27" spans="1:15" x14ac:dyDescent="0.3">
      <c r="B27" s="11">
        <v>1000</v>
      </c>
      <c r="D27" s="16">
        <f t="shared" si="4"/>
        <v>0.28309665273595219</v>
      </c>
      <c r="F27" s="16">
        <f t="shared" si="5"/>
        <v>0.21573849376765239</v>
      </c>
      <c r="I27" s="12">
        <v>1000</v>
      </c>
      <c r="J27" s="14">
        <f t="shared" si="6"/>
        <v>0.23793343480866094</v>
      </c>
    </row>
    <row r="28" spans="1:15" x14ac:dyDescent="0.3">
      <c r="B28" s="11">
        <v>2000</v>
      </c>
      <c r="D28" s="16">
        <f t="shared" si="4"/>
        <v>0.28344169072968511</v>
      </c>
      <c r="F28" s="16">
        <f t="shared" si="5"/>
        <v>0.21609297620183074</v>
      </c>
      <c r="I28" s="12">
        <v>2000</v>
      </c>
      <c r="J28" s="14">
        <f t="shared" si="6"/>
        <v>0.2376104741489283</v>
      </c>
    </row>
    <row r="29" spans="1:15" x14ac:dyDescent="0.3">
      <c r="B29" s="11">
        <v>4000</v>
      </c>
      <c r="D29" s="16">
        <f t="shared" si="4"/>
        <v>0.29147402055620525</v>
      </c>
      <c r="F29" s="16">
        <f t="shared" si="5"/>
        <v>0.22433665233228126</v>
      </c>
      <c r="I29" s="12">
        <v>4000</v>
      </c>
      <c r="J29" s="14">
        <f t="shared" si="6"/>
        <v>0.23033740055394689</v>
      </c>
    </row>
    <row r="30" spans="1:15" x14ac:dyDescent="0.3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opLeftCell="A23" workbookViewId="0">
      <selection activeCell="K40" sqref="K40"/>
    </sheetView>
  </sheetViews>
  <sheetFormatPr defaultRowHeight="14.4" x14ac:dyDescent="0.3"/>
  <cols>
    <col min="9" max="9" width="10.44140625" customWidth="1"/>
    <col min="12" max="12" width="10.88671875" customWidth="1"/>
    <col min="13" max="13" width="11.109375" bestFit="1" customWidth="1"/>
    <col min="14" max="14" width="11.6640625" customWidth="1"/>
  </cols>
  <sheetData>
    <row r="1" spans="1:19" ht="18" x14ac:dyDescent="0.35">
      <c r="A1" s="110" t="s">
        <v>54</v>
      </c>
      <c r="B1" s="110"/>
      <c r="C1" s="24"/>
      <c r="D1" s="113" t="s">
        <v>76</v>
      </c>
      <c r="E1" s="113"/>
      <c r="F1" s="113"/>
      <c r="G1" s="107" t="s">
        <v>61</v>
      </c>
      <c r="H1" s="107"/>
      <c r="I1" s="107"/>
      <c r="L1" s="107" t="s">
        <v>68</v>
      </c>
      <c r="M1" s="107"/>
      <c r="N1" s="107"/>
    </row>
    <row r="2" spans="1:19" x14ac:dyDescent="0.3">
      <c r="A2" s="111" t="s">
        <v>55</v>
      </c>
      <c r="B2" s="111"/>
      <c r="C2" s="111"/>
      <c r="D2" s="111"/>
      <c r="E2" s="111"/>
      <c r="F2" s="111"/>
      <c r="G2" s="114"/>
      <c r="H2" s="114"/>
      <c r="I2" s="114"/>
      <c r="L2" s="114"/>
      <c r="M2" s="114"/>
      <c r="N2" s="114"/>
    </row>
    <row r="3" spans="1:19" x14ac:dyDescent="0.3">
      <c r="A3" s="55"/>
      <c r="B3" s="55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115" t="s">
        <v>17</v>
      </c>
      <c r="K3" s="115"/>
      <c r="L3" s="44" t="s">
        <v>69</v>
      </c>
      <c r="M3" s="32" t="s">
        <v>70</v>
      </c>
      <c r="N3" s="32" t="s">
        <v>71</v>
      </c>
    </row>
    <row r="4" spans="1:19" x14ac:dyDescent="0.3">
      <c r="A4" s="56" t="s">
        <v>57</v>
      </c>
      <c r="B4" s="57">
        <v>58</v>
      </c>
      <c r="C4" s="116" t="s">
        <v>58</v>
      </c>
      <c r="D4" s="117"/>
      <c r="E4" s="117"/>
      <c r="F4" s="117"/>
      <c r="G4" s="30"/>
      <c r="H4" s="27"/>
      <c r="I4" s="36"/>
      <c r="J4" s="115"/>
      <c r="K4" s="115"/>
      <c r="L4" s="45"/>
      <c r="M4" s="27"/>
      <c r="N4" s="30"/>
    </row>
    <row r="5" spans="1:19" x14ac:dyDescent="0.3">
      <c r="G5" s="14">
        <v>60</v>
      </c>
      <c r="H5" s="8">
        <v>0</v>
      </c>
      <c r="I5" s="43">
        <f>G5-H5</f>
        <v>60</v>
      </c>
      <c r="J5" s="115">
        <v>125</v>
      </c>
      <c r="K5" s="115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3">
      <c r="G6" s="14">
        <v>65</v>
      </c>
      <c r="H6" s="8">
        <v>6</v>
      </c>
      <c r="I6" s="43">
        <f t="shared" ref="I6:I9" si="0">G6-H6</f>
        <v>59</v>
      </c>
      <c r="J6" s="115">
        <v>250</v>
      </c>
      <c r="K6" s="115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3">
      <c r="G7" s="14">
        <v>66</v>
      </c>
      <c r="H7" s="8">
        <v>18</v>
      </c>
      <c r="I7" s="43">
        <f t="shared" si="0"/>
        <v>48</v>
      </c>
      <c r="J7" s="115">
        <v>500</v>
      </c>
      <c r="K7" s="115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3">
      <c r="G8" s="14">
        <v>67</v>
      </c>
      <c r="H8" s="8">
        <v>30</v>
      </c>
      <c r="I8" s="43">
        <f t="shared" si="0"/>
        <v>37</v>
      </c>
      <c r="J8" s="115">
        <v>1000</v>
      </c>
      <c r="K8" s="115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3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115">
        <v>2000</v>
      </c>
      <c r="K9" s="115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5" thickBot="1" x14ac:dyDescent="0.35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5" thickBot="1" x14ac:dyDescent="0.35">
      <c r="A11" s="51" t="s">
        <v>57</v>
      </c>
      <c r="B11" s="65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3">
      <c r="D12" s="33"/>
      <c r="I12" s="40"/>
    </row>
    <row r="13" spans="1:19" x14ac:dyDescent="0.3">
      <c r="A13" s="106" t="s">
        <v>52</v>
      </c>
      <c r="B13" s="106"/>
      <c r="C13" s="106"/>
      <c r="F13" s="108" t="s">
        <v>67</v>
      </c>
      <c r="G13" s="109" t="s">
        <v>62</v>
      </c>
      <c r="H13" s="109" t="s">
        <v>66</v>
      </c>
      <c r="I13" s="109" t="s">
        <v>59</v>
      </c>
      <c r="L13" s="108" t="s">
        <v>67</v>
      </c>
      <c r="M13" s="109" t="s">
        <v>72</v>
      </c>
      <c r="N13" s="109" t="s">
        <v>66</v>
      </c>
      <c r="O13" s="109" t="s">
        <v>59</v>
      </c>
      <c r="R13" s="31" t="s">
        <v>87</v>
      </c>
      <c r="S13" s="63">
        <f>160*SQRT(40/40)</f>
        <v>160</v>
      </c>
    </row>
    <row r="14" spans="1:19" x14ac:dyDescent="0.3">
      <c r="A14" s="106"/>
      <c r="B14" s="106"/>
      <c r="C14" s="106"/>
      <c r="F14" s="108"/>
      <c r="G14" s="109"/>
      <c r="H14" s="109"/>
      <c r="I14" s="109"/>
      <c r="L14" s="108"/>
      <c r="M14" s="109"/>
      <c r="N14" s="109"/>
      <c r="O14" s="109"/>
    </row>
    <row r="15" spans="1:19" x14ac:dyDescent="0.3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3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3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3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3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3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5" thickBot="1" x14ac:dyDescent="0.35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5" thickBot="1" x14ac:dyDescent="0.35">
      <c r="I22" s="38">
        <f>IF(SUM(I17:I21) &gt; 10, "ERROR", SUM(I17:I21) )</f>
        <v>10</v>
      </c>
      <c r="J22" s="102" t="s">
        <v>60</v>
      </c>
      <c r="K22" s="103"/>
      <c r="O22" s="50">
        <f>IF(SUM(O17:O21) &gt; 10, "ERROR", SUM(O17:O21) )</f>
        <v>8.6853992195166114</v>
      </c>
      <c r="P22" s="102" t="s">
        <v>60</v>
      </c>
      <c r="Q22" s="103"/>
    </row>
    <row r="24" spans="1:19" ht="6.75" customHeight="1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" x14ac:dyDescent="0.35">
      <c r="A25" s="110" t="s">
        <v>54</v>
      </c>
      <c r="B25" s="110"/>
      <c r="C25" s="24"/>
      <c r="D25" s="113" t="s">
        <v>77</v>
      </c>
      <c r="E25" s="113"/>
      <c r="F25" s="113"/>
    </row>
    <row r="26" spans="1:19" x14ac:dyDescent="0.3">
      <c r="A26" s="111" t="s">
        <v>55</v>
      </c>
      <c r="B26" s="111"/>
      <c r="C26" s="111"/>
      <c r="D26" s="111"/>
      <c r="E26" s="111"/>
      <c r="F26" s="111"/>
    </row>
    <row r="27" spans="1:19" x14ac:dyDescent="0.3">
      <c r="A27" s="119" t="s">
        <v>56</v>
      </c>
      <c r="B27" s="120">
        <v>50</v>
      </c>
      <c r="C27" s="25"/>
      <c r="D27" s="25"/>
      <c r="E27" s="25"/>
      <c r="F27" s="25"/>
    </row>
    <row r="28" spans="1:19" x14ac:dyDescent="0.3">
      <c r="A28" s="55"/>
      <c r="B28" s="55"/>
      <c r="C28" s="112"/>
      <c r="D28" s="112"/>
      <c r="E28" s="112"/>
      <c r="F28" s="112"/>
    </row>
    <row r="29" spans="1:19" x14ac:dyDescent="0.3">
      <c r="H29" s="100" t="s">
        <v>93</v>
      </c>
      <c r="I29" s="100"/>
      <c r="J29" s="100"/>
      <c r="K29" s="105"/>
      <c r="L29" s="28" t="s">
        <v>84</v>
      </c>
      <c r="M29" s="26">
        <v>509</v>
      </c>
      <c r="N29" s="62" t="s">
        <v>88</v>
      </c>
    </row>
    <row r="30" spans="1:19" x14ac:dyDescent="0.3">
      <c r="H30" s="31" t="s">
        <v>91</v>
      </c>
      <c r="I30" s="63">
        <f>J40+M33</f>
        <v>63</v>
      </c>
      <c r="L30" s="28" t="s">
        <v>85</v>
      </c>
      <c r="M30" s="26">
        <v>40</v>
      </c>
      <c r="N30" s="62" t="s">
        <v>88</v>
      </c>
    </row>
    <row r="31" spans="1:19" x14ac:dyDescent="0.3">
      <c r="A31" s="28" t="s">
        <v>81</v>
      </c>
      <c r="B31" s="26">
        <v>509</v>
      </c>
      <c r="L31" s="28" t="s">
        <v>86</v>
      </c>
      <c r="M31" s="26">
        <v>10</v>
      </c>
      <c r="N31" s="62" t="s">
        <v>90</v>
      </c>
    </row>
    <row r="32" spans="1:19" x14ac:dyDescent="0.3">
      <c r="L32" s="28" t="s">
        <v>87</v>
      </c>
      <c r="M32" s="26">
        <f>160*SQRT(M31*((1/M29)+(1/M30)))</f>
        <v>83.08397531903104</v>
      </c>
      <c r="N32" s="62" t="s">
        <v>89</v>
      </c>
    </row>
    <row r="33" spans="1:14" x14ac:dyDescent="0.3">
      <c r="L33" s="64" t="s">
        <v>92</v>
      </c>
      <c r="M33" s="26">
        <v>7</v>
      </c>
    </row>
    <row r="34" spans="1:14" x14ac:dyDescent="0.3">
      <c r="A34" s="106" t="s">
        <v>52</v>
      </c>
      <c r="B34" s="106"/>
      <c r="C34" s="106"/>
      <c r="E34" s="107" t="s">
        <v>78</v>
      </c>
      <c r="F34" s="107"/>
      <c r="H34" s="108" t="s">
        <v>67</v>
      </c>
      <c r="I34" s="109" t="s">
        <v>82</v>
      </c>
      <c r="J34" s="109" t="s">
        <v>66</v>
      </c>
      <c r="K34" s="109" t="s">
        <v>59</v>
      </c>
    </row>
    <row r="35" spans="1:14" x14ac:dyDescent="0.3">
      <c r="A35" s="106"/>
      <c r="B35" s="106"/>
      <c r="C35" s="106"/>
      <c r="E35" s="107"/>
      <c r="F35" s="107"/>
      <c r="H35" s="108"/>
      <c r="I35" s="109"/>
      <c r="J35" s="109"/>
      <c r="K35" s="109"/>
    </row>
    <row r="36" spans="1:14" x14ac:dyDescent="0.3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3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3">
      <c r="A38" s="8">
        <v>0</v>
      </c>
      <c r="B38" s="8">
        <f>125*2^(A38)</f>
        <v>125</v>
      </c>
      <c r="C38" s="34">
        <v>36</v>
      </c>
      <c r="E38" s="59">
        <f xml:space="preserve"> 20*LOG10(mass_bare*B38) -42.3</f>
        <v>53.772555906896315</v>
      </c>
      <c r="F38" s="59">
        <f>E38-10*LOG10(0.23*E38)</f>
        <v>42.849670749016262</v>
      </c>
      <c r="H38" s="30">
        <v>4</v>
      </c>
      <c r="I38" s="49">
        <f>F38</f>
        <v>42.849670749016262</v>
      </c>
      <c r="J38" s="60">
        <f>C38+H38</f>
        <v>40</v>
      </c>
      <c r="K38" s="14">
        <f>IF(I38&gt;J38, I38-J38,0)</f>
        <v>2.8496707490162621</v>
      </c>
    </row>
    <row r="39" spans="1:14" x14ac:dyDescent="0.3">
      <c r="A39" s="8">
        <v>1</v>
      </c>
      <c r="B39" s="8">
        <f>125*2^(A39)</f>
        <v>250</v>
      </c>
      <c r="C39" s="34">
        <v>45</v>
      </c>
      <c r="E39" s="59">
        <f xml:space="preserve"> 20*LOG10(mass_bare*B39) -42.3</f>
        <v>59.79315582017594</v>
      </c>
      <c r="F39" s="59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0">
        <f t="shared" ref="J39:J42" si="10">C39+H39</f>
        <v>49</v>
      </c>
      <c r="K39" s="14">
        <f t="shared" ref="K39:K42" si="11">IF(I39&gt;J39, I39-J39,0)</f>
        <v>0</v>
      </c>
    </row>
    <row r="40" spans="1:14" x14ac:dyDescent="0.3">
      <c r="A40" s="8">
        <v>2</v>
      </c>
      <c r="B40" s="8">
        <f>125*2^(A40)</f>
        <v>500</v>
      </c>
      <c r="C40" s="34">
        <v>52</v>
      </c>
      <c r="E40" s="59">
        <f xml:space="preserve"> 20*LOG10(mass_bare*B40) -42.3</f>
        <v>65.813755733455565</v>
      </c>
      <c r="F40" s="59">
        <f t="shared" si="8"/>
        <v>54.013310623344665</v>
      </c>
      <c r="H40" s="30">
        <v>4</v>
      </c>
      <c r="I40" s="49">
        <f t="shared" si="9"/>
        <v>54.013310623344665</v>
      </c>
      <c r="J40" s="61">
        <f t="shared" si="10"/>
        <v>56</v>
      </c>
      <c r="K40" s="14">
        <f t="shared" si="11"/>
        <v>0</v>
      </c>
      <c r="L40" s="104" t="s">
        <v>83</v>
      </c>
      <c r="M40" s="100"/>
      <c r="N40" s="100"/>
    </row>
    <row r="41" spans="1:14" x14ac:dyDescent="0.3">
      <c r="A41" s="8">
        <v>3</v>
      </c>
      <c r="B41" s="8">
        <f>125*2^(A41)</f>
        <v>1000</v>
      </c>
      <c r="C41" s="34">
        <v>55</v>
      </c>
      <c r="E41" s="59">
        <f xml:space="preserve"> 20*LOG10(mass_bare*B41) -42.3</f>
        <v>71.834355646735176</v>
      </c>
      <c r="F41" s="59">
        <f t="shared" si="8"/>
        <v>59.653755281561935</v>
      </c>
      <c r="H41" s="30">
        <v>4</v>
      </c>
      <c r="I41" s="49">
        <f t="shared" si="9"/>
        <v>59.653755281561935</v>
      </c>
      <c r="J41" s="60">
        <f t="shared" si="10"/>
        <v>59</v>
      </c>
      <c r="K41" s="14">
        <f t="shared" si="11"/>
        <v>0.65375528156193496</v>
      </c>
    </row>
    <row r="42" spans="1:14" ht="15" thickBot="1" x14ac:dyDescent="0.35">
      <c r="A42" s="8">
        <v>4</v>
      </c>
      <c r="B42" s="8">
        <f>125*2^(A42)</f>
        <v>2000</v>
      </c>
      <c r="C42" s="34">
        <v>56</v>
      </c>
      <c r="E42" s="59">
        <f xml:space="preserve"> 20*LOG10(mass_bare*B42) -42.3</f>
        <v>77.854955560014801</v>
      </c>
      <c r="F42" s="59">
        <f t="shared" si="8"/>
        <v>65.324814588424516</v>
      </c>
      <c r="H42" s="30">
        <v>4</v>
      </c>
      <c r="I42" s="49">
        <f t="shared" si="9"/>
        <v>65.324814588424516</v>
      </c>
      <c r="J42" s="60">
        <f t="shared" si="10"/>
        <v>60</v>
      </c>
      <c r="K42" s="14">
        <f t="shared" si="11"/>
        <v>5.3248145884245162</v>
      </c>
    </row>
    <row r="43" spans="1:14" ht="15" thickBot="1" x14ac:dyDescent="0.35">
      <c r="A43" s="58"/>
      <c r="B43" s="58"/>
      <c r="C43" s="34"/>
      <c r="E43" s="59"/>
      <c r="F43" s="59"/>
      <c r="K43" s="38">
        <f>IF(SUM(K38:K42) &gt; 10, "ERROR", SUM(K38:K42) )</f>
        <v>8.8282406190027132</v>
      </c>
      <c r="L43" s="102" t="s">
        <v>60</v>
      </c>
      <c r="M43" s="103"/>
    </row>
  </sheetData>
  <mergeCells count="37"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  <mergeCell ref="L1:N2"/>
    <mergeCell ref="J5:K5"/>
    <mergeCell ref="J6:K6"/>
    <mergeCell ref="J7:K7"/>
    <mergeCell ref="J8:K8"/>
    <mergeCell ref="L13:L14"/>
    <mergeCell ref="M13:M14"/>
    <mergeCell ref="N13:N14"/>
    <mergeCell ref="O13:O14"/>
    <mergeCell ref="P22:Q22"/>
    <mergeCell ref="A25:B25"/>
    <mergeCell ref="A26:F26"/>
    <mergeCell ref="C28:F28"/>
    <mergeCell ref="D1:F1"/>
    <mergeCell ref="D25:F25"/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827-4912-454B-BCE8-0C2D4C26ADD4}">
  <sheetPr>
    <tabColor rgb="FF92D050"/>
  </sheetPr>
  <dimension ref="A1:M29"/>
  <sheetViews>
    <sheetView workbookViewId="0">
      <selection activeCell="B7" sqref="B7"/>
    </sheetView>
  </sheetViews>
  <sheetFormatPr defaultRowHeight="14.4" x14ac:dyDescent="0.3"/>
  <cols>
    <col min="1" max="1" width="30.44140625" customWidth="1"/>
    <col min="7" max="7" width="20.44140625" customWidth="1"/>
  </cols>
  <sheetData>
    <row r="1" spans="1:13" ht="33" customHeight="1" x14ac:dyDescent="0.3">
      <c r="B1" s="85" t="s">
        <v>0</v>
      </c>
      <c r="C1" s="85"/>
      <c r="D1" s="85"/>
      <c r="E1" s="85"/>
      <c r="H1" s="118" t="s">
        <v>0</v>
      </c>
      <c r="I1" s="118"/>
      <c r="J1" s="118"/>
      <c r="K1" s="69" t="s">
        <v>101</v>
      </c>
      <c r="L1" s="69" t="s">
        <v>99</v>
      </c>
      <c r="M1" s="69" t="s">
        <v>100</v>
      </c>
    </row>
    <row r="2" spans="1:13" x14ac:dyDescent="0.3">
      <c r="B2" s="2">
        <v>1</v>
      </c>
      <c r="C2" s="3">
        <v>2</v>
      </c>
      <c r="D2" s="4">
        <v>3</v>
      </c>
      <c r="G2" s="67"/>
      <c r="H2" s="2">
        <v>1</v>
      </c>
      <c r="I2" s="3">
        <v>2</v>
      </c>
      <c r="J2" s="4">
        <v>3</v>
      </c>
      <c r="K2" s="68" t="s">
        <v>96</v>
      </c>
      <c r="L2" s="68" t="s">
        <v>97</v>
      </c>
      <c r="M2" s="68" t="s">
        <v>98</v>
      </c>
    </row>
    <row r="3" spans="1:13" ht="31.5" customHeight="1" x14ac:dyDescent="0.3">
      <c r="A3" s="79" t="s">
        <v>103</v>
      </c>
      <c r="B3" s="78">
        <f>(volume_A)^(1/3)</f>
        <v>5.7098015415784111</v>
      </c>
      <c r="C3" s="78">
        <f>(volume_B1)^(1/3)</f>
        <v>4.5573884707963188</v>
      </c>
      <c r="D3" s="78">
        <f>(volume_B2)^(1/3)</f>
        <v>4.6415888336127793</v>
      </c>
      <c r="G3" s="71" t="s">
        <v>102</v>
      </c>
      <c r="H3" s="78">
        <f t="shared" ref="H3:H29" si="0" xml:space="preserve"> (343/2)*SQRT((K3/lenx1)^2 + (L3/leny1)^2 + (M3/lenz1)^2)</f>
        <v>20.176470588235293</v>
      </c>
      <c r="I3" s="78">
        <f t="shared" ref="I3:I29" si="1" xml:space="preserve"> (343/2)*SQRT((K3/lenx2)^2 + (L3/leny2)^2 + (M3/lenz2)^2)</f>
        <v>25.22058823529412</v>
      </c>
      <c r="J3" s="78">
        <f t="shared" ref="J3:J29" si="2" xml:space="preserve"> (343/2)*SQRT((K3/lenx3)^2 + (L3/leny3)^2 + (M3/lenz3)^2)</f>
        <v>34.300000000000004</v>
      </c>
      <c r="K3" s="73">
        <v>1</v>
      </c>
      <c r="L3" s="73">
        <v>0</v>
      </c>
      <c r="M3" s="73">
        <v>0</v>
      </c>
    </row>
    <row r="4" spans="1:13" ht="37.5" customHeight="1" x14ac:dyDescent="0.3">
      <c r="A4" s="66" t="s">
        <v>104</v>
      </c>
      <c r="B4" s="80">
        <f xml:space="preserve"> 343/B3</f>
        <v>60.072140424197904</v>
      </c>
      <c r="C4" s="80">
        <f t="shared" ref="C4:D4" si="3" xml:space="preserve"> 343/C3</f>
        <v>75.26240130678768</v>
      </c>
      <c r="D4" s="80">
        <f t="shared" si="3"/>
        <v>73.897109868093608</v>
      </c>
      <c r="G4" s="72"/>
      <c r="H4" s="78">
        <f t="shared" si="0"/>
        <v>57.166666666666664</v>
      </c>
      <c r="I4" s="78">
        <f t="shared" si="1"/>
        <v>71.458333333333343</v>
      </c>
      <c r="J4" s="78">
        <f t="shared" si="2"/>
        <v>34.300000000000004</v>
      </c>
      <c r="K4" s="73">
        <v>0</v>
      </c>
      <c r="L4" s="73">
        <v>1</v>
      </c>
      <c r="M4" s="73">
        <v>0</v>
      </c>
    </row>
    <row r="5" spans="1:13" ht="30.75" customHeight="1" x14ac:dyDescent="0.3">
      <c r="A5" s="81" t="s">
        <v>108</v>
      </c>
      <c r="B5" s="80">
        <f>'CASE A'!D26</f>
        <v>1.4830822855720152</v>
      </c>
      <c r="C5" s="80">
        <f>'CASE  B1'!D26</f>
        <v>1.1767279960218797</v>
      </c>
      <c r="D5" s="80">
        <f>'CASE B2'!D26</f>
        <v>1.3853533516892651</v>
      </c>
      <c r="G5" s="72"/>
      <c r="H5" s="78">
        <f t="shared" si="0"/>
        <v>23.493150684931507</v>
      </c>
      <c r="I5" s="78">
        <f t="shared" si="1"/>
        <v>29.568965517241381</v>
      </c>
      <c r="J5" s="78">
        <f t="shared" si="2"/>
        <v>42.875</v>
      </c>
      <c r="K5" s="73">
        <v>0</v>
      </c>
      <c r="L5" s="73">
        <v>0</v>
      </c>
      <c r="M5" s="73">
        <v>1</v>
      </c>
    </row>
    <row r="6" spans="1:13" ht="36" customHeight="1" x14ac:dyDescent="0.3">
      <c r="A6" s="82" t="s">
        <v>107</v>
      </c>
      <c r="B6" s="80">
        <f>'CASE A'!F26</f>
        <v>1.4139603108566092</v>
      </c>
      <c r="C6" s="80">
        <f>'CASE  B1'!F26</f>
        <v>1.1215130351302505</v>
      </c>
      <c r="D6" s="80">
        <f>'CASE B2'!F26</f>
        <v>1.322860787231682</v>
      </c>
      <c r="G6" s="72"/>
      <c r="H6" s="78">
        <f t="shared" si="0"/>
        <v>40.352941176470587</v>
      </c>
      <c r="I6" s="78">
        <f t="shared" si="1"/>
        <v>50.441176470588239</v>
      </c>
      <c r="J6" s="78">
        <f t="shared" si="2"/>
        <v>68.600000000000009</v>
      </c>
      <c r="K6" s="73">
        <v>2</v>
      </c>
      <c r="L6" s="73">
        <v>0</v>
      </c>
      <c r="M6" s="73">
        <v>0</v>
      </c>
    </row>
    <row r="7" spans="1:13" ht="30" customHeight="1" x14ac:dyDescent="0.3">
      <c r="A7" s="83" t="s">
        <v>109</v>
      </c>
      <c r="B7" s="80">
        <f>2000*SQRT(B5/volume_A)</f>
        <v>178.51762451692113</v>
      </c>
      <c r="C7" s="80">
        <f>2000*SQRT(C5/volume_B1)</f>
        <v>222.99440402564559</v>
      </c>
      <c r="D7" s="80">
        <f>2000*SQRT(D5/volume_B2)</f>
        <v>235.40206895346228</v>
      </c>
      <c r="G7" s="72"/>
      <c r="H7" s="78">
        <f t="shared" si="0"/>
        <v>114.33333333333333</v>
      </c>
      <c r="I7" s="78">
        <f t="shared" si="1"/>
        <v>142.91666666666669</v>
      </c>
      <c r="J7" s="78">
        <f t="shared" si="2"/>
        <v>68.600000000000009</v>
      </c>
      <c r="K7" s="73">
        <v>0</v>
      </c>
      <c r="L7" s="73">
        <v>2</v>
      </c>
      <c r="M7" s="73">
        <v>0</v>
      </c>
    </row>
    <row r="8" spans="1:13" ht="30" customHeight="1" x14ac:dyDescent="0.3">
      <c r="A8" s="84" t="s">
        <v>110</v>
      </c>
      <c r="B8" s="80">
        <f>2000*SQRT(B6/volume_A)</f>
        <v>174.30790573817364</v>
      </c>
      <c r="C8" s="80">
        <f>2000*SQRT(C6/volume_B1)</f>
        <v>217.69982729518813</v>
      </c>
      <c r="D8" s="80">
        <f>2000*SQRT(D6/volume_B2)</f>
        <v>230.03137066336689</v>
      </c>
      <c r="G8" s="72"/>
      <c r="H8" s="78">
        <f t="shared" si="0"/>
        <v>46.986301369863014</v>
      </c>
      <c r="I8" s="78">
        <f t="shared" si="1"/>
        <v>59.137931034482762</v>
      </c>
      <c r="J8" s="78">
        <f t="shared" si="2"/>
        <v>85.75</v>
      </c>
      <c r="K8" s="73">
        <v>0</v>
      </c>
      <c r="L8" s="73">
        <v>0</v>
      </c>
      <c r="M8" s="73">
        <v>2</v>
      </c>
    </row>
    <row r="9" spans="1:13" x14ac:dyDescent="0.3">
      <c r="G9" s="72"/>
      <c r="H9" s="78">
        <f t="shared" si="0"/>
        <v>60.529411764705884</v>
      </c>
      <c r="I9" s="78">
        <f t="shared" si="1"/>
        <v>75.661764705882348</v>
      </c>
      <c r="J9" s="78">
        <f t="shared" si="2"/>
        <v>102.89999999999999</v>
      </c>
      <c r="K9" s="73">
        <v>3</v>
      </c>
      <c r="L9" s="73">
        <v>0</v>
      </c>
      <c r="M9" s="73">
        <v>0</v>
      </c>
    </row>
    <row r="10" spans="1:13" x14ac:dyDescent="0.3">
      <c r="G10" s="72"/>
      <c r="H10" s="78">
        <f t="shared" si="0"/>
        <v>171.5</v>
      </c>
      <c r="I10" s="78">
        <f t="shared" si="1"/>
        <v>214.375</v>
      </c>
      <c r="J10" s="78">
        <f t="shared" si="2"/>
        <v>102.89999999999999</v>
      </c>
      <c r="K10" s="73">
        <v>0</v>
      </c>
      <c r="L10" s="73">
        <v>3</v>
      </c>
      <c r="M10" s="73">
        <v>0</v>
      </c>
    </row>
    <row r="11" spans="1:13" x14ac:dyDescent="0.3">
      <c r="G11" s="72"/>
      <c r="H11" s="78">
        <f t="shared" si="0"/>
        <v>70.479452054794521</v>
      </c>
      <c r="I11" s="78">
        <f t="shared" si="1"/>
        <v>88.706896551724142</v>
      </c>
      <c r="J11" s="78">
        <f t="shared" si="2"/>
        <v>128.625</v>
      </c>
      <c r="K11" s="73">
        <v>0</v>
      </c>
      <c r="L11" s="73">
        <v>0</v>
      </c>
      <c r="M11" s="73">
        <v>3</v>
      </c>
    </row>
    <row r="12" spans="1:13" ht="28.8" x14ac:dyDescent="0.3">
      <c r="G12" s="70" t="s">
        <v>105</v>
      </c>
      <c r="H12" s="78">
        <f t="shared" si="0"/>
        <v>60.622749386477857</v>
      </c>
      <c r="I12" s="78">
        <f t="shared" si="1"/>
        <v>75.778436733097323</v>
      </c>
      <c r="J12" s="78">
        <f t="shared" si="2"/>
        <v>48.507525189397171</v>
      </c>
      <c r="K12" s="73">
        <v>1</v>
      </c>
      <c r="L12" s="73">
        <v>1</v>
      </c>
      <c r="M12" s="73">
        <v>0</v>
      </c>
    </row>
    <row r="13" spans="1:13" x14ac:dyDescent="0.3">
      <c r="G13" s="75"/>
      <c r="H13" s="78">
        <f t="shared" si="0"/>
        <v>30.968017284011282</v>
      </c>
      <c r="I13" s="78">
        <f t="shared" si="1"/>
        <v>38.863888028529338</v>
      </c>
      <c r="J13" s="78">
        <f t="shared" si="2"/>
        <v>54.906790335986678</v>
      </c>
      <c r="K13" s="73">
        <v>1</v>
      </c>
      <c r="L13" s="74">
        <v>0</v>
      </c>
      <c r="M13" s="73">
        <v>1</v>
      </c>
    </row>
    <row r="14" spans="1:13" x14ac:dyDescent="0.3">
      <c r="G14" s="75"/>
      <c r="H14" s="78">
        <f t="shared" si="0"/>
        <v>61.805791855478034</v>
      </c>
      <c r="I14" s="78">
        <f t="shared" si="1"/>
        <v>77.334449791393666</v>
      </c>
      <c r="J14" s="78">
        <f t="shared" si="2"/>
        <v>54.906790335986678</v>
      </c>
      <c r="K14" s="73">
        <v>0</v>
      </c>
      <c r="L14" s="73">
        <v>1</v>
      </c>
      <c r="M14" s="73">
        <v>1</v>
      </c>
    </row>
    <row r="15" spans="1:13" x14ac:dyDescent="0.3">
      <c r="G15" s="75"/>
      <c r="H15" s="78">
        <f t="shared" si="0"/>
        <v>69.974192666793044</v>
      </c>
      <c r="I15" s="78">
        <f t="shared" si="1"/>
        <v>87.46774083349132</v>
      </c>
      <c r="J15" s="78">
        <f t="shared" si="2"/>
        <v>76.697131628242801</v>
      </c>
      <c r="K15" s="73">
        <v>2</v>
      </c>
      <c r="L15" s="73">
        <v>1</v>
      </c>
      <c r="M15" s="73">
        <v>0</v>
      </c>
    </row>
    <row r="16" spans="1:13" x14ac:dyDescent="0.3">
      <c r="G16" s="75"/>
      <c r="H16" s="78">
        <f t="shared" si="0"/>
        <v>116.09996156979999</v>
      </c>
      <c r="I16" s="78">
        <f t="shared" si="1"/>
        <v>145.12495196225001</v>
      </c>
      <c r="J16" s="78">
        <f t="shared" si="2"/>
        <v>76.697131628242801</v>
      </c>
      <c r="K16" s="73">
        <v>1</v>
      </c>
      <c r="L16" s="73">
        <v>2</v>
      </c>
      <c r="M16" s="73">
        <v>0</v>
      </c>
    </row>
    <row r="17" spans="7:13" x14ac:dyDescent="0.3">
      <c r="G17" s="75"/>
      <c r="H17" s="78">
        <f t="shared" si="0"/>
        <v>73.998245210257309</v>
      </c>
      <c r="I17" s="78">
        <f t="shared" si="1"/>
        <v>92.755529699403994</v>
      </c>
      <c r="J17" s="78">
        <f t="shared" si="2"/>
        <v>92.355576442356764</v>
      </c>
      <c r="K17" s="73">
        <v>0</v>
      </c>
      <c r="L17" s="73">
        <v>1</v>
      </c>
      <c r="M17" s="73">
        <v>2</v>
      </c>
    </row>
    <row r="18" spans="7:13" x14ac:dyDescent="0.3">
      <c r="G18" s="75"/>
      <c r="H18" s="78">
        <f t="shared" si="0"/>
        <v>121.24549877295571</v>
      </c>
      <c r="I18" s="78">
        <f t="shared" si="1"/>
        <v>151.55687346619465</v>
      </c>
      <c r="J18" s="78">
        <f t="shared" si="2"/>
        <v>97.015050378794342</v>
      </c>
      <c r="K18" s="73">
        <v>2</v>
      </c>
      <c r="L18" s="73">
        <v>2</v>
      </c>
      <c r="M18" s="73">
        <v>0</v>
      </c>
    </row>
    <row r="19" spans="7:13" x14ac:dyDescent="0.3">
      <c r="G19" s="75"/>
      <c r="H19" s="78">
        <f t="shared" si="0"/>
        <v>123.61158371095607</v>
      </c>
      <c r="I19" s="78">
        <f t="shared" si="1"/>
        <v>154.66889958278733</v>
      </c>
      <c r="J19" s="78">
        <f t="shared" si="2"/>
        <v>109.81358067197336</v>
      </c>
      <c r="K19" s="73">
        <v>0</v>
      </c>
      <c r="L19" s="73">
        <v>2</v>
      </c>
      <c r="M19" s="73">
        <v>2</v>
      </c>
    </row>
    <row r="20" spans="7:13" x14ac:dyDescent="0.3">
      <c r="G20" s="75"/>
      <c r="H20" s="78">
        <f t="shared" si="0"/>
        <v>61.936034568022563</v>
      </c>
      <c r="I20" s="78">
        <f t="shared" si="1"/>
        <v>77.727776057058676</v>
      </c>
      <c r="J20" s="78">
        <f t="shared" si="2"/>
        <v>109.81358067197336</v>
      </c>
      <c r="K20" s="73">
        <v>2</v>
      </c>
      <c r="L20" s="73">
        <v>0</v>
      </c>
      <c r="M20" s="73">
        <v>2</v>
      </c>
    </row>
    <row r="21" spans="7:13" ht="28.8" x14ac:dyDescent="0.3">
      <c r="G21" s="76" t="s">
        <v>106</v>
      </c>
      <c r="H21" s="78">
        <f t="shared" si="0"/>
        <v>65.015735574402285</v>
      </c>
      <c r="I21" s="78">
        <f t="shared" si="1"/>
        <v>81.343070973942488</v>
      </c>
      <c r="J21" s="78">
        <f t="shared" si="2"/>
        <v>64.73983028244669</v>
      </c>
      <c r="K21" s="73">
        <v>1</v>
      </c>
      <c r="L21" s="73">
        <v>1</v>
      </c>
      <c r="M21" s="73">
        <v>1</v>
      </c>
    </row>
    <row r="22" spans="7:13" x14ac:dyDescent="0.3">
      <c r="G22" s="77"/>
      <c r="H22" s="78">
        <f t="shared" si="0"/>
        <v>73.812707364480076</v>
      </c>
      <c r="I22" s="78">
        <f t="shared" si="1"/>
        <v>92.330544286680194</v>
      </c>
      <c r="J22" s="78">
        <f t="shared" si="2"/>
        <v>87.867602818103563</v>
      </c>
      <c r="K22" s="73">
        <v>2</v>
      </c>
      <c r="L22" s="73">
        <v>1</v>
      </c>
      <c r="M22" s="73">
        <v>1</v>
      </c>
    </row>
    <row r="23" spans="7:13" x14ac:dyDescent="0.3">
      <c r="G23" s="77"/>
      <c r="H23" s="78">
        <f t="shared" si="0"/>
        <v>118.45306752302338</v>
      </c>
      <c r="I23" s="78">
        <f t="shared" si="1"/>
        <v>148.10663524570796</v>
      </c>
      <c r="J23" s="78">
        <f t="shared" si="2"/>
        <v>87.867602818103563</v>
      </c>
      <c r="K23" s="73">
        <v>1</v>
      </c>
      <c r="L23" s="73">
        <v>2</v>
      </c>
      <c r="M23" s="73">
        <v>1</v>
      </c>
    </row>
    <row r="24" spans="7:13" x14ac:dyDescent="0.3">
      <c r="G24" s="77"/>
      <c r="H24" s="78">
        <f t="shared" si="0"/>
        <v>84.285824168652837</v>
      </c>
      <c r="I24" s="78">
        <f t="shared" si="1"/>
        <v>105.58361886937786</v>
      </c>
      <c r="J24" s="78">
        <f t="shared" si="2"/>
        <v>115.04569744236419</v>
      </c>
      <c r="K24" s="73">
        <v>2</v>
      </c>
      <c r="L24" s="73">
        <v>1</v>
      </c>
      <c r="M24" s="73">
        <v>2</v>
      </c>
    </row>
    <row r="25" spans="7:13" x14ac:dyDescent="0.3">
      <c r="G25" s="77"/>
      <c r="H25" s="78">
        <f t="shared" si="0"/>
        <v>125.24740952582063</v>
      </c>
      <c r="I25" s="78">
        <f t="shared" si="1"/>
        <v>156.71166698457588</v>
      </c>
      <c r="J25" s="78">
        <f t="shared" si="2"/>
        <v>115.04569744236419</v>
      </c>
      <c r="K25" s="73">
        <v>1</v>
      </c>
      <c r="L25" s="73">
        <v>2</v>
      </c>
      <c r="M25" s="73">
        <v>2</v>
      </c>
    </row>
    <row r="26" spans="7:13" x14ac:dyDescent="0.3">
      <c r="G26" s="77"/>
      <c r="H26" s="78">
        <f t="shared" si="0"/>
        <v>84.285824168652837</v>
      </c>
      <c r="I26" s="78">
        <f t="shared" si="1"/>
        <v>105.58361886937786</v>
      </c>
      <c r="J26" s="78">
        <f t="shared" si="2"/>
        <v>115.04569744236419</v>
      </c>
      <c r="K26" s="73">
        <v>2</v>
      </c>
      <c r="L26" s="73">
        <v>1</v>
      </c>
      <c r="M26" s="73">
        <v>2</v>
      </c>
    </row>
    <row r="27" spans="7:13" x14ac:dyDescent="0.3">
      <c r="G27" s="77"/>
      <c r="H27" s="78">
        <f t="shared" si="0"/>
        <v>130.03147114880457</v>
      </c>
      <c r="I27" s="78">
        <f t="shared" si="1"/>
        <v>162.68614194788498</v>
      </c>
      <c r="J27" s="78">
        <f t="shared" si="2"/>
        <v>129.47966056489338</v>
      </c>
      <c r="K27" s="73">
        <v>2</v>
      </c>
      <c r="L27" s="73">
        <v>2</v>
      </c>
      <c r="M27" s="73">
        <v>2</v>
      </c>
    </row>
    <row r="28" spans="7:13" x14ac:dyDescent="0.3">
      <c r="G28" s="77"/>
      <c r="H28" s="78">
        <f t="shared" si="0"/>
        <v>137.63587219948155</v>
      </c>
      <c r="I28" s="78">
        <f t="shared" si="1"/>
        <v>172.18353909871482</v>
      </c>
      <c r="J28" s="78">
        <f t="shared" si="2"/>
        <v>150.49063924377489</v>
      </c>
      <c r="K28" s="73">
        <v>3</v>
      </c>
      <c r="L28" s="73">
        <v>2</v>
      </c>
      <c r="M28" s="73">
        <v>2</v>
      </c>
    </row>
    <row r="29" spans="7:13" x14ac:dyDescent="0.3">
      <c r="G29" s="77"/>
      <c r="H29" s="78">
        <f t="shared" si="0"/>
        <v>182.3412251193111</v>
      </c>
      <c r="I29" s="78">
        <f t="shared" si="1"/>
        <v>228.03124302554741</v>
      </c>
      <c r="J29" s="78">
        <f t="shared" si="2"/>
        <v>150.49063924377489</v>
      </c>
      <c r="K29" s="73">
        <v>2</v>
      </c>
      <c r="L29" s="73">
        <v>3</v>
      </c>
      <c r="M29" s="73">
        <v>2</v>
      </c>
    </row>
  </sheetData>
  <mergeCells count="3">
    <mergeCell ref="B1:C1"/>
    <mergeCell ref="D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Es 2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lenx1</vt:lpstr>
      <vt:lpstr>lenx2</vt:lpstr>
      <vt:lpstr>lenx3</vt:lpstr>
      <vt:lpstr>leny1</vt:lpstr>
      <vt:lpstr>leny2</vt:lpstr>
      <vt:lpstr>leny3</vt:lpstr>
      <vt:lpstr>lenz1</vt:lpstr>
      <vt:lpstr>lenz2</vt:lpstr>
      <vt:lpstr>lenz3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Mattia Lercari</cp:lastModifiedBy>
  <dcterms:created xsi:type="dcterms:W3CDTF">2015-06-05T18:17:20Z</dcterms:created>
  <dcterms:modified xsi:type="dcterms:W3CDTF">2021-02-14T11:54:17Z</dcterms:modified>
</cp:coreProperties>
</file>