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e" sheetId="1" r:id="rId4"/>
    <sheet state="hidden" name="Data" sheetId="2" r:id="rId5"/>
  </sheets>
  <definedNames>
    <definedName hidden="1" localSheetId="1" name="_xlnm._FilterDatabase">Data!$A$1:$C$2927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<sst xmlns="http://schemas.openxmlformats.org/spreadsheetml/2006/main" count="5405" uniqueCount="2786">
  <si>
    <t>EMPRESAS QUE CONTRATAN HENRY`S EN EL MUNDO</t>
  </si>
  <si>
    <t>Pais_Empresa</t>
  </si>
  <si>
    <t>empresa</t>
  </si>
  <si>
    <t>industria</t>
  </si>
  <si>
    <t xml:space="preserve"> Total</t>
  </si>
  <si>
    <t xml:space="preserve">Este documento es de sólo lectura y no te permitirá aplicar filtros. 
Para poder aplicar filtros puedes ir a la opcion "File // Archivo" - "Make a copy // Hacer una copia" y de esa manera te quedará una copia en tu drive, la cual podrás aplicar filtros para ver mejor la información  </t>
  </si>
  <si>
    <t>Alemania</t>
  </si>
  <si>
    <t>boehringer ingelheim</t>
  </si>
  <si>
    <t>Health</t>
  </si>
  <si>
    <t>bosch</t>
  </si>
  <si>
    <t>Software Factory / Staffing</t>
  </si>
  <si>
    <t>dc connected car gmbh</t>
  </si>
  <si>
    <t>edataconsulting</t>
  </si>
  <si>
    <t>expert communication systems gmbh</t>
  </si>
  <si>
    <t>Management Consulting</t>
  </si>
  <si>
    <t>fk systems gmbh</t>
  </si>
  <si>
    <t>PropTech / Real State</t>
  </si>
  <si>
    <t>gecco</t>
  </si>
  <si>
    <t>Banking &amp; Financial Servicies</t>
  </si>
  <si>
    <t>grupo gft</t>
  </si>
  <si>
    <t>hahn software</t>
  </si>
  <si>
    <t>iatros tecnologia y salud</t>
  </si>
  <si>
    <t>intive</t>
  </si>
  <si>
    <t>kenjo</t>
  </si>
  <si>
    <t>Human Resources</t>
  </si>
  <si>
    <t>osapiens</t>
  </si>
  <si>
    <t>siemens</t>
  </si>
  <si>
    <t>Artificil Intelligence</t>
  </si>
  <si>
    <t>snp latam</t>
  </si>
  <si>
    <t>solavieve</t>
  </si>
  <si>
    <t>Other</t>
  </si>
  <si>
    <t>stargaze</t>
  </si>
  <si>
    <t>takeaway express (lieferando)</t>
  </si>
  <si>
    <t>Logistics</t>
  </si>
  <si>
    <t>top legal</t>
  </si>
  <si>
    <t>tuix gmbh</t>
  </si>
  <si>
    <t>valtech digital s.a.</t>
  </si>
  <si>
    <t>Marketing &amp; Advertising</t>
  </si>
  <si>
    <t>youniq</t>
  </si>
  <si>
    <t>Argentina</t>
  </si>
  <si>
    <t>14x tech</t>
  </si>
  <si>
    <t>25 watts</t>
  </si>
  <si>
    <t>2clics</t>
  </si>
  <si>
    <t>42mate</t>
  </si>
  <si>
    <t>501 labs srl</t>
  </si>
  <si>
    <t>aaci</t>
  </si>
  <si>
    <t>Education &amp; Edtech</t>
  </si>
  <si>
    <t>abatech</t>
  </si>
  <si>
    <t>Agtech / Agro</t>
  </si>
  <si>
    <t>abelovich, polano &amp; asociados</t>
  </si>
  <si>
    <t>abs ti</t>
  </si>
  <si>
    <t>academia numen</t>
  </si>
  <si>
    <t>acceda</t>
  </si>
  <si>
    <t>accefy</t>
  </si>
  <si>
    <t>Cibersecurity</t>
  </si>
  <si>
    <t>accenture</t>
  </si>
  <si>
    <t>access informatica</t>
  </si>
  <si>
    <t>access informatica srl</t>
  </si>
  <si>
    <t>acciona it</t>
  </si>
  <si>
    <t>accusys technology</t>
  </si>
  <si>
    <t>acerbrag</t>
  </si>
  <si>
    <t>acros training</t>
  </si>
  <si>
    <t>acroventus</t>
  </si>
  <si>
    <t>Fintech</t>
  </si>
  <si>
    <t>activos sa</t>
  </si>
  <si>
    <t>acudir</t>
  </si>
  <si>
    <t>adalove</t>
  </si>
  <si>
    <t>adbize</t>
  </si>
  <si>
    <t>adbot | agencia digital</t>
  </si>
  <si>
    <t>adcap securitires argentina s.a</t>
  </si>
  <si>
    <t>adecco</t>
  </si>
  <si>
    <t>Recruiting</t>
  </si>
  <si>
    <t>adecoagro</t>
  </si>
  <si>
    <t>administradora san juan s.a.</t>
  </si>
  <si>
    <t>Public Center</t>
  </si>
  <si>
    <t>aerolab s.r.l</t>
  </si>
  <si>
    <t>aeroterra</t>
  </si>
  <si>
    <t>aesa</t>
  </si>
  <si>
    <t>Energy</t>
  </si>
  <si>
    <t>afluenta</t>
  </si>
  <si>
    <t>agencia ego</t>
  </si>
  <si>
    <t>agenddo</t>
  </si>
  <si>
    <t>agente oficial adt</t>
  </si>
  <si>
    <t>agripay</t>
  </si>
  <si>
    <t>agroconsultas</t>
  </si>
  <si>
    <t>agropago</t>
  </si>
  <si>
    <t>ai core</t>
  </si>
  <si>
    <t>airbits</t>
  </si>
  <si>
    <t>alephee</t>
  </si>
  <si>
    <t>alfajores miramar</t>
  </si>
  <si>
    <t>algolica</t>
  </si>
  <si>
    <t>E-commerce</t>
  </si>
  <si>
    <t>alitaware</t>
  </si>
  <si>
    <t>alliansys</t>
  </si>
  <si>
    <t>alpogo</t>
  </si>
  <si>
    <t>alpozo</t>
  </si>
  <si>
    <t>alquila tu cancha</t>
  </si>
  <si>
    <t>alt consultora</t>
  </si>
  <si>
    <t>america virtual sa</t>
  </si>
  <si>
    <t>ampexa s.a</t>
  </si>
  <si>
    <t>amsterdam galaxy s.a</t>
  </si>
  <si>
    <t>amx argentina s.a.</t>
  </si>
  <si>
    <t>anachronics s.a</t>
  </si>
  <si>
    <t>analytics town</t>
  </si>
  <si>
    <t>anclap</t>
  </si>
  <si>
    <t>andreani</t>
  </si>
  <si>
    <t>andromeda latam group</t>
  </si>
  <si>
    <t>aoki tech</t>
  </si>
  <si>
    <t>aoniken servicios it s.a.</t>
  </si>
  <si>
    <t>apas</t>
  </si>
  <si>
    <t>Insurance</t>
  </si>
  <si>
    <t>apex chaco s.a</t>
  </si>
  <si>
    <t>apn</t>
  </si>
  <si>
    <t>applica mobile</t>
  </si>
  <si>
    <t>applica solutions</t>
  </si>
  <si>
    <t>appstract</t>
  </si>
  <si>
    <t>arbi'track</t>
  </si>
  <si>
    <t>Accounting</t>
  </si>
  <si>
    <t>arcadia tech</t>
  </si>
  <si>
    <t>arche software studio</t>
  </si>
  <si>
    <t>arcor saic</t>
  </si>
  <si>
    <t>argenpesos</t>
  </si>
  <si>
    <t>army fitness</t>
  </si>
  <si>
    <t>arquia</t>
  </si>
  <si>
    <t>artekium technology studio</t>
  </si>
  <si>
    <t>artssec</t>
  </si>
  <si>
    <t>arwebs</t>
  </si>
  <si>
    <t>arzion</t>
  </si>
  <si>
    <t>asante</t>
  </si>
  <si>
    <t>asap consulting</t>
  </si>
  <si>
    <t>asap consulting s.a.</t>
  </si>
  <si>
    <t>ascentio technologies</t>
  </si>
  <si>
    <t>ashi sa</t>
  </si>
  <si>
    <t>asj</t>
  </si>
  <si>
    <t>asofix</t>
  </si>
  <si>
    <t>asoko tempo</t>
  </si>
  <si>
    <t>asteroid technologies</t>
  </si>
  <si>
    <t>atio international</t>
  </si>
  <si>
    <t>atos</t>
  </si>
  <si>
    <t>atygg</t>
  </si>
  <si>
    <t>aulasneo</t>
  </si>
  <si>
    <t>auravant</t>
  </si>
  <si>
    <t>avenida +</t>
  </si>
  <si>
    <t>aw artware</t>
  </si>
  <si>
    <t>awer reviews</t>
  </si>
  <si>
    <t>awg</t>
  </si>
  <si>
    <t>Messaging and Telecommunications</t>
  </si>
  <si>
    <t>axcelere</t>
  </si>
  <si>
    <t>ayco automotores</t>
  </si>
  <si>
    <t>Mechanical/Industrial Engineering</t>
  </si>
  <si>
    <t>aysam</t>
  </si>
  <si>
    <t>babyback</t>
  </si>
  <si>
    <t>bakingdevs</t>
  </si>
  <si>
    <t>balanz</t>
  </si>
  <si>
    <t>balloon group, a fastforward.ai company</t>
  </si>
  <si>
    <t>banana software</t>
  </si>
  <si>
    <t>banco comafi</t>
  </si>
  <si>
    <t>banco galicia</t>
  </si>
  <si>
    <t>banco provincia del neuquen s.a.</t>
  </si>
  <si>
    <t>banco santiago del estero</t>
  </si>
  <si>
    <t>barrel</t>
  </si>
  <si>
    <t>bastó</t>
  </si>
  <si>
    <t>baufest</t>
  </si>
  <si>
    <t>bbva</t>
  </si>
  <si>
    <t>be innovation tech</t>
  </si>
  <si>
    <t>bechsud</t>
  </si>
  <si>
    <t>beclever</t>
  </si>
  <si>
    <t>beetransfer</t>
  </si>
  <si>
    <t>Blockchain, Crypto &amp; NFT</t>
  </si>
  <si>
    <t>belo</t>
  </si>
  <si>
    <t>benefits s.a.</t>
  </si>
  <si>
    <t>berlim</t>
  </si>
  <si>
    <t>bernardo lew</t>
  </si>
  <si>
    <t>bertolaccini sa</t>
  </si>
  <si>
    <t>besysoft</t>
  </si>
  <si>
    <t>betrusty</t>
  </si>
  <si>
    <t>better technologies</t>
  </si>
  <si>
    <t>bglobal solutions</t>
  </si>
  <si>
    <t>SaaS</t>
  </si>
  <si>
    <t>bidcom</t>
  </si>
  <si>
    <t>bigsur</t>
  </si>
  <si>
    <t>Media &amp; Communication</t>
  </si>
  <si>
    <t>bingo show s.a.</t>
  </si>
  <si>
    <t>binimed</t>
  </si>
  <si>
    <t>bio-ser medica</t>
  </si>
  <si>
    <t>bit s.a.</t>
  </si>
  <si>
    <t>bitech</t>
  </si>
  <si>
    <t>Hardware</t>
  </si>
  <si>
    <t>bitsion</t>
  </si>
  <si>
    <t>biwares</t>
  </si>
  <si>
    <t>Data &amp; Analytics</t>
  </si>
  <si>
    <t>black stallion - product design</t>
  </si>
  <si>
    <t>blast marketing</t>
  </si>
  <si>
    <t>bleett</t>
  </si>
  <si>
    <t>blimop</t>
  </si>
  <si>
    <t>blockinar</t>
  </si>
  <si>
    <t>bluerabbit</t>
  </si>
  <si>
    <t>bm soluciones</t>
  </si>
  <si>
    <t>bodega romano pin</t>
  </si>
  <si>
    <t>boi</t>
  </si>
  <si>
    <t>bolsa de comercio de rosario</t>
  </si>
  <si>
    <t>borea studio</t>
  </si>
  <si>
    <t>boston compañía argentina de seguros sa</t>
  </si>
  <si>
    <t>botgenes</t>
  </si>
  <si>
    <t>bp4</t>
  </si>
  <si>
    <t>brandlive</t>
  </si>
  <si>
    <t>brivé soluciones</t>
  </si>
  <si>
    <t>bromus sas</t>
  </si>
  <si>
    <t>búho gestión</t>
  </si>
  <si>
    <t>Travel and Tourism</t>
  </si>
  <si>
    <t>by derm</t>
  </si>
  <si>
    <t>byma</t>
  </si>
  <si>
    <t>byraices</t>
  </si>
  <si>
    <t>cactiuz</t>
  </si>
  <si>
    <t>caja de retiros , jubilaciones y pensiones de la policia federal</t>
  </si>
  <si>
    <t>calificadas</t>
  </si>
  <si>
    <t>candoit</t>
  </si>
  <si>
    <t>car2token</t>
  </si>
  <si>
    <t>caramel point</t>
  </si>
  <si>
    <t>carbonbase</t>
  </si>
  <si>
    <t>casa hospital san juan de dios</t>
  </si>
  <si>
    <t>cash online</t>
  </si>
  <si>
    <t>casin</t>
  </si>
  <si>
    <t>cat technologies argentina</t>
  </si>
  <si>
    <t>caux</t>
  </si>
  <si>
    <t>cbs</t>
  </si>
  <si>
    <t>cda informática</t>
  </si>
  <si>
    <t>cdt soluciones informaticas</t>
  </si>
  <si>
    <t>cedeira</t>
  </si>
  <si>
    <t>ceiboo</t>
  </si>
  <si>
    <t>celeri</t>
  </si>
  <si>
    <t>celta technology</t>
  </si>
  <si>
    <t>cencap</t>
  </si>
  <si>
    <t>censys</t>
  </si>
  <si>
    <t>censys s.a.</t>
  </si>
  <si>
    <t>centro de investigaciones médicas de mar del plata</t>
  </si>
  <si>
    <t>centro de salud dim</t>
  </si>
  <si>
    <t>centrocard s.a.</t>
  </si>
  <si>
    <t>cespi</t>
  </si>
  <si>
    <t>cexar.io</t>
  </si>
  <si>
    <t>challenger premios</t>
  </si>
  <si>
    <t>chat tonic</t>
  </si>
  <si>
    <t>chedoc</t>
  </si>
  <si>
    <t>chedoc srl</t>
  </si>
  <si>
    <t>churrasco</t>
  </si>
  <si>
    <t>ciampagna</t>
  </si>
  <si>
    <t>cids</t>
  </si>
  <si>
    <t>cinemark</t>
  </si>
  <si>
    <t>circulo medico de salta</t>
  </si>
  <si>
    <t>ciudadela</t>
  </si>
  <si>
    <t>cladd</t>
  </si>
  <si>
    <t>clarin</t>
  </si>
  <si>
    <t>clarín</t>
  </si>
  <si>
    <t>cleversoft</t>
  </si>
  <si>
    <t>clickexperts</t>
  </si>
  <si>
    <t>clonify</t>
  </si>
  <si>
    <t>clostech</t>
  </si>
  <si>
    <t>cloudnet solutions</t>
  </si>
  <si>
    <t>cn grupo</t>
  </si>
  <si>
    <t>coa tecnologia</t>
  </si>
  <si>
    <t>cobro inmediato</t>
  </si>
  <si>
    <t>cobromix</t>
  </si>
  <si>
    <t>coderhouse</t>
  </si>
  <si>
    <t>codetria</t>
  </si>
  <si>
    <t>coding and company</t>
  </si>
  <si>
    <t>cohete</t>
  </si>
  <si>
    <t>colegio de martilleros y corredores lomas de zamora</t>
  </si>
  <si>
    <t>colegio magistrados</t>
  </si>
  <si>
    <t>colegio martilleros lomas</t>
  </si>
  <si>
    <t>colegio nacional justo josé de urquiza</t>
  </si>
  <si>
    <t>combustibles del norte s.a.</t>
  </si>
  <si>
    <t>compañía de servicios farmacéuticos s.a.</t>
  </si>
  <si>
    <t>conicet</t>
  </si>
  <si>
    <t>consejo de ciencias economicas</t>
  </si>
  <si>
    <t>consejo de educación de entre ríos</t>
  </si>
  <si>
    <t>consolid srl</t>
  </si>
  <si>
    <t>consultoria global s.a.</t>
  </si>
  <si>
    <t>consuman</t>
  </si>
  <si>
    <t>contabilium</t>
  </si>
  <si>
    <t>contenidos digitales</t>
  </si>
  <si>
    <t>cooperativa cofaral ltda</t>
  </si>
  <si>
    <t>cooperativa de provisión de servicios agro turísticos la costera limitada</t>
  </si>
  <si>
    <t>cooperativa farmaceutica de provision y consumo alberdi ltda</t>
  </si>
  <si>
    <t>cooperativa mental</t>
  </si>
  <si>
    <t>cooperativa proyecto wow</t>
  </si>
  <si>
    <t>coradir sa</t>
  </si>
  <si>
    <t>cordial compañía financiera</t>
  </si>
  <si>
    <t>corebi</t>
  </si>
  <si>
    <t>corpico</t>
  </si>
  <si>
    <t>corporación cápsula</t>
  </si>
  <si>
    <t>corralon aconquija</t>
  </si>
  <si>
    <t>Construction</t>
  </si>
  <si>
    <t>corredores viales</t>
  </si>
  <si>
    <t>corsisa</t>
  </si>
  <si>
    <t>corven sacif</t>
  </si>
  <si>
    <t>cpem n°34</t>
  </si>
  <si>
    <t>craneo</t>
  </si>
  <si>
    <t>creativedog agency</t>
  </si>
  <si>
    <t>credifacil safym</t>
  </si>
  <si>
    <t>cristalzoom</t>
  </si>
  <si>
    <t>crombie</t>
  </si>
  <si>
    <t>crosetto ingenieria s.a.</t>
  </si>
  <si>
    <t>crossentropysolutions</t>
  </si>
  <si>
    <t>crossracer airport services s.a</t>
  </si>
  <si>
    <t xml:space="preserve">cruce </t>
  </si>
  <si>
    <t>cryztal zoom</t>
  </si>
  <si>
    <t>ctl information technology</t>
  </si>
  <si>
    <t>cultura it</t>
  </si>
  <si>
    <t>dalca marketing</t>
  </si>
  <si>
    <t>danher medical srl</t>
  </si>
  <si>
    <t>darwoft</t>
  </si>
  <si>
    <t>dataforgex</t>
  </si>
  <si>
    <t>datakimia</t>
  </si>
  <si>
    <t>datalytics</t>
  </si>
  <si>
    <t>dblandit</t>
  </si>
  <si>
    <t>debmedia</t>
  </si>
  <si>
    <t>decampoacampo</t>
  </si>
  <si>
    <t>deconcesionarias</t>
  </si>
  <si>
    <t>desarrollos nea</t>
  </si>
  <si>
    <t>desba</t>
  </si>
  <si>
    <t>desol s a</t>
  </si>
  <si>
    <t>deux it</t>
  </si>
  <si>
    <t>dev place technologies</t>
  </si>
  <si>
    <t>develhope</t>
  </si>
  <si>
    <t>develone</t>
  </si>
  <si>
    <t>dicode group</t>
  </si>
  <si>
    <t>dicsys. s.a.</t>
  </si>
  <si>
    <t>digichanges</t>
  </si>
  <si>
    <t>digio srl</t>
  </si>
  <si>
    <t>digital bluee</t>
  </si>
  <si>
    <t>digital house</t>
  </si>
  <si>
    <t>digitalia</t>
  </si>
  <si>
    <t>dim centros de salud</t>
  </si>
  <si>
    <t>dinamo it</t>
  </si>
  <si>
    <t>dinoia s.a.</t>
  </si>
  <si>
    <t>diphot</t>
  </si>
  <si>
    <t>dirección de vialidad provincial (chaco - arg)</t>
  </si>
  <si>
    <t>direccion general de cultura y educacion</t>
  </si>
  <si>
    <t>dirección general de estadísticas y censos de entre ríos</t>
  </si>
  <si>
    <t>dirmod</t>
  </si>
  <si>
    <t>dispatchsss</t>
  </si>
  <si>
    <t>distri-sur</t>
  </si>
  <si>
    <t>FMCG / Consumo masivo</t>
  </si>
  <si>
    <t>distribuidora muller srl</t>
  </si>
  <si>
    <t>distribuidora sourigues</t>
  </si>
  <si>
    <t>distrito moda</t>
  </si>
  <si>
    <t>distrocuyo s.a.</t>
  </si>
  <si>
    <t>dl3arn</t>
  </si>
  <si>
    <t>dlconsultores</t>
  </si>
  <si>
    <t>dlr</t>
  </si>
  <si>
    <t>dma srl</t>
  </si>
  <si>
    <t>doctor sales</t>
  </si>
  <si>
    <t>dreamsys s.r.l</t>
  </si>
  <si>
    <t>drivendevs</t>
  </si>
  <si>
    <t>drubbit</t>
  </si>
  <si>
    <t>duo0</t>
  </si>
  <si>
    <t>duollar</t>
  </si>
  <si>
    <t>dux software</t>
  </si>
  <si>
    <t>dvs360</t>
  </si>
  <si>
    <t>dynamia</t>
  </si>
  <si>
    <t>e-cruce s.a.</t>
  </si>
  <si>
    <t>e-solutions</t>
  </si>
  <si>
    <t>easytechgreen</t>
  </si>
  <si>
    <t>ecloud agency</t>
  </si>
  <si>
    <t>ecogas</t>
  </si>
  <si>
    <t>ecom s.a</t>
  </si>
  <si>
    <t>ediciones talar sociedad de responsabilidad limitada</t>
  </si>
  <si>
    <t>edrans</t>
  </si>
  <si>
    <t>edsi trend</t>
  </si>
  <si>
    <t>educ.ar</t>
  </si>
  <si>
    <t>educación it</t>
  </si>
  <si>
    <t>edutech</t>
  </si>
  <si>
    <t>edvsa</t>
  </si>
  <si>
    <t>effectus software</t>
  </si>
  <si>
    <t>eidos global</t>
  </si>
  <si>
    <t>el estudiante</t>
  </si>
  <si>
    <t>el maizal</t>
  </si>
  <si>
    <t>elaniin</t>
  </si>
  <si>
    <t>eldar</t>
  </si>
  <si>
    <t>eldar srl</t>
  </si>
  <si>
    <t>electro3</t>
  </si>
  <si>
    <t>electronica megatone s.a.</t>
  </si>
  <si>
    <t>elipse</t>
  </si>
  <si>
    <t>emergencias</t>
  </si>
  <si>
    <t>emser</t>
  </si>
  <si>
    <t>encode.s.a</t>
  </si>
  <si>
    <t>endwall</t>
  </si>
  <si>
    <t>entertainment holdings s.a</t>
  </si>
  <si>
    <t>entropy</t>
  </si>
  <si>
    <t>enviopack s.a.</t>
  </si>
  <si>
    <t>envone srl</t>
  </si>
  <si>
    <t>epidata</t>
  </si>
  <si>
    <t>errepar</t>
  </si>
  <si>
    <t>escuela primaria padre castañeda</t>
  </si>
  <si>
    <t>espanol con e</t>
  </si>
  <si>
    <t>espinlabs</t>
  </si>
  <si>
    <t>etermax</t>
  </si>
  <si>
    <t>eurekaplicaciones</t>
  </si>
  <si>
    <t>eventbrite</t>
  </si>
  <si>
    <t>evoltis</t>
  </si>
  <si>
    <t>exactian</t>
  </si>
  <si>
    <t>excelan automacion s.a</t>
  </si>
  <si>
    <t>excelencia digital software</t>
  </si>
  <si>
    <t>excelencia soluciones informaticas</t>
  </si>
  <si>
    <t>exemax</t>
  </si>
  <si>
    <t>exisoft</t>
  </si>
  <si>
    <t>exo</t>
  </si>
  <si>
    <t>exolgan s.a.</t>
  </si>
  <si>
    <t>experis</t>
  </si>
  <si>
    <t>extendeal</t>
  </si>
  <si>
    <t>extrimian</t>
  </si>
  <si>
    <t>ey</t>
  </si>
  <si>
    <t>eywa</t>
  </si>
  <si>
    <t>facultad de ciencias economicas-uncuyo</t>
  </si>
  <si>
    <t>faniot</t>
  </si>
  <si>
    <t>fantommers</t>
  </si>
  <si>
    <t>farmaceuticos asociados</t>
  </si>
  <si>
    <t>farmacia manes</t>
  </si>
  <si>
    <t>farmacias natal</t>
  </si>
  <si>
    <t>farmafe</t>
  </si>
  <si>
    <t>fateryh</t>
  </si>
  <si>
    <t>fenix forward</t>
  </si>
  <si>
    <t>fenomix</t>
  </si>
  <si>
    <t>fichap</t>
  </si>
  <si>
    <t>fidelitytools</t>
  </si>
  <si>
    <t>fidu</t>
  </si>
  <si>
    <t>finnegans</t>
  </si>
  <si>
    <t>fitback</t>
  </si>
  <si>
    <t>Gaming</t>
  </si>
  <si>
    <t>fizzmod</t>
  </si>
  <si>
    <t>fk{tech}</t>
  </si>
  <si>
    <t>flame factory</t>
  </si>
  <si>
    <t>flexit</t>
  </si>
  <si>
    <t>flexxus</t>
  </si>
  <si>
    <t>flexy</t>
  </si>
  <si>
    <t>flobi</t>
  </si>
  <si>
    <t>flux it</t>
  </si>
  <si>
    <t>flybondi aerolíneas</t>
  </si>
  <si>
    <t>Movility</t>
  </si>
  <si>
    <t>flydevs</t>
  </si>
  <si>
    <t>foca software</t>
  </si>
  <si>
    <t>folcode</t>
  </si>
  <si>
    <t>folder it</t>
  </si>
  <si>
    <t>follow hub digital logístico</t>
  </si>
  <si>
    <t>fondus</t>
  </si>
  <si>
    <t>for_me</t>
  </si>
  <si>
    <t>forcus mind</t>
  </si>
  <si>
    <t>fraudkeeper</t>
  </si>
  <si>
    <t>frecom srl</t>
  </si>
  <si>
    <t>freemoni</t>
  </si>
  <si>
    <t>froneus</t>
  </si>
  <si>
    <t>fszk music</t>
  </si>
  <si>
    <t>funcacorr</t>
  </si>
  <si>
    <t>fundación educación para el progreso</t>
  </si>
  <si>
    <t>fundación ñande reko ha</t>
  </si>
  <si>
    <t>fundación sales</t>
  </si>
  <si>
    <t>futit services</t>
  </si>
  <si>
    <t>g&amp;l group</t>
  </si>
  <si>
    <t>galante d' antonio</t>
  </si>
  <si>
    <t>game disease</t>
  </si>
  <si>
    <t>gante s.a</t>
  </si>
  <si>
    <t>garaje de ideas americas</t>
  </si>
  <si>
    <t>garnet technology</t>
  </si>
  <si>
    <t>gastronomia graffi sa</t>
  </si>
  <si>
    <t>gearthlogic</t>
  </si>
  <si>
    <t>gen it</t>
  </si>
  <si>
    <t>genosha</t>
  </si>
  <si>
    <t>geosystems sa</t>
  </si>
  <si>
    <t>gestia consultores</t>
  </si>
  <si>
    <t>gestion financiera s.a.</t>
  </si>
  <si>
    <t>gestión y servicios</t>
  </si>
  <si>
    <t>gestión y servicios srl</t>
  </si>
  <si>
    <t>get a new one s.r.l.</t>
  </si>
  <si>
    <t>global assist group</t>
  </si>
  <si>
    <t>global think technology</t>
  </si>
  <si>
    <t>globant</t>
  </si>
  <si>
    <t>globons srl</t>
  </si>
  <si>
    <t>glubits</t>
  </si>
  <si>
    <t>go sur</t>
  </si>
  <si>
    <t>gobierno de la ciudad</t>
  </si>
  <si>
    <t>gobierno de la ciudad de buenos aires</t>
  </si>
  <si>
    <t>gobierno de san luis</t>
  </si>
  <si>
    <t>goiar</t>
  </si>
  <si>
    <t>gonni</t>
  </si>
  <si>
    <t>gosur</t>
  </si>
  <si>
    <t>grassi s.a</t>
  </si>
  <si>
    <t>greydive</t>
  </si>
  <si>
    <t>grido</t>
  </si>
  <si>
    <t>grúas san blas</t>
  </si>
  <si>
    <t>grupo boldt</t>
  </si>
  <si>
    <t>grupo consultores de empresas</t>
  </si>
  <si>
    <t>grupo datco</t>
  </si>
  <si>
    <t>grupo delsud</t>
  </si>
  <si>
    <t>grupo eon</t>
  </si>
  <si>
    <t>grupo fidelatam</t>
  </si>
  <si>
    <t>grupo hasar</t>
  </si>
  <si>
    <t>grupo lpa</t>
  </si>
  <si>
    <t>grupo mass asistencia</t>
  </si>
  <si>
    <t>grupo murchison</t>
  </si>
  <si>
    <t>grupo nabla</t>
  </si>
  <si>
    <t>grupo penaflor</t>
  </si>
  <si>
    <t>grupo penna</t>
  </si>
  <si>
    <t>grupo sbs</t>
  </si>
  <si>
    <t>grupo simpli</t>
  </si>
  <si>
    <t>grupo supervielle</t>
  </si>
  <si>
    <t>grupo tagle</t>
  </si>
  <si>
    <t>grupo vectus</t>
  </si>
  <si>
    <t>grupomas</t>
  </si>
  <si>
    <t>gualda training</t>
  </si>
  <si>
    <t>guayerd</t>
  </si>
  <si>
    <t>h+trace</t>
  </si>
  <si>
    <t>health management solutions</t>
  </si>
  <si>
    <t>heliconia</t>
  </si>
  <si>
    <t>helios system</t>
  </si>
  <si>
    <t>helipagos</t>
  </si>
  <si>
    <t>hendercross</t>
  </si>
  <si>
    <t>henry</t>
  </si>
  <si>
    <t>hexacta sa</t>
  </si>
  <si>
    <t>hexagon</t>
  </si>
  <si>
    <t>hey harvey</t>
  </si>
  <si>
    <t>hi propi</t>
  </si>
  <si>
    <t>hi solus</t>
  </si>
  <si>
    <t>hoffentech</t>
  </si>
  <si>
    <t>honorable legislatura de la provincia de neuquénn</t>
  </si>
  <si>
    <t>hospital italiano de buenos aires</t>
  </si>
  <si>
    <t>hospital privado córdoba</t>
  </si>
  <si>
    <t>hospital universitario austral</t>
  </si>
  <si>
    <t>hotel management s.a.</t>
  </si>
  <si>
    <t>hotel o2</t>
  </si>
  <si>
    <t>hueneit it services</t>
  </si>
  <si>
    <t>human decode</t>
  </si>
  <si>
    <t>i love gifts</t>
  </si>
  <si>
    <t>iampubli</t>
  </si>
  <si>
    <t>ibm</t>
  </si>
  <si>
    <t>ieko</t>
  </si>
  <si>
    <t>ifibyne</t>
  </si>
  <si>
    <t>ifisa</t>
  </si>
  <si>
    <t>importainer</t>
  </si>
  <si>
    <t>impronta it s.a.</t>
  </si>
  <si>
    <t>inauco</t>
  </si>
  <si>
    <t>increase</t>
  </si>
  <si>
    <t>indicius</t>
  </si>
  <si>
    <t>ineco</t>
  </si>
  <si>
    <t>infa</t>
  </si>
  <si>
    <t>infobae</t>
  </si>
  <si>
    <t>infoil s.a.</t>
  </si>
  <si>
    <t>informium</t>
  </si>
  <si>
    <t>ingenea srl</t>
  </si>
  <si>
    <t>ingertec</t>
  </si>
  <si>
    <t>inmobiliaria franzoni</t>
  </si>
  <si>
    <t>innew</t>
  </si>
  <si>
    <t>innovus software</t>
  </si>
  <si>
    <t>instituto argentino de compitación</t>
  </si>
  <si>
    <t>instituto otorrinolaringologico arauz</t>
  </si>
  <si>
    <t>instituto tecnológico metropolitano</t>
  </si>
  <si>
    <t>instituto zaldivar</t>
  </si>
  <si>
    <t>integra media</t>
  </si>
  <si>
    <t>inteligencia analitica</t>
  </si>
  <si>
    <t>interdata</t>
  </si>
  <si>
    <t>interinnovacion</t>
  </si>
  <si>
    <t>interlude viajes</t>
  </si>
  <si>
    <t>international health services argentina s.a.</t>
  </si>
  <si>
    <t>international media consulting group sa</t>
  </si>
  <si>
    <t>intertron</t>
  </si>
  <si>
    <t>inti</t>
  </si>
  <si>
    <t>ipe</t>
  </si>
  <si>
    <t>it crowd</t>
  </si>
  <si>
    <t>it estudio</t>
  </si>
  <si>
    <t>it patagonia</t>
  </si>
  <si>
    <t>it rock</t>
  </si>
  <si>
    <t>it tech group</t>
  </si>
  <si>
    <t>it4</t>
  </si>
  <si>
    <t>itbaf</t>
  </si>
  <si>
    <t>itr</t>
  </si>
  <si>
    <t>iurco</t>
  </si>
  <si>
    <t>j.p. morgan services argentina s.r.l.</t>
  </si>
  <si>
    <t>jasper blockchain</t>
  </si>
  <si>
    <t>jc marketing</t>
  </si>
  <si>
    <t>jemersoft</t>
  </si>
  <si>
    <t>jph lions</t>
  </si>
  <si>
    <t>jrc studio</t>
  </si>
  <si>
    <t>jubbler technologies</t>
  </si>
  <si>
    <t>kaizen2b</t>
  </si>
  <si>
    <t>karvi</t>
  </si>
  <si>
    <t>khem labs</t>
  </si>
  <si>
    <t>kiltex</t>
  </si>
  <si>
    <t>kingconf</t>
  </si>
  <si>
    <t>kingvox</t>
  </si>
  <si>
    <t>kpmg</t>
  </si>
  <si>
    <t>kunan s.a.</t>
  </si>
  <si>
    <t>la virginia</t>
  </si>
  <si>
    <t>la voz del interior</t>
  </si>
  <si>
    <t>laboratorio rivero</t>
  </si>
  <si>
    <t>labsxd</t>
  </si>
  <si>
    <t>lambda solution</t>
  </si>
  <si>
    <t>latín cloud</t>
  </si>
  <si>
    <t>lax</t>
  </si>
  <si>
    <t>lcni</t>
  </si>
  <si>
    <t>learsoft</t>
  </si>
  <si>
    <t>legal hub</t>
  </si>
  <si>
    <t>Law/Legal Services</t>
  </si>
  <si>
    <t>legalhub</t>
  </si>
  <si>
    <t>legalify</t>
  </si>
  <si>
    <t>lempert</t>
  </si>
  <si>
    <t>lenox maynar srl</t>
  </si>
  <si>
    <t>leren</t>
  </si>
  <si>
    <t>lesitung ingeniería srl</t>
  </si>
  <si>
    <t>let's make it</t>
  </si>
  <si>
    <t>lexim solutions</t>
  </si>
  <si>
    <t>libgot</t>
  </si>
  <si>
    <t>lightdata s.r.l</t>
  </si>
  <si>
    <t>lignum software</t>
  </si>
  <si>
    <t>likechuck</t>
  </si>
  <si>
    <t>limboteams</t>
  </si>
  <si>
    <t>linetec s.a</t>
  </si>
  <si>
    <t>linkchar</t>
  </si>
  <si>
    <t>linkup internet</t>
  </si>
  <si>
    <t>lisicki litvin &amp; asociados</t>
  </si>
  <si>
    <t>litebox</t>
  </si>
  <si>
    <t>loesen</t>
  </si>
  <si>
    <t>logos argentina srl</t>
  </si>
  <si>
    <t>logros s.a.</t>
  </si>
  <si>
    <t>loveat</t>
  </si>
  <si>
    <t>lowrisk</t>
  </si>
  <si>
    <t>lpa consulting</t>
  </si>
  <si>
    <t>lubecatech</t>
  </si>
  <si>
    <t>lubee</t>
  </si>
  <si>
    <t>luca</t>
  </si>
  <si>
    <t>luccianos</t>
  </si>
  <si>
    <t>ludelaba</t>
  </si>
  <si>
    <t>luna&amp;asociados</t>
  </si>
  <si>
    <t>lyracons s. a.</t>
  </si>
  <si>
    <t>macamedia</t>
  </si>
  <si>
    <t>made2</t>
  </si>
  <si>
    <t>madryn repuestos</t>
  </si>
  <si>
    <t>magnetar srl</t>
  </si>
  <si>
    <t>magnetic cash</t>
  </si>
  <si>
    <t>magoya</t>
  </si>
  <si>
    <t>mangoodev</t>
  </si>
  <si>
    <t>manlab</t>
  </si>
  <si>
    <t>maquinario spa</t>
  </si>
  <si>
    <t>marquez constructora desarrollista</t>
  </si>
  <si>
    <t>márquez y asociados</t>
  </si>
  <si>
    <t>mas customs broker</t>
  </si>
  <si>
    <t>maseldata</t>
  </si>
  <si>
    <t>matías zelarayán</t>
  </si>
  <si>
    <t>matrice consulting</t>
  </si>
  <si>
    <t>maxion montich sa</t>
  </si>
  <si>
    <t>maxirest</t>
  </si>
  <si>
    <t>mbsoft sa</t>
  </si>
  <si>
    <t>mdevz</t>
  </si>
  <si>
    <t>mdq le sport s.a</t>
  </si>
  <si>
    <t>medexis srl</t>
  </si>
  <si>
    <t>media.monks</t>
  </si>
  <si>
    <t>mef arquitectura</t>
  </si>
  <si>
    <t>megalabs</t>
  </si>
  <si>
    <t>megatech s.a.</t>
  </si>
  <si>
    <t>mercado abierto electrónico s.a.</t>
  </si>
  <si>
    <t>mercado libre</t>
  </si>
  <si>
    <t>metalfor</t>
  </si>
  <si>
    <t>method tech and dev</t>
  </si>
  <si>
    <t>metrotel</t>
  </si>
  <si>
    <t>mg intelligence</t>
  </si>
  <si>
    <t>midas call center</t>
  </si>
  <si>
    <t>midas consultores</t>
  </si>
  <si>
    <t>mikro</t>
  </si>
  <si>
    <t>mikroways</t>
  </si>
  <si>
    <t>mindfactory</t>
  </si>
  <si>
    <t>minexus sas</t>
  </si>
  <si>
    <t>minimalart</t>
  </si>
  <si>
    <t>ministerio de educación</t>
  </si>
  <si>
    <t>ministerio de educación de corrientes</t>
  </si>
  <si>
    <t>ministerio de educacion de la nacion</t>
  </si>
  <si>
    <t>ministerio de educación de la provincia de córdoba</t>
  </si>
  <si>
    <t>ministerio de educación de tierra del fuego</t>
  </si>
  <si>
    <t>ministerio de habitat y economia familiar</t>
  </si>
  <si>
    <t>ministerio de hacienda de la provincia de san luis</t>
  </si>
  <si>
    <t>ministerio de hacienda y finanzas de la provincia de buenos aires</t>
  </si>
  <si>
    <t>ministerio de justicia y derechos humanos santa fe argentina</t>
  </si>
  <si>
    <t>ministerio de salud</t>
  </si>
  <si>
    <t>ministerio de salud de la provincia de neuquen</t>
  </si>
  <si>
    <t>ministerio de salud provincia de bs. as.</t>
  </si>
  <si>
    <t>ministerio de salud publica de corrientes</t>
  </si>
  <si>
    <t>ministerio de seguridad de la provincia de buenos aires</t>
  </si>
  <si>
    <t>ministerio de seguridad de la provincia de neuquen</t>
  </si>
  <si>
    <t>ministerio de seguridad de la provincia de tucuman</t>
  </si>
  <si>
    <t>ministerio publico fiscal</t>
  </si>
  <si>
    <t>mobbex</t>
  </si>
  <si>
    <t>mobeats</t>
  </si>
  <si>
    <t>mobile computing</t>
  </si>
  <si>
    <t>mobydigital</t>
  </si>
  <si>
    <t>mol solutions</t>
  </si>
  <si>
    <t>molino san jose</t>
  </si>
  <si>
    <t>monotributo</t>
  </si>
  <si>
    <t>monsanto argentina s.r.l.</t>
  </si>
  <si>
    <t>monti</t>
  </si>
  <si>
    <t>moony</t>
  </si>
  <si>
    <t>moto mecanica argentina</t>
  </si>
  <si>
    <t>movizen</t>
  </si>
  <si>
    <t>mujer financiera</t>
  </si>
  <si>
    <t>mundar digital</t>
  </si>
  <si>
    <t>municipalidad bariloche</t>
  </si>
  <si>
    <t>municipalidad de almirante brown</t>
  </si>
  <si>
    <t>municipalidad de berazategui</t>
  </si>
  <si>
    <t>municipalidad de berisso</t>
  </si>
  <si>
    <t>municipalidad de el caiman</t>
  </si>
  <si>
    <t>municipalidad de mendoza</t>
  </si>
  <si>
    <t>municipalidad de obera</t>
  </si>
  <si>
    <t>municipalidad de quilmes</t>
  </si>
  <si>
    <t>municipalidad de rafaela</t>
  </si>
  <si>
    <t>municipalidad de rosario</t>
  </si>
  <si>
    <t>municipalidad de san miguel de tucuman</t>
  </si>
  <si>
    <t>municipalidad de san nicolas</t>
  </si>
  <si>
    <t>municipalidad de san nicolás</t>
  </si>
  <si>
    <t>municipalidad de san nicolas de los arroyos</t>
  </si>
  <si>
    <t>municipalidad de san nicolás de los arroyos</t>
  </si>
  <si>
    <t>municipalidad de villa allende</t>
  </si>
  <si>
    <t>municipalidad lujan de cuyo</t>
  </si>
  <si>
    <t>musimundo</t>
  </si>
  <si>
    <t>musure world</t>
  </si>
  <si>
    <t>muvinai</t>
  </si>
  <si>
    <t>n5 now</t>
  </si>
  <si>
    <t>nacion servicios</t>
  </si>
  <si>
    <t>nanoapps</t>
  </si>
  <si>
    <t>napsix</t>
  </si>
  <si>
    <t>naranja x</t>
  </si>
  <si>
    <t>navent</t>
  </si>
  <si>
    <t>nerdo solutions</t>
  </si>
  <si>
    <t>netgeu</t>
  </si>
  <si>
    <t>netglobal solutions</t>
  </si>
  <si>
    <t>netkel consulting</t>
  </si>
  <si>
    <t>netsocks</t>
  </si>
  <si>
    <t>neuraltech</t>
  </si>
  <si>
    <t>new tech solutions multimedia sa</t>
  </si>
  <si>
    <t>newbit crew</t>
  </si>
  <si>
    <t>newsan</t>
  </si>
  <si>
    <t>nexbas</t>
  </si>
  <si>
    <t>nexo soluciones</t>
  </si>
  <si>
    <t>nexolife</t>
  </si>
  <si>
    <t>nexosmart it srl</t>
  </si>
  <si>
    <t>next step</t>
  </si>
  <si>
    <t>nezzed</t>
  </si>
  <si>
    <t>nimble giant</t>
  </si>
  <si>
    <t>no country</t>
  </si>
  <si>
    <t>nodos hub</t>
  </si>
  <si>
    <t>nomada digital sa</t>
  </si>
  <si>
    <t>notimation</t>
  </si>
  <si>
    <t>novacor</t>
  </si>
  <si>
    <t>novakorp</t>
  </si>
  <si>
    <t>ntt data</t>
  </si>
  <si>
    <t>nuage systems s.a.(emblue latam)</t>
  </si>
  <si>
    <t>nubceo</t>
  </si>
  <si>
    <t>nubi</t>
  </si>
  <si>
    <t>nubimetrics</t>
  </si>
  <si>
    <t>nucba</t>
  </si>
  <si>
    <t>nueva mutual de seguros nu.mu.se</t>
  </si>
  <si>
    <t>numen academia</t>
  </si>
  <si>
    <t>oasis consultora</t>
  </si>
  <si>
    <t>octopus</t>
  </si>
  <si>
    <t>odea s.r.l.</t>
  </si>
  <si>
    <t>ogilvy</t>
  </si>
  <si>
    <t>ohana</t>
  </si>
  <si>
    <t>ombu tech services</t>
  </si>
  <si>
    <t>oniria gaming</t>
  </si>
  <si>
    <t>ontiime</t>
  </si>
  <si>
    <t>open technologies s.a</t>
  </si>
  <si>
    <t>openbusiness</t>
  </si>
  <si>
    <t>openbusiness.ar</t>
  </si>
  <si>
    <t>opendev pro</t>
  </si>
  <si>
    <t>openlifter</t>
  </si>
  <si>
    <t>opsi</t>
  </si>
  <si>
    <t>orangedata s.a(yacare.com)</t>
  </si>
  <si>
    <t>ortopedia banfield</t>
  </si>
  <si>
    <t>oversoft</t>
  </si>
  <si>
    <t>packapp</t>
  </si>
  <si>
    <t>paginar</t>
  </si>
  <si>
    <t>pagot tic</t>
  </si>
  <si>
    <t>pagotic</t>
  </si>
  <si>
    <t>paikea srl</t>
  </si>
  <si>
    <t>paisanos</t>
  </si>
  <si>
    <t>palta</t>
  </si>
  <si>
    <t>paqsystems</t>
  </si>
  <si>
    <t>particular</t>
  </si>
  <si>
    <t>pasap</t>
  </si>
  <si>
    <t>patricia lagomarsino</t>
  </si>
  <si>
    <t>pay per tic</t>
  </si>
  <si>
    <t>penta security solutions</t>
  </si>
  <si>
    <t>pequeños genios</t>
  </si>
  <si>
    <t>persiscal consulting</t>
  </si>
  <si>
    <t>personal pay</t>
  </si>
  <si>
    <t>pharmware</t>
  </si>
  <si>
    <t>phinxlab</t>
  </si>
  <si>
    <t>pigmalion software</t>
  </si>
  <si>
    <t>pinard srl</t>
  </si>
  <si>
    <t>pipe tech</t>
  </si>
  <si>
    <t>pipe tech sas</t>
  </si>
  <si>
    <t>pixart srl</t>
  </si>
  <si>
    <t>plan it</t>
  </si>
  <si>
    <t>platec</t>
  </si>
  <si>
    <t>pmm</t>
  </si>
  <si>
    <t>poder judicial de la nación argentina</t>
  </si>
  <si>
    <t>poder judicial de santiago del estero</t>
  </si>
  <si>
    <t>poincenot technology studio</t>
  </si>
  <si>
    <t>policia de misiones</t>
  </si>
  <si>
    <t>possumuss</t>
  </si>
  <si>
    <t>pow</t>
  </si>
  <si>
    <t>practia global</t>
  </si>
  <si>
    <t>previnca san lorenzo</t>
  </si>
  <si>
    <t>primary sa</t>
  </si>
  <si>
    <t>prisma</t>
  </si>
  <si>
    <t>prisma medios de pago</t>
  </si>
  <si>
    <t>prodeman s.a.</t>
  </si>
  <si>
    <t>proflight</t>
  </si>
  <si>
    <t>proguide global services</t>
  </si>
  <si>
    <t>promotive</t>
  </si>
  <si>
    <t xml:space="preserve">pronova </t>
  </si>
  <si>
    <t>proofpoint</t>
  </si>
  <si>
    <t>proyecto color</t>
  </si>
  <si>
    <t>proyecto404</t>
  </si>
  <si>
    <t>pudo argentina</t>
  </si>
  <si>
    <t>punto net soluciones</t>
  </si>
  <si>
    <t>puppis</t>
  </si>
  <si>
    <t>puzzle</t>
  </si>
  <si>
    <t>pwc</t>
  </si>
  <si>
    <t>pxsol</t>
  </si>
  <si>
    <t>qendar</t>
  </si>
  <si>
    <t>qm equipment</t>
  </si>
  <si>
    <t>qplus</t>
  </si>
  <si>
    <t>quadminds</t>
  </si>
  <si>
    <t>quales group</t>
  </si>
  <si>
    <t>quality service</t>
  </si>
  <si>
    <t>quantux salud</t>
  </si>
  <si>
    <t>quares it solutions</t>
  </si>
  <si>
    <t>quares srl</t>
  </si>
  <si>
    <t>quarks alchemist</t>
  </si>
  <si>
    <t>qubik</t>
  </si>
  <si>
    <t>quilmes</t>
  </si>
  <si>
    <t>quipu market</t>
  </si>
  <si>
    <t>quoma s.a.</t>
  </si>
  <si>
    <t>quuack sa</t>
  </si>
  <si>
    <t>qwork</t>
  </si>
  <si>
    <t>radio mitre sa</t>
  </si>
  <si>
    <t>raffles argentina</t>
  </si>
  <si>
    <t>rakkau s.r.l.</t>
  </si>
  <si>
    <t>randstad argentina</t>
  </si>
  <si>
    <t>rastro agro</t>
  </si>
  <si>
    <t>rather labs</t>
  </si>
  <si>
    <t>rava bursátil</t>
  </si>
  <si>
    <t>reanswer</t>
  </si>
  <si>
    <t>reba</t>
  </si>
  <si>
    <t>rebill</t>
  </si>
  <si>
    <t>redjar</t>
  </si>
  <si>
    <t>remiseria los melli</t>
  </si>
  <si>
    <t>remitee</t>
  </si>
  <si>
    <t>replaceit</t>
  </si>
  <si>
    <t>reply latam</t>
  </si>
  <si>
    <t>request s.a.</t>
  </si>
  <si>
    <t>revai</t>
  </si>
  <si>
    <t>revelacion</t>
  </si>
  <si>
    <t>revelacion data</t>
  </si>
  <si>
    <t>rêvus store</t>
  </si>
  <si>
    <t>rht</t>
  </si>
  <si>
    <t>richetta</t>
  </si>
  <si>
    <t>roagro</t>
  </si>
  <si>
    <t>rockstar solutions</t>
  </si>
  <si>
    <t>rolling code</t>
  </si>
  <si>
    <t>roseti deportes</t>
  </si>
  <si>
    <t>ross outside the box</t>
  </si>
  <si>
    <t>rubic sa</t>
  </si>
  <si>
    <t>runaid srl</t>
  </si>
  <si>
    <t>s1 gateway</t>
  </si>
  <si>
    <t>saavedra fitness srl</t>
  </si>
  <si>
    <t>sacripanti y asoc. srl</t>
  </si>
  <si>
    <t>salros srl</t>
  </si>
  <si>
    <t>san juan tec</t>
  </si>
  <si>
    <t>sanatorio general sarmiento</t>
  </si>
  <si>
    <t>santander</t>
  </si>
  <si>
    <t>scania argentina</t>
  </si>
  <si>
    <t>secretaria de tecnologia de la provincia de santa fe</t>
  </si>
  <si>
    <t>seemple</t>
  </si>
  <si>
    <t>segurity group</t>
  </si>
  <si>
    <t>seguros rivadavia</t>
  </si>
  <si>
    <t>seidor</t>
  </si>
  <si>
    <t>sellers latam</t>
  </si>
  <si>
    <t>E-Commerce</t>
  </si>
  <si>
    <t>selucom srl</t>
  </si>
  <si>
    <t>senado de la nación</t>
  </si>
  <si>
    <t>sertic</t>
  </si>
  <si>
    <t>servicios urbanos</t>
  </si>
  <si>
    <t>servicios urbanos s.a</t>
  </si>
  <si>
    <t>servicom global s.a.</t>
  </si>
  <si>
    <t>sgb information services</t>
  </si>
  <si>
    <t>shooza</t>
  </si>
  <si>
    <t>shopping del panadero</t>
  </si>
  <si>
    <t>sibco consultores</t>
  </si>
  <si>
    <t>silentium apps</t>
  </si>
  <si>
    <t>silmag</t>
  </si>
  <si>
    <t>silstech</t>
  </si>
  <si>
    <t>simple black sas.</t>
  </si>
  <si>
    <t>simtlix</t>
  </si>
  <si>
    <t>sinapsis</t>
  </si>
  <si>
    <t>sind. de pet y gas priv de rn, nqn y lp</t>
  </si>
  <si>
    <t>singularcity</t>
  </si>
  <si>
    <t>sirena</t>
  </si>
  <si>
    <t>sirius</t>
  </si>
  <si>
    <t>sirius software</t>
  </si>
  <si>
    <t>sisem</t>
  </si>
  <si>
    <t>sisorg</t>
  </si>
  <si>
    <t>sistema siges sa</t>
  </si>
  <si>
    <t>sistemas computables</t>
  </si>
  <si>
    <t>sistemas esco s.a</t>
  </si>
  <si>
    <t>sistemas plenario</t>
  </si>
  <si>
    <t>sistemas unificados de credito dirigido s.a.</t>
  </si>
  <si>
    <t>siu</t>
  </si>
  <si>
    <t>smartledge</t>
  </si>
  <si>
    <t>smartway srl</t>
  </si>
  <si>
    <t>sms</t>
  </si>
  <si>
    <t>social learning</t>
  </si>
  <si>
    <t>sofá</t>
  </si>
  <si>
    <t>softing</t>
  </si>
  <si>
    <t>softur sa</t>
  </si>
  <si>
    <t>soluciones andinas</t>
  </si>
  <si>
    <t>soluciones del litoral</t>
  </si>
  <si>
    <t>solutions malls</t>
  </si>
  <si>
    <t>solvo rosario</t>
  </si>
  <si>
    <t>sommiercenter</t>
  </si>
  <si>
    <t>somosedison</t>
  </si>
  <si>
    <t>sondeos</t>
  </si>
  <si>
    <t>sooft technology</t>
  </si>
  <si>
    <t>sos contador</t>
  </si>
  <si>
    <t>spaceguru</t>
  </si>
  <si>
    <t>spark solutions</t>
  </si>
  <si>
    <t>sportclub</t>
  </si>
  <si>
    <t>ssb international</t>
  </si>
  <si>
    <t>ssi technologies</t>
  </si>
  <si>
    <t>stacktrace srl</t>
  </si>
  <si>
    <t>starappx</t>
  </si>
  <si>
    <t>start-7</t>
  </si>
  <si>
    <t>stefanini group</t>
  </si>
  <si>
    <t>steplix</t>
  </si>
  <si>
    <t>sti ingenieria</t>
  </si>
  <si>
    <t>story dots</t>
  </si>
  <si>
    <t>storydots</t>
  </si>
  <si>
    <t>stratton argentina s.a</t>
  </si>
  <si>
    <t>stylish international inc.</t>
  </si>
  <si>
    <t>subsecretaria de ciudad inteligente caba</t>
  </si>
  <si>
    <t>subsecretaria de industria de corrientes</t>
  </si>
  <si>
    <t>subsecretaría de salud de la provincia de neuquén</t>
  </si>
  <si>
    <t>subtrama estudio srl</t>
  </si>
  <si>
    <t>sudamericana servicios de consultoria integral</t>
  </si>
  <si>
    <t>suizo argentina</t>
  </si>
  <si>
    <t>suministra</t>
  </si>
  <si>
    <t>super</t>
  </si>
  <si>
    <t>surix srl</t>
  </si>
  <si>
    <t>swagcharm llc</t>
  </si>
  <si>
    <t>swiss medical</t>
  </si>
  <si>
    <t>switch it</t>
  </si>
  <si>
    <t>syloper</t>
  </si>
  <si>
    <t>sympony lam</t>
  </si>
  <si>
    <t>synagro</t>
  </si>
  <si>
    <t>synergiar</t>
  </si>
  <si>
    <t>t1ne</t>
  </si>
  <si>
    <t>t4tpartners</t>
  </si>
  <si>
    <t>tag latam</t>
  </si>
  <si>
    <t>taggify</t>
  </si>
  <si>
    <t>taligent</t>
  </si>
  <si>
    <t>tandem digital</t>
  </si>
  <si>
    <t>tap</t>
  </si>
  <si>
    <t>taxes software</t>
  </si>
  <si>
    <t>teamquality</t>
  </si>
  <si>
    <t>teclab</t>
  </si>
  <si>
    <t>tecnoazar</t>
  </si>
  <si>
    <t>tecnosapiens</t>
  </si>
  <si>
    <t>tecnosoftware</t>
  </si>
  <si>
    <t>tecsci: technology for science</t>
  </si>
  <si>
    <t>teknaria</t>
  </si>
  <si>
    <t>tekne</t>
  </si>
  <si>
    <t>tele red imagen</t>
  </si>
  <si>
    <t>telecentro</t>
  </si>
  <si>
    <t>telecentro s.a.</t>
  </si>
  <si>
    <t>telecom</t>
  </si>
  <si>
    <t>telecomunicaciones corrientes</t>
  </si>
  <si>
    <t>telefónica de argentina</t>
  </si>
  <si>
    <t>telemercado</t>
  </si>
  <si>
    <t>tensolite</t>
  </si>
  <si>
    <t>tenx</t>
  </si>
  <si>
    <t>tercer ojo</t>
  </si>
  <si>
    <t>termas villa elisa s.a.</t>
  </si>
  <si>
    <t>terminal zarate</t>
  </si>
  <si>
    <t>texno</t>
  </si>
  <si>
    <t>tgv</t>
  </si>
  <si>
    <t>the app master</t>
  </si>
  <si>
    <t>the best connection s.a.s</t>
  </si>
  <si>
    <t>thinksoft argentina sa</t>
  </si>
  <si>
    <t>tline</t>
  </si>
  <si>
    <t>todoalojamiento</t>
  </si>
  <si>
    <t>todosgamers</t>
  </si>
  <si>
    <t>toyota argentina</t>
  </si>
  <si>
    <t>tpv-sil</t>
  </si>
  <si>
    <t>transdaf srl</t>
  </si>
  <si>
    <t>treggo</t>
  </si>
  <si>
    <t>trememote</t>
  </si>
  <si>
    <t>trend ingenieria srl</t>
  </si>
  <si>
    <t>Automation</t>
  </si>
  <si>
    <t>trenda software</t>
  </si>
  <si>
    <t>trenes argentinos</t>
  </si>
  <si>
    <t>trescientosuno</t>
  </si>
  <si>
    <t>tribunal de cuentas de mendoza</t>
  </si>
  <si>
    <t>trimix</t>
  </si>
  <si>
    <t>trompo agencia</t>
  </si>
  <si>
    <t>tsoft</t>
  </si>
  <si>
    <t>tu entrada</t>
  </si>
  <si>
    <t>tu portal srl.</t>
  </si>
  <si>
    <t>tufud</t>
  </si>
  <si>
    <t>tugerente</t>
  </si>
  <si>
    <t>tupaca</t>
  </si>
  <si>
    <t>turing corp</t>
  </si>
  <si>
    <t>turismocity</t>
  </si>
  <si>
    <t>twins music srl</t>
  </si>
  <si>
    <t>ualá</t>
  </si>
  <si>
    <t>ucrop.it</t>
  </si>
  <si>
    <t>ucropit</t>
  </si>
  <si>
    <t>uils</t>
  </si>
  <si>
    <t>uma health ai</t>
  </si>
  <si>
    <t>unb collections</t>
  </si>
  <si>
    <t>ungs</t>
  </si>
  <si>
    <t>universidad</t>
  </si>
  <si>
    <t>universidad católica de córdoba</t>
  </si>
  <si>
    <t>universidad católica de salta</t>
  </si>
  <si>
    <t>universidad de san martin</t>
  </si>
  <si>
    <t>universidad empresarial siglo 21</t>
  </si>
  <si>
    <t>universidad nacional de cuyo</t>
  </si>
  <si>
    <t>universidad nacional de la plata</t>
  </si>
  <si>
    <t>universidad nacional de la rioja</t>
  </si>
  <si>
    <t>universidad nacional de tres de febrero</t>
  </si>
  <si>
    <t>unlimited world</t>
  </si>
  <si>
    <t>unlp</t>
  </si>
  <si>
    <t>utn</t>
  </si>
  <si>
    <t>utn-frba</t>
  </si>
  <si>
    <t>valkimia</t>
  </si>
  <si>
    <t>valtech</t>
  </si>
  <si>
    <t>value or waste</t>
  </si>
  <si>
    <t>vaypol</t>
  </si>
  <si>
    <t>venturing srl</t>
  </si>
  <si>
    <t>veritran</t>
  </si>
  <si>
    <t>vibra gaming</t>
  </si>
  <si>
    <t>vica</t>
  </si>
  <si>
    <t>vicino</t>
  </si>
  <si>
    <t>vippinn</t>
  </si>
  <si>
    <t>virtual dreams</t>
  </si>
  <si>
    <t>virtual sense</t>
  </si>
  <si>
    <t>visionaris</t>
  </si>
  <si>
    <t>visma latam</t>
  </si>
  <si>
    <t>vívet</t>
  </si>
  <si>
    <t>vn studios</t>
  </si>
  <si>
    <t>voicenter</t>
  </si>
  <si>
    <t>volt motors</t>
  </si>
  <si>
    <t>voolkia</t>
  </si>
  <si>
    <t>vortex it</t>
  </si>
  <si>
    <t>vos srl</t>
  </si>
  <si>
    <t>w3 it solutions</t>
  </si>
  <si>
    <t>wam creativo</t>
  </si>
  <si>
    <t>way too digital</t>
  </si>
  <si>
    <t>we cover</t>
  </si>
  <si>
    <t>we plan</t>
  </si>
  <si>
    <t>wehaus</t>
  </si>
  <si>
    <t>wenance</t>
  </si>
  <si>
    <t>wenty</t>
  </si>
  <si>
    <t>widergy</t>
  </si>
  <si>
    <t>win and winnow</t>
  </si>
  <si>
    <t>win&amp;winnow</t>
  </si>
  <si>
    <t>winclap</t>
  </si>
  <si>
    <t>winpax</t>
  </si>
  <si>
    <t>wippie</t>
  </si>
  <si>
    <t>wirall</t>
  </si>
  <si>
    <t>wisboo</t>
  </si>
  <si>
    <t>wiselink</t>
  </si>
  <si>
    <t>wispro s.a</t>
  </si>
  <si>
    <t>wkb gaming</t>
  </si>
  <si>
    <t>wodeva</t>
  </si>
  <si>
    <t>woowup</t>
  </si>
  <si>
    <t>worldsys</t>
  </si>
  <si>
    <t>xoolix</t>
  </si>
  <si>
    <t>yalutec</t>
  </si>
  <si>
    <t>yamanatech</t>
  </si>
  <si>
    <t>yellow patito</t>
  </si>
  <si>
    <t>ypf</t>
  </si>
  <si>
    <t>zaple</t>
  </si>
  <si>
    <t>zil holdings</t>
  </si>
  <si>
    <t>zingueria san luis</t>
  </si>
  <si>
    <t>zoologic</t>
  </si>
  <si>
    <t>zoovet</t>
  </si>
  <si>
    <t>Australia</t>
  </si>
  <si>
    <t>appen</t>
  </si>
  <si>
    <t>devices &amp; technology</t>
  </si>
  <si>
    <t>epec</t>
  </si>
  <si>
    <t>gastronomia</t>
  </si>
  <si>
    <t>global assist</t>
  </si>
  <si>
    <t>hotglue</t>
  </si>
  <si>
    <t>invorious</t>
  </si>
  <si>
    <t>kan it</t>
  </si>
  <si>
    <t>lakeba</t>
  </si>
  <si>
    <t>ploy sas</t>
  </si>
  <si>
    <t>torrens university australia</t>
  </si>
  <si>
    <t>vow</t>
  </si>
  <si>
    <t>Biotechnology</t>
  </si>
  <si>
    <t>Austria</t>
  </si>
  <si>
    <t>rb bebidas</t>
  </si>
  <si>
    <t>redfrog</t>
  </si>
  <si>
    <t>Belgica</t>
  </si>
  <si>
    <t>linkus</t>
  </si>
  <si>
    <t>one consultants</t>
  </si>
  <si>
    <t>visual impacto</t>
  </si>
  <si>
    <t>Bolivia</t>
  </si>
  <si>
    <t>ahijuna</t>
  </si>
  <si>
    <t>jalasoft</t>
  </si>
  <si>
    <t>jesus del gran poder s.a.</t>
  </si>
  <si>
    <t>multicompras qn ltda</t>
  </si>
  <si>
    <t>netbits llc sucursal bolivia</t>
  </si>
  <si>
    <t>Brasil</t>
  </si>
  <si>
    <t>alstra technologies llc</t>
  </si>
  <si>
    <t>andreani logística</t>
  </si>
  <si>
    <t>aoop cloud solutions</t>
  </si>
  <si>
    <t>aplay sa</t>
  </si>
  <si>
    <t>banco itau</t>
  </si>
  <si>
    <t>baruk</t>
  </si>
  <si>
    <t>blipconnection</t>
  </si>
  <si>
    <t>claro</t>
  </si>
  <si>
    <t>complejo alimenticio san salvador</t>
  </si>
  <si>
    <t>corebiz</t>
  </si>
  <si>
    <t>cs3</t>
  </si>
  <si>
    <t>dba inc</t>
  </si>
  <si>
    <t>docmobi</t>
  </si>
  <si>
    <t>escola sorvete</t>
  </si>
  <si>
    <t>finky</t>
  </si>
  <si>
    <t>fridom</t>
  </si>
  <si>
    <t>green pillows</t>
  </si>
  <si>
    <t>grupo moura</t>
  </si>
  <si>
    <t>grupo yuma</t>
  </si>
  <si>
    <t>itprovider s.r.l.</t>
  </si>
  <si>
    <t>jardins grill</t>
  </si>
  <si>
    <t>kantar ibope media</t>
  </si>
  <si>
    <t>leonardo torres</t>
  </si>
  <si>
    <t>libree ltd</t>
  </si>
  <si>
    <t>lider tecnico</t>
  </si>
  <si>
    <t>livo company</t>
  </si>
  <si>
    <t>mgrana</t>
  </si>
  <si>
    <t>moove</t>
  </si>
  <si>
    <t>nuclea</t>
  </si>
  <si>
    <t>nucommerce international spa</t>
  </si>
  <si>
    <t>pluggy</t>
  </si>
  <si>
    <t>proyecto e sas</t>
  </si>
  <si>
    <t>recargapay</t>
  </si>
  <si>
    <t>scala chile</t>
  </si>
  <si>
    <t>sport club</t>
  </si>
  <si>
    <t>spot</t>
  </si>
  <si>
    <t>teiki</t>
  </si>
  <si>
    <t>zenvia</t>
  </si>
  <si>
    <t>Canada</t>
  </si>
  <si>
    <t>ada Total</t>
  </si>
  <si>
    <t>agiika</t>
  </si>
  <si>
    <t>amphy tech</t>
  </si>
  <si>
    <t>aplin</t>
  </si>
  <si>
    <t>apply digital</t>
  </si>
  <si>
    <t>biobox</t>
  </si>
  <si>
    <t>borsos media</t>
  </si>
  <si>
    <t>cloudnonic corp.</t>
  </si>
  <si>
    <t>cpqi tecnología financiera</t>
  </si>
  <si>
    <t>digit carts</t>
  </si>
  <si>
    <t>equo</t>
  </si>
  <si>
    <t>geolitix</t>
  </si>
  <si>
    <t>givex</t>
  </si>
  <si>
    <t>gob</t>
  </si>
  <si>
    <t>innova scientific</t>
  </si>
  <si>
    <t>intangent</t>
  </si>
  <si>
    <t>kubrik digital</t>
  </si>
  <si>
    <t>lft solutions</t>
  </si>
  <si>
    <t>mystrengthbook</t>
  </si>
  <si>
    <t>nddinfosystems</t>
  </si>
  <si>
    <t>onex services</t>
  </si>
  <si>
    <t>q4</t>
  </si>
  <si>
    <t>qdoc inc</t>
  </si>
  <si>
    <t>roots</t>
  </si>
  <si>
    <t>singularity health</t>
  </si>
  <si>
    <t>strato earth</t>
  </si>
  <si>
    <t>telus international</t>
  </si>
  <si>
    <t>Chile</t>
  </si>
  <si>
    <t>3it</t>
  </si>
  <si>
    <t>4agile</t>
  </si>
  <si>
    <t>acl</t>
  </si>
  <si>
    <t>addval</t>
  </si>
  <si>
    <t>adevcom</t>
  </si>
  <si>
    <t>agea s.a.</t>
  </si>
  <si>
    <t>agenda pro</t>
  </si>
  <si>
    <t>alphagroup express</t>
  </si>
  <si>
    <t>arkho</t>
  </si>
  <si>
    <t>axity</t>
  </si>
  <si>
    <t>b21</t>
  </si>
  <si>
    <t>bambú bpo</t>
  </si>
  <si>
    <t>boosmap</t>
  </si>
  <si>
    <t>booz.cl</t>
  </si>
  <si>
    <t>canal cero</t>
  </si>
  <si>
    <t>charly.io</t>
  </si>
  <si>
    <t>chattigo</t>
  </si>
  <si>
    <t>cmpc</t>
  </si>
  <si>
    <t>colegio carmelita felipe cortes</t>
  </si>
  <si>
    <t>colegium</t>
  </si>
  <si>
    <t>colektia</t>
  </si>
  <si>
    <t>comscore</t>
  </si>
  <si>
    <t>continuumhq</t>
  </si>
  <si>
    <t>creditos onix</t>
  </si>
  <si>
    <t>creditu</t>
  </si>
  <si>
    <t>cuatroi</t>
  </si>
  <si>
    <t>customer scoops</t>
  </si>
  <si>
    <t>customerscoops</t>
  </si>
  <si>
    <t>defontana</t>
  </si>
  <si>
    <t>defontana corp. spa</t>
  </si>
  <si>
    <t>delta digital</t>
  </si>
  <si>
    <t>desafio latam</t>
  </si>
  <si>
    <t>desafío latam</t>
  </si>
  <si>
    <t>destacados chile</t>
  </si>
  <si>
    <t>devsafio latam</t>
  </si>
  <si>
    <t>docmovi</t>
  </si>
  <si>
    <t>dparadig</t>
  </si>
  <si>
    <t>drivin</t>
  </si>
  <si>
    <t>eclass</t>
  </si>
  <si>
    <t>ecomsur</t>
  </si>
  <si>
    <t>eiche chile</t>
  </si>
  <si>
    <t>enérgica city</t>
  </si>
  <si>
    <t>enlace global</t>
  </si>
  <si>
    <t>entel</t>
  </si>
  <si>
    <t>enviame</t>
  </si>
  <si>
    <t>envíame</t>
  </si>
  <si>
    <t>eventys</t>
  </si>
  <si>
    <t>evoluciona chile</t>
  </si>
  <si>
    <t>falabella</t>
  </si>
  <si>
    <t>fapro</t>
  </si>
  <si>
    <t>foodsys.io</t>
  </si>
  <si>
    <t>forma analytics</t>
  </si>
  <si>
    <t>getback</t>
  </si>
  <si>
    <t>global 66</t>
  </si>
  <si>
    <t>global66</t>
  </si>
  <si>
    <t>globalconexus</t>
  </si>
  <si>
    <t>go up cloud</t>
  </si>
  <si>
    <t>gocode spa</t>
  </si>
  <si>
    <t>helpcom</t>
  </si>
  <si>
    <t>heyandes.com</t>
  </si>
  <si>
    <t>hidroplat</t>
  </si>
  <si>
    <t>innercore</t>
  </si>
  <si>
    <t>innevo</t>
  </si>
  <si>
    <t>innovit</t>
  </si>
  <si>
    <t>inventa s.a</t>
  </si>
  <si>
    <t>it procesos</t>
  </si>
  <si>
    <t>kabeli</t>
  </si>
  <si>
    <t>keirón</t>
  </si>
  <si>
    <t>kibernum</t>
  </si>
  <si>
    <t>kibernum s.a.</t>
  </si>
  <si>
    <t>kimche</t>
  </si>
  <si>
    <t>known online</t>
  </si>
  <si>
    <t>koyag</t>
  </si>
  <si>
    <t>kranio</t>
  </si>
  <si>
    <t>larnu</t>
  </si>
  <si>
    <t>lemontech</t>
  </si>
  <si>
    <t>megatime</t>
  </si>
  <si>
    <t>metso outotec chile spa</t>
  </si>
  <si>
    <t>microsystem</t>
  </si>
  <si>
    <t>modyo</t>
  </si>
  <si>
    <t>movigoo</t>
  </si>
  <si>
    <t>mpsoft spa</t>
  </si>
  <si>
    <t>myfuture-ai</t>
  </si>
  <si>
    <t>myg ingenieria</t>
  </si>
  <si>
    <t>nlt secure</t>
  </si>
  <si>
    <t>omnix</t>
  </si>
  <si>
    <t>pago46</t>
  </si>
  <si>
    <t>patagonia it solutions</t>
  </si>
  <si>
    <t>piso 29</t>
  </si>
  <si>
    <t>polyworks mexico</t>
  </si>
  <si>
    <t>property partners</t>
  </si>
  <si>
    <t>propital</t>
  </si>
  <si>
    <t>pullman cargo</t>
  </si>
  <si>
    <t>resultadistas</t>
  </si>
  <si>
    <t>retail compass</t>
  </si>
  <si>
    <t>rompecabeza</t>
  </si>
  <si>
    <t>seis s.a</t>
  </si>
  <si>
    <t>servicios procure spa</t>
  </si>
  <si>
    <t>shareable innovations spa</t>
  </si>
  <si>
    <t>sheriff</t>
  </si>
  <si>
    <t>simpliroute</t>
  </si>
  <si>
    <t>slash</t>
  </si>
  <si>
    <t>socialab</t>
  </si>
  <si>
    <t>sodimac</t>
  </si>
  <si>
    <t>soho</t>
  </si>
  <si>
    <t>soy momo</t>
  </si>
  <si>
    <t>tcit cloud solutions</t>
  </si>
  <si>
    <t>time jobs</t>
  </si>
  <si>
    <t>toplance</t>
  </si>
  <si>
    <t>totalpack</t>
  </si>
  <si>
    <t>tubesoft</t>
  </si>
  <si>
    <t>tucar.app</t>
  </si>
  <si>
    <t>tutenlabs</t>
  </si>
  <si>
    <t>udd</t>
  </si>
  <si>
    <t>uroff</t>
  </si>
  <si>
    <t>vestuá</t>
  </si>
  <si>
    <t>videsk spa</t>
  </si>
  <si>
    <t>vita solutions spa</t>
  </si>
  <si>
    <t>vita wallet</t>
  </si>
  <si>
    <t>vultur</t>
  </si>
  <si>
    <t>webclass</t>
  </si>
  <si>
    <t>winwinlatam</t>
  </si>
  <si>
    <t>workcapit</t>
  </si>
  <si>
    <t>xepelin</t>
  </si>
  <si>
    <t>ybp</t>
  </si>
  <si>
    <t>zerviz</t>
  </si>
  <si>
    <t>China</t>
  </si>
  <si>
    <t>blitz laser ltd.</t>
  </si>
  <si>
    <t>cencosud sa</t>
  </si>
  <si>
    <t>huawei</t>
  </si>
  <si>
    <t>lenovo</t>
  </si>
  <si>
    <t>nextgo llc</t>
  </si>
  <si>
    <t>sisu</t>
  </si>
  <si>
    <t>smart air</t>
  </si>
  <si>
    <t>viact</t>
  </si>
  <si>
    <t>Colombia</t>
  </si>
  <si>
    <t>1doc3</t>
  </si>
  <si>
    <t>acs aciel colombia soluciones integrales s.a.s.</t>
  </si>
  <si>
    <t>ada school</t>
  </si>
  <si>
    <t>addin technologies</t>
  </si>
  <si>
    <t>adilimited cp s.a.s.</t>
  </si>
  <si>
    <t>agencia nacional digital</t>
  </si>
  <si>
    <t>ágil365</t>
  </si>
  <si>
    <t>agrobolsa s.a</t>
  </si>
  <si>
    <t>ake lab</t>
  </si>
  <si>
    <t>alegra</t>
  </si>
  <si>
    <t>algoritmo</t>
  </si>
  <si>
    <t>amaris consulting</t>
  </si>
  <si>
    <t>anla</t>
  </si>
  <si>
    <t>ant pack</t>
  </si>
  <si>
    <t>appxcale, llc</t>
  </si>
  <si>
    <t>aptuno</t>
  </si>
  <si>
    <t>arandinni</t>
  </si>
  <si>
    <t>arqustik vitruvio sas</t>
  </si>
  <si>
    <t>asofty</t>
  </si>
  <si>
    <t>autonomic mind</t>
  </si>
  <si>
    <t>autopartes.app</t>
  </si>
  <si>
    <t xml:space="preserve">auxo consulting </t>
  </si>
  <si>
    <t>avam consulting group s a s</t>
  </si>
  <si>
    <t>avanxo technologies sas</t>
  </si>
  <si>
    <t>aveonline</t>
  </si>
  <si>
    <t>awake</t>
  </si>
  <si>
    <t>banco davivienda</t>
  </si>
  <si>
    <t>banco de bogotá</t>
  </si>
  <si>
    <t>bancolombia</t>
  </si>
  <si>
    <t>be bolder</t>
  </si>
  <si>
    <t>bemaster</t>
  </si>
  <si>
    <t>bentex trading s.a</t>
  </si>
  <si>
    <t>betriax</t>
  </si>
  <si>
    <t>bigview</t>
  </si>
  <si>
    <t>bitsports</t>
  </si>
  <si>
    <t>blacksip</t>
  </si>
  <si>
    <t>boreal solutions</t>
  </si>
  <si>
    <t>botero media</t>
  </si>
  <si>
    <t>bpt software</t>
  </si>
  <si>
    <t>brace developers</t>
  </si>
  <si>
    <t>brm s.a.s</t>
  </si>
  <si>
    <t>btp aquaforjas</t>
  </si>
  <si>
    <t>calyaan colombia</t>
  </si>
  <si>
    <t>cámara de comercio de medellin</t>
  </si>
  <si>
    <t>campoalto</t>
  </si>
  <si>
    <t>ccxc - centro de consultoría para la competitividad</t>
  </si>
  <si>
    <t>celuweb</t>
  </si>
  <si>
    <t>chilling time</t>
  </si>
  <si>
    <t>ciadti</t>
  </si>
  <si>
    <t>ciomprix</t>
  </si>
  <si>
    <t>cirion technologies colombia</t>
  </si>
  <si>
    <t>coally</t>
  </si>
  <si>
    <t>colmancol s.a.s</t>
  </si>
  <si>
    <t>colsof</t>
  </si>
  <si>
    <t>compañia comercial curacao de colombia</t>
  </si>
  <si>
    <t>complemento 360</t>
  </si>
  <si>
    <t>connect your knowledge</t>
  </si>
  <si>
    <t>crizz</t>
  </si>
  <si>
    <t>cubiq</t>
  </si>
  <si>
    <t>datatools</t>
  </si>
  <si>
    <t>decimetrix</t>
  </si>
  <si>
    <t>departamento administrativo nacional de estadísticas</t>
  </si>
  <si>
    <t>devsavant</t>
  </si>
  <si>
    <t>dharma digital marketing</t>
  </si>
  <si>
    <t>duppla</t>
  </si>
  <si>
    <t>e training</t>
  </si>
  <si>
    <t>e-volution</t>
  </si>
  <si>
    <t>ecopción</t>
  </si>
  <si>
    <t>elite automátion group</t>
  </si>
  <si>
    <t>empresas cruz</t>
  </si>
  <si>
    <t>enerbit</t>
  </si>
  <si>
    <t>enersinc</t>
  </si>
  <si>
    <t>esinergia</t>
  </si>
  <si>
    <t>evo-ion</t>
  </si>
  <si>
    <t>evol</t>
  </si>
  <si>
    <t>facture s.a.s</t>
  </si>
  <si>
    <t>fado solutions</t>
  </si>
  <si>
    <t>farmu</t>
  </si>
  <si>
    <t>fga</t>
  </si>
  <si>
    <t>finoservices s.a.s</t>
  </si>
  <si>
    <t>fintra logistic</t>
  </si>
  <si>
    <t>flunt</t>
  </si>
  <si>
    <t>fondo</t>
  </si>
  <si>
    <t>fourtune</t>
  </si>
  <si>
    <t>fryos studios</t>
  </si>
  <si>
    <t>fundación solidaridad latinoamericana</t>
  </si>
  <si>
    <t>fupad</t>
  </si>
  <si>
    <t>gadier sistemas profesionales de informacion</t>
  </si>
  <si>
    <t>geniorama</t>
  </si>
  <si>
    <t>global circuit</t>
  </si>
  <si>
    <t>graficas druckerei</t>
  </si>
  <si>
    <t>grupo akaes</t>
  </si>
  <si>
    <t>grupo asd</t>
  </si>
  <si>
    <t>grupo empresarial de emprendimiento social sas</t>
  </si>
  <si>
    <t>gse - gestión de seguridad electrónica</t>
  </si>
  <si>
    <t>guane enterprises</t>
  </si>
  <si>
    <t>ha bicicletas</t>
  </si>
  <si>
    <t>hellobuild</t>
  </si>
  <si>
    <t>hexa solutions</t>
  </si>
  <si>
    <t>hogaru</t>
  </si>
  <si>
    <t>horus smart control</t>
  </si>
  <si>
    <t>ias software</t>
  </si>
  <si>
    <t>icreativadigital</t>
  </si>
  <si>
    <t>icubos solutions</t>
  </si>
  <si>
    <t>ideaware co sas</t>
  </si>
  <si>
    <t>imagine s.a.s</t>
  </si>
  <si>
    <t>inaltec</t>
  </si>
  <si>
    <t>informatica &amp; tecnologia stefanini sa</t>
  </si>
  <si>
    <t>ingenian software</t>
  </si>
  <si>
    <t>inkoms</t>
  </si>
  <si>
    <t>inlaze</t>
  </si>
  <si>
    <t>innpactia</t>
  </si>
  <si>
    <t>inter rapidisimo</t>
  </si>
  <si>
    <t>intresco</t>
  </si>
  <si>
    <t>iptotal software</t>
  </si>
  <si>
    <t>ises</t>
  </si>
  <si>
    <t>itglobers</t>
  </si>
  <si>
    <t>jausme</t>
  </si>
  <si>
    <t>jeduca</t>
  </si>
  <si>
    <t>job &amp; talent</t>
  </si>
  <si>
    <t>joyful labs</t>
  </si>
  <si>
    <t>julius commerce</t>
  </si>
  <si>
    <t>kala</t>
  </si>
  <si>
    <t>kargoru</t>
  </si>
  <si>
    <t>keytek</t>
  </si>
  <si>
    <t>kloustr labs</t>
  </si>
  <si>
    <t>kuepa edutech</t>
  </si>
  <si>
    <t>la haus</t>
  </si>
  <si>
    <t>lae educacion internacional</t>
  </si>
  <si>
    <t>lamanicurista</t>
  </si>
  <si>
    <t>latblock</t>
  </si>
  <si>
    <t>latin american education</t>
  </si>
  <si>
    <t>leal</t>
  </si>
  <si>
    <t>lentesplus</t>
  </si>
  <si>
    <t>libel academy</t>
  </si>
  <si>
    <t>linktic</t>
  </si>
  <si>
    <t>linktic s.a.s</t>
  </si>
  <si>
    <t>lizit app</t>
  </si>
  <si>
    <t>longport aviation security</t>
  </si>
  <si>
    <t>ludus colombia sas</t>
  </si>
  <si>
    <t>maaji</t>
  </si>
  <si>
    <t>mekan</t>
  </si>
  <si>
    <t>melonn</t>
  </si>
  <si>
    <t>meltstudio</t>
  </si>
  <si>
    <t>metanoiia</t>
  </si>
  <si>
    <t>mi águila</t>
  </si>
  <si>
    <t>mono</t>
  </si>
  <si>
    <t>monoku</t>
  </si>
  <si>
    <t>movilbox s.a.s.</t>
  </si>
  <si>
    <t>movinova ip&amp;t sas</t>
  </si>
  <si>
    <t>muebles jamar</t>
  </si>
  <si>
    <t>mundo cloud</t>
  </si>
  <si>
    <t>muni tienda</t>
  </si>
  <si>
    <t>nacionalidades bn</t>
  </si>
  <si>
    <t>nec de colombia</t>
  </si>
  <si>
    <t>netw</t>
  </si>
  <si>
    <t>nexura internacional</t>
  </si>
  <si>
    <t>nexura méxico</t>
  </si>
  <si>
    <t>noa experience</t>
  </si>
  <si>
    <t>nub7/8</t>
  </si>
  <si>
    <t>offimedicas s.a.</t>
  </si>
  <si>
    <t>on the fuze</t>
  </si>
  <si>
    <t>onyx soft</t>
  </si>
  <si>
    <t>owo app</t>
  </si>
  <si>
    <t>pagos automáticos de colombia s.a.s</t>
  </si>
  <si>
    <t>payvalida</t>
  </si>
  <si>
    <t>pdt agencia</t>
  </si>
  <si>
    <t>periferia it</t>
  </si>
  <si>
    <t>pidgin</t>
  </si>
  <si>
    <t>pluriza</t>
  </si>
  <si>
    <t>pragma</t>
  </si>
  <si>
    <t>preki</t>
  </si>
  <si>
    <t>prosource solutions sa</t>
  </si>
  <si>
    <t>proveedor soluciones tecnologicas</t>
  </si>
  <si>
    <t>puntored</t>
  </si>
  <si>
    <t>qentaz</t>
  </si>
  <si>
    <t>quantify</t>
  </si>
  <si>
    <t>quind</t>
  </si>
  <si>
    <t>rappi</t>
  </si>
  <si>
    <t>redes humanas</t>
  </si>
  <si>
    <t>resistance sas</t>
  </si>
  <si>
    <t>rurall latam</t>
  </si>
  <si>
    <t>scotiabankcolpatria</t>
  </si>
  <si>
    <t>seahubs s.a</t>
  </si>
  <si>
    <t>seguros bolívar s.a.</t>
  </si>
  <si>
    <t>selia</t>
  </si>
  <si>
    <t>sense digital</t>
  </si>
  <si>
    <t>servimercadeo</t>
  </si>
  <si>
    <t>seti s.a.s</t>
  </si>
  <si>
    <t>sii group colombia</t>
  </si>
  <si>
    <t>siigo</t>
  </si>
  <si>
    <t>simetrik</t>
  </si>
  <si>
    <t>sioma</t>
  </si>
  <si>
    <t>sistemas especificos ltda</t>
  </si>
  <si>
    <t>sm digital</t>
  </si>
  <si>
    <t>sofka</t>
  </si>
  <si>
    <t>soluciones tecnológicas aplicadas de colombia s.a.s</t>
  </si>
  <si>
    <t>solusoft de colombia</t>
  </si>
  <si>
    <t>solvo global</t>
  </si>
  <si>
    <t>sophos solutions</t>
  </si>
  <si>
    <t>sportcheck sas</t>
  </si>
  <si>
    <t>sqdm</t>
  </si>
  <si>
    <t>starlight electrónica srl</t>
  </si>
  <si>
    <t>suma sas</t>
  </si>
  <si>
    <t>suncoenergy</t>
  </si>
  <si>
    <t>suti</t>
  </si>
  <si>
    <t>symplifica</t>
  </si>
  <si>
    <t>t-evolvers</t>
  </si>
  <si>
    <t>táctica web s.a.s</t>
  </si>
  <si>
    <t>tailorsoft</t>
  </si>
  <si>
    <t>talent pitch</t>
  </si>
  <si>
    <t>talenta</t>
  </si>
  <si>
    <t>talentpitch</t>
  </si>
  <si>
    <t>talycap global</t>
  </si>
  <si>
    <t>tdc lab</t>
  </si>
  <si>
    <t>tecu s.a.s</t>
  </si>
  <si>
    <t>telematica ltda</t>
  </si>
  <si>
    <t>tempolider</t>
  </si>
  <si>
    <t>termotasajero sa</t>
  </si>
  <si>
    <t>the mad fox</t>
  </si>
  <si>
    <t>tidelit</t>
  </si>
  <si>
    <t>tita media</t>
  </si>
  <si>
    <t>token sport</t>
  </si>
  <si>
    <t>tokensport</t>
  </si>
  <si>
    <t>tooles</t>
  </si>
  <si>
    <t>top group</t>
  </si>
  <si>
    <t>transelca</t>
  </si>
  <si>
    <t>trascender global</t>
  </si>
  <si>
    <t>treinta</t>
  </si>
  <si>
    <t>treinta sas</t>
  </si>
  <si>
    <t>tres grupo creativo</t>
  </si>
  <si>
    <t>tribekya</t>
  </si>
  <si>
    <t>tribier</t>
  </si>
  <si>
    <t>triibuu s.a.s</t>
  </si>
  <si>
    <t>tru startup sas</t>
  </si>
  <si>
    <t>tsgroup</t>
  </si>
  <si>
    <t>tualy</t>
  </si>
  <si>
    <t>tucan marketing digital</t>
  </si>
  <si>
    <t>tül</t>
  </si>
  <si>
    <t>ulter technologies</t>
  </si>
  <si>
    <t>unad</t>
  </si>
  <si>
    <t>undef</t>
  </si>
  <si>
    <t>universidad de san buenaventura</t>
  </si>
  <si>
    <t>universidad manuela beltrán</t>
  </si>
  <si>
    <t>universidad nacional de colombia</t>
  </si>
  <si>
    <t>universidad pontificia bolivariana</t>
  </si>
  <si>
    <t>utriper</t>
  </si>
  <si>
    <t>vaale</t>
  </si>
  <si>
    <t>valienta</t>
  </si>
  <si>
    <t>valor percibido</t>
  </si>
  <si>
    <t>venta equipos sas</t>
  </si>
  <si>
    <t>ventura travel</t>
  </si>
  <si>
    <t>vertebra soluciones</t>
  </si>
  <si>
    <t>virtual soft</t>
  </si>
  <si>
    <t>visual control</t>
  </si>
  <si>
    <t>w-tech</t>
  </si>
  <si>
    <t>webcat app</t>
  </si>
  <si>
    <t>wekall</t>
  </si>
  <si>
    <t>wigilabs</t>
  </si>
  <si>
    <t>wompi</t>
  </si>
  <si>
    <t>wunderman thompson colombia</t>
  </si>
  <si>
    <t xml:space="preserve">Colombia </t>
  </si>
  <si>
    <t>chiper</t>
  </si>
  <si>
    <t>Corea del Sur</t>
  </si>
  <si>
    <t>daewoo</t>
  </si>
  <si>
    <t>Costa Rica</t>
  </si>
  <si>
    <t>611 digital</t>
  </si>
  <si>
    <t>antit</t>
  </si>
  <si>
    <t>any2cloud</t>
  </si>
  <si>
    <t>botin</t>
  </si>
  <si>
    <t>credix</t>
  </si>
  <si>
    <t>gbsys</t>
  </si>
  <si>
    <t>ixpantia</t>
  </si>
  <si>
    <t>my seven suite</t>
  </si>
  <si>
    <t>nexitus</t>
  </si>
  <si>
    <t>Dinamarca</t>
  </si>
  <si>
    <t>ecco</t>
  </si>
  <si>
    <t>freelance + henry</t>
  </si>
  <si>
    <t>gehl</t>
  </si>
  <si>
    <t>prospect</t>
  </si>
  <si>
    <t>Dubai</t>
  </si>
  <si>
    <t>company pro</t>
  </si>
  <si>
    <t>techforb</t>
  </si>
  <si>
    <t>Ecuador</t>
  </si>
  <si>
    <t>banco guayaquil</t>
  </si>
  <si>
    <t>bitlogic s.a.</t>
  </si>
  <si>
    <t>cereza soft</t>
  </si>
  <si>
    <t>chiang s.a</t>
  </si>
  <si>
    <t>desarsoft</t>
  </si>
  <si>
    <t>devsu</t>
  </si>
  <si>
    <t>dreamcode</t>
  </si>
  <si>
    <t>estudio index</t>
  </si>
  <si>
    <t>gogalapagos</t>
  </si>
  <si>
    <t>grupo centrico</t>
  </si>
  <si>
    <t>handytec</t>
  </si>
  <si>
    <t>heka</t>
  </si>
  <si>
    <t>icreativa</t>
  </si>
  <si>
    <t>ioet</t>
  </si>
  <si>
    <t>kimobill</t>
  </si>
  <si>
    <t>krugercorp</t>
  </si>
  <si>
    <t>mansuera</t>
  </si>
  <si>
    <t>multipacks</t>
  </si>
  <si>
    <t>ndeveloper</t>
  </si>
  <si>
    <t>nekodev</t>
  </si>
  <si>
    <t>obinte</t>
  </si>
  <si>
    <t>pignoora</t>
  </si>
  <si>
    <t>punto net</t>
  </si>
  <si>
    <t>semprovec</t>
  </si>
  <si>
    <t>semprovec cia ltda</t>
  </si>
  <si>
    <t>sifizsoft s.a.</t>
  </si>
  <si>
    <t>skill-on</t>
  </si>
  <si>
    <t>trade ec</t>
  </si>
  <si>
    <t>volkfire music</t>
  </si>
  <si>
    <t>Egipto</t>
  </si>
  <si>
    <t>forvet</t>
  </si>
  <si>
    <t>go digital</t>
  </si>
  <si>
    <t>smart vision sa</t>
  </si>
  <si>
    <t>El salvador</t>
  </si>
  <si>
    <t>app solutions inc</t>
  </si>
  <si>
    <t>grupo consiti</t>
  </si>
  <si>
    <t>urbano</t>
  </si>
  <si>
    <t>Emiratos Arabes</t>
  </si>
  <si>
    <t>rokketlabs</t>
  </si>
  <si>
    <t>España</t>
  </si>
  <si>
    <t>a-sistemas</t>
  </si>
  <si>
    <t>aconcagua software</t>
  </si>
  <si>
    <t>afa colombia</t>
  </si>
  <si>
    <t>agrosemillas</t>
  </si>
  <si>
    <t>akui</t>
  </si>
  <si>
    <t>arli s.a.</t>
  </si>
  <si>
    <t>at4</t>
  </si>
  <si>
    <t>atento</t>
  </si>
  <si>
    <t>athlon españa</t>
  </si>
  <si>
    <t>aurrera</t>
  </si>
  <si>
    <t>aximo tech</t>
  </si>
  <si>
    <t>aythen</t>
  </si>
  <si>
    <t>bardo digital</t>
  </si>
  <si>
    <t>be call group</t>
  </si>
  <si>
    <t>bessell</t>
  </si>
  <si>
    <t>best garden</t>
  </si>
  <si>
    <t>bim soluciones</t>
  </si>
  <si>
    <t>binpar</t>
  </si>
  <si>
    <t>bitnovo</t>
  </si>
  <si>
    <t>blue zone</t>
  </si>
  <si>
    <t>bluetab</t>
  </si>
  <si>
    <t>business development facilities sa</t>
  </si>
  <si>
    <t>c&amp;c temporal s.a.s</t>
  </si>
  <si>
    <t>cartometrics s. coop</t>
  </si>
  <si>
    <t>cat tecnologies</t>
  </si>
  <si>
    <t>cepsi</t>
  </si>
  <si>
    <t>change the block</t>
  </si>
  <si>
    <t>charco</t>
  </si>
  <si>
    <t>clikalia</t>
  </si>
  <si>
    <t>cm combustibles</t>
  </si>
  <si>
    <t>crisp studio</t>
  </si>
  <si>
    <t>ctrading</t>
  </si>
  <si>
    <t>data-ka</t>
  </si>
  <si>
    <t>de créditos</t>
  </si>
  <si>
    <t>devnavigate</t>
  </si>
  <si>
    <t>digital value</t>
  </si>
  <si>
    <t>dominion</t>
  </si>
  <si>
    <t>educacion</t>
  </si>
  <si>
    <t>efiempresa</t>
  </si>
  <si>
    <t>ensenada de asturias sl</t>
  </si>
  <si>
    <t>entelgy</t>
  </si>
  <si>
    <t>entretramites</t>
  </si>
  <si>
    <t>estudio cactus</t>
  </si>
  <si>
    <t>eva seguros</t>
  </si>
  <si>
    <t>eventual</t>
  </si>
  <si>
    <t>everis</t>
  </si>
  <si>
    <t>factoria creativa</t>
  </si>
  <si>
    <t>fidooo</t>
  </si>
  <si>
    <t>findasense</t>
  </si>
  <si>
    <t>flipo</t>
  </si>
  <si>
    <t>focus</t>
  </si>
  <si>
    <t>food in the box</t>
  </si>
  <si>
    <t>fractalia</t>
  </si>
  <si>
    <t>freelance</t>
  </si>
  <si>
    <t>gelt</t>
  </si>
  <si>
    <t>geotap group</t>
  </si>
  <si>
    <t>gestión informática iso</t>
  </si>
  <si>
    <t>gigigo - econom digital</t>
  </si>
  <si>
    <t>giglon</t>
  </si>
  <si>
    <t>gloouds</t>
  </si>
  <si>
    <t>grupo backup</t>
  </si>
  <si>
    <t>grupo ingenium</t>
  </si>
  <si>
    <t>gsm tech</t>
  </si>
  <si>
    <t>gundo</t>
  </si>
  <si>
    <t>hiberus</t>
  </si>
  <si>
    <t>hidrotec</t>
  </si>
  <si>
    <t>holafly</t>
  </si>
  <si>
    <t>idom</t>
  </si>
  <si>
    <t>idoneo</t>
  </si>
  <si>
    <t>independiente</t>
  </si>
  <si>
    <t>inditex</t>
  </si>
  <si>
    <t>indra si s.a</t>
  </si>
  <si>
    <t>industria 4</t>
  </si>
  <si>
    <t>infini</t>
  </si>
  <si>
    <t>innova it</t>
  </si>
  <si>
    <t>innovadores</t>
  </si>
  <si>
    <t>instrutech</t>
  </si>
  <si>
    <t>integra international services</t>
  </si>
  <si>
    <t>izertis</t>
  </si>
  <si>
    <t>joaquín garcia</t>
  </si>
  <si>
    <t>kairox</t>
  </si>
  <si>
    <t>konecta</t>
  </si>
  <si>
    <t>koochapps</t>
  </si>
  <si>
    <t>kosmos</t>
  </si>
  <si>
    <t>labhouse</t>
  </si>
  <si>
    <t>ldc</t>
  </si>
  <si>
    <t>livcare</t>
  </si>
  <si>
    <t>llyc</t>
  </si>
  <si>
    <t>logística mercantil</t>
  </si>
  <si>
    <t>loop media</t>
  </si>
  <si>
    <t>luis</t>
  </si>
  <si>
    <t>magnético</t>
  </si>
  <si>
    <t>martin gonzalez</t>
  </si>
  <si>
    <t>me inmobiliaria</t>
  </si>
  <si>
    <t>metricas</t>
  </si>
  <si>
    <t>mimstechcorp</t>
  </si>
  <si>
    <t>mimusa</t>
  </si>
  <si>
    <t>minsait</t>
  </si>
  <si>
    <t>mowomo</t>
  </si>
  <si>
    <t>mytaskpanel</t>
  </si>
  <si>
    <t>neardigital sl</t>
  </si>
  <si>
    <t>netspot hub</t>
  </si>
  <si>
    <t>newe</t>
  </si>
  <si>
    <t>noah energy</t>
  </si>
  <si>
    <t>novoideas</t>
  </si>
  <si>
    <t>novolabs</t>
  </si>
  <si>
    <t>nts seidor</t>
  </si>
  <si>
    <t>once</t>
  </si>
  <si>
    <t>ontario inversiones</t>
  </si>
  <si>
    <t>opensistemas</t>
  </si>
  <si>
    <t>origin s.a.s</t>
  </si>
  <si>
    <t>otra</t>
  </si>
  <si>
    <t>packar</t>
  </si>
  <si>
    <t>persei vivarium</t>
  </si>
  <si>
    <t>prenomics</t>
  </si>
  <si>
    <t>prestalo</t>
  </si>
  <si>
    <t>proactiu</t>
  </si>
  <si>
    <t>promarketing</t>
  </si>
  <si>
    <t>prosegur</t>
  </si>
  <si>
    <t>pyd</t>
  </si>
  <si>
    <t>redegal</t>
  </si>
  <si>
    <t>reformam network 2010 sl</t>
  </si>
  <si>
    <t>repartidor</t>
  </si>
  <si>
    <t>reputación digital marcas y personas</t>
  </si>
  <si>
    <t>rio volga</t>
  </si>
  <si>
    <t>santa monica woods ltd</t>
  </si>
  <si>
    <t>serra</t>
  </si>
  <si>
    <t>shalion</t>
  </si>
  <si>
    <t>simbiotic</t>
  </si>
  <si>
    <t>smithii</t>
  </si>
  <si>
    <t>social media lab ai</t>
  </si>
  <si>
    <t>stack overflight</t>
  </si>
  <si>
    <t>surgicalmed</t>
  </si>
  <si>
    <t>talentotools</t>
  </si>
  <si>
    <t>talenttools</t>
  </si>
  <si>
    <t>taxdown</t>
  </si>
  <si>
    <t>td consultores</t>
  </si>
  <si>
    <t>telco</t>
  </si>
  <si>
    <t>the cocktail</t>
  </si>
  <si>
    <t>toro advertising - affiliate network</t>
  </si>
  <si>
    <t>tsf</t>
  </si>
  <si>
    <t>universae</t>
  </si>
  <si>
    <t>uve solutions</t>
  </si>
  <si>
    <t>vass</t>
  </si>
  <si>
    <t>verifarma</t>
  </si>
  <si>
    <t>vipealo</t>
  </si>
  <si>
    <t>whitebox</t>
  </si>
  <si>
    <t xml:space="preserve">Artificil Intelligence
</t>
  </si>
  <si>
    <t>ycs</t>
  </si>
  <si>
    <t>ypsilon</t>
  </si>
  <si>
    <t>Estados Unidos</t>
  </si>
  <si>
    <t>1910 genetics</t>
  </si>
  <si>
    <t>321 ignition</t>
  </si>
  <si>
    <t>3dus</t>
  </si>
  <si>
    <t>3dves</t>
  </si>
  <si>
    <t>3pc</t>
  </si>
  <si>
    <t>411 locals</t>
  </si>
  <si>
    <t>42i</t>
  </si>
  <si>
    <t>4d motion</t>
  </si>
  <si>
    <t>4geeks academy</t>
  </si>
  <si>
    <t>4iplatform</t>
  </si>
  <si>
    <t>aak tele-science</t>
  </si>
  <si>
    <t>abstrakt</t>
  </si>
  <si>
    <t>active marketing inc</t>
  </si>
  <si>
    <t>ad badger</t>
  </si>
  <si>
    <t>adava</t>
  </si>
  <si>
    <t>adminseg</t>
  </si>
  <si>
    <t>advanced mankind</t>
  </si>
  <si>
    <t>adyn</t>
  </si>
  <si>
    <t>aenima</t>
  </si>
  <si>
    <t>agileengine</t>
  </si>
  <si>
    <t xml:space="preserve">aid for aids </t>
  </si>
  <si>
    <t>aimonkey</t>
  </si>
  <si>
    <t>air garage</t>
  </si>
  <si>
    <t>airtech sa</t>
  </si>
  <si>
    <t>alfred llc</t>
  </si>
  <si>
    <t>alkemy</t>
  </si>
  <si>
    <t>alluxi</t>
  </si>
  <si>
    <t>alter learning</t>
  </si>
  <si>
    <t>amalgama</t>
  </si>
  <si>
    <t>amazon</t>
  </si>
  <si>
    <t>annexbox</t>
  </si>
  <si>
    <t>ant automation</t>
  </si>
  <si>
    <t>anticancer360</t>
  </si>
  <si>
    <t>aplaz</t>
  </si>
  <si>
    <t>app academy</t>
  </si>
  <si>
    <t>applaudo</t>
  </si>
  <si>
    <t>applevel</t>
  </si>
  <si>
    <t>approach tech</t>
  </si>
  <si>
    <t>apros</t>
  </si>
  <si>
    <t>argentek</t>
  </si>
  <si>
    <t>arkon data</t>
  </si>
  <si>
    <t>assurant services argentina s.a.</t>
  </si>
  <si>
    <t>aumentum technologies srl</t>
  </si>
  <si>
    <t>austin software</t>
  </si>
  <si>
    <t>auth0</t>
  </si>
  <si>
    <t>avature</t>
  </si>
  <si>
    <t>avvy</t>
  </si>
  <si>
    <t>awkbit</t>
  </si>
  <si>
    <t>bairesdev</t>
  </si>
  <si>
    <t>barcelona quality services</t>
  </si>
  <si>
    <t>beesion technologies</t>
  </si>
  <si>
    <t>bettervet</t>
  </si>
  <si>
    <t>binit</t>
  </si>
  <si>
    <t>bit solution group llc</t>
  </si>
  <si>
    <t>bitflow</t>
  </si>
  <si>
    <t>black &amp; orange</t>
  </si>
  <si>
    <t>bloom</t>
  </si>
  <si>
    <t>bloomjoy</t>
  </si>
  <si>
    <t>blue alba srl</t>
  </si>
  <si>
    <t>borderless</t>
  </si>
  <si>
    <t>boreal technologies</t>
  </si>
  <si>
    <t>brain it llc</t>
  </si>
  <si>
    <t>brainsum</t>
  </si>
  <si>
    <t>bright vessel</t>
  </si>
  <si>
    <t>buyins s. a.</t>
  </si>
  <si>
    <t>byte4bit</t>
  </si>
  <si>
    <t>byteer llc</t>
  </si>
  <si>
    <t>c-tech</t>
  </si>
  <si>
    <t>cambá</t>
  </si>
  <si>
    <t>cas</t>
  </si>
  <si>
    <t>certa</t>
  </si>
  <si>
    <t>channeladvisor</t>
  </si>
  <si>
    <t>chewed pixel studios</t>
  </si>
  <si>
    <t>cima group</t>
  </si>
  <si>
    <t>cityheroes</t>
  </si>
  <si>
    <t>clarika group</t>
  </si>
  <si>
    <t>clasyou</t>
  </si>
  <si>
    <t>clear business intelligence llc</t>
  </si>
  <si>
    <t>clevertech</t>
  </si>
  <si>
    <t>clipboard health</t>
  </si>
  <si>
    <t>cloud accounting s.a.s</t>
  </si>
  <si>
    <t>cloud legion</t>
  </si>
  <si>
    <t>cloudbeds</t>
  </si>
  <si>
    <t>cml exports</t>
  </si>
  <si>
    <t>cobuild lab</t>
  </si>
  <si>
    <t>collins aerospace</t>
  </si>
  <si>
    <t>concentrix</t>
  </si>
  <si>
    <t>consilience</t>
  </si>
  <si>
    <t>core properties</t>
  </si>
  <si>
    <t>corporacion talentum</t>
  </si>
  <si>
    <t>cosony inc</t>
  </si>
  <si>
    <t>coupa</t>
  </si>
  <si>
    <t>cph</t>
  </si>
  <si>
    <t>creaapps</t>
  </si>
  <si>
    <t>creative inventions</t>
  </si>
  <si>
    <t>creatrs</t>
  </si>
  <si>
    <t>crowdbotics</t>
  </si>
  <si>
    <t>cruzmedika</t>
  </si>
  <si>
    <t>curebase</t>
  </si>
  <si>
    <t>cw strategic solutions group</t>
  </si>
  <si>
    <t>cyberstation</t>
  </si>
  <si>
    <t>das-calendar</t>
  </si>
  <si>
    <t>dascalendar</t>
  </si>
  <si>
    <t>data trust</t>
  </si>
  <si>
    <t>dataart</t>
  </si>
  <si>
    <t>datafy</t>
  </si>
  <si>
    <t>datamark</t>
  </si>
  <si>
    <t>dbaccess</t>
  </si>
  <si>
    <t>decentraland</t>
  </si>
  <si>
    <t>deel</t>
  </si>
  <si>
    <t>deepskill</t>
  </si>
  <si>
    <t>delet</t>
  </si>
  <si>
    <t>deniron</t>
  </si>
  <si>
    <t>devlabs</t>
  </si>
  <si>
    <t>devocamp</t>
  </si>
  <si>
    <t>diebold nixdorf</t>
  </si>
  <si>
    <t>dieboldnixdorf</t>
  </si>
  <si>
    <t>digital executive</t>
  </si>
  <si>
    <t>dirwa</t>
  </si>
  <si>
    <t>discover</t>
  </si>
  <si>
    <t>disruptive</t>
  </si>
  <si>
    <t>dmi</t>
  </si>
  <si>
    <t>don may</t>
  </si>
  <si>
    <t>drab brand agency</t>
  </si>
  <si>
    <t>dream junk studios</t>
  </si>
  <si>
    <t>dsi</t>
  </si>
  <si>
    <t>dts security</t>
  </si>
  <si>
    <t>dualboot partners</t>
  </si>
  <si>
    <t>dualbootpartners</t>
  </si>
  <si>
    <t>dxc</t>
  </si>
  <si>
    <t>dynasoft</t>
  </si>
  <si>
    <t>eastman</t>
  </si>
  <si>
    <t>eat catering</t>
  </si>
  <si>
    <t>ebs</t>
  </si>
  <si>
    <t>edt</t>
  </si>
  <si>
    <t>ehvert</t>
  </si>
  <si>
    <t>eiche</t>
  </si>
  <si>
    <t>elastic dev team</t>
  </si>
  <si>
    <t>elevated</t>
  </si>
  <si>
    <t>emilan</t>
  </si>
  <si>
    <t>empowerment labs</t>
  </si>
  <si>
    <t>encora</t>
  </si>
  <si>
    <t>endow corp.</t>
  </si>
  <si>
    <t>english4kids</t>
  </si>
  <si>
    <t>ensolvers</t>
  </si>
  <si>
    <t>entre corp</t>
  </si>
  <si>
    <t>etf s.a.</t>
  </si>
  <si>
    <t>eureka labs</t>
  </si>
  <si>
    <t>evo</t>
  </si>
  <si>
    <t>evolution code</t>
  </si>
  <si>
    <t>exomindset</t>
  </si>
  <si>
    <t>ez-ad</t>
  </si>
  <si>
    <t>famosos.com</t>
  </si>
  <si>
    <t>fetchly</t>
  </si>
  <si>
    <t>finalis</t>
  </si>
  <si>
    <t>finnix</t>
  </si>
  <si>
    <t>flex</t>
  </si>
  <si>
    <t>flok</t>
  </si>
  <si>
    <t>fombox llc</t>
  </si>
  <si>
    <t>fresco design</t>
  </si>
  <si>
    <t>full potential solutions</t>
  </si>
  <si>
    <t>fullstack labs</t>
  </si>
  <si>
    <t>fusiontech</t>
  </si>
  <si>
    <t>gcf learning</t>
  </si>
  <si>
    <t>gilson software</t>
  </si>
  <si>
    <t>giselle gomez fraire</t>
  </si>
  <si>
    <t>global digiops</t>
  </si>
  <si>
    <t>global logic</t>
  </si>
  <si>
    <t>global wizards</t>
  </si>
  <si>
    <t>go global agency</t>
  </si>
  <si>
    <t>gocloud</t>
  </si>
  <si>
    <t>golden arrow</t>
  </si>
  <si>
    <t>grain chain</t>
  </si>
  <si>
    <t>grid web engine</t>
  </si>
  <si>
    <t>growker</t>
  </si>
  <si>
    <t>growrk</t>
  </si>
  <si>
    <t>gto trainer</t>
  </si>
  <si>
    <t>h&amp;co</t>
  </si>
  <si>
    <t>hablax</t>
  </si>
  <si>
    <t>hablax inc</t>
  </si>
  <si>
    <t>hikko</t>
  </si>
  <si>
    <t>hit start</t>
  </si>
  <si>
    <t>howard gardner school</t>
  </si>
  <si>
    <t>hp</t>
  </si>
  <si>
    <t>hristov development</t>
  </si>
  <si>
    <t>hsm</t>
  </si>
  <si>
    <t>hubspot</t>
  </si>
  <si>
    <t>id-health</t>
  </si>
  <si>
    <t>ideaas</t>
  </si>
  <si>
    <t>idigital</t>
  </si>
  <si>
    <t>idoogroup</t>
  </si>
  <si>
    <t>ieschub</t>
  </si>
  <si>
    <t>iglu</t>
  </si>
  <si>
    <t>ilumno</t>
  </si>
  <si>
    <t>imachinary</t>
  </si>
  <si>
    <t>imagine big</t>
  </si>
  <si>
    <t>imajine studio</t>
  </si>
  <si>
    <t>incluit</t>
  </si>
  <si>
    <t>indigo</t>
  </si>
  <si>
    <t>infovalue</t>
  </si>
  <si>
    <t>innova solutions</t>
  </si>
  <si>
    <t>inorbit</t>
  </si>
  <si>
    <t>inside business mexico</t>
  </si>
  <si>
    <t>insigneo</t>
  </si>
  <si>
    <t>inswitch</t>
  </si>
  <si>
    <t>intelli next</t>
  </si>
  <si>
    <t>intelygenz</t>
  </si>
  <si>
    <t>interatica</t>
  </si>
  <si>
    <t>interfell</t>
  </si>
  <si>
    <t>interintellect</t>
  </si>
  <si>
    <t>international research institute of north carolina</t>
  </si>
  <si>
    <t>invisible technologies</t>
  </si>
  <si>
    <t>ioma</t>
  </si>
  <si>
    <t>iqor</t>
  </si>
  <si>
    <t>iquall networks</t>
  </si>
  <si>
    <t>italic</t>
  </si>
  <si>
    <t>itg</t>
  </si>
  <si>
    <t>itlg</t>
  </si>
  <si>
    <t>itsynch</t>
  </si>
  <si>
    <t>jaguar international services s.r.l</t>
  </si>
  <si>
    <t>jdiaz business llc</t>
  </si>
  <si>
    <t>jll</t>
  </si>
  <si>
    <t>jpm chase</t>
  </si>
  <si>
    <t>jumpstart filings</t>
  </si>
  <si>
    <t>kaba law group</t>
  </si>
  <si>
    <t>kadabrait</t>
  </si>
  <si>
    <t>kadima sa</t>
  </si>
  <si>
    <t>kalugni</t>
  </si>
  <si>
    <t>kalungi</t>
  </si>
  <si>
    <t>kawchi</t>
  </si>
  <si>
    <t>kin + carta</t>
  </si>
  <si>
    <t>kiwibot</t>
  </si>
  <si>
    <t>koala house</t>
  </si>
  <si>
    <t>konabos</t>
  </si>
  <si>
    <t>korenus</t>
  </si>
  <si>
    <t>korinver usa llc</t>
  </si>
  <si>
    <t>kraitt</t>
  </si>
  <si>
    <t>kriptos</t>
  </si>
  <si>
    <t>krispy kreme</t>
  </si>
  <si>
    <t>kyndryl</t>
  </si>
  <si>
    <t>laika</t>
  </si>
  <si>
    <t>laikad</t>
  </si>
  <si>
    <t>latech</t>
  </si>
  <si>
    <t>lava technologies s.r.l.</t>
  </si>
  <si>
    <t>lean solutions</t>
  </si>
  <si>
    <t>leapteams</t>
  </si>
  <si>
    <t>leniolabs_llc</t>
  </si>
  <si>
    <t>libro de pases</t>
  </si>
  <si>
    <t>lionbridge</t>
  </si>
  <si>
    <t>lionbridge games</t>
  </si>
  <si>
    <t>liventi inc</t>
  </si>
  <si>
    <t>long lost friends inc (llf)</t>
  </si>
  <si>
    <t>lumation services llc</t>
  </si>
  <si>
    <t>luminosity, inc</t>
  </si>
  <si>
    <t>luxury presence</t>
  </si>
  <si>
    <t>magic technology</t>
  </si>
  <si>
    <t>magno technology</t>
  </si>
  <si>
    <t>makeen</t>
  </si>
  <si>
    <t>making sense</t>
  </si>
  <si>
    <t>making sense llc</t>
  </si>
  <si>
    <t>mall service</t>
  </si>
  <si>
    <t>manpower</t>
  </si>
  <si>
    <t>marketlogic</t>
  </si>
  <si>
    <t>matech studios</t>
  </si>
  <si>
    <t>mathison projects</t>
  </si>
  <si>
    <t>mawoo pets</t>
  </si>
  <si>
    <t>maxelit</t>
  </si>
  <si>
    <t>mc group</t>
  </si>
  <si>
    <t>mdp</t>
  </si>
  <si>
    <t>mediabrands</t>
  </si>
  <si>
    <t>meowtel</t>
  </si>
  <si>
    <t>merovingian</t>
  </si>
  <si>
    <t>messangi</t>
  </si>
  <si>
    <t>method</t>
  </si>
  <si>
    <t>miami boulevard ii</t>
  </si>
  <si>
    <t>mica group</t>
  </si>
  <si>
    <t>milazzo jewelry</t>
  </si>
  <si>
    <t>mira commerce</t>
  </si>
  <si>
    <t>mistr</t>
  </si>
  <si>
    <t>mo&amp;pc</t>
  </si>
  <si>
    <t>modak</t>
  </si>
  <si>
    <t>molokaih</t>
  </si>
  <si>
    <t>moneyfi</t>
  </si>
  <si>
    <t>moonray pbc</t>
  </si>
  <si>
    <t>motivy s.a.s</t>
  </si>
  <si>
    <t>mrm</t>
  </si>
  <si>
    <t>mutual lds dating app</t>
  </si>
  <si>
    <t>nauty360</t>
  </si>
  <si>
    <t>ncr</t>
  </si>
  <si>
    <t>necodex</t>
  </si>
  <si>
    <t>neoris</t>
  </si>
  <si>
    <t>neostella</t>
  </si>
  <si>
    <t>new fold digital</t>
  </si>
  <si>
    <t>nexton</t>
  </si>
  <si>
    <t>nielseniq</t>
  </si>
  <si>
    <t>niku</t>
  </si>
  <si>
    <t>nisum</t>
  </si>
  <si>
    <t>noc noc</t>
  </si>
  <si>
    <t>none</t>
  </si>
  <si>
    <t>novatech</t>
  </si>
  <si>
    <t>numetri</t>
  </si>
  <si>
    <t>o'reilly auto parts</t>
  </si>
  <si>
    <t>ocp tech</t>
  </si>
  <si>
    <t>odisi</t>
  </si>
  <si>
    <t>ola technologies</t>
  </si>
  <si>
    <t>omdena</t>
  </si>
  <si>
    <t>omg</t>
  </si>
  <si>
    <t>omnicommander</t>
  </si>
  <si>
    <t>oncompentence</t>
  </si>
  <si>
    <t>oncompetence</t>
  </si>
  <si>
    <t>one world global services</t>
  </si>
  <si>
    <t>onikom</t>
  </si>
  <si>
    <t>openloop</t>
  </si>
  <si>
    <t>optec llc</t>
  </si>
  <si>
    <t>optime</t>
  </si>
  <si>
    <t>order technology</t>
  </si>
  <si>
    <t>ordering</t>
  </si>
  <si>
    <t>osmind</t>
  </si>
  <si>
    <t>outsource argentina</t>
  </si>
  <si>
    <t>overtime advisors llc</t>
  </si>
  <si>
    <t>owners</t>
  </si>
  <si>
    <t>panamerican solutions bpo</t>
  </si>
  <si>
    <t>pancake live</t>
  </si>
  <si>
    <t>paragons nft</t>
  </si>
  <si>
    <t>pari</t>
  </si>
  <si>
    <t>patras</t>
  </si>
  <si>
    <t>percona</t>
  </si>
  <si>
    <t>pevaar</t>
  </si>
  <si>
    <t>pixel</t>
  </si>
  <si>
    <t>platinum</t>
  </si>
  <si>
    <t>playa hotels and resorts</t>
  </si>
  <si>
    <t>pqe group</t>
  </si>
  <si>
    <t>praxisemr</t>
  </si>
  <si>
    <t>presto agency</t>
  </si>
  <si>
    <t>preventor</t>
  </si>
  <si>
    <t>primerosystems</t>
  </si>
  <si>
    <t>priori data</t>
  </si>
  <si>
    <t>prospect ratings</t>
  </si>
  <si>
    <t>prosys s.a</t>
  </si>
  <si>
    <t>provectus</t>
  </si>
  <si>
    <t>proximity</t>
  </si>
  <si>
    <t>psh</t>
  </si>
  <si>
    <t>publix</t>
  </si>
  <si>
    <t>pwc acceleration center</t>
  </si>
  <si>
    <t>qanlex</t>
  </si>
  <si>
    <t>qrono</t>
  </si>
  <si>
    <t>quiroga law office</t>
  </si>
  <si>
    <t>rackoot</t>
  </si>
  <si>
    <t>radar</t>
  </si>
  <si>
    <t>ravn</t>
  </si>
  <si>
    <t>rbo</t>
  </si>
  <si>
    <t>rebus technology</t>
  </si>
  <si>
    <t>remotasks</t>
  </si>
  <si>
    <t>remotebase</t>
  </si>
  <si>
    <t>renovo</t>
  </si>
  <si>
    <t>reply pro</t>
  </si>
  <si>
    <t>revolt</t>
  </si>
  <si>
    <t>revstar</t>
  </si>
  <si>
    <t>rhinolabs</t>
  </si>
  <si>
    <t>ribbon</t>
  </si>
  <si>
    <t>roadr</t>
  </si>
  <si>
    <t>roadway rescues llc</t>
  </si>
  <si>
    <t>robin ochoa(summus smart solutions group)</t>
  </si>
  <si>
    <t>rootstrap</t>
  </si>
  <si>
    <t>ross for less</t>
  </si>
  <si>
    <t>rumzer</t>
  </si>
  <si>
    <t>saia</t>
  </si>
  <si>
    <t>sales &amp; marketing global s.a.s.</t>
  </si>
  <si>
    <t>santex america</t>
  </si>
  <si>
    <t>saxum ingeniería s.a.</t>
  </si>
  <si>
    <t>sbx</t>
  </si>
  <si>
    <t>scale ai</t>
  </si>
  <si>
    <t>scale up media agency</t>
  </si>
  <si>
    <t>scalemote</t>
  </si>
  <si>
    <t>scloud consulting</t>
  </si>
  <si>
    <t>script</t>
  </si>
  <si>
    <t>searchrebel</t>
  </si>
  <si>
    <t>sensora sas</t>
  </si>
  <si>
    <t>senzary</t>
  </si>
  <si>
    <t>set&amp;forget</t>
  </si>
  <si>
    <t>shahtez software solutions</t>
  </si>
  <si>
    <t>sherpa.wtf</t>
  </si>
  <si>
    <t>shoksworks</t>
  </si>
  <si>
    <t>shokworks, inc.</t>
  </si>
  <si>
    <t>silicon access</t>
  </si>
  <si>
    <t>simera</t>
  </si>
  <si>
    <t>singular design</t>
  </si>
  <si>
    <t>slingr</t>
  </si>
  <si>
    <t>smart twigs</t>
  </si>
  <si>
    <t>smith.ai</t>
  </si>
  <si>
    <t>sngular</t>
  </si>
  <si>
    <t>sodexo</t>
  </si>
  <si>
    <t>solera</t>
  </si>
  <si>
    <t>soluntech</t>
  </si>
  <si>
    <t>solvd, inc.</t>
  </si>
  <si>
    <t>somos upa</t>
  </si>
  <si>
    <t>sonar health inc</t>
  </si>
  <si>
    <t>southernminds</t>
  </si>
  <si>
    <t>sovos</t>
  </si>
  <si>
    <t>sphereone</t>
  </si>
  <si>
    <t>spider investments</t>
  </si>
  <si>
    <t>spot edge trucki</t>
  </si>
  <si>
    <t>spot health</t>
  </si>
  <si>
    <t>sproutloud</t>
  </si>
  <si>
    <t>sryas</t>
  </si>
  <si>
    <t>stable</t>
  </si>
  <si>
    <t>stamm biotech</t>
  </si>
  <si>
    <t>strata analytics</t>
  </si>
  <si>
    <t>strongwood</t>
  </si>
  <si>
    <t>sundevs</t>
  </si>
  <si>
    <t>super web pros</t>
  </si>
  <si>
    <t>superior cs group</t>
  </si>
  <si>
    <t>supermat</t>
  </si>
  <si>
    <t>superrare</t>
  </si>
  <si>
    <t>surtech holdings</t>
  </si>
  <si>
    <t>sute</t>
  </si>
  <si>
    <t>synapsetech</t>
  </si>
  <si>
    <t>taktiful</t>
  </si>
  <si>
    <t>tally.sas</t>
  </si>
  <si>
    <t>tam</t>
  </si>
  <si>
    <t>taskus</t>
  </si>
  <si>
    <t>team international</t>
  </si>
  <si>
    <t>techgenies</t>
  </si>
  <si>
    <t>techminds</t>
  </si>
  <si>
    <t>technisys</t>
  </si>
  <si>
    <t>technology for business</t>
  </si>
  <si>
    <t>tekal(memorable)</t>
  </si>
  <si>
    <t>teravision technologies</t>
  </si>
  <si>
    <t>teruya &amp; sterling</t>
  </si>
  <si>
    <t>thalamus</t>
  </si>
  <si>
    <t>the factory project</t>
  </si>
  <si>
    <t>the fuzzy fish</t>
  </si>
  <si>
    <t>think and dev</t>
  </si>
  <si>
    <t>thoughtworks</t>
  </si>
  <si>
    <t>tolstoy</t>
  </si>
  <si>
    <t>toptal</t>
  </si>
  <si>
    <t>torre</t>
  </si>
  <si>
    <t>totem technologies</t>
  </si>
  <si>
    <t>trackin</t>
  </si>
  <si>
    <t>tradesorg inc</t>
  </si>
  <si>
    <t>treble</t>
  </si>
  <si>
    <t>troupper</t>
  </si>
  <si>
    <t>truora</t>
  </si>
  <si>
    <t>truora inc</t>
  </si>
  <si>
    <t>turing</t>
  </si>
  <si>
    <t>turing solutions s.r.l.</t>
  </si>
  <si>
    <t>udt</t>
  </si>
  <si>
    <t>umb</t>
  </si>
  <si>
    <t>unc</t>
  </si>
  <si>
    <t>unica s.a.</t>
  </si>
  <si>
    <t>unilink</t>
  </si>
  <si>
    <t>unit 1</t>
  </si>
  <si>
    <t>unosquare</t>
  </si>
  <si>
    <t>unosystems s.a.(iuvity)</t>
  </si>
  <si>
    <t>untangl</t>
  </si>
  <si>
    <t>urban science</t>
  </si>
  <si>
    <t>uxen</t>
  </si>
  <si>
    <t>valere</t>
  </si>
  <si>
    <t>varfaj partners</t>
  </si>
  <si>
    <t>vates</t>
  </si>
  <si>
    <t>velaone</t>
  </si>
  <si>
    <t>verifiably</t>
  </si>
  <si>
    <t>versoft</t>
  </si>
  <si>
    <t>veryfi</t>
  </si>
  <si>
    <t>vidlogs</t>
  </si>
  <si>
    <t>vindow</t>
  </si>
  <si>
    <t>virtual remote partner</t>
  </si>
  <si>
    <t>virtustant</t>
  </si>
  <si>
    <t>viseven</t>
  </si>
  <si>
    <t>vision group</t>
  </si>
  <si>
    <t>vitech</t>
  </si>
  <si>
    <t>vox qi</t>
  </si>
  <si>
    <t>vozy</t>
  </si>
  <si>
    <t>wake</t>
  </si>
  <si>
    <t>wealthtechs</t>
  </si>
  <si>
    <t>weatherford international argentina</t>
  </si>
  <si>
    <t>webee</t>
  </si>
  <si>
    <t>website depot</t>
  </si>
  <si>
    <t>webstarted</t>
  </si>
  <si>
    <t>wedevelop</t>
  </si>
  <si>
    <t>wibson(illow)</t>
  </si>
  <si>
    <t>win</t>
  </si>
  <si>
    <t>win &amp; winnow</t>
  </si>
  <si>
    <t>wip-it</t>
  </si>
  <si>
    <t>wonderful 3d</t>
  </si>
  <si>
    <t>wunderman thompson</t>
  </si>
  <si>
    <t>xipron inc (tiendamia)</t>
  </si>
  <si>
    <t>xirect</t>
  </si>
  <si>
    <t>yabok technology inc.</t>
  </si>
  <si>
    <t>yearend</t>
  </si>
  <si>
    <t>zemoga</t>
  </si>
  <si>
    <t>zil media</t>
  </si>
  <si>
    <t>zimmic</t>
  </si>
  <si>
    <t>zion</t>
  </si>
  <si>
    <t>Estonia</t>
  </si>
  <si>
    <t>feroflex</t>
  </si>
  <si>
    <t>masterbase</t>
  </si>
  <si>
    <t>Filipina</t>
  </si>
  <si>
    <t>inchcape digital colombia s.a.s</t>
  </si>
  <si>
    <t>Francia</t>
  </si>
  <si>
    <t>25/7 media llc</t>
  </si>
  <si>
    <t>acara</t>
  </si>
  <si>
    <t>afp</t>
  </si>
  <si>
    <t>alfred sas</t>
  </si>
  <si>
    <t>alten</t>
  </si>
  <si>
    <t>aperience</t>
  </si>
  <si>
    <t>ataway</t>
  </si>
  <si>
    <t>atp sud</t>
  </si>
  <si>
    <t>bilog</t>
  </si>
  <si>
    <t>canari studio</t>
  </si>
  <si>
    <t>capgemini</t>
  </si>
  <si>
    <t>ceoline</t>
  </si>
  <si>
    <t>cha</t>
  </si>
  <si>
    <t>decathlon</t>
  </si>
  <si>
    <t>devoteam</t>
  </si>
  <si>
    <t>elevation sas</t>
  </si>
  <si>
    <t>ibisdev</t>
  </si>
  <si>
    <t>inetum</t>
  </si>
  <si>
    <t>interlude</t>
  </si>
  <si>
    <t>le bourguignon</t>
  </si>
  <si>
    <t>mop</t>
  </si>
  <si>
    <t>nextia</t>
  </si>
  <si>
    <t>orange</t>
  </si>
  <si>
    <t>publicis groupe</t>
  </si>
  <si>
    <t>roseti</t>
  </si>
  <si>
    <t>shine</t>
  </si>
  <si>
    <t>starter</t>
  </si>
  <si>
    <t>studio hakuna</t>
  </si>
  <si>
    <t>teleperformance</t>
  </si>
  <si>
    <t>we go greenr</t>
  </si>
  <si>
    <t>webhelp</t>
  </si>
  <si>
    <t>Gibraltar</t>
  </si>
  <si>
    <t>iovlabs</t>
  </si>
  <si>
    <t>Ginebra</t>
  </si>
  <si>
    <t>international trade centre</t>
  </si>
  <si>
    <t>Grecia</t>
  </si>
  <si>
    <t>infinitech</t>
  </si>
  <si>
    <t>Guatemala</t>
  </si>
  <si>
    <t>guatemala digital</t>
  </si>
  <si>
    <t>innapp</t>
  </si>
  <si>
    <t>kingo</t>
  </si>
  <si>
    <t>softbusiness sas</t>
  </si>
  <si>
    <t>startrack sa</t>
  </si>
  <si>
    <t>India</t>
  </si>
  <si>
    <t>amdromeda</t>
  </si>
  <si>
    <t>andromeda</t>
  </si>
  <si>
    <t>appsmiths</t>
  </si>
  <si>
    <t>buzz marketing</t>
  </si>
  <si>
    <t>byjus</t>
  </si>
  <si>
    <t>city returns</t>
  </si>
  <si>
    <t>d.i. web services</t>
  </si>
  <si>
    <t>digy</t>
  </si>
  <si>
    <t>elevation</t>
  </si>
  <si>
    <t>grow up</t>
  </si>
  <si>
    <t>hardware &amp; software solutions sas</t>
  </si>
  <si>
    <t>iscs consulting</t>
  </si>
  <si>
    <t>kiri</t>
  </si>
  <si>
    <t>mims tech corp</t>
  </si>
  <si>
    <t>ngo</t>
  </si>
  <si>
    <t>pacta</t>
  </si>
  <si>
    <t>planify</t>
  </si>
  <si>
    <t>precia</t>
  </si>
  <si>
    <t>smartq</t>
  </si>
  <si>
    <t>sunrise tower</t>
  </si>
  <si>
    <t>syk sa</t>
  </si>
  <si>
    <t>tata consultancy services</t>
  </si>
  <si>
    <t>thinkly</t>
  </si>
  <si>
    <t>two to tango</t>
  </si>
  <si>
    <t>vn global</t>
  </si>
  <si>
    <t>webdev</t>
  </si>
  <si>
    <t>zerobug</t>
  </si>
  <si>
    <t>Inglaterra</t>
  </si>
  <si>
    <t>1nnovation</t>
  </si>
  <si>
    <t>bigger tech</t>
  </si>
  <si>
    <t>bluenergy</t>
  </si>
  <si>
    <t>central zone</t>
  </si>
  <si>
    <t>centrix</t>
  </si>
  <si>
    <t>charles taylor insuretech</t>
  </si>
  <si>
    <t>emote care</t>
  </si>
  <si>
    <t>endava s.a.s</t>
  </si>
  <si>
    <t>envwise</t>
  </si>
  <si>
    <t>genius sports</t>
  </si>
  <si>
    <t>hubsnacks</t>
  </si>
  <si>
    <t>innovus</t>
  </si>
  <si>
    <t>kheiron co</t>
  </si>
  <si>
    <t>memorable</t>
  </si>
  <si>
    <t>mindfuture</t>
  </si>
  <si>
    <t>ntice</t>
  </si>
  <si>
    <t>otro</t>
  </si>
  <si>
    <t>outtrip</t>
  </si>
  <si>
    <t>porthos tech s. a.</t>
  </si>
  <si>
    <t>prendo</t>
  </si>
  <si>
    <t>sabio</t>
  </si>
  <si>
    <t>small giants agency</t>
  </si>
  <si>
    <t>sophos</t>
  </si>
  <si>
    <t>tate</t>
  </si>
  <si>
    <t>tpp</t>
  </si>
  <si>
    <t>tyk</t>
  </si>
  <si>
    <t>vinco</t>
  </si>
  <si>
    <t>william grant sons</t>
  </si>
  <si>
    <t>Irlanda</t>
  </si>
  <si>
    <t>a-teamwork</t>
  </si>
  <si>
    <t>agl ltd</t>
  </si>
  <si>
    <t>skillnet</t>
  </si>
  <si>
    <t>vaga mundo</t>
  </si>
  <si>
    <t>israel</t>
  </si>
  <si>
    <t>3dvision</t>
  </si>
  <si>
    <t>beti</t>
  </si>
  <si>
    <t>crazy llama</t>
  </si>
  <si>
    <t>crm partners</t>
  </si>
  <si>
    <t>forum</t>
  </si>
  <si>
    <t>gohub</t>
  </si>
  <si>
    <t>helios</t>
  </si>
  <si>
    <t>hi-tech mechanics ltd</t>
  </si>
  <si>
    <t>mini hotel</t>
  </si>
  <si>
    <t>univ</t>
  </si>
  <si>
    <t>Italia</t>
  </si>
  <si>
    <t>3punto6</t>
  </si>
  <si>
    <t>acri</t>
  </si>
  <si>
    <t>braitec s.r.l.</t>
  </si>
  <si>
    <t>came</t>
  </si>
  <si>
    <t>d.l.r. s.a.</t>
  </si>
  <si>
    <t>digital foot spa</t>
  </si>
  <si>
    <t>geosolutions</t>
  </si>
  <si>
    <t>green&amp;co</t>
  </si>
  <si>
    <t>iem data</t>
  </si>
  <si>
    <t>kahunacrm</t>
  </si>
  <si>
    <t>liceo campestre</t>
  </si>
  <si>
    <t>naval motor</t>
  </si>
  <si>
    <t>reply</t>
  </si>
  <si>
    <t>sequre</t>
  </si>
  <si>
    <t>smartek srl</t>
  </si>
  <si>
    <t>strategico tech</t>
  </si>
  <si>
    <t>techedge</t>
  </si>
  <si>
    <t>timesolution</t>
  </si>
  <si>
    <t>vortex</t>
  </si>
  <si>
    <t>zest</t>
  </si>
  <si>
    <t>Japon</t>
  </si>
  <si>
    <t>whatever works design</t>
  </si>
  <si>
    <t>Kenia</t>
  </si>
  <si>
    <t>fonax</t>
  </si>
  <si>
    <t>Letonia</t>
  </si>
  <si>
    <t>scandiweb</t>
  </si>
  <si>
    <t>Malasia</t>
  </si>
  <si>
    <t>deriv</t>
  </si>
  <si>
    <t>Mexico</t>
  </si>
  <si>
    <t>99 minutos</t>
  </si>
  <si>
    <t>adcentral</t>
  </si>
  <si>
    <t>ahorra</t>
  </si>
  <si>
    <t>albo</t>
  </si>
  <si>
    <t>apli</t>
  </si>
  <si>
    <t>aplicacions inteligentes soluciones digitals (aisd)</t>
  </si>
  <si>
    <t>appconecte</t>
  </si>
  <si>
    <t>aptoclick</t>
  </si>
  <si>
    <t>ardabytec</t>
  </si>
  <si>
    <t>arvolution</t>
  </si>
  <si>
    <t>asiste</t>
  </si>
  <si>
    <t>autoridad educativa federal en la ciudad de méxico</t>
  </si>
  <si>
    <t>axovia</t>
  </si>
  <si>
    <t>axovia marketing &amp; technologies</t>
  </si>
  <si>
    <t>baja website</t>
  </si>
  <si>
    <t>banco del bajio</t>
  </si>
  <si>
    <t>banregio</t>
  </si>
  <si>
    <t>bautista abogados agl</t>
  </si>
  <si>
    <t>bego</t>
  </si>
  <si>
    <t>blautech</t>
  </si>
  <si>
    <t>bluepixel</t>
  </si>
  <si>
    <t>brounie</t>
  </si>
  <si>
    <t>busmen</t>
  </si>
  <si>
    <t>cantera digital</t>
  </si>
  <si>
    <t>capmega</t>
  </si>
  <si>
    <t>certuit</t>
  </si>
  <si>
    <t>clip</t>
  </si>
  <si>
    <t>coppel</t>
  </si>
  <si>
    <t>covalto</t>
  </si>
  <si>
    <t>cri congresos y convenciones</t>
  </si>
  <si>
    <t>curadeuda</t>
  </si>
  <si>
    <t>dacodes</t>
  </si>
  <si>
    <t>daisies</t>
  </si>
  <si>
    <t>dc mayorista</t>
  </si>
  <si>
    <t>decsef sistemas</t>
  </si>
  <si>
    <t>densitylabs</t>
  </si>
  <si>
    <t>dev.f</t>
  </si>
  <si>
    <t>digital solutions</t>
  </si>
  <si>
    <t>doit cloud consulting</t>
  </si>
  <si>
    <t>dooper</t>
  </si>
  <si>
    <t>doorvel</t>
  </si>
  <si>
    <t>dt-ip</t>
  </si>
  <si>
    <t>ember technologies</t>
  </si>
  <si>
    <t>everst</t>
  </si>
  <si>
    <t>exagono</t>
  </si>
  <si>
    <t>exela servicios temporales s.a.</t>
  </si>
  <si>
    <t>fairplay</t>
  </si>
  <si>
    <t>filup rh</t>
  </si>
  <si>
    <t>fintegra</t>
  </si>
  <si>
    <t>finvero</t>
  </si>
  <si>
    <t>flexio</t>
  </si>
  <si>
    <t>fundación escalera</t>
  </si>
  <si>
    <t>genero valor</t>
  </si>
  <si>
    <t>get in motion</t>
  </si>
  <si>
    <t>global hitss</t>
  </si>
  <si>
    <t>grupo andersons</t>
  </si>
  <si>
    <t>grupo asesores sistemas y comunicaciones sa de cv</t>
  </si>
  <si>
    <t>grupo ds mexico</t>
  </si>
  <si>
    <t>habits.ai</t>
  </si>
  <si>
    <t>herramientas de mejora</t>
  </si>
  <si>
    <t>heyhom</t>
  </si>
  <si>
    <t>hova net</t>
  </si>
  <si>
    <t>humanly software</t>
  </si>
  <si>
    <t>i-aps</t>
  </si>
  <si>
    <t>ikatech solutions</t>
  </si>
  <si>
    <t>ingenes</t>
  </si>
  <si>
    <t>internet pop media s.a.</t>
  </si>
  <si>
    <t>intevo</t>
  </si>
  <si>
    <t>invasor</t>
  </si>
  <si>
    <t>ipsum technology</t>
  </si>
  <si>
    <t>isibit</t>
  </si>
  <si>
    <t>ivoy</t>
  </si>
  <si>
    <t>izzi telecomm</t>
  </si>
  <si>
    <t>jelou</t>
  </si>
  <si>
    <t>juniper data center s de rl de cv sucursal guadalajara</t>
  </si>
  <si>
    <t>kavak</t>
  </si>
  <si>
    <t>kigui</t>
  </si>
  <si>
    <t>kromáticos design</t>
  </si>
  <si>
    <t>kunzapp</t>
  </si>
  <si>
    <t>la cuarta s.a.</t>
  </si>
  <si>
    <t>learnala</t>
  </si>
  <si>
    <t>levo</t>
  </si>
  <si>
    <t>lumma sa</t>
  </si>
  <si>
    <t>maper</t>
  </si>
  <si>
    <t>medical esthetic malederma</t>
  </si>
  <si>
    <t>mendel</t>
  </si>
  <si>
    <t>merza</t>
  </si>
  <si>
    <t>mexamerik</t>
  </si>
  <si>
    <t>milusos app</t>
  </si>
  <si>
    <t>monetizando ideas</t>
  </si>
  <si>
    <t>mozcalti</t>
  </si>
  <si>
    <t>mxmart</t>
  </si>
  <si>
    <t>nefele</t>
  </si>
  <si>
    <t>neivor</t>
  </si>
  <si>
    <t>netmx</t>
  </si>
  <si>
    <t>netwey</t>
  </si>
  <si>
    <t>neuron health</t>
  </si>
  <si>
    <t>nextdet</t>
  </si>
  <si>
    <t>nostum technologies</t>
  </si>
  <si>
    <t>núcleo de diagnóstico</t>
  </si>
  <si>
    <t>nudos</t>
  </si>
  <si>
    <t>okboy</t>
  </si>
  <si>
    <t>oliver pets</t>
  </si>
  <si>
    <t>onecarnow!</t>
  </si>
  <si>
    <t>onexo</t>
  </si>
  <si>
    <t>operador red gasolinera s.a de c.v</t>
  </si>
  <si>
    <t>overcast</t>
  </si>
  <si>
    <t>parco app</t>
  </si>
  <si>
    <t>pideaky</t>
  </si>
  <si>
    <t>plerk</t>
  </si>
  <si>
    <t>prexto</t>
  </si>
  <si>
    <t>prolosys</t>
  </si>
  <si>
    <t>qu4nt</t>
  </si>
  <si>
    <t>quo digital</t>
  </si>
  <si>
    <t>reservamos</t>
  </si>
  <si>
    <t>riogrande</t>
  </si>
  <si>
    <t>s2g energy</t>
  </si>
  <si>
    <t>saeko</t>
  </si>
  <si>
    <t>san pancho lab sa de cv</t>
  </si>
  <si>
    <t>segmenta s.c</t>
  </si>
  <si>
    <t>sempiterno group</t>
  </si>
  <si>
    <t>shine mktg</t>
  </si>
  <si>
    <t>sintec</t>
  </si>
  <si>
    <t>sit digital</t>
  </si>
  <si>
    <t>siw cargo</t>
  </si>
  <si>
    <t>social media lab</t>
  </si>
  <si>
    <t>softoil</t>
  </si>
  <si>
    <t>softtek</t>
  </si>
  <si>
    <t>sol4it</t>
  </si>
  <si>
    <t>solser</t>
  </si>
  <si>
    <t>talento consultores</t>
  </si>
  <si>
    <t>tenkui</t>
  </si>
  <si>
    <t>the rocket code</t>
  </si>
  <si>
    <t>thelabit</t>
  </si>
  <si>
    <t>think future technologies</t>
  </si>
  <si>
    <t>transformateck</t>
  </si>
  <si>
    <t>trato-hecho</t>
  </si>
  <si>
    <t>truehome</t>
  </si>
  <si>
    <t>trully</t>
  </si>
  <si>
    <t>txool</t>
  </si>
  <si>
    <t>tyerra</t>
  </si>
  <si>
    <t>universidad autonoma de aguascalientes</t>
  </si>
  <si>
    <t>vauxoo</t>
  </si>
  <si>
    <t>vemo</t>
  </si>
  <si>
    <t>ventagium</t>
  </si>
  <si>
    <t>vinneren</t>
  </si>
  <si>
    <t>vitau</t>
  </si>
  <si>
    <t>wakemedia</t>
  </si>
  <si>
    <t>we book you</t>
  </si>
  <si>
    <t>x-data</t>
  </si>
  <si>
    <t>xira</t>
  </si>
  <si>
    <t>yana</t>
  </si>
  <si>
    <t>zion transaccional</t>
  </si>
  <si>
    <t>nicaragua</t>
  </si>
  <si>
    <t>accedo</t>
  </si>
  <si>
    <t>bdf</t>
  </si>
  <si>
    <t>muv-design</t>
  </si>
  <si>
    <t>nicasource</t>
  </si>
  <si>
    <t>Noruega</t>
  </si>
  <si>
    <t>entur</t>
  </si>
  <si>
    <t>no</t>
  </si>
  <si>
    <t>redocean</t>
  </si>
  <si>
    <t>Paises Bajos</t>
  </si>
  <si>
    <t>binkies 3d</t>
  </si>
  <si>
    <t>connectis</t>
  </si>
  <si>
    <t>getronics</t>
  </si>
  <si>
    <t>instapro</t>
  </si>
  <si>
    <t>kimo</t>
  </si>
  <si>
    <t>porthos tech</t>
  </si>
  <si>
    <t>prototype-devs</t>
  </si>
  <si>
    <t>Panama</t>
  </si>
  <si>
    <t>munily sas</t>
  </si>
  <si>
    <t>paguelofacil</t>
  </si>
  <si>
    <t>top staff</t>
  </si>
  <si>
    <t>Paraguay</t>
  </si>
  <si>
    <t>codys sa</t>
  </si>
  <si>
    <t>fc diez media</t>
  </si>
  <si>
    <t>Peru</t>
  </si>
  <si>
    <t>alignet</t>
  </si>
  <si>
    <t>altamira technology</t>
  </si>
  <si>
    <t>amg peru</t>
  </si>
  <si>
    <t>applying cloud</t>
  </si>
  <si>
    <t>bit2bit americas</t>
  </si>
  <si>
    <t>bluecorner</t>
  </si>
  <si>
    <t>bsale perú</t>
  </si>
  <si>
    <t>cementos pacasmayo saa</t>
  </si>
  <si>
    <t>chicho corp</t>
  </si>
  <si>
    <t>consejeros y corredores de seguros sac</t>
  </si>
  <si>
    <t>ctic</t>
  </si>
  <si>
    <t>delfosti</t>
  </si>
  <si>
    <t>devmente</t>
  </si>
  <si>
    <t>el tiempo sac</t>
  </si>
  <si>
    <t>finnerve</t>
  </si>
  <si>
    <t>flashman general service s.a.c</t>
  </si>
  <si>
    <t>footloose</t>
  </si>
  <si>
    <t>fulltimeforce</t>
  </si>
  <si>
    <t>glajumedia sac</t>
  </si>
  <si>
    <t>grupo auren</t>
  </si>
  <si>
    <t>grupo cobra perú s.a</t>
  </si>
  <si>
    <t>id bi</t>
  </si>
  <si>
    <t>id business inteligence</t>
  </si>
  <si>
    <t>imperio digital</t>
  </si>
  <si>
    <t>intelecto</t>
  </si>
  <si>
    <t>invadion</t>
  </si>
  <si>
    <t>izipay</t>
  </si>
  <si>
    <t>krowdy</t>
  </si>
  <si>
    <t>laboratorios portugal s.r.l.</t>
  </si>
  <si>
    <t>lilab</t>
  </si>
  <si>
    <t>llatan s.a.c</t>
  </si>
  <si>
    <t>mediabyte sac</t>
  </si>
  <si>
    <t>moragensoft</t>
  </si>
  <si>
    <t>municipalidad metropolitana de lima</t>
  </si>
  <si>
    <t>olaclick</t>
  </si>
  <si>
    <t>pl4nner</t>
  </si>
  <si>
    <t>potro lima</t>
  </si>
  <si>
    <t>proyment</t>
  </si>
  <si>
    <t>restaurant.pe</t>
  </si>
  <si>
    <t>robles y yasikov</t>
  </si>
  <si>
    <t>rodmensoft</t>
  </si>
  <si>
    <t>rrn consulting</t>
  </si>
  <si>
    <t>sector aeronautico</t>
  </si>
  <si>
    <t>seventec</t>
  </si>
  <si>
    <t>software innova consultores s.a.c.</t>
  </si>
  <si>
    <t>toc</t>
  </si>
  <si>
    <t>transformación digital consultores</t>
  </si>
  <si>
    <t>tuyo</t>
  </si>
  <si>
    <t>universidad nacional de san agustin de arequipa</t>
  </si>
  <si>
    <t>valtx</t>
  </si>
  <si>
    <t>vooxell</t>
  </si>
  <si>
    <t>zafiro labs</t>
  </si>
  <si>
    <t>Polonia</t>
  </si>
  <si>
    <t>croney</t>
  </si>
  <si>
    <t>ey gds mexico</t>
  </si>
  <si>
    <t>itboom</t>
  </si>
  <si>
    <t>laura warjan</t>
  </si>
  <si>
    <t>Portugal</t>
  </si>
  <si>
    <t>farmacia fatima</t>
  </si>
  <si>
    <t>legendaryum</t>
  </si>
  <si>
    <t>quick code</t>
  </si>
  <si>
    <t>Puerto Rico</t>
  </si>
  <si>
    <t>aseguratec</t>
  </si>
  <si>
    <t>cfg partners</t>
  </si>
  <si>
    <t>people's eyes</t>
  </si>
  <si>
    <t>ycs corp pr</t>
  </si>
  <si>
    <t>Reino Unido</t>
  </si>
  <si>
    <t>bocan corporation</t>
  </si>
  <si>
    <t>certa consulting</t>
  </si>
  <si>
    <t>cognisys</t>
  </si>
  <si>
    <t>crowdar</t>
  </si>
  <si>
    <t>econocom</t>
  </si>
  <si>
    <t>flyp</t>
  </si>
  <si>
    <t>foodstyles</t>
  </si>
  <si>
    <t>hogarth worldwide</t>
  </si>
  <si>
    <t>jaguar</t>
  </si>
  <si>
    <t>my mini factory</t>
  </si>
  <si>
    <t>nubego</t>
  </si>
  <si>
    <t>orderly</t>
  </si>
  <si>
    <t>ortex</t>
  </si>
  <si>
    <t>pivot</t>
  </si>
  <si>
    <t>powtoon</t>
  </si>
  <si>
    <t>pretty technical</t>
  </si>
  <si>
    <t>res</t>
  </si>
  <si>
    <t>rezolve technology</t>
  </si>
  <si>
    <t>savvy</t>
  </si>
  <si>
    <t>siptel</t>
  </si>
  <si>
    <t>southworks</t>
  </si>
  <si>
    <t>stackzone</t>
  </si>
  <si>
    <t>zenith</t>
  </si>
  <si>
    <t>Singapore</t>
  </si>
  <si>
    <t>pba technologies sac</t>
  </si>
  <si>
    <t>wrks</t>
  </si>
  <si>
    <t>Singapur</t>
  </si>
  <si>
    <t>pengyi labs costa rica</t>
  </si>
  <si>
    <t>sophos solution</t>
  </si>
  <si>
    <t>yem</t>
  </si>
  <si>
    <t>zignaly</t>
  </si>
  <si>
    <t>Suecia</t>
  </si>
  <si>
    <t>plm</t>
  </si>
  <si>
    <t>plm group</t>
  </si>
  <si>
    <t>scania</t>
  </si>
  <si>
    <t>speed business s.a.</t>
  </si>
  <si>
    <t>Suiza</t>
  </si>
  <si>
    <t>aidonic</t>
  </si>
  <si>
    <t>eversys de mario otero</t>
  </si>
  <si>
    <t>iqnet</t>
  </si>
  <si>
    <t>medical minds</t>
  </si>
  <si>
    <t>smat s.a.</t>
  </si>
  <si>
    <t>wadiah capital</t>
  </si>
  <si>
    <t>Turquia</t>
  </si>
  <si>
    <t>wannabe</t>
  </si>
  <si>
    <t>yaris</t>
  </si>
  <si>
    <t>Uruguay</t>
  </si>
  <si>
    <t>acceleanation</t>
  </si>
  <si>
    <t>actotal</t>
  </si>
  <si>
    <t>bamboo payment system</t>
  </si>
  <si>
    <t>bee seller</t>
  </si>
  <si>
    <t>big data machine</t>
  </si>
  <si>
    <t>blueboot</t>
  </si>
  <si>
    <t>cencosud ventures</t>
  </si>
  <si>
    <t>cero deuda</t>
  </si>
  <si>
    <t>dango digital</t>
  </si>
  <si>
    <t>eximy</t>
  </si>
  <si>
    <t>houlak</t>
  </si>
  <si>
    <t>ionvo group</t>
  </si>
  <si>
    <t>ixalab</t>
  </si>
  <si>
    <t>kiu system solutions - technology supplier srl</t>
  </si>
  <si>
    <t>netcom</t>
  </si>
  <si>
    <t>nimacloud</t>
  </si>
  <si>
    <t>pedidos ya</t>
  </si>
  <si>
    <t>pócima digital</t>
  </si>
  <si>
    <t>prex</t>
  </si>
  <si>
    <t>qualabs</t>
  </si>
  <si>
    <t>radical online</t>
  </si>
  <si>
    <t>raus aus eu</t>
  </si>
  <si>
    <t>rpa maker</t>
  </si>
  <si>
    <t>scriptme</t>
  </si>
  <si>
    <t>shaman development studio</t>
  </si>
  <si>
    <t>soyhabitue</t>
  </si>
  <si>
    <t>spacedev</t>
  </si>
  <si>
    <t>suitedb</t>
  </si>
  <si>
    <t>thinkup</t>
  </si>
  <si>
    <t>toolbox</t>
  </si>
  <si>
    <t>torem</t>
  </si>
  <si>
    <t>trainingset.a</t>
  </si>
  <si>
    <t>urucorp</t>
  </si>
  <si>
    <t>vairix</t>
  </si>
  <si>
    <t>vfg consulting</t>
  </si>
  <si>
    <t>viaxlab</t>
  </si>
  <si>
    <t>wortise</t>
  </si>
  <si>
    <t>zoo development</t>
  </si>
  <si>
    <t>Venezuela</t>
  </si>
  <si>
    <t>avila tek Total</t>
  </si>
  <si>
    <t>banesco seguros</t>
  </si>
  <si>
    <t>btl latino</t>
  </si>
  <si>
    <t>forum súper mayorista</t>
  </si>
  <si>
    <t>grupo akr</t>
  </si>
  <si>
    <t>iciva technology</t>
  </si>
  <si>
    <t>pdvsa</t>
  </si>
  <si>
    <t>tcs technology consulting</t>
  </si>
  <si>
    <t>venequip ca</t>
  </si>
  <si>
    <t>ventana digital</t>
  </si>
  <si>
    <t>walls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</si>
</sst>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20.0"/>
      <color rgb="FFFFFFFF"/>
      <name val="Quicksand"/>
    </font>
    <font>
      <b/>
      <color rgb="FF000000"/>
      <name val="Quicksand"/>
    </font>
    <font>
      <color theme="1"/>
      <name val="Quicksand"/>
    </font>
    <font>
      <color theme="1"/>
      <name val="Arial"/>
      <scheme val="minor"/>
    </font>
    <font>
      <u/>
      <color rgb="FF0000FF"/>
      <name val="Quicksand"/>
    </font>
    <font>
      <b/>
      <color theme="1"/>
      <name val="Quicksand"/>
    </font>
  </fonts>
  <fills count="5">
    <fill>
      <patternFill patternType="none"/>
    </fill>
    <fill>
      <patternFill patternType="lightGray"/>
    </fill>
    <fill>
      <patternFill patternType="solid">
        <fgColor rgb="FFFA1688"/>
        <bgColor rgb="FFFA1688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49" xfId="0" applyFill="1" applyFont="1" applyNumberFormat="1"/>
    <xf borderId="0" fillId="3" fontId="3" numFmtId="0" xfId="0" applyFont="1"/>
    <xf borderId="0" fillId="0" fontId="3" numFmtId="0" xfId="0" applyFont="1"/>
    <xf borderId="0" fillId="0" fontId="4" numFmtId="0" xfId="0" applyAlignment="1" applyFont="1">
      <alignment readingOrder="0" shrinkToFit="0" vertical="center" wrapText="1"/>
    </xf>
    <xf borderId="0" fillId="0" fontId="3" numFmtId="49" xfId="0" applyFont="1" applyNumberFormat="1"/>
    <xf borderId="0" fillId="0" fontId="5" numFmtId="49" xfId="0" applyFont="1" applyNumberFormat="1"/>
    <xf borderId="0" fillId="4" fontId="6" numFmtId="49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8787" sheet="Data"/>
  </cacheSource>
  <cacheFields>
    <cacheField name="empresa" numFmtId="49">
      <sharedItems containsBlank="1">
        <s v="increase"/>
        <s v="rappi"/>
        <s v="uma health ai"/>
        <s v="isibit"/>
        <s v="heliconia"/>
        <s v="osmind"/>
        <s v="henry"/>
        <s v="simetrik"/>
        <s v="sirena"/>
        <s v="nubimetrics"/>
        <s v="jumpstart filings"/>
        <s v="chiper"/>
        <s v="italic"/>
        <s v="ribbon"/>
        <s v="yearend"/>
        <s v="small giants agency"/>
        <s v="globant"/>
        <s v="endow corp."/>
        <s v="tecnosoftware"/>
        <s v="n5 now"/>
        <s v="octopus"/>
        <s v="ordering"/>
        <s v="zil media"/>
        <s v="ucompany"/>
        <s v="corebi"/>
        <s v="vitau"/>
        <s v="digichanges"/>
        <s v="script"/>
        <s v="pipe tech"/>
        <s v="ibisdev"/>
        <s v="lubee"/>
        <s v="emergencias"/>
        <s v="pinard srl"/>
        <s v="acompy"/>
        <s v="awkbit"/>
        <s v="capmega"/>
        <s v="policia de misiones"/>
        <s v="psh"/>
        <s v="laura gonzalez"/>
        <s v="goiar"/>
        <s v="cordial compañía financiera"/>
        <s v="zil holdings"/>
        <s v="agencia ego"/>
        <s v="endwall"/>
        <s v="blitz laser ltd."/>
        <s v="tarjetaplata"/>
        <s v="farmacias natal"/>
        <s v="richetta"/>
        <s v="infovalue"/>
        <s v="xepelin"/>
        <s v="wehaus"/>
        <s v="coderhouse"/>
        <s v="cubiq"/>
        <s v="accenture"/>
        <s v="my mini factory"/>
        <s v="mercado libre"/>
        <s v="ohana"/>
        <s v="cooperativa de provisión de servicios agro turísticos la costera limitada"/>
        <s v="movilbox s.a.s."/>
        <s v="treinta sas"/>
        <s v="inorbit"/>
        <s v="kuepa edutech"/>
        <s v="linktic"/>
        <s v="mdevz"/>
        <s v="quadminds"/>
        <s v="pipe tech sas"/>
        <s v="freelance"/>
        <s v="ias software"/>
        <s v="ross outside the box"/>
        <s v="rava bursatil sa"/>
        <s v="latín cloud"/>
        <s v="orangedata s.a(yacare.com)"/>
        <s v="hi propi"/>
        <s v="savvy"/>
        <s v="paisanos"/>
        <s v="reanswer"/>
        <s v="drab brand agency"/>
        <s v="pivot"/>
        <s v="smat s.a."/>
        <s v="ohmunity"/>
        <s v="blimop"/>
        <s v="mobbex"/>
        <s v="digital house"/>
        <s v="token sport"/>
        <s v="toolbox"/>
        <s v="treinta"/>
        <s v="nubi"/>
        <s v="midas consultores"/>
        <s v="municipalidad de san miguel de tucuman"/>
        <s v="everis"/>
        <s v="quoma s.a."/>
        <s v="borderless"/>
        <s v="flexxus"/>
        <s v="labhouse"/>
        <s v="amaris consulting"/>
        <s v="autopartes.app"/>
        <s v="made2"/>
        <s v="lamanicurista"/>
        <s v="tailorsoft"/>
        <s v="interfell"/>
        <s v="worldsys"/>
        <s v="boosmap"/>
        <s v="dbaccess"/>
        <s v="lutinfox s.a"/>
        <s v="delivery el faro"/>
        <s v="wenance"/>
        <s v="cha"/>
        <s v="colegio nacional justo josé de urquiza"/>
        <s v="fado solutions"/>
        <s v="persiscal consulting"/>
        <s v="ccxc - centro de consultoría para la competitividad"/>
        <s v="cooperativa proyecto wow"/>
        <s v="dicode group"/>
        <s v="auth0"/>
        <s v="comscore"/>
        <s v="pretty technical"/>
        <s v="vippinn"/>
        <s v="wispro s.a"/>
        <s v="epidata"/>
        <s v="agiika"/>
        <s v="vairix"/>
        <s v="hoffentech"/>
        <s v="effectus software"/>
        <s v="fenix forward"/>
        <s v="geolitix"/>
        <s v="tag latam"/>
        <s v="dt-ip"/>
        <s v="tru startup sas"/>
        <s v="e-solutions"/>
        <s v="devsavant"/>
        <s v="cda informática"/>
        <s v="dispatchsss"/>
        <s v="flydevs"/>
        <s v="decathlon"/>
        <s v="distrocuyo s.a."/>
        <s v="dirmod"/>
        <s v="netgeu"/>
        <s v="widergy"/>
        <s v="mobile computing"/>
        <s v="gante s.a"/>
        <s v="lentesplus"/>
        <s v="global logic"/>
        <s v="ineco"/>
        <s v="albo"/>
        <s v="scania"/>
        <s v="grupo sbs"/>
        <s v="spark solutions"/>
        <s v="crowdbotics"/>
        <s v="melonn"/>
        <s v="coledu"/>
        <s v="baja website"/>
        <s v="scale ai"/>
        <s v="karvi"/>
        <s v="dirwa"/>
        <s v="steplix"/>
        <s v="quantify"/>
        <s v="tubesoft"/>
        <s v="sequre"/>
        <s v="genius sports"/>
        <s v="comercia latam"/>
        <s v="proyecto color"/>
        <s v="3dus"/>
        <s v="sol4it"/>
        <s v="incluit"/>
        <s v="volkfire music"/>
        <s v="fulltimeforce"/>
        <s v="innovit"/>
        <s v="resultadistas"/>
        <s v="prex"/>
        <s v="mobeats"/>
        <s v="binpar"/>
        <s v="krispy kreme"/>
        <s v="fondo"/>
        <s v="axity"/>
        <s v="craneo"/>
        <s v="ministerio de salud provincia de bs. as."/>
        <s v="binit"/>
        <s v="navent"/>
        <s v="mi águila"/>
        <s v="trimix"/>
        <s v="undef"/>
        <s v="innercore"/>
        <s v="fizzmod"/>
        <s v="25 watts"/>
        <s v="quipu market"/>
        <s v="minsait"/>
        <s v="crossentropysolutions"/>
        <s v="scania argentina"/>
        <s v="freelance + henry"/>
        <s v="soy momo"/>
        <s v="vortex it"/>
        <s v="penta security solutions"/>
        <s v="inetum"/>
        <s v="aw artware"/>
        <s v="kiwibot"/>
        <s v="contenidos digitales"/>
        <s v="tualy"/>
        <s v="wrks"/>
        <s v="preki"/>
        <s v="simtlix"/>
        <s v="banco davivienda"/>
        <s v="entre corp"/>
        <s v="meowtel"/>
        <s v="tsoft"/>
        <s v="la voz del interior"/>
        <s v="vicino"/>
        <s v="garaje de ideas americas"/>
        <s v="-"/>
        <s v="kin + carta"/>
        <s v="globons srl"/>
        <s v="lilab"/>
        <s v="adbot | agencia digital"/>
        <s v="neivor"/>
        <s v="rubic sa"/>
        <s v="softtek"/>
        <s v="santander"/>
        <s v="entertainment holdings s.a"/>
        <s v="kimo"/>
        <s v="docmobi"/>
        <s v="artekium technology studio"/>
        <s v="expert communication systems gmbh"/>
        <s v="tata consultancy services"/>
        <s v="sii group colombia"/>
        <s v="elipse"/>
        <s v="balloon group, a fastforward.ai company"/>
        <s v="ilumno"/>
        <s v="1doc3"/>
        <s v="wortise"/>
        <s v="tcit cloud solutions"/>
        <s v="international health services argentina s.a."/>
        <s v="urban technologies sa"/>
        <s v="swiss medical"/>
        <s v="wisboo"/>
        <s v="dreamcode"/>
        <s v="dinoia s.a."/>
        <s v="blacksip"/>
        <s v="puzzle"/>
        <s v="mono"/>
        <s v="tally.sas"/>
        <s v="viact"/>
        <s v="inventa s.a"/>
        <s v="pengyi labs costa rica"/>
        <s v="gk y hk s.h."/>
        <s v="tutenlabs"/>
        <s v="itglobers"/>
        <s v="starter"/>
        <s v="integra media"/>
        <s v="grupo fidelatam"/>
        <s v="lyracons s. a."/>
        <s v="trinworks sa"/>
        <s v="media.monks"/>
        <s v="quales group"/>
        <s v="sistemas unificados de credito dirigido s.a."/>
        <s v="proactiu"/>
        <s v="c-tech"/>
        <s v="baufest"/>
        <s v="austin software"/>
        <s v="magnético"/>
        <s v="trato-hecho"/>
        <s v="xipron inc (tiendamia)"/>
        <s v="nimacloud"/>
        <s v="fichap"/>
        <s v="naranja x"/>
        <s v="sooft technology"/>
        <s v="atio international"/>
        <s v="fc diez media"/>
        <s v="deniron"/>
        <s v="ncr"/>
        <s v="aptuno"/>
        <s v="sundevs"/>
        <s v="webee"/>
        <s v="makeen"/>
        <s v="linkus"/>
        <s v="asante"/>
        <s v="censys"/>
        <s v="spacedev"/>
        <s v="mobydigital"/>
        <s v="everis argentina sa"/>
        <s v="crowdar"/>
        <s v="start-7"/>
        <s v="tokensport"/>
        <s v="cultura it"/>
        <s v="mira commerce"/>
        <s v="new fold digital"/>
        <s v="air garage"/>
        <s v="colektia"/>
        <s v="ivoy"/>
        <s v="clevertech"/>
        <s v="grupo hasar"/>
        <s v="corebiz"/>
        <s v="kadabrait"/>
        <s v="pluriza"/>
        <s v="nubego"/>
        <s v="w3 it solutions"/>
        <s v="la haus"/>
        <s v="."/>
        <s v="ember technologies"/>
        <s v="toro advertising - affiliate network"/>
        <s v="avenida +"/>
        <s v="randstad argentina"/>
        <s v="surtech holdings"/>
        <s v="acs aciel colombia soluciones integrales s.a.s."/>
        <s v="clear business intelligence llc"/>
        <s v="filup rh"/>
        <s v="stefanini group"/>
        <s v="maxelit"/>
        <s v="kiu system solutions - technology supplier srl"/>
        <s v="vu security s.a"/>
        <s v="startrack sa"/>
        <s v="pago46"/>
        <s v="iquall networks"/>
        <s v="way too digital"/>
        <s v="enérgica city"/>
        <s v="fundación educación para el progreso"/>
        <s v="winclap"/>
        <s v="ieko"/>
        <s v="cat technologies argentina"/>
        <s v="tas app sl"/>
        <s v="applaudo"/>
        <s v="ctrading"/>
        <s v="recargapay"/>
        <s v="consilience"/>
        <s v="rokketlabs"/>
        <s v="netspot hub"/>
        <s v="viseven"/>
        <s v="cash online"/>
        <s v="ai core"/>
        <s v="stacktrace srl"/>
        <s v="bp4"/>
        <s v="rolling code"/>
        <s v="southernminds"/>
        <s v="ntt data"/>
        <s v="ombu tech services"/>
        <s v="flexio"/>
        <s v="the mad fox"/>
        <s v="varfaj partners"/>
        <s v="equo"/>
        <s v="next step"/>
        <s v="elastic dev team"/>
        <s v="jeduca"/>
        <s v="revai"/>
        <s v="ombutech services"/>
        <s v="instituto nacional de musicología carlos vega"/>
        <s v="yem"/>
        <s v="municipalidad de san nicolás"/>
        <s v="torrens university australia"/>
        <s v="endava s.a.s"/>
        <s v="messangi"/>
        <s v="techedge"/>
        <s v="qrono"/>
        <s v="korinver usa llc"/>
        <s v="socialab"/>
        <s v="vita wallet"/>
        <s v="cartometrics s. coop"/>
        <s v="ventura travel"/>
        <s v="caramel point"/>
        <s v="puntored"/>
        <s v="solavieve"/>
        <s v="shareable innovations spa"/>
        <s v="amphy tech"/>
        <s v="slash"/>
        <s v="kavak"/>
        <s v="botin"/>
        <s v="possumuss"/>
        <s v="kawchi"/>
        <s v="payvalida"/>
        <s v="indra si s.a"/>
        <s v="antit"/>
        <s v="bancar tecnología co s.a. compañía de financiamiento (ualá)"/>
        <s v="lenovo"/>
        <s v="venturing srl"/>
        <s v="neoris"/>
        <s v="vision group"/>
        <s v="mgrana"/>
        <s v="destacados chile"/>
        <s v="bromus sas"/>
        <s v="cobromix"/>
        <s v="tekal(memorable)"/>
        <s v="h&amp;co"/>
        <s v="advanced mankind"/>
        <s v="jpm chase"/>
        <s v="accusys technology"/>
        <s v="leal"/>
        <s v="takeaway express (lieferando)"/>
        <s v="teamquality"/>
        <s v="indicius"/>
        <s v="qdoc inc"/>
        <s v="cobuild lab"/>
        <s v="ualá"/>
        <s v="nicasource"/>
        <s v="intive"/>
        <s v="iampubli"/>
        <s v="famosos.com"/>
        <s v="balanz"/>
        <s v="lae educacion internacional"/>
        <s v="gto trainer"/>
        <s v="visma latam"/>
        <s v="intevo"/>
        <s v="remitee"/>
        <s v="clonify"/>
        <s v="pow"/>
        <s v="emprendimiento personal"/>
        <s v="genosha"/>
        <s v="flux qr"/>
        <s v="proofpoint"/>
        <s v="benefits s.a."/>
        <s v="slingr"/>
        <s v="brain it llc"/>
        <s v="jalasoft"/>
        <s v="complemento 360"/>
        <s v="auravant"/>
        <s v="tu batalla"/>
        <s v="tuyo"/>
        <s v="gatrocloud"/>
        <s v="neostella"/>
        <s v="edutech"/>
        <s v="celeri"/>
        <s v="bglobal solutions"/>
        <s v="human decode"/>
        <s v="mendel"/>
        <s v="mbsoft sa"/>
        <s v="rather labs"/>
        <s v="noa experience"/>
        <s v="novolabs"/>
        <s v="chicho corp"/>
        <s v="invasor"/>
        <s v="tele red imagen s.a."/>
        <s v="evo-ion"/>
        <s v="truehome"/>
        <s v="freemoni"/>
        <s v="musure world"/>
        <s v="hexacta sa"/>
        <s v="sibco consultores"/>
        <s v="gobierno de la ciudad de buenos aires"/>
        <s v="hueneit it services"/>
        <s v="lindo software/voy en bus"/>
        <s v="eldar srl"/>
        <s v="cepsi - unlp"/>
        <s v="vfg consulting"/>
        <s v="bit s.a."/>
        <s v="everst"/>
        <s v="technisys"/>
        <s v="algoritmo"/>
        <s v="the factory project"/>
        <s v="eat catering"/>
        <s v="cooperativa mental"/>
        <s v="pay per tic"/>
        <s v="gastronomia graffi sa"/>
        <s v="toplance"/>
        <s v="nextia"/>
        <s v="sofka"/>
        <s v="mujer financiera"/>
        <s v="colegio de martilleros y corredores lomas de zamora"/>
        <s v="folder it"/>
        <s v="big data machine"/>
        <s v="kargoru"/>
        <s v="opendev pro"/>
        <s v="flobi"/>
        <s v="tuix gmbh"/>
        <s v="customer scoops"/>
        <s v="ant pack"/>
        <s v="ibm"/>
        <s v="saeko"/>
        <s v="suitedb"/>
        <s v="ad badger"/>
        <s v="grupo supervielle"/>
        <s v="municipalidad de obera"/>
        <s v="gocloud"/>
        <s v="gigigo - econom digital"/>
        <s v="telecom"/>
        <s v="litebox"/>
        <s v="mayland labs"/>
        <s v="vaypol"/>
        <s v="chedoc"/>
        <s v="sportcheck sas"/>
        <s v="shaman development studio"/>
        <s v="hellobuild"/>
        <s v="beti"/>
        <s v="terminal zarate"/>
        <s v="gloouds"/>
        <s v="on the fuze"/>
        <s v="churrasco"/>
        <s v="enersinc"/>
        <s v="labsxd"/>
        <s v="luxury presence"/>
        <s v="bb - business bureau"/>
        <s v="agea s.a."/>
        <s v="cn grupo"/>
        <s v="fitback"/>
        <s v="blue alba srl"/>
        <s v="wirall"/>
        <s v="konabos"/>
        <s v="noah energy"/>
        <s v="reservamos"/>
        <s v="riogrande"/>
        <s v="torre"/>
        <s v="proyecto e sas"/>
        <s v="hogaru"/>
        <s v="bardo digital"/>
        <s v="talenta"/>
        <s v="datatools"/>
        <s v="electro3"/>
        <s v="cityhubs"/>
        <s v="flux it"/>
        <s v="leren"/>
        <s v="informatica &amp; tecnologia stefanini sa"/>
        <s v="zimmic"/>
        <s v="dacodes"/>
        <s v="ucropit"/>
        <s v="southworks"/>
        <s v="adalove"/>
        <s v="lemontech"/>
        <s v="seis s.a"/>
        <s v="no"/>
        <s v="untangl"/>
        <s v="bbva"/>
        <s v="wos"/>
        <s v="toptal"/>
        <s v="siw cargo"/>
        <s v="dualboot partners"/>
        <s v="amalgama"/>
        <s v="customerscoops"/>
        <s v="grupo ds mexico"/>
        <s v="bego"/>
        <s v="siigo"/>
        <s v="nimble giant"/>
        <s v="san juan tec"/>
        <s v="bloomjoy"/>
        <s v="america virtual sa"/>
        <s v="hiberus"/>
        <s v="ctl information technology"/>
        <s v="tenkui"/>
        <s v="fonax"/>
        <s v="cooperativa cofaral ltda"/>
        <s v="valienta"/>
        <s v="valtech"/>
        <s v="hexagon"/>
        <s v="coder holding corporation"/>
        <s v="moonray pbc"/>
        <s v="celta technology"/>
        <s v="applica mobile"/>
        <s v="pixart srl"/>
        <s v="aplicacions inteligentes soluciones digitals (aisd)"/>
        <s v="grain chain"/>
        <s v="laika"/>
        <s v="nodos sas"/>
        <s v="studio hakuna"/>
        <s v="udt"/>
        <s v="cexar.io"/>
        <s v="neuraltech"/>
        <s v="byteer llc"/>
        <s v="imajine studio"/>
        <s v="nubceo"/>
        <s v="42i"/>
        <s v="debmedia"/>
        <s v="prodeman s.a."/>
        <s v="valkimia"/>
        <s v="unosystems s.a.(iuvity)"/>
        <s v="alliansys"/>
        <s v="top legal"/>
        <s v="independiente"/>
        <s v="anclap"/>
        <s v="selucom srl"/>
        <s v="eclass"/>
        <s v="paginar"/>
        <s v="informium"/>
        <s v="global think technology"/>
        <s v="capgemini"/>
        <s v="bit2bit americas"/>
        <s v="hristov development"/>
        <s v="parco app"/>
        <s v="interdata"/>
        <s v="grupo gft"/>
        <s v="treble"/>
        <s v="videsk spa"/>
        <s v="booz.cl"/>
        <s v="hogarth worldwide"/>
        <s v="devsu"/>
        <s v="ecloud agency"/>
        <s v="muni tienda"/>
        <s v="poincenot technology studio"/>
        <s v="kigui"/>
        <s v="municipalidad de berazategui"/>
        <s v="techgenies"/>
        <s v="get in motion"/>
        <s v="uils"/>
        <s v="errepar"/>
        <s v="banco de bogotá"/>
        <s v="fk{tech}"/>
        <s v="develone"/>
        <s v="radio mitre sa"/>
        <s v="acceleanation"/>
        <s v="t4tpartners"/>
        <s v="sonar health inc"/>
        <s v="ravn"/>
        <s v="importainer"/>
        <s v="glubits"/>
        <s v="frontini y asociados"/>
        <s v="drubbit"/>
        <s v="aerolab s.r.l"/>
        <s v="dualbootpartners"/>
        <s v="legazy spa"/>
        <s v="pwc"/>
        <s v="tucar.app"/>
        <s v="fusiontech"/>
        <s v="starappx"/>
        <s v="dominion"/>
        <s v="vipealo"/>
        <s v="faniot"/>
        <s v="porthos tech"/>
        <s v="banregio"/>
        <s v="alejandro pestchanker"/>
        <s v="periferia it"/>
        <s v="praxisemr"/>
        <s v="lenox maynar srl"/>
        <s v="innova bussines company"/>
        <s v="forcus mind"/>
        <s v="municipalidad de rafaela"/>
        <s v="corpico"/>
        <s v="wodeva"/>
        <s v="moony"/>
        <s v="intangent"/>
        <s v="99 minutos"/>
        <s v="magoya"/>
        <s v="h+trace"/>
        <s v="verifiably"/>
        <s v="sondeos"/>
        <s v="wunderman thompson"/>
        <s v="s2g energy"/>
        <s v="ctic"/>
        <s v="nanoapps"/>
        <s v="houlak"/>
        <s v="bromussas"/>
        <s v="raffles argentina"/>
        <s v="ortex"/>
        <s v="sit digital"/>
        <s v="rootstrap"/>
        <s v="nueva mutual de seguros nu.mu.se"/>
        <s v="rrn consulting"/>
        <s v="arvolution"/>
        <s v="imachinary"/>
        <s v="bluecorner"/>
        <s v="powtoon"/>
        <s v="e-volution"/>
        <s v="mpsoft spa"/>
        <s v="dvs360"/>
        <s v="bentex trading s.a"/>
        <s v="tipieapp"/>
        <s v="algolica"/>
        <s v="creditu"/>
        <s v="docmovi"/>
        <s v="grupo murchison"/>
        <s v="banco guayaquil"/>
        <s v="zerviz"/>
        <s v="ola technologies"/>
        <s v="yana"/>
        <s v="spider investments"/>
        <s v="brounie"/>
        <s v="vemo"/>
        <s v="42mate"/>
        <s v="inti"/>
        <s v="sinapsis"/>
        <s v="addin technologies"/>
        <s v="san pancho lab sa de cv"/>
        <s v="centro de salud dim"/>
        <s v="teleperformance"/>
        <s v="servicios urbanos"/>
        <s v="ey"/>
        <s v="prexto"/>
        <s v="4iplatform"/>
        <s v="quilmes"/>
        <s v="keytek"/>
        <s v="extrimian"/>
        <s v="imperio digital"/>
        <s v="luca pagano"/>
        <s v="b21"/>
        <s v="wibson(illow)"/>
        <s v="leniolabs_llc"/>
        <s v="pragma"/>
        <s v="suncoenergy"/>
        <s v="ifisa"/>
        <s v="finnerve"/>
        <s v="collins aerospace"/>
        <s v="bitlogic s.a."/>
        <s v="clarika group"/>
        <s v="loop media"/>
        <s v="clipboard health"/>
        <s v="netglobal solutions"/>
        <s v="levo"/>
        <s v="nisum"/>
        <s v="flyp"/>
        <s v="settle network"/>
        <s v="grupo lpa"/>
        <s v="321 ignition"/>
        <s v="applica"/>
        <s v="agencia nacional digital"/>
        <s v="duollar"/>
        <s v="speed business s.a."/>
        <s v="cardano project"/>
        <s v="aurrera"/>
        <s v="turismocity"/>
        <s v="deel"/>
        <s v="instapro"/>
        <s v="drivendevs"/>
        <s v="wip-it"/>
        <s v="finvero"/>
        <s v="vestuá"/>
        <s v="lcni"/>
        <s v="hsm"/>
        <s v="nudos"/>
        <s v="pideaky"/>
        <s v="fridom"/>
        <s v="trade ec"/>
        <s v="sindicato union obrera estac.servic"/>
        <s v="itprovider s.r.l."/>
        <s v="darwoft"/>
        <s v="portal salud s.a."/>
        <s v="cepsi"/>
        <s v="iurco"/>
        <s v="bsale perú"/>
        <s v="telus international"/>
        <s v="somos upa"/>
        <s v="magnetar srl"/>
        <s v="abs ti"/>
        <s v="geotap group"/>
        <s v="ministerio de educación de tierra del fuego"/>
        <s v="job &amp; talent"/>
        <s v="selia"/>
        <s v="nauty360"/>
        <s v="márquez y asociados"/>
        <s v="dmi"/>
        <s v="excelan automacion s.a"/>
        <s v="sense digital"/>
        <s v="binkies 3d"/>
        <s v="tül"/>
        <s v="belo"/>
        <s v="seguros bolívar s.a."/>
        <s v="analytics town"/>
        <s v="crombie"/>
        <s v="mozcalti"/>
        <s v="metanoiia"/>
        <s v="empowerment labs"/>
        <s v="etermax"/>
        <s v="midas call center"/>
        <s v="nucba"/>
        <s v="kubrik digital"/>
        <s v="it crowd"/>
        <s v="sm digital"/>
        <s v="think future technologies"/>
        <s v="pmm"/>
        <s v="calyaan colombia"/>
        <s v="611 digital"/>
        <s v="el tiempo sac"/>
        <s v="camonapp"/>
        <s v="remotebase"/>
        <s v="ake lab"/>
        <s v="data-ka"/>
        <s v="okboy"/>
        <s v="interatica"/>
        <s v="stackzone"/>
        <s v="software innova consultores s.a.c."/>
        <s v="brivé soluciones"/>
        <s v="btp aquaforjas"/>
        <s v="talentotools"/>
        <s v="creativedog agency"/>
        <s v="scriptme"/>
        <s v="milusos app"/>
        <s v="mercado abierto electrónico s.a."/>
        <s v="rodmensoft"/>
        <s v="trainingset.a"/>
        <s v="optime"/>
        <s v="agileengine"/>
        <s v="unit 1"/>
        <s v="talenttools"/>
        <s v="gfrog"/>
        <s v="solusoft de colombia"/>
        <s v="iglu"/>
        <s v="silentium apps"/>
        <s v="lumation services llc"/>
        <s v="plerk"/>
        <s v="fantommers"/>
        <s v="orderly"/>
        <s v="smartledge"/>
        <s v="hikko"/>
        <s v="econocom"/>
        <s v="herramientas de mejora"/>
        <s v="alfred sas"/>
        <s v="zemoga"/>
        <s v="jemersoft"/>
        <s v="tu entrada"/>
        <s v="trackin"/>
        <s v="soluciones tecnológicas aplicadas de colombia s.a.s"/>
        <s v="dainamo it"/>
        <s v="ioet"/>
        <s v="ulter technologies"/>
        <s v="activos sa"/>
        <s v="aperience"/>
        <s v="pancake live"/>
        <s v="munily sas"/>
        <s v="konecta"/>
        <s v="puppis"/>
        <s v="universae"/>
        <s v="it tech group"/>
        <s v="hubspot"/>
        <s v="grupo akaes"/>
        <s v="prenomics"/>
        <s v="prestalo"/>
        <s v="wigilabs"/>
        <s v="dicsys. s.a."/>
        <s v="paragons nft"/>
        <s v="new tech solutions multimedia sa"/>
        <s v="syloper"/>
        <s v="grupo datco"/>
        <s v="here &amp; there inc"/>
        <s v="interintellect"/>
        <s v="sector aeronautico"/>
        <s v="redfrog"/>
        <s v="vos srl"/>
        <s v="dynamia"/>
        <s v="shooza"/>
        <s v="graficas druckerei"/>
        <s v="folcode"/>
        <s v="caux"/>
        <s v="creditos onix"/>
        <s v="fapro"/>
        <s v="vita solutions spa"/>
        <s v="bright vessel"/>
        <s v="crowd innovation lab s.a.s."/>
        <s v="previnca san lorenzo"/>
        <s v="bitsports"/>
        <s v="alt consultora"/>
        <s v="limboteams"/>
        <s v="ionvo group"/>
        <s v="it rock"/>
        <s v="the fuzzy fish"/>
        <s v="palta"/>
        <s v="atos"/>
        <s v="clikalia"/>
        <s v="rezolve technology"/>
        <s v="treggo"/>
        <s v="grupo mass asistencia"/>
        <s v="tap"/>
        <s v="any2cloud"/>
        <s v="bee seller"/>
        <s v="switch it"/>
        <s v="aenima"/>
        <s v="trescientosuno"/>
        <s v="gohub"/>
        <s v="chattigo"/>
        <s v="kimche"/>
        <s v="soho"/>
        <s v="luca"/>
        <s v="cooperativa farmaceutica de provision y consumo alberdi ltda"/>
        <s v="kranio"/>
        <s v="concentrix"/>
        <s v="mutual lds dating app"/>
        <s v="cruce "/>
        <s v="accefy"/>
        <s v="virtual remote partner"/>
        <s v="primary sa"/>
        <s v="the app master"/>
        <s v="global hitss"/>
        <s v="grupo delsud"/>
        <s v="thoughtworks"/>
        <s v="foodstyles"/>
        <s v="wake"/>
        <s v="cuatroi"/>
        <s v="siptel"/>
        <s v="ensolvers"/>
        <s v="caja de retiros , jubilaciones y pensiones de la policia federal"/>
        <s v="keirón"/>
        <s v="soluntech"/>
        <s v="crizz"/>
        <s v="walls team"/>
        <s v="dparadig"/>
        <s v="sugsa"/>
        <s v="e training"/>
        <s v="curebase"/>
        <s v="cardano-catalyst"/>
        <s v="masterbase"/>
        <s v="bettervet"/>
        <s v="twins music srl"/>
        <s v="linetec s.a"/>
        <s v="minexus sas"/>
        <s v="soyhabitue"/>
        <s v="radar"/>
        <s v="pdt agencia"/>
        <s v="getronics"/>
        <s v="onex services"/>
        <s v="mistr"/>
        <s v="patricia lagomarsino"/>
        <s v="proguide global services"/>
        <s v="connect your knowledge"/>
        <s v="pagos automáticos de colombia s.a.s"/>
        <s v="w-tech"/>
        <s v="gcf learning"/>
        <s v="wakemedia"/>
        <s v="paqsystems"/>
        <s v="flashman general service s.a.c"/>
        <s v="kaminoittech"/>
        <s v="chat tonic"/>
        <s v="matías zelarayán"/>
        <s v="mystrengthbook"/>
        <s v="softur sa"/>
        <s v="ucasal"/>
        <s v="1910 genetics"/>
        <s v="gundo"/>
        <s v="known online"/>
        <s v="demicenter srl"/>
        <s v="matrice consulting"/>
        <s v="arwebs"/>
        <s v="international media consulting group sa"/>
        <s v="necodex"/>
        <s v="fourtune"/>
        <s v="odea s.r.l."/>
        <s v="taligent"/>
        <s v="access informatica srl"/>
        <s v="meltstudio"/>
        <s v="agroconsultas"/>
        <s v="nerdo solutions"/>
        <s v="pluggy"/>
        <s v="alten"/>
        <s v="telefónica de argentina"/>
        <s v="thinkup"/>
        <s v="notimation"/>
        <s v="yalutec"/>
        <s v="app solutions inc"/>
        <s v="flunt"/>
        <s v="long lost friends inc (llf)"/>
        <s v="nacion servicios"/>
        <s v="teruya &amp; sterling"/>
        <s v="alegra"/>
        <s v="better technologies"/>
        <s v="awer reviews"/>
        <s v="seti s.a.s"/>
        <s v="xoolix"/>
        <s v="fombox llc"/>
        <s v="deconcesionarias"/>
        <s v="grupo tagle"/>
        <s v="bemaster"/>
        <s v="arzion"/>
        <s v="aimonkey"/>
        <s v="beat ride app colombia sas"/>
        <s v="it patagonia"/>
        <s v="mimusa"/>
        <s v="ediciones talar sociedad de responsabilidad limitada"/>
        <s v="argentek"/>
        <s v="kingconf"/>
        <s v="appconecte"/>
        <s v="jrc studio"/>
        <s v="3dves"/>
        <s v="quuack sa"/>
        <s v="bastó"/>
        <s v="aid for aids "/>
        <s v="zignaly"/>
        <s v="top staff"/>
        <s v="tyk"/>
        <s v="sovos"/>
        <s v="subtrama estudio srl"/>
        <s v="teravision technologies"/>
        <s v="algoritmo taller creativo"/>
        <s v="rebill"/>
        <s v="shokworks, inc."/>
        <s v="kenjo"/>
        <s v="emilan"/>
        <s v="eastman"/>
        <s v="academia numen"/>
        <s v="valtech digital s.a."/>
        <s v="mexamerik"/>
        <s v="value or waste"/>
        <s v="motivy s.a.s"/>
        <s v="ministerio de salud publica de corrientes"/>
        <s v="medical minds"/>
        <s v="loveat"/>
        <s v="habits.ai"/>
        <s v="vow"/>
        <s v="ngo"/>
        <s v="quarks alchemist"/>
        <s v="afa colombia"/>
        <s v="intelli next"/>
        <s v="instituto zaldivar"/>
        <s v="top group"/>
        <s v="ministerio de hacienda y finanzas de la provincia de buenos aires"/>
        <s v="beclever"/>
        <s v="newbit crew"/>
        <s v="wadiah capital"/>
        <s v="innevo"/>
        <s v="spot health"/>
        <s v="otro"/>
        <s v="ahijuna"/>
        <s v="maxion montich sa"/>
        <s v="bigsur"/>
        <s v="sistemas computables"/>
        <s v="mikro"/>
        <s v="entelgy"/>
        <s v="volt motors"/>
        <s v="dba inc"/>
        <s v="telecentro"/>
        <s v="optec llc"/>
        <s v="sales &amp; marketing global s.a.s."/>
        <s v="3it"/>
        <s v="exolgan s.a."/>
        <s v="mop"/>
        <s v="doorvel"/>
        <s v="decentraland"/>
        <s v="continuumhq"/>
        <s v="open technologies s.a"/>
        <s v="dooper"/>
        <s v="easytechgreen"/>
        <s v="gen it"/>
        <s v="sngular"/>
        <s v="qwork"/>
        <s v="4geeks academy"/>
        <s v="the rocket code"/>
        <s v="efiempresa"/>
        <s v="codetria"/>
        <s v="givex"/>
        <s v="fundación solidaridad latinoamericana"/>
        <s v="flex"/>
        <s v="kloustr labs"/>
        <s v="flame factory"/>
        <s v="teknaria"/>
        <s v="none"/>
        <s v="izipay"/>
        <s v="qualabs"/>
        <s v="wenty"/>
        <s v="mg intelligence"/>
        <s v="fga"/>
        <s v="densitylabs"/>
        <s v="mawoo pets"/>
        <s v="leapteams"/>
        <s v="win and winnow"/>
        <s v="avvy recruiting"/>
        <s v="adecoagro"/>
        <s v="inauco"/>
        <s v="ataway"/>
        <s v="horus smart control"/>
        <s v="krowdy"/>
        <s v="qanlex"/>
        <s v="mundo cloud"/>
        <s v="lakeba"/>
        <s v="youniq"/>
        <s v="botgenes"/>
        <s v="mathison projects"/>
        <s v="hi-tech mechanics ltd"/>
        <s v="pócima digital"/>
        <s v="linkup internet"/>
        <s v="ardabytec"/>
        <s v="tsgroup"/>
        <s v="rebus technology"/>
        <s v="inchcape digital colombia s.a.s"/>
        <s v="nuage systems s.a.(emblue latam)"/>
        <s v="gestión y servicios"/>
        <s v="universidad nacional de colombia"/>
        <s v="magnetic cash"/>
        <s v="táctica web s.a.s"/>
        <s v="pevaar"/>
        <s v="nexosmart it srl"/>
        <s v="vívet"/>
        <s v="practia global"/>
        <s v="eventbrite"/>
        <s v="megatime"/>
        <s v="paikea srl"/>
        <s v="set&amp;forget"/>
        <s v="hit start"/>
        <s v="soluciones andinas"/>
        <s v="livcare"/>
        <s v="nostum technologies"/>
        <s v="gestion financiera s.a."/>
        <s v="velaone"/>
        <s v="viaxlab"/>
        <s v="larnu"/>
        <s v="sofá"/>
        <s v="openloop"/>
        <s v="beetransfer"/>
        <s v="glajumedia sac"/>
        <s v="appxcale, llc"/>
        <s v="we go greenr"/>
        <s v="cristalzoom"/>
        <s v="sirius"/>
        <s v="mediabyte sac"/>
        <s v="kibernum s.a."/>
        <s v="coally"/>
        <s v="myfuture-ai"/>
        <s v="neuron health"/>
        <s v="facture s.a.s"/>
        <s v="adcap securitires argentina s.a"/>
        <s v="entel"/>
        <s v="getwonder"/>
        <s v="tugerente"/>
        <s v="food in the box"/>
        <s v="netmx"/>
        <s v="operador red gasolinera s.a de c.v"/>
        <s v="approach tech"/>
        <s v="aidonic"/>
        <s v="newe"/>
        <s v="grupo guitxan"/>
        <s v="kunan s.a."/>
        <s v="retail compass"/>
        <s v="alluxi"/>
        <s v="enerbit"/>
        <s v="active marketing inc"/>
        <s v="latblock"/>
        <s v="auxo consulting "/>
        <s v="findasense"/>
        <s v="appstract"/>
        <s v="invisible technologies"/>
        <s v="impronta it s.a."/>
        <s v="grupo salinas"/>
        <s v="trememote"/>
        <s v="telecentro s.a."/>
        <s v="mxmart"/>
        <s v="aplaz"/>
        <s v="adecco"/>
        <s v="trully"/>
        <s v="tline"/>
        <s v="request s.a."/>
        <s v="evoluciona chile"/>
        <s v="transformación digital consultores"/>
        <s v="personal pay"/>
        <s v="softbusiness sas"/>
        <s v="banana software"/>
        <s v="bancar tecnología ualá"/>
        <s v="ingenian software"/>
        <s v="zenvia"/>
        <s v="westnet internet"/>
        <s v="banco provincia del neuquen s.a."/>
        <s v="nec de colombia"/>
        <s v="guayerd"/>
        <s v="andreani"/>
        <s v="sophos"/>
        <s v="cencosud sa"/>
        <s v="pronova "/>
        <s v="sms"/>
        <s v="hahn software"/>
        <s v="finoservices s.a.s"/>
        <s v="bitech"/>
        <s v="tyerra"/>
        <s v="laura warjan"/>
        <s v="q4"/>
        <s v="ingertec"/>
        <s v="inein"/>
        <s v="turing"/>
        <s v="it4"/>
        <s v="primerosystems"/>
        <s v="lisicki litvin &amp; asociados"/>
        <s v="ada"/>
        <s v="ercolano hnos s.a."/>
        <s v="smartway srl"/>
        <s v="eywa"/>
        <s v="lightdata s.r.l"/>
        <s v="envone srl"/>
        <s v="ministerio publico fiscal"/>
        <s v="ampexa s.a"/>
        <s v="uanxor s.a."/>
        <s v="iovlabs"/>
        <s v="aptoclick"/>
        <s v="banco santiago del estero"/>
        <s v="luis"/>
        <s v="cryztal zoom"/>
        <s v="innapp"/>
        <s v="robin ochoa(summus smart solutions group)"/>
        <s v="g&amp;l group"/>
        <s v="be innovation tech"/>
        <s v="mangoodev"/>
        <s v="footloose"/>
        <s v="cohete"/>
        <s v="alacua"/>
        <s v="zoovet"/>
        <s v="totem technologies"/>
        <s v="desarrollos nea"/>
        <s v="pxsol"/>
        <s v="enviame"/>
        <s v="romina sarmiento"/>
        <s v="ventagium"/>
        <s v="senado de la nación"/>
        <s v="gehl"/>
        <s v="el maizal"/>
        <s v="bernardo lew"/>
        <s v="boreal technologies"/>
        <s v="devlabs"/>
        <s v="wippie"/>
        <s v="bitnovo"/>
        <s v="pigmalion software"/>
        <s v="universidad católica de salta"/>
        <s v="vibra gaming"/>
        <s v="helpcom"/>
        <s v="latin american education"/>
        <s v="gelt"/>
        <s v="departamento administrativo nacional de estadísticas"/>
        <s v="unosquare"/>
        <s v="atygg"/>
        <s v="health management solutions"/>
        <s v="babyback"/>
        <s v="afluenta"/>
        <s v="cactiuz"/>
        <s v="ministerio de educación"/>
        <s v="jubbler technologies"/>
        <s v="skill-on"/>
        <s v="blueboot"/>
        <s v="wannabe"/>
        <s v="ingenes"/>
        <s v="boi"/>
        <s v="prosys s.a"/>
        <s v="evolution code"/>
        <s v="simbiotic"/>
        <s v="snp latam"/>
        <s v="chedoc srl"/>
        <s v="sind. de pet y gas priv de rn, nqn y lp"/>
        <s v="cero deuda"/>
        <s v="fullstack labs"/>
        <s v="credifacil safym"/>
        <s v="cbs"/>
        <s v="mindfuture"/>
        <s v="torem"/>
        <s v="ndeveloper"/>
        <s v="itbaf"/>
        <s v="501 labs srl"/>
        <s v="califcol"/>
        <s v="aumentum technologies srl"/>
        <s v="plm"/>
        <s v="banco comafi"/>
        <s v="servicom global s.a."/>
        <s v="subsecretaría de tecnología educación y sustentabilidad"/>
        <s v="devices &amp; technology"/>
        <s v="huawei"/>
        <s v="bloom"/>
        <s v="envíame"/>
        <s v="runaid srl"/>
        <s v="smart vision sa"/>
        <s v="vass"/>
        <s v="mooverz"/>
        <s v="cfg partners"/>
        <s v="be call group"/>
        <s v="psieze data analytics s.r.l."/>
        <s v="ml plak"/>
        <s v="thinksoft argentina sa"/>
        <s v="ciudadela"/>
        <s v="cemodo"/>
        <s v="metricas"/>
        <s v="ideaware co sas"/>
        <s v="fairplay"/>
        <s v="athlon españa"/>
        <s v="agropago"/>
        <s v="universidad de san martin"/>
        <s v="ideaas"/>
        <s v="openbusiness.ar"/>
        <s v="vox qi"/>
        <s v="nexolife"/>
        <s v="flok"/>
        <s v="loesen"/>
        <s v="kpmg"/>
        <s v="exo"/>
        <s v="restaurant.pe"/>
        <s v="exisoft"/>
        <s v="unica s.a."/>
        <s v="method tech and dev"/>
        <s v="win investments"/>
        <s v="gestia consultores"/>
        <s v="arcadia tech"/>
        <s v="shahtez software solutions"/>
        <s v="novakorp"/>
        <s v="fundación sales"/>
        <s v="outtrip"/>
        <s v="nefele"/>
        <s v="rbo"/>
        <s v="iatros tecnologia y salud"/>
        <s v="ieschub"/>
        <s v="centro monitoreo urbano"/>
        <s v="akui solutions sl"/>
        <s v="ez-ad"/>
        <s v="bilog"/>
        <s v="mon web app"/>
        <s v="mini hotel"/>
        <s v="devmente"/>
        <s v="empresas cruz"/>
        <s v="invadion"/>
        <s v="daisies"/>
        <s v="memorable"/>
        <s v="hubsnacks"/>
        <s v="digit carts"/>
        <s v="serra"/>
        <s v="bosch"/>
        <s v="municipalidad de almirante brown"/>
        <s v="wealthtechs"/>
        <s v="ascentio technologies"/>
        <s v="acueducto.studio"/>
        <s v="hablax"/>
        <s v="dango digital"/>
        <s v="grupo andersons"/>
        <s v="escuela primaria padre castañeda"/>
        <s v="core code"/>
        <s v="nextgo llc"/>
        <s v="dl3arn"/>
        <s v="vinco"/>
        <s v="raona s.r.l"/>
        <s v="digio srl"/>
        <s v="kala"/>
        <s v="prendo"/>
        <s v="termas villa elisa s.a."/>
        <s v="innpactia"/>
        <s v="lizit app"/>
        <s v="alquila tu cancha"/>
        <s v="vidlogs"/>
        <s v="acroventus"/>
        <s v="disruptive"/>
        <s v="triibuu s.a.s"/>
        <s v="ipe"/>
        <s v="3pc"/>
        <s v="webcat app"/>
        <s v="nexo soluciones"/>
        <s v="datalytics"/>
        <s v="consolid srl"/>
        <s v="infoil s.a."/>
        <s v="dice 4.0"/>
        <s v="soluciones star"/>
        <s v="ludus colombia sas"/>
        <s v="quantux salud"/>
        <s v="clip"/>
        <s v="blasco marcela"/>
        <s v="lava technologies s.r.l."/>
        <s v="no country"/>
        <s v="tele red imagen"/>
        <s v="fiove"/>
        <s v="utn-frba"/>
        <s v="grupo centrico"/>
        <s v="tdc lab"/>
        <s v="inkoms"/>
        <s v="indigo"/>
        <s v="fintegra"/>
        <s v="inaltec"/>
        <s v="addval"/>
        <s v="longport aviation security"/>
        <s v="crosetto ingenieria s.a."/>
        <s v="likechuck"/>
        <s v="telematica ltda"/>
        <s v="farmacia manes"/>
        <s v="apex chaco s.a"/>
        <s v="netbits llc sucursal bolivia"/>
        <s v="unlp"/>
        <s v="transelca"/>
        <s v="provectus"/>
        <s v="transformateck"/>
        <s v="prisma medios de pago"/>
        <s v="internet pop media s.a."/>
        <s v="kosmos"/>
        <s v="segmenta s.c"/>
        <s v="dev.f"/>
        <s v="kodengo"/>
        <s v="porthos tech s. a."/>
        <s v="dirección general de estadísticas y censos de entre ríos"/>
        <s v="innova scientific"/>
        <s v="visual impacto"/>
        <s v="diphot"/>
        <s v="soluciones randstad s.a."/>
        <s v="nodos hub"/>
        <s v="bluepixel"/>
        <s v="urbano"/>
        <s v="corporación cápsula"/>
        <s v="nezzed"/>
        <s v="stamm biotech"/>
        <s v="wiselink"/>
        <s v="patagonia it solutions"/>
        <s v="quo digital"/>
        <s v="superrare"/>
        <s v="grupo vectus"/>
        <s v="modak"/>
        <s v="lax"/>
        <s v="cespi"/>
        <s v="banco galicia"/>
        <s v="qentaz"/>
        <s v="sistemas plenario"/>
        <s v="learnala"/>
        <s v="fk systems gmbh"/>
        <s v="winpax"/>
        <s v="gogalapagos"/>
        <s v="change the block"/>
        <s v="fundación escalera"/>
        <s v="tam"/>
        <s v="minimalart"/>
        <s v="dts security"/>
        <s v="avila tek"/>
        <s v="welook"/>
        <s v="time jobs"/>
        <s v="ocp tech"/>
        <s v="edrans"/>
        <s v="cloudnonic corp."/>
        <s v="busmen"/>
        <s v="infobae"/>
        <s v="full access s.a."/>
        <s v="alpozo"/>
        <s v="get wonder"/>
        <s v="eldar"/>
        <s v="charles taylor insuretech"/>
        <s v="itg"/>
        <s v="ontiime"/>
        <s v="oncomed reno sa"/>
        <s v="boreal solutions"/>
        <s v="fresco design"/>
        <s v="emser"/>
        <s v="nlt secure"/>
        <s v="alfred llc"/>
        <s v="clickexperts"/>
        <s v="korenus"/>
        <s v="sellers latam"/>
        <s v="zelcar games"/>
        <s v="talent pitch"/>
        <s v="trenes argentinos"/>
        <s v="method"/>
        <s v="afp"/>
        <s v="asiste"/>
        <s v="acros training"/>
        <s v="arqustik vitruvio sas"/>
        <s v="multipacks"/>
        <s v="focus"/>
        <s v="jbk consulting, llc"/>
        <s v="valere"/>
        <s v="universidad católica de córdoba"/>
        <s v="sryas"/>
        <s v="agenda pro"/>
        <s v="evo"/>
        <s v="sphereone"/>
        <s v="taxdown"/>
        <s v="iot animals sas"/>
        <s v="blockinar"/>
        <s v="aplin"/>
        <s v="particular"/>
        <s v="creative inventions"/>
        <s v="royal profit, s.l."/>
        <s v="offimedicas s.a."/>
        <s v="desol s a"/>
        <s v="talento consultores"/>
        <s v="rurall latam"/>
        <s v="aoop cloud solutions"/>
        <s v="rêvus store"/>
        <s v="sistemas especificos ltda"/>
        <s v="cloud accounting s.a.s"/>
        <s v="mediabrands"/>
        <s v="farmu"/>
        <s v="pasap"/>
        <s v="proyecto404"/>
        <s v="musimundo"/>
        <s v="enlace global"/>
        <s v="ludelaba"/>
        <s v="psconde"/>
        <s v="netkel consulting"/>
        <s v="sodimac"/>
        <s v="vinneren"/>
        <s v="polopay"/>
        <s v="nddinfosystems"/>
        <s v="bamboo payment system"/>
        <s v="municipalidad de rosario"/>
        <s v="pdvsa"/>
        <s v="trenda software"/>
        <s v="ycs"/>
        <s v="patras"/>
        <s v="la cuarta s.a."/>
        <s v="matech studios"/>
        <s v="ycs corp pr"/>
        <s v="kriptos"/>
        <s v="stratton argentina s.a"/>
        <s v="tu portal srl."/>
        <s v="lempert"/>
        <s v="ssb international"/>
        <s v="acerbrag"/>
        <s v="paguelofacil"/>
        <s v="adyn"/>
        <s v="aulasneo"/>
        <s v="cityheroes"/>
        <s v="tecnomab soluciones generales s.a.c."/>
        <s v="remiseria los melli"/>
        <s v="kingvox"/>
        <s v="grupo auren"/>
        <s v="actotal"/>
        <s v="rb bebidas"/>
        <s v="juniper data center s de rl de cv sucursal guadalajara"/>
        <s v="sertic"/>
        <s v="agenddo"/>
        <s v="proveedor soluciones tecnologicas"/>
        <s v="deux it"/>
        <s v="infinitech"/>
        <s v="scalemote"/>
        <s v="arkon data"/>
        <s v="kiltex"/>
        <s v="xira"/>
        <s v="be bolder"/>
        <s v="vica"/>
        <s v="saavedra fitness srl"/>
        <s v="webhelp"/>
        <s v="it estudio"/>
        <s v="asj"/>
        <s v="exela servicios temporales s.a."/>
        <s v="excelencia en soluciones informáticas s.a."/>
        <s v="alfajores miramar"/>
        <s v="global circuit"/>
        <s v="educación it"/>
        <s v="estudio cactus"/>
        <s v="mikroways"/>
        <s v="3punto6"/>
        <s v="tecnoazar"/>
        <s v="juliamar sa"/>
        <s v="applica solutions"/>
        <s v="boston compañía argentina de seguros sa"/>
        <s v="inditex"/>
        <s v="diego ponce de león franco"/>
        <s v="luccianos"/>
        <s v="jalisoft"/>
        <s v="banco del bajio"/>
        <s v="rio volga"/>
        <s v="innew"/>
        <s v="braitec s.r.l."/>
        <s v="imagine big"/>
        <s v="quares it solutions"/>
        <s v="logros s.a."/>
        <s v="airtech sa"/>
        <s v="ixpantia"/>
        <s v="applying cloud"/>
        <s v="acara"/>
        <s v="we book you"/>
        <s v="dream junk studios"/>
        <s v="appen"/>
        <s v="distribuidora sourigues"/>
        <s v="bitsion"/>
        <s v="openbusiness"/>
        <s v="bancolombia"/>
        <s v="bodega romano pin"/>
        <s v="myg ingenieria"/>
        <s v="transdaf srl"/>
        <s v="smartq"/>
        <s v="ikatech solutions"/>
        <s v="synagro"/>
        <s v="tecu s.a.s"/>
        <s v="webclass"/>
        <s v="qplus"/>
        <s v="umoob"/>
        <s v="vn studios"/>
        <s v="asap consulting"/>
        <s v="nexton"/>
        <s v="exactian"/>
        <s v="one consultants"/>
        <s v="adava"/>
        <s v="aseguratec"/>
        <s v="deriv"/>
        <s v="solvd, inc."/>
        <s v="betriax"/>
        <s v="flexy"/>
        <s v="oliver pets"/>
        <s v="pagot tic"/>
        <s v="tpp"/>
        <s v="ministerio de habitat y economia familiar"/>
        <s v="revelacion"/>
        <s v="dlr"/>
        <s v="telco"/>
        <s v="roseti deportes"/>
        <s v="guatemala digital"/>
        <s v="la virginia"/>
        <s v="revstar"/>
        <s v="techforb"/>
        <s v="bingo show s.a."/>
        <s v="cpem n°47"/>
        <s v="vultur"/>
        <s v="administradora san juan s.a."/>
        <s v="cdt soluciones informaticas"/>
        <s v="eidos global"/>
        <s v="drivin"/>
        <s v="finky"/>
        <s v="besysoft"/>
        <s v="tercer ojo"/>
        <s v="jph lions"/>
        <s v="grupo asesores sistemas y comunicaciones sa de cv"/>
        <s v="gadier sistemas profesionales de informacion"/>
        <s v="let's make it"/>
        <s v="ada school"/>
        <s v="farmaceuticos asociados"/>
        <s v="moragensoft"/>
        <s v="visual control"/>
        <s v="369"/>
        <s v="seahubs s.a"/>
        <s v="heyandes.com"/>
        <s v="asociacion mutual del personal del comercio y actividades civiles de obera y l n alem"/>
        <s v="go digital"/>
        <s v="onexo"/>
        <s v="legalify"/>
        <s v="kiub muebles"/>
        <s v="we plan"/>
        <s v="devnavigate"/>
        <s v="greydive"/>
        <s v="onecarnow!"/>
        <s v="exagono"/>
        <s v="coppel"/>
        <s v="byma"/>
        <s v="universidad manuela beltrán"/>
        <s v="nexura internacional"/>
        <s v="texno"/>
        <s v="aythen"/>
        <s v="uxen"/>
        <s v="nexura méxico"/>
        <s v="kiufor"/>
        <s v="núcleo de diagnóstico"/>
        <s v="itsynch"/>
        <s v="prolosys"/>
        <s v="conicet"/>
        <s v="laboratorios portugal s.r.l."/>
        <s v="bertolaccini sa"/>
        <s v="flybondi aerolíneas"/>
        <s v="ebs"/>
        <s v="universidad nacional de san agustin de arequipa"/>
        <s v="td consultores"/>
        <s v="salros srl"/>
        <s v="grupo nabla"/>
        <s v="espanol con e"/>
        <s v="turing solutions s.r.l."/>
        <s v="toyota argentina"/>
        <s v="nexbas"/>
        <s v="delfosti"/>
        <s v="stargaze"/>
        <s v="movigoo"/>
        <s v="estudio index"/>
        <s v="redocean"/>
        <s v="axcelere"/>
        <s v="canal cero"/>
        <s v="secretaria de tecnologia de la provincia de santa fe"/>
        <s v="sacripanti y asoc. srl"/>
        <s v="integra international services"/>
        <s v="compañía de servicios farmacéuticos s.a."/>
        <s v="krugercorp"/>
        <s v="salallena"/>
        <s v="otra"/>
        <s v="positrace"/>
        <s v="tufud"/>
        <s v="sheriff"/>
        <s v="berlim"/>
        <s v="defontana"/>
        <s v="e8tienda"/>
        <s v="eventual"/>
        <s v="charly.io"/>
        <s v="abelovich, polano &amp; asociados"/>
        <s v="libel academy"/>
        <s v="virtustant"/>
        <s v="ybp"/>
        <s v="rpa maker"/>
        <s v="fetchly"/>
        <s v="whatever works design"/>
        <s v="maxirest"/>
        <s v="uroff"/>
        <s v="ágil365"/>
        <s v="danher medical srl"/>
        <s v="reply"/>
        <s v="pagos automaticos de colombia sas"/>
        <s v="plm group"/>
        <s v="j.p. morgan services argentina s.r.l."/>
        <s v="bresh"/>
        <s v="phinxlab"/>
        <s v="sempiterno group"/>
        <s v="telecomunicaciones corrientes"/>
        <s v="forum"/>
        <s v="ceiboo"/>
        <s v="más alcance"/>
        <s v="laikad"/>
        <s v="vitech"/>
        <s v="bluerabbit"/>
        <s v="eximy"/>
        <s v="i love gifts"/>
        <s v="municipalidad metropolitana de lima"/>
        <s v="muv-design"/>
        <s v="lesitung ingeniería srl"/>
        <s v="cometalabs"/>
        <s v="revelacion data"/>
        <s v="suti"/>
        <s v="lignum software"/>
        <s v="awake"/>
        <s v="smartek srl"/>
        <s v="ministerio de justicia y derechos humanos santa fe argentina"/>
        <s v="magno technology"/>
        <s v="psi mammoliti"/>
        <s v="sproutloud"/>
        <s v="anla"/>
        <s v="bewe software"/>
        <s v="full potential solutions"/>
        <s v="proflight"/>
        <s v="publired"/>
        <s v="nekodev"/>
        <s v="instituto tecnológico metropolitano"/>
        <s v="qubik"/>
        <s v="edvsa"/>
        <s v="opportunity s.a.c."/>
        <s v="disruptica"/>
        <s v="lumma sa"/>
        <s v="monotributo"/>
        <s v="cementos pacasmayo saa"/>
        <s v="tradesorg inc"/>
        <s v="pangea digital marketing"/>
        <s v="solucionet"/>
        <s v="agl ltd"/>
        <s v="kromáticos design"/>
        <s v="gualda training"/>
        <s v="curadeuda"/>
        <s v="bio-ser medica"/>
        <s v="sodexo"/>
        <s v="cloud legion"/>
        <s v="amsterdam galaxy s.a"/>
        <s v="trascender global"/>
        <s v="biwares"/>
        <s v="fintra logistic"/>
        <s v="alta densidad s.a"/>
        <s v="scandiweb"/>
        <s v="colegio carmelita felipe cortes"/>
        <s v="ceoline"/>
        <s v="nomada digital sa"/>
        <s v="army fitness"/>
        <s v="digital bluee"/>
        <s v="centralticket nea"/>
        <s v="ini"/>
        <s v="cinemark"/>
        <s v="agripay"/>
        <s v="road"/>
        <s v="zerobug"/>
        <s v="trend ingenieria srl"/>
        <s v="elias delgado (proyecto freelance front end)"/>
        <s v="qendar"/>
        <s v="sencamer"/>
        <s v="pudo argentina"/>
        <s v="aak"/>
        <s v="global brands"/>
        <s v="mc group"/>
        <s v="hi solus"/>
        <s v="almacafé"/>
        <s v="dirección de vialidad provincial (chaco - arg)"/>
        <s v="roadr"/>
        <s v="adcentral"/>
        <s v="odisi"/>
        <s v="elevate business colombia"/>
        <s v="needzaio"/>
        <s v="rumzer"/>
        <s v="woowup"/>
        <s v="sicomoro teleservices sa de cv"/>
        <s v="epec"/>
        <s v="tob group solutions"/>
        <s v="itr"/>
        <s v="flexit"/>
        <s v="teiki"/>
        <s v="digitalia"/>
        <s v="asofty"/>
        <s v="justo"/>
        <s v="carbonbase"/>
        <s v="leapsight"/>
        <s v="dux software"/>
        <s v="futit services"/>
        <s v="destacados.cl"/>
        <s v="vertix"/>
        <s v="eversys de mario otero"/>
        <s v="ifibyne"/>
        <s v="e-contact"/>
        <s v="elevated"/>
        <s v="borea studio"/>
        <s v="rava bursátil"/>
        <s v="invorious"/>
        <s v="ministerio de educación de corrientes"/>
        <s v="gbsys"/>
        <s v="lab9"/>
        <s v="milazzo jewelry"/>
        <s v="valiticket"/>
        <s v="grupo akr"/>
        <s v="tesseract"/>
        <s v="vauxoo"/>
        <s v="swagcharm llc"/>
        <s v="luminosity, inc"/>
        <s v="giselle gomez fraire"/>
        <s v="singular design"/>
        <s v="technologies for business"/>
        <s v="pl4nner"/>
        <s v="msd soft c.a."/>
        <s v="centro de investigaciones médicas de mar del plata"/>
        <s v="sgb information services"/>
        <s v="maquinario spa"/>
        <s v="cedeira"/>
        <s v="jelou"/>
        <s v="farmaloop"/>
        <s v="atento"/>
        <s v="handelbay (ignite technologies sas)"/>
        <s v="t-evolvers"/>
        <s v="profesor x"/>
        <s v="daniel mateo ibagon rodriguez"/>
        <s v="tropicalmedia"/>
        <s v="cirion technologies colombia"/>
        <s v="gearthlogic"/>
        <s v="sophos solutions"/>
        <s v="dreamsys s.r.l"/>
        <s v="stable"/>
        <s v="sistema siges sa"/>
        <s v="25/7 media llc"/>
        <s v="ingenea srl"/>
        <s v="dinamo it"/>
        <s v="id-health"/>
        <s v="sioma"/>
        <s v="visionaris"/>
        <s v="gobierno de la ciudad"/>
        <s v="panamerican solutions bpo"/>
        <s v="instituto educativo cristiano"/>
        <s v="omg"/>
        <s v="cw strategic solutions group"/>
        <s v="otros"/>
        <s v="wkb gaming"/>
        <s v="ministerio de seguridad de la provincia de buenos aires"/>
        <s v="martin gonzalez"/>
        <s v="arquia"/>
        <s v="mundar digital"/>
        <s v="grupo defa"/>
        <s v="follow hub digital logístico"/>
        <s v="crossracer airport services s.a"/>
        <s v="prixet technology"/>
        <s v="visualmedica"/>
        <s v="clarín"/>
        <s v="educ.ar"/>
        <s v="innovamat education sl"/>
        <s v="interbank"/>
        <s v="devocamp"/>
        <s v="consultora"/>
        <s v="it procesos"/>
        <s v="devoteam"/>
        <s v="grupo backup"/>
        <s v="kingo"/>
        <s v="inmobiliaria franzoni"/>
        <s v="kraitt"/>
        <s v="canari studio"/>
        <s v="medexis srl"/>
        <s v="covalto"/>
        <s v="enviopack s.a."/>
        <s v="strata analytics"/>
        <s v="búho gestión"/>
        <s v="distribuidora muller srl"/>
        <s v="zion"/>
        <s v="res non verba asociacion civil"/>
        <s v="bm soluciones"/>
        <s v="daewoo"/>
        <s v="potro lima"/>
        <s v="t1ne"/>
        <s v="grupo kobsa"/>
        <s v="inside dark studio"/>
        <s v="isos group sac"/>
        <s v="servicios procure spa"/>
        <s v="solvo rosario"/>
        <s v="experis"/>
        <s v="asofix"/>
        <s v="outsource argentina"/>
        <s v="abatech"/>
        <s v="tsg system"/>
        <s v="cima group"/>
        <s v="atp sud"/>
        <s v="a-teamwork"/>
        <s v="dieboldnixdorf"/>
        <s v="rackoot"/>
        <s v="kadima sa"/>
        <s v="4geeksacademy"/>
        <s v="candoit"/>
        <s v="sabio"/>
        <s v="netcom"/>
        <s v="smart latam spa"/>
        <s v="gilson software"/>
        <s v="cat"/>
        <s v="sisem"/>
        <s v="getback"/>
        <s v="openlifter"/>
        <s v="municipalidad de mendoza"/>
        <s v="cpem n°34"/>
        <s v="finnix"/>
        <s v="webstarted"/>
        <s v="cms group"/>
        <s v="municipalidad de villa allende"/>
        <s v="gemma holding group"/>
        <s v="tradesorg"/>
        <s v="ads factory"/>
        <s v="yuno"/>
        <s v="timesolution"/>
        <s v="hotglue"/>
        <s v="alphagroup express"/>
        <s v="helipagos"/>
        <s v="interinnovacion"/>
        <s v="ministerio de educación de la provincia de córdoba"/>
        <s v="grupo dfarm"/>
        <s v="finnegans"/>
        <s v="constructora morán"/>
        <s v="rosario didziulis"/>
        <s v="alstra technologies llc"/>
        <s v="instituto argentino de compitación"/>
        <s v="applevel"/>
        <s v="olaclick"/>
        <s v="utn"/>
        <s v="owo app"/>
        <s v="taggify"/>
        <s v="bluetech"/>
        <s v="mas customs broker"/>
        <s v="innotest"/>
        <s v="pidedirecto"/>
        <s v="cladd"/>
        <s v="toptive"/>
        <s v="semprovec"/>
        <s v="urbano express srl"/>
        <s v="errepar sistemas sa"/>
        <s v="fusion house wines &amp; drinks"/>
        <s v="bluenergy"/>
        <s v="mims tech corp"/>
        <s v="factoria creativa"/>
        <s v="byte4bit"/>
        <s v="desarsoft"/>
        <s v="bambú bpo"/>
        <s v="avanxo technologies sas"/>
        <s v="libgot"/>
        <s v="veritran"/>
        <s v="julius commerce"/>
        <s v="tekne"/>
        <s v="grupo ingenium"/>
        <s v="intertron"/>
        <s v="e-cruce s.a."/>
        <s v="ciadti"/>
        <s v="jakemate"/>
        <s v="utriper"/>
        <s v="3rd time"/>
        <s v="pharmware"/>
        <s v="shine mktg"/>
        <s v="tras home"/>
        <s v="gsm tech"/>
        <s v="colmancol s.a.s"/>
        <s v="valor percibido"/>
        <s v="avvy"/>
        <s v="cpqi tecnología financiera"/>
        <s v="city returns"/>
        <s v="my seven suite"/>
        <s v="agrired"/>
        <s v="omnix"/>
        <s v="escola sorvete"/>
        <s v="beesion technologies"/>
        <s v="cruzmedika"/>
        <s v="origin s.a.s"/>
        <s v="vertebra soluciones"/>
        <s v="wam creativo"/>
        <s v="yamanatech"/>
        <s v="channeladvisor"/>
        <s v="mail americas"/>
        <s v="packar"/>
        <s v="arli s.a."/>
        <s v="akui"/>
        <s v="funcacorr"/>
        <s v="veryfi"/>
        <s v="coradir sa"/>
        <s v="fundación ñande reko ha"/>
        <s v="cantera digital"/>
        <s v="whitebox"/>
        <s v="unlimited world"/>
        <s v="seidor"/>
        <s v="dc mayorista"/>
        <s v="decsef sistemas"/>
        <s v="colegio martilleros lomas"/>
        <s v="encora"/>
        <s v="monster auto garage s.a.c"/>
        <s v="go global agency"/>
        <s v="amg peru"/>
        <s v="tridente distribuidora"/>
        <s v="trabajo en digital"/>
        <s v="target marketing outsourcing force"/>
        <s v="crazy llama"/>
        <s v="lexim solutions"/>
        <s v="escuela iberoamericana del docente s.a.c"/>
        <s v="markovations"/>
        <s v="evol"/>
        <s v="codys sa"/>
        <s v="iciva technology"/>
        <s v="aeroterra"/>
        <s v="promotive"/>
        <s v="jose luis abreu"/>
        <s v="ixalab"/>
        <s v="x-data"/>
        <s v="mansuera"/>
        <s v="sacale mote"/>
        <s v="english4kids"/>
        <s v="subsecretaria de ciudad inteligente caba"/>
        <s v="posada el encuentro"/>
        <s v="technology for business"/>
        <s v="jdiaz business llc"/>
        <s v="vates"/>
        <s v="reba"/>
        <s v="mimstechcorp"/>
        <s v="emote care"/>
        <s v="elconix inc"/>
        <s v="multicompras qn ltda"/>
        <s v="axel gualda"/>
        <s v="tienda quick"/>
        <s v="proyment"/>
        <s v="scloud consulting"/>
        <s v="verifarma"/>
        <s v="quares srl"/>
        <s v="the best connection s.a.s"/>
        <s v="idoneo"/>
        <s v="macamedia"/>
        <s v="cmpc"/>
        <s v="nextdet"/>
        <s v="legendaryum"/>
        <s v="zoo development"/>
        <s v="go up cloud"/>
        <s v="geosystems sa"/>
        <s v="i-aps"/>
        <s v="611digital"/>
        <s v="ancientmx"/>
        <s v="edt"/>
        <s v="centro pequeños gigantes"/>
        <s v="ioma"/>
        <s v="redesip"/>
        <s v="apn"/>
        <s v="devsafio latam"/>
        <s v="univ"/>
        <s v="onikom"/>
        <s v="apli"/>
        <s v="ikatech"/>
        <s v="hbl"/>
        <s v="eventys"/>
        <s v="hospital universitario austral"/>
        <s v="axovia"/>
        <s v="dating.com"/>
        <s v="ogilvy"/>
        <s v="certuit"/>
        <s v="finalis"/>
        <s v="nexitus"/>
        <s v="pignoora"/>
        <s v="fundacion ñande reko ha"/>
        <s v="yellow patito"/>
        <s v="entreverde"/>
        <s v="sistemas esco s.a"/>
        <s v="go sur"/>
        <s v="axovia marketing &amp; technologies"/>
        <s v="learsoft"/>
        <s v="guane enterprises"/>
        <s v="santex america"/>
        <s v="mdq le sport s.a"/>
        <s v="arche software studio"/>
        <s v="marketlogic"/>
        <s v="freepack"/>
        <s v="entretramites"/>
        <s v="win&amp;winnow"/>
        <s v="aprueba xtreme"/>
        <s v="other"/>
        <s v="talentpitch"/>
        <s v="win &amp; winnow"/>
        <s v="contabilium sa"/>
        <s v="madryn repuestos"/>
        <s v="bolsa de comercio de rosario"/>
        <s v="tribier"/>
        <s v="pwc acceleration center"/>
        <s v="novoideas"/>
        <s v="grupo consultores de empresas"/>
        <s v="corporacion talentum"/>
        <s v="latech"/>
        <s v="wompi"/>
        <s v="nacionalidades bn"/>
        <s v="mowomo"/>
        <s v="renovo"/>
        <s v="bechsud"/>
        <s v="zegen dispositivos médicos"/>
        <s v="zoologic"/>
        <s v="dlconsultores"/>
        <s v="desafiolatam"/>
        <s v="searchrebel"/>
        <s v="gse - gestión de seguridad electrónica"/>
        <s v="wallypos"/>
        <s v="heka"/>
        <s v="izertis"/>
        <s v="poder judicial de santiago del estero"/>
        <s v="iqor"/>
        <s v="oversoft"/>
        <s v="social media lab"/>
        <s v="simple black sas."/>
        <s v="stylish international inc."/>
        <s v="ayco automotores"/>
        <s v="movinova ip&amp;t sas"/>
        <s v="edsi trend"/>
        <s v="contractorstest.com"/>
        <s v="celuweb"/>
        <s v="redes humanas"/>
        <s v="autonomic mind"/>
        <s v="inter rapidisimo"/>
        <s v="acciona it"/>
        <s v="social media lab ai"/>
        <s v="blue zone"/>
        <s v="tate"/>
        <s v="prototype-devs"/>
        <s v="barcelona quality services"/>
        <s v="solera"/>
        <s v="luna&amp;asociados"/>
        <s v="1nnovation"/>
        <s v="mol solutions"/>
        <s v="gualda proyects"/>
        <s v="gc-track"/>
        <s v="ardaby tec"/>
        <s v="heyhom"/>
        <s v="lionbridge"/>
        <s v="iem data"/>
        <s v="ecogas"/>
        <s v="hova net"/>
        <s v="desafio latam"/>
        <s v="gualda proyect"/>
        <s v="inversiones virgen de guadalupe c.a."/>
        <s v="netwey"/>
        <s v="vn global"/>
        <s v="innovadores"/>
        <s v="cri congresos y convenciones"/>
        <s v="ingoe orchards ltd"/>
        <s v="awg"/>
        <s v="etf s.a."/>
        <s v="idom"/>
        <s v="central zone"/>
        <s v="mall service"/>
        <s v="green pillows"/>
        <s v="aplay sa"/>
        <s v="mdp"/>
        <s v="charco"/>
        <s v="llatan s.a.c"/>
        <s v="coolbox"/>
        <s v="rompecabeza"/>
        <s v="suministra"/>
        <s v="techx"/>
        <s v="titasa"/>
        <s v="zafiro labs"/>
        <s v="cloudbeds"/>
        <s v="pukiebook"/>
        <s v="id business inteligence"/>
        <s v="aconcagua software"/>
        <s v="chiang s.a"/>
        <s v="combustibles del norte s.a."/>
        <s v="entropy"/>
        <s v="digisolution srl"/>
        <s v="ventana digital"/>
        <s v="two to tango"/>
        <s v="decampoacampo"/>
        <s v="ministerio de salud de la provincia de neuquen"/>
        <s v="absti s.a."/>
        <s v="bitnat redes y sistemas"/>
        <s v="honorable legislatura de la provincia de neuquénn"/>
        <s v="storydots"/>
        <s v="qu4nt"/>
        <s v="teclab"/>
        <s v="inswitch"/>
        <s v="kaizen2b"/>
        <s v="prosegur"/>
        <s v="bewise"/>
        <s v="adminseg"/>
        <s v="embajada de estados unidos"/>
        <s v="molokaih"/>
        <s v="megalabs"/>
        <s v="grupo eon"/>
        <s v="fszk music"/>
        <s v="subrik"/>
        <s v="corven sacif"/>
        <s v="trompo agencia"/>
        <s v="kalugni"/>
        <s v="eureka labs"/>
        <s v="hybrido studio s.a.s."/>
        <s v="nomination"/>
        <s v="semprovec cia ltda"/>
        <s v="talentmovers"/>
        <s v="core properties"/>
        <s v="strato earth"/>
        <s v="envwise"/>
        <s v="lqqh sas"/>
        <s v="soluciones del sur sa"/>
        <s v="sdg group"/>
        <s v="qm equipment"/>
        <s v="borsos media"/>
        <s v="bakingdevs"/>
        <s v="acudir"/>
        <s v="acl"/>
        <s v="direccion general de cultura y educacion"/>
        <s v="falabella"/>
        <s v="powip"/>
        <s v="punto net soluciones"/>
        <s v="shoksworks"/>
        <s v="hey harvey"/>
        <s v="toc"/>
        <s v="silicon access"/>
        <s v="connectis"/>
        <s v="sportclub"/>
        <s v="nielseniq"/>
        <s v="eppical"/>
        <s v="ministerio de educacion de la nacion"/>
        <s v="rakkau s.r.l."/>
        <s v="bidcom"/>
        <s v="prosource solutions sa"/>
        <s v="scotiabankcolpatria"/>
        <s v="bdf"/>
        <s v="edunext sas"/>
        <s v="contabilium"/>
        <s v="gosur"/>
        <s v="creatrs"/>
        <s v="hardware &amp; software solutions sas"/>
        <s v="igalfer srl"/>
        <s v="omnicommander"/>
        <s v="sommiercenter"/>
        <s v="opsi"/>
        <s v="masivian sas"/>
        <s v="yen tienda s.a.s"/>
        <s v="colegio gimnasio monteverde"/>
        <s v="fryos studios"/>
        <s v="megatech s.a."/>
        <s v="von croften"/>
        <s v="moneyfi"/>
        <s v="pymedesk"/>
        <s v="servimercadeo"/>
        <s v="gracia lab"/>
        <s v="grupo asd"/>
        <s v="espinlabs"/>
        <s v="geniorama"/>
        <s v="interlude viajes"/>
        <s v="gobierno de san luis"/>
        <s v="neardigital sl"/>
        <s v="wonderful 3d"/>
        <s v="grúas san blas"/>
        <s v="canipol most s.i."/>
        <s v="tecnosapiens"/>
        <s v="maseldata"/>
        <s v="municipalidad de quilmes"/>
        <s v="intelygenz"/>
        <s v="aventureza"/>
        <s v="gecco"/>
        <s v="eato mx"/>
        <s v="autoridad educativa federal en la ciudad de méxico"/>
        <s v="ipsum technology"/>
        <s v="grupo sicoss"/>
        <s v="niku"/>
        <s v="spot"/>
        <s v="digital solutions"/>
        <s v="esperto services"/>
        <s v="cph"/>
        <s v="consejeros y corredores de seguros sac"/>
        <s v="fidooo"/>
        <s v="lubecatech"/>
        <s v="silstech"/>
        <s v="strategia visual consultoria y marketing s.r.l."/>
        <s v="grupo cobra perú s.a"/>
        <s v="id bi"/>
        <s v="agente oficial adt"/>
        <s v="lider tecnico"/>
        <s v="nestlé"/>
        <s v="croney"/>
        <s v="corralon aconquija"/>
        <s v="international trade centre"/>
        <s v="virtual sense"/>
        <s v="calificadas"/>
        <s v="came"/>
        <s v="chewed pixel studios"/>
        <s v="4d motion"/>
        <s v="alephee"/>
        <s v="questas consulting"/>
        <s v="ministerio de salud"/>
        <s v="kunzapp"/>
        <s v="aysam"/>
        <s v="propio language services"/>
        <s v="certa consulting"/>
        <s v="valtx"/>
        <s v="rhinolabs"/>
        <s v="ashi sa"/>
        <s v="nucommerce international spa"/>
        <s v="replaceit"/>
        <s v="btl latino"/>
        <s v="siu"/>
        <s v="vmcloud solution - factureya!"/>
        <s v="ortopedia banfield"/>
        <s v="14x tech"/>
        <s v="registro del automotor"/>
        <s v="infini"/>
        <s v="datamark"/>
        <s v="super web pros"/>
        <s v="ant automation"/>
        <s v="avature"/>
        <s v="kalungi"/>
        <s v="aoki tech"/>
        <s v="crunch dna, inc"/>
        <s v="devsafio"/>
        <s v="simpliroute"/>
        <s v="soluciones del litoral"/>
        <s v="newsan"/>
        <s v="zion transaccional"/>
        <s v="hablax inc"/>
        <s v="reply latam"/>
        <s v="unilink"/>
        <s v="giglon"/>
        <s v="kimobill"/>
        <s v="hoooman studio"/>
        <s v="bit solution group llc"/>
        <s v="global assist group"/>
        <s v="consejo de educación de entre ríos"/>
        <s v="fidu"/>
        <s v="devsafío"/>
        <s v="jll"/>
        <s v="team international"/>
        <s v="growker"/>
        <s v="cml exports"/>
        <s v="it sales"/>
        <s v="cereza soft"/>
        <s v="s1 gateway"/>
        <s v="interlude"/>
        <s v="anticancer360"/>
        <s v="deepskill"/>
        <s v="amazon"/>
        <s v="opcion"/>
        <s v="sanatorio general sarmiento"/>
        <s v="tandem digital"/>
        <s v="educacion"/>
        <s v="ministerio de hacienda de la provincia de san luis"/>
        <s v="universidad nacional de cuyo"/>
        <s v="kuna"/>
        <s v="nub7/8"/>
        <s v="vaale"/>
        <s v="grupo empresarial de emprendimiento social sas"/>
        <s v="tribunal de cuentas de mendoza"/>
        <s v="accedo"/>
        <s v="tidelit"/>
        <s v="colsof"/>
        <s v="frecom srl"/>
        <s v="grupo moura"/>
        <s v="milio"/>
        <s v="koochapps"/>
        <s v="coupa"/>
        <s v="holafly"/>
        <s v="brm s.a.s"/>
        <s v="bluetab"/>
        <s v="certa"/>
        <s v="joyful labs"/>
        <s v="censys s.a."/>
        <s v="txool"/>
        <s v="pidgin"/>
        <s v="repartidor"/>
        <s v="argenpesos"/>
        <s v="surix srl"/>
        <s v="decimetrix"/>
        <s v="poder judicial de la nación argentina"/>
        <s v="inducarnes"/>
        <s v="barrel"/>
        <s v="industria 4"/>
        <s v="thelabit"/>
        <s v="instituto de ayuda financiera a la acción social"/>
        <s v="grupo boldt"/>
        <s v="publicis groupe"/>
        <s v="discover"/>
        <s v="merza"/>
        <s v="saxum ingeniería s.a."/>
        <s v="siemens"/>
        <s v="llyc"/>
        <s v="altamira technology"/>
        <s v="prosperia"/>
        <s v="lionbridge games"/>
        <s v="curf"/>
        <s v="dma srl"/>
        <s v="entreprise adecco"/>
        <s v="fondus"/>
        <s v="ahorra"/>
        <s v="tech 5 recruitment ltd"/>
        <s v="tres niveles"/>
        <s v="whitehat education technology llc"/>
        <s v="monsanto argentina s.r.l."/>
        <s v="seventec"/>
        <s v="smithii"/>
        <s v="naval motor"/>
        <s v="hidrotec"/>
        <s v="venequip ca"/>
        <s v="codika"/>
        <s v="metso outotec chile spa"/>
        <s v="capital market"/>
        <s v="remotasks"/>
        <s v="bocan corporation"/>
        <s v="conexa"/>
        <s v="bessell"/>
        <s v="promarketing"/>
        <s v="viutify sac"/>
        <s v="for_me"/>
        <s v="oasis consultora"/>
        <s v="tensolite"/>
        <s v="ross for less"/>
        <s v="adbize"/>
        <s v="cids"/>
        <s v="gob"/>
        <s v="direcion general de cultura y educacion"/>
        <s v="propital"/>
        <s v="somosedison"/>
        <s v="giselle gomez frayre"/>
        <s v="merovingian"/>
        <s v="robles y yasikov"/>
        <s v="oncompentence"/>
        <s v="pagotic"/>
        <s v="roots"/>
        <s v="growrk"/>
        <s v="gestión y servicios srl"/>
        <s v="lemon cash"/>
        <s v="idoogroup"/>
        <s v="napsix"/>
        <s v="quality service"/>
        <s v="itlg"/>
        <s v="esz"/>
        <s v="singularcity"/>
        <s v="coa tecnologia"/>
        <s v="distrito moda"/>
        <s v="webdev"/>
        <s v="monetizando ideas"/>
        <s v="bleett"/>
        <s v="icreativa"/>
        <s v="grupo simpli"/>
        <s v="manlab"/>
        <s v="evoltis"/>
        <s v="greenpow"/>
        <s v="renovo tienda"/>
        <s v="defontana corp. spa"/>
        <s v="conmega ace"/>
        <s v="aaci"/>
        <s v="dirección de enseñanza superior"/>
        <s v="spot edge trucki"/>
        <s v="ploy sas"/>
        <s v="game disease"/>
        <s v="subsecretaria de industria de corrientes"/>
        <s v="kabeli"/>
        <s v="arbitrack"/>
        <s v="cm combustibles"/>
        <s v="cosony inc"/>
        <s v="xo capital"/>
        <s v="purple dice"/>
        <s v="mentify"/>
        <s v="tooles"/>
        <s v="maper"/>
        <s v="aak tele-science"/>
        <s v="kaver consulting sa"/>
        <s v="anonimo"/>
        <s v="datafy"/>
        <s v="apicon"/>
        <s v="brace developers"/>
        <s v="sincosoft"/>
        <s v="despegar"/>
        <s v="dsi"/>
        <s v="modyo"/>
        <s v="discordoba"/>
        <s v="hotel o2"/>
        <s v="iptotal software"/>
        <s v="jaguar"/>
        <s v="fateryh"/>
        <s v="elite automátion group"/>
        <s v="cencap"/>
        <s v="virtual dreams"/>
        <s v="gonni"/>
        <s v="platec"/>
        <s v="grafeno repuestos sas"/>
        <s v="icubos solutions"/>
        <s v="redjar"/>
        <s v="flipo"/>
        <s v="iscs consulting"/>
        <s v="zenith"/>
        <s v="netw"/>
        <s v="el madero"/>
        <s v="jacgsaw"/>
        <s v="dxc"/>
        <s v="bictus"/>
        <s v="sisorg"/>
        <s v="blipconnection"/>
        <s v="global digiops"/>
        <s v="termotasajero sa"/>
        <s v="mytaskpanel"/>
        <s v="osapiens"/>
        <s v="de créditos"/>
        <s v="instituto otorrinolaringologico arauz"/>
        <s v="blautech"/>
        <s v="koala house"/>
        <s v="universidad autonoma de aguascalientes"/>
        <s v="anachronics s.a"/>
        <s v="códice estratégico"/>
        <s v="medical esthetic malederma"/>
        <s v="grupo max"/>
        <s v="segurity group"/>
        <s v="legalhub"/>
        <s v="softoil"/>
        <s v="humanly software"/>
        <s v="tob group sasu"/>
        <s v="synapsetech"/>
        <s v="andromeda latam group"/>
        <s v="thl"/>
        <s v="grupo penna"/>
        <s v="rrb capital e.i.r.l"/>
        <s v="municipalidad de el caiman"/>
        <s v="gold fields"/>
        <s v="apas"/>
        <s v="excelencia digital software"/>
        <s v="cereza consulting"/>
        <s v="binimed"/>
        <s v="crystal solutions sa"/>
        <s v="sintec"/>
        <s v="dev place technologies"/>
        <s v="municipalidad de berisso"/>
        <s v="orange"/>
        <s v="perren esteban"/>
        <s v="raus aus eu"/>
        <s v="simera"/>
        <s v="tupaca"/>
        <s v="d.i. web services"/>
        <s v="siscard s.a"/>
        <s v="ministerio de educacion gcba"/>
        <s v="eiche chile"/>
        <s v="senzary"/>
        <s v="banesco seguros"/>
        <s v="prospect"/>
        <s v="radical online"/>
        <s v="superior cs group"/>
        <s v="moove"/>
        <s v="vozy"/>
        <s v="tecsci: technology for science"/>
        <s v="desky sas"/>
        <s v="presto agency"/>
        <s v="arbi'track"/>
        <s v="yabok technology inc."/>
        <s v="lambda solution"/>
        <s v="koyag"/>
        <s v="elaniin"/>
        <s v="electronica megatone s.a."/>
        <s v="obinte"/>
        <s v="cencosud ventures"/>
        <s v="reputación digital marcas y personas"/>
        <s v="pixel"/>
        <s v="icreativadigital"/>
        <s v="alter learning"/>
        <s v="nopia"/>
        <s v="solser"/>
        <s v="cloudnet solutions"/>
        <s v="cleversoft"/>
        <s v="pixel digital inc."/>
        <s v="amx argentina s.a."/>
        <s v="izzi telecomm"/>
        <s v="voolkia"/>
        <s v="4agile"/>
        <s v="spire innovaciones sa de cv"/>
        <s v="subsecretaría de salud de la provincia de neuquén"/>
        <s v="grassi s.a"/>
        <s v="grupomas"/>
        <s v="extendeal"/>
        <s v="expasion holding"/>
        <s v="gocode spa"/>
        <s v="insigneo"/>
        <s v="vetecografías"/>
        <s v="doit cloud consulting"/>
        <s v="hotel management s.a."/>
        <s v="doctor sales"/>
        <s v="techminds"/>
        <s v="company pro"/>
        <s v="buyins s. a."/>
        <s v="thinkly"/>
        <s v="apply digital"/>
        <s v="libree ltd"/>
        <s v="laboratorio rivero"/>
        <s v="ntt data colombia"/>
        <s v="xirect"/>
        <s v="digital foot spa"/>
        <s v="das-calendar"/>
        <s v="ntice"/>
        <s v="dynasoft"/>
        <s v="sifizsoft s.a."/>
        <s v="priori data"/>
        <s v="geo power solution sas"/>
        <s v="growfi software"/>
        <s v="brandlive"/>
        <s v="contabilidadya sas"/>
        <s v="challenger premios"/>
        <s v="municipalidad de chamical, la rioja"/>
        <s v="micontrato s.a.s"/>
        <s v="publicis global delivery"/>
        <s v="alexandra lozano inmigration law"/>
        <s v="blast marketing"/>
        <s v="cyberstation"/>
        <s v="jaguar international services s.r.l"/>
        <s v="universidad nacional de la plata"/>
        <s v="onyx soft"/>
        <s v="bit soluciones inteligentes"/>
        <s v="vortex"/>
        <s v="hp"/>
        <s v="truora inc"/>
        <s v="metrotel"/>
        <s v="extendeal sa"/>
        <s v="intelecto"/>
        <s v="tita media"/>
        <s v="avam consulting group s a s"/>
        <s v="quind"/>
        <s v="baruk"/>
        <s v="novacor"/>
        <s v="somos movilidad"/>
        <s v="xtendo group"/>
        <s v="starlight electrónica srl"/>
        <s v="dalca marketing"/>
        <s v="lowrisk"/>
        <s v="pgd"/>
        <s v="adilimited cp s.a.s."/>
        <s v="sophos solution"/>
        <s v="unb collections"/>
        <s v="videoslots"/>
        <s v="max crowdfund"/>
        <s v="arcor saic"/>
        <s v="robonext"/>
        <s v="poncho capital"/>
        <s v="big pons sa"/>
        <s v="monoku"/>
        <s v="profound logic"/>
        <s v="forvet"/>
        <s v="mef arquitectura"/>
        <s v="bautista abogados agl"/>
        <s v="shibena labs sapi de cv"/>
        <s v="alpogo"/>
        <s v="overcast"/>
        <s v="dos mil s.a"/>
        <s v="pqe group"/>
        <s v="biobox"/>
        <s v="servicios enki de méxico sapi de cv"/>
        <s v="webline service"/>
        <s v="centrix"/>
        <s v="data trust"/>
        <s v="glass import automotriz"/>
        <s v="brasa constructores s.a.c."/>
        <s v="alignet"/>
        <s v="grupo national"/>
        <s v="pba technologies sac"/>
        <s v="sympony lam"/>
        <s v="vooxell"/>
        <s v="muvinai"/>
        <s v="monti"/>
        <s v="tpv-sil"/>
        <s v="we cover"/>
        <s v="abstrakt"/>
        <s v="centrocard s.a."/>
        <s v="unc"/>
        <s v="grid web engine"/>
        <s v="preventor"/>
        <s v="digital executive"/>
        <s v="globalconexus"/>
        <s v="axionline"/>
        <s v="netsocks"/>
        <s v="metalfor"/>
        <s v="ecomsur"/>
        <s v="alitaware"/>
        <s v="elevation sas"/>
        <s v="global wizards"/>
        <s v="sirius software"/>
        <s v="municipalidad de neuquen"/>
        <s v="numetri"/>
        <s v="kahunacrm"/>
        <s v="aesa"/>
        <s v="ontario inversiones"/>
        <s v="workcapit"/>
        <s v="tecnologística consultores"/>
        <s v="alkemy"/>
        <s v="softing"/>
        <s v="owners"/>
        <s v="genero valor"/>
        <s v="beraudgorumet"/>
        <s v="datakimia"/>
        <s v="constructora"/>
        <s v="o'reilly auto parts"/>
        <s v="the cocktail"/>
        <s v="sudamericana servicios de consultoria integral"/>
        <s v="la caja de ahorro y seguros generali"/>
        <s v="hidroplat"/>
        <s v="la web del colchón"/>
        <s v="appsmiths"/>
        <s v="forma analytics"/>
        <s v="ungs"/>
        <s v="escuela da vinci"/>
        <s v="frontuari c.a"/>
        <s v="intercapital"/>
        <s v="inova solutions"/>
        <s v="molino harinero carhue s.a.i.c.i.a y f."/>
        <s v="magic technology"/>
        <s v="ensenada de asturias sl"/>
        <s v="lean solutions"/>
        <s v="ssi technologies"/>
        <s v="scala chile"/>
        <s v="bessell consultancy services"/>
        <s v="intouchcx"/>
        <s v="coding and company"/>
        <s v="voicenter"/>
        <s v="property partners"/>
        <s v="rastro agro"/>
        <s v="wedevelop"/>
        <s v="grupo delsud administracion financiera e inmobiliaria s.r.l"/>
        <s v="bigdogs"/>
        <s v="oncompetence"/>
        <s v="talycap global"/>
        <s v="wekall"/>
        <s v="asoko tempo"/>
        <s v="sensora sas"/>
        <s v="suizo argentina"/>
        <s v="muebles jamar"/>
        <s v="proximity"/>
        <s v="oniria gaming"/>
        <s v="virtual soft"/>
        <s v="fenomix"/>
        <s v="encode.s.a"/>
        <s v="venta equipos sas"/>
        <s v="grupo mey sas"/>
        <s v="byjus"/>
        <s v="get a new one s.r.l."/>
        <s v="william grant sons"/>
        <s v="pesquera olas azul"/>
        <s v="livo company"/>
        <s v="technoapes colombia"/>
        <s v="comunidad franciscana providencia de la santa fe"/>
        <s v="kantar ibope media"/>
        <s v="copibri"/>
        <s v="technoapes de colombia"/>
        <s v="me inmobiliaria"/>
        <s v="go supply"/>
        <s v="froneus"/>
        <s v="linktic s.a.s"/>
        <s v="tecde ingeniería"/>
        <s v="ingeniería informática"/>
        <s v="cámara de comercio de medellin"/>
        <s v="foca software"/>
        <s v="at4"/>
        <s v="blung web"/>
        <s v="dichter &amp; neira"/>
        <s v="neuralsys"/>
        <s v="tucan marketing digital"/>
        <s v="interdynamics"/>
        <s v="esinergia"/>
        <s v="universidad empresarial siglo 21"/>
        <s v="banco de corrientes sa"/>
        <s v="g&amp;lgroup"/>
        <s v="nts seidor"/>
        <s v="develhope"/>
        <s v="mrm"/>
        <s v="arquant s.a"/>
        <s v="nectica"/>
        <s v="saia"/>
        <s v="der distribuciones"/>
        <s v="bankaya"/>
        <s v="dblandit"/>
        <s v="escotel"/>
        <s v="inside business mexico"/>
        <s v="grupo requiem soluciones"/>
        <s v="corralón láinez"/>
        <s v="argencred sa"/>
        <s v="lake dunstan orchards"/>
        <s v="boehringer ingelheim"/>
        <s v="taval s.a."/>
        <s v="adastra"/>
        <s v="cicsa"/>
        <s v="hotel royal neuquen"/>
        <s v="gyl group"/>
        <s v="tecflex sac"/>
        <s v="aryx"/>
        <s v="net. consultores"/>
        <s v="shine"/>
        <s v="pacifico seguros"/>
        <s v="exomindset"/>
        <s v="datastar"/>
        <s v="consuman"/>
        <s v="business development facilities sa"/>
        <s v="logos argentina srl"/>
        <s v="taligent s.a"/>
        <s v="adevcom"/>
        <s v="airbits"/>
        <s v="unbc"/>
        <s v="mylogic srl"/>
        <s v="desba"/>
        <s v="novatech"/>
        <s v="hospital privado córdoba"/>
        <s v="black stallion - product design"/>
        <s v="pormel sa"/>
        <s v="g4 sosluciones it"/>
        <s v="yaris"/>
        <s v="celda"/>
        <s v="nods"/>
        <s v="deep skill"/>
        <s v="g&amp;l"/>
        <s v="liquid"/>
        <s v="clarin"/>
        <s v="shalion"/>
        <s v="excelencia soluciones informaticas"/>
        <s v="corsisa"/>
        <s v="cambá"/>
        <s v="troupper"/>
        <s v="intuilize"/>
        <s v="encender comunicacion"/>
        <s v="publix"/>
        <s v="taktiful software solutions"/>
        <s v="escrito space"/>
        <s v="artssec"/>
        <s v="securesoft corporation"/>
        <s v="callsounds"/>
        <s v="lambda"/>
        <s v="presto servicios"/>
        <s v="idigital"/>
        <s v="stretchmed studios (everest franchise development)"/>
        <s v="kiri"/>
        <s v="delta it"/>
        <s v="apside"/>
        <s v="club nautico hacoaj"/>
        <s v="jpmorgan chase"/>
        <s v="intellsis"/>
        <s v="dumax st"/>
        <s v="portant"/>
        <s v="plan it"/>
        <s v="annexbox"/>
        <s v="cat tecnologies"/>
        <s v="sisu"/>
        <s v="repartos ya"/>
        <s v="paseshow"/>
        <s v="eric shummer"/>
        <s v="devlights"/>
        <s v="suscesion mario rolando villa"/>
        <s v="satoritech"/>
        <s v="pullman cargo"/>
        <s v="microsystem"/>
        <s v="reformam network 2010 sl"/>
        <s v="deep skill academy"/>
        <s v="hospital italiano de buenos aires"/>
        <s v="gux texh"/>
        <s v="el estudiante"/>
        <s v="facultad de ciencias economicas-uncuyo"/>
        <s v="cs3"/>
        <s v="ln20 s.a.s"/>
        <s v="remote hero"/>
        <s v="superbytes"/>
        <s v="grupo penaflor"/>
        <s v="universidad de san buenaventura"/>
        <s v="miami boulevard ii"/>
        <s v="siwcargo"/>
        <s v="molino san jose"/>
        <s v="web supplements s.r.l."/>
        <s v="quota media"/>
        <s v="bimarch sa"/>
        <s v="dim centros de salud"/>
        <s v="versoft"/>
        <s v="emblue staff"/>
        <s v="sqdm"/>
        <s v="hexa solutions"/>
        <s v="consejo de ciencias economicas"/>
        <s v="aveonline"/>
        <s v="credicorp capital"/>
        <s v="tf auditores y asociados ltda bic"/>
        <s v="elevation"/>
        <s v="carvajal"/>
        <s v="moto mecanica argentina"/>
        <s v="summan"/>
        <s v="arandinni"/>
        <s v="hendercross"/>
        <s v="ecopción"/>
        <s v="agrosemillas"/>
        <s v="innovus"/>
        <s v="tempolider"/>
        <s v="le bourguignon"/>
        <s v="centro de monitoreo"/>
        <s v="vaga mundo"/>
        <s v="united nations - itc (international trade center)"/>
        <s v="rws"/>
        <s v="foodsys.io"/>
        <s v="telemercado"/>
        <s v="zlyde"/>
        <s v="aximo tech"/>
        <s v="global66"/>
        <s v="oeding"/>
        <s v="steren"/>
        <s v="banco caja social"/>
        <s v="bigsportdata"/>
        <s v="res"/>
        <s v="euzen"/>
        <s v="medina bomba sumergibles"/>
        <s v="mediabyte"/>
        <s v="trabajo independiente"/>
        <s v="black stallion"/>
        <s v="enterprise services argentina s.r.l"/>
        <s v="tgv"/>
        <s v="g4s soluciones de seguridad sa"/>
        <s v="corporacion e wong"/>
        <s v="rpa latam"/>
        <s v="municipalidad de san nicolas"/>
        <s v="geosolutions"/>
        <s v="artear"/>
        <s v="kantar worldpanel"/>
        <s v="banco itau"/>
        <s v="remotask"/>
        <s v="gastronomia"/>
        <s v="liventi inc"/>
        <s v="holos digital partners"/>
        <s v="global assist"/>
        <s v="asistente virtual ok.com"/>
        <s v="reply pro"/>
        <s v="domkard"/>
        <s v="tml logística"/>
        <s v="synergiart sl"/>
        <s v="ministerio de seguridad mendoza"/>
        <s v="remote club"/>
        <s v="linkchar"/>
        <s v="j.m. ponce srl"/>
        <s v="sw/app/cloud tech support associate"/>
        <s v="prototypes devs"/>
        <s v="seguros rivadavia"/>
        <s v="infa"/>
        <s v="winwinlatam"/>
        <s v="remotasks.com"/>
        <s v="highpoint growth networks"/>
        <s v="river hotel s.a"/>
        <s v="remostasks"/>
        <s v="pari"/>
        <s v="stratton nea s.a."/>
        <s v="golden arrow"/>
        <s v="books &amp; books"/>
        <s v="indra peru"/>
        <s v="nestifyla"/>
        <s v="unibyte corporate informática limitada"/>
        <s v="iq4b s.a"/>
        <s v="goforcustomer"/>
        <s v="casin"/>
        <s v="smith.ai"/>
        <s v="mindqube peru sac"/>
        <s v="polex servicios ltda"/>
        <s v="metso chile spa"/>
        <s v="innovaciones satori tech s.c"/>
        <s v="manpower"/>
        <s v="emprestur"/>
        <s v="wunderman thompson colombia"/>
        <s v="alcaldia de santiago de cali"/>
        <s v="caracas digital"/>
        <s v="mecantronic solution"/>
        <s v="andreani logística"/>
        <s v="forum súper mayorista"/>
        <s v="itboom"/>
        <s v="runa"/>
        <s v="tuxdi sas"/>
        <s v="inteligencia analitica"/>
        <s v="viio"/>
        <s v="torre dormar"/>
        <s v="7dev"/>
        <s v="super"/>
        <s v="logística mercantil"/>
        <s v="universidad pontificia bolivariana"/>
        <s v="tsf"/>
        <s v="enternova"/>
        <s v="cenit sas"/>
        <s v="compañia comercial curacao de colombia"/>
        <s v="khem labs"/>
        <s v="mekan"/>
        <s v="solvo global"/>
        <s v="cobro inmediato"/>
        <s v="cas"/>
        <s v="imagine s.a.s"/>
        <s v="clínica bonnadona prevenir"/>
        <s v="18 dev"/>
        <s v="intresco"/>
        <s v="fundación desarrollo humano juan carlos marrugo vega"/>
        <s v="jausme"/>
        <s v="buendata"/>
        <s v="neowyze"/>
        <s v="municipalidad de salsipuedes"/>
        <s v="persei vivarium"/>
        <s v="beyond sports"/>
        <s v="clasyou"/>
        <s v="amber green"/>
        <s v="critical software"/>
        <s v="colegio magistrados"/>
        <s v="sib 2000"/>
        <s v="bistrosoft"/>
        <s v="digital value"/>
        <s v="rythm"/>
        <s v="stratton nea s.a:"/>
        <s v="bimbo"/>
        <s v="argenprom srl"/>
        <s v="farmafe"/>
        <s v="polyworks mexico"/>
        <s v="mo&amp;pc"/>
        <s v="el foco del genio"/>
        <s v="andromeda"/>
        <s v="a-sistemas"/>
        <s v="facultad de ciecias medicas"/>
        <s v="credix"/>
        <s v="tres grupo creativo"/>
        <s v="access informatica"/>
        <s v="sdise sac"/>
        <s v="fluxus sac"/>
        <s v="grupo mok"/>
        <s v="keola"/>
        <s v="enfoque 7"/>
        <s v="crack the code s.a.c"/>
        <s v="sof.ia"/>
        <s v="anfler solutions srl"/>
        <s v="sg systems paraguay e.a.s"/>
        <s v="kairox"/>
        <s v="gravitad"/>
        <s v="koi"/>
        <s v="stratton nea s.a"/>
        <s v="coding giants"/>
        <s v="grow up"/>
        <s v="international research institute of north carolina"/>
        <s v="tolstoy"/>
        <s v="jasper blockchain"/>
        <s v="datawise"/>
        <s v="prospect ratings"/>
        <s v="corredores viales"/>
        <s v="arkho"/>
        <s v="kaba law group"/>
        <s v="danone"/>
        <s v="eseral"/>
        <s v="zenrise studio"/>
        <s v="servicios urbanos s.a"/>
        <s v="rebel fund"/>
        <s v="rockingdata"/>
        <s v="enrique r. zeni y cia saciafei"/>
        <s v="smart ecosystem, inc."/>
        <s v="repartosya"/>
        <s v="bigger"/>
        <s v="lpa consulting"/>
        <s v="accion point"/>
        <s v="apprende.cl"/>
        <s v="app academy"/>
        <s v="grupo consiti"/>
        <s v="numen academia"/>
        <s v="jphlions"/>
        <s v="quiroga law office"/>
        <s v="rotounderworld"/>
        <s v="min. de educacion"/>
        <s v="eiche"/>
        <s v="fractalia"/>
        <s v="zylalabs"/>
        <s v="citytech s.a."/>
        <s v="replypro"/>
        <s v="syk sa"/>
        <s v="citibanamex"/>
        <s v="amdromeda"/>
        <s v="esencia.app"/>
        <s v="taxes software"/>
        <s v="parrade"/>
        <s v="dharma digital marketing"/>
        <s v="immergo"/>
        <s v="intelicorps"/>
        <s v="dashrd"/>
        <s v="grut studio"/>
        <s v="ivisa"/>
        <s v="sbx"/>
        <s v="exemax"/>
        <s v="quick code"/>
        <s v="xaldigital"/>
        <s v="roseti"/>
        <s v="grupopeñaflor"/>
        <s v="piano.io"/>
        <s v="aoniken servicios it s.a."/>
        <s v="ad -cap grupo financiero"/>
        <s v="ayuntamiento de adeje"/>
        <s v="syergiart sl"/>
        <s v="ensalud s.a"/>
        <s v="sinergyat"/>
        <s v="skillnet"/>
        <s v="asap consulting s.a."/>
        <s v="mbtek"/>
        <s v="caja de cs economicas de santa fe"/>
        <s v="ab-inbev"/>
        <s v="pyd"/>
        <s v="personal class"/>
        <s v="fixershoes"/>
        <s v="resistance sas"/>
        <s v="caprome"/>
        <s v="bicicletas milan"/>
        <s v="botero media"/>
        <s v="softlond sas"/>
        <s v="wip"/>
        <s v="umb"/>
        <s v="adval"/>
        <s v="dataforgex"/>
        <s v="casa hospital san juan de dios"/>
        <s v="liceo campestre"/>
        <s v="assurant services argentina s.a."/>
        <s v="symplifica"/>
        <s v="maaji"/>
        <s v="hideo 3d"/>
        <s v="controles empresariales coem"/>
        <s v="itecnis srl"/>
        <s v="rockstar solutions"/>
        <s v="farmacia fatima"/>
        <s v="taskus"/>
        <s v="consultoría global s.a."/>
        <s v="ministerio de seguridad de la provincia de tucuman"/>
        <s v="universidad nacional de tres de febrero"/>
        <s v="stay unique"/>
        <s v="soscontador"/>
        <s v="implameq s.a.s."/>
        <s v="prag,"/>
        <s v="black &amp; orange"/>
        <s v="inchcape digital"/>
        <s v="smarttrans"/>
        <s v="telemed"/>
        <s v="innovision sa"/>
        <s v="urbaneja daniel sebastián"/>
        <s v="dc connected car gmbh"/>
        <s v="libro de pases"/>
        <s v="brandgestic"/>
        <s v="itecnis"/>
        <s v="fluxai"/>
        <s v="iss"/>
        <s v="in2tires"/>
        <s v="quarksoft"/>
        <s v="skandia"/>
        <s v="qualtop"/>
        <s v="protolylab"/>
        <s v="mojitosoft"/>
        <s v="mvp creator"/>
        <s v="bottesini strings"/>
        <s v="frelance"/>
        <s v="plaindes"/>
        <s v="smi"/>
        <s v="colegium"/>
        <s v="3ek soluciones integtrales de gestión"/>
        <s v="nuclea"/>
        <s v="sute"/>
        <s v="academia nacional de ajedrez"/>
        <s v="movizen"/>
        <s v="dequo"/>
        <s v="combustibles pc srl"/>
        <s v="martin sz"/>
        <s v="dharma marketing"/>
        <s v="lempert s.a"/>
        <s v="synergiar"/>
        <s v="inceptia srl"/>
        <s v="process technologies sa"/>
        <s v="omdena"/>
        <s v="municipalidad de san nicolas de los arroyos"/>
        <s v="chronos apps"/>
        <s v="synergiat"/>
        <s v="totalpack"/>
        <s v="dumax"/>
        <s v="ypf"/>
        <s v="freelance (centro de ojos)"/>
        <s v="making sense"/>
        <s v="dascalendar"/>
        <s v="ontop"/>
        <s v="diebold nixdorf"/>
        <s v="tinto techonology"/>
        <s v="roadway rescues llc"/>
        <s v="betternfaster"/>
        <s v="smart air"/>
        <s v="ulipop  sas"/>
        <s v="transformarme s.a.s."/>
        <s v="consultoria global s.a"/>
        <s v="asteroid technologies"/>
        <s v="one world global services"/>
        <s v="duomed s.a."/>
        <s v="dhl"/>
        <s v="jorge nicolas moralez"/>
        <s v="dedalord"/>
        <s v="the free website guys"/>
        <s v="bitflow"/>
        <s v="pi data strategy &amp; consulting"/>
        <s v="dip. carlos salom"/>
        <s v="edataconsulting"/>
        <s v="sti ingenieria"/>
        <s v="galaca sas"/>
        <s v="daira it"/>
        <s v="chicksgold"/>
        <s v="pedidos ya"/>
        <s v="team gravitad"/>
        <s v="cloudx"/>
        <s v="halcón"/>
        <s v="mercantil banco universal"/>
        <s v="tu mejor amigo"/>
        <s v="taktiful"/>
        <s v="overtime advisors llc"/>
        <s v="it4u"/>
        <s v="dl consultores"/>
        <s v="best garden"/>
        <s v="cognisys"/>
        <s v="kodland"/>
        <s v="assets logisitica"/>
        <s v="contractorstest"/>
        <s v="order technology"/>
        <s v="direccion informatica, ministerio de hacienda y obra publica, provincia de san luis"/>
        <s v="sena"/>
        <s v="bpt software"/>
        <s v="howard gardner school"/>
        <s v="twototango"/>
        <s v="truora"/>
        <s v="duo0"/>
        <s v="numera sas"/>
        <s v="don may"/>
        <s v="necta sa"/>
        <s v="sms ventures"/>
        <s v="garege deep analytics"/>
        <s v="aicore sa"/>
        <s v="uve solutions"/>
        <s v="agrobolsa s.a"/>
        <s v="platinum"/>
        <s v="onixdigital"/>
        <s v="ciomprix"/>
        <s v="r8 write tech corp"/>
        <s v="bioinnova technologies sas,"/>
        <s v="tenx"/>
        <s v="c&amp;c temporal s.a.s"/>
        <s v="fupad"/>
        <s v="punto net"/>
        <s v="collins s.a"/>
        <s v="adopta un junior"/>
        <s v="dizizid"/>
        <s v="cooperativa farmaceutica de litoral"/>
        <s v="fgd"/>
        <s v="brainsum"/>
        <s v="ypsilon"/>
        <s v="sport club"/>
        <s v="petroshore compliance"/>
        <s v="thalamus"/>
        <s v="udd"/>
        <s v="mediline"/>
        <s v="huubie"/>
        <s v="urban science"/>
        <s v="chinchilla games"/>
        <s v="retcom"/>
        <s v="master loyalty group"/>
        <s v="eurekaplicaciones"/>
        <s v="corporativo torres corzo"/>
        <s v="turing corp"/>
        <s v="horticulture master ltd."/>
        <s v="eva seguros"/>
        <s v="sphere consulting s.a.c."/>
        <s v="innova solutions"/>
        <s v="feroflex"/>
        <s v="green&amp;co"/>
        <s v="municipalidad lujan de cuyo"/>
        <s v="max segur"/>
        <s v="seemple"/>
        <s v="taktiful software solutions llc"/>
        <s v="win"/>
        <s v="make"/>
        <s v="prisma"/>
        <s v="noc noc"/>
        <s v="vopper"/>
        <s v="unilever de argentina s.a"/>
        <s v="keg off tap"/>
        <s v="el conjuro bar"/>
        <s v="squad s.r.l"/>
        <s v="awa industry"/>
        <s v="rht"/>
        <s v="sonep srl"/>
        <s v="maquisistema"/>
        <s v="g2itsolutions"/>
        <s v="root software empredimiento"/>
        <s v="running pips"/>
        <s v="rupt"/>
        <s v="zaple"/>
        <s v="a &amp; j supply c.a"/>
        <s v="innovus software"/>
        <s v="dataart"/>
        <s v="recamier espinosa y asociados"/>
        <s v="ulipop sas"/>
        <s v="clostech"/>
        <s v="el dorado research group"/>
        <s v="asociación civil nueva mente"/>
        <s v="yoinvierto"/>
        <s v="spaceguru"/>
        <s v="chango consultora"/>
        <s v="manuable"/>
        <s v="galactikos"/>
        <s v="castro ingenieria"/>
        <s v="gravidad"/>
        <s v="marcos gallardo"/>
        <s v="bld argentina s.r.l."/>
        <s v="analitics town"/>
        <s v="impera"/>
        <s v="piso 29"/>
        <s v="supermat"/>
        <s v="yoab undurraga"/>
        <s v="vox-ventures s.a."/>
        <s v="3dvision"/>
        <s v="lexy"/>
        <s v="inlaze"/>
        <s v="social learning"/>
        <s v="seiza spa"/>
        <s v="nextbyn"/>
        <s v="universidad nacional de la rioja"/>
        <s v="crisp studio"/>
        <s v="breik spa"/>
        <s v="sos contador"/>
        <s v="remotetask"/>
        <s v="amaw"/>
        <s v="fridom sas"/>
        <s v="ready"/>
        <s v="sunrise tower"/>
        <s v="aon"/>
        <s v="ciegate technologies global, inc."/>
        <s v="osnet sas"/>
        <s v="cqpi"/>
        <s v="ecco"/>
        <s v="shopping del panadero"/>
        <s v="unad"/>
        <s v="sanatorio mayo privado sa"/>
        <s v="dequo srl"/>
        <s v="outsourcing"/>
        <s v="tla srl"/>
        <s v="hiva"/>
        <s v="montagne"/>
        <s v="helios"/>
        <s v="think and dev"/>
        <s v="ypsilon ingeligencia digital"/>
        <s v="karggu"/>
        <s v="ha bicicletas"/>
        <s v="roagro"/>
        <s v="indicum technology"/>
        <s v="kheiron co"/>
        <s v="branchnew"/>
        <s v="fraudkeeper"/>
        <s v="upro"/>
        <s v="silmag"/>
        <s v="empresa anonima"/>
        <s v="creaapps"/>
        <s v="fixup"/>
        <s v="bayton sa"/>
        <s v="once"/>
        <s v="zurich insurance"/>
        <s v="xira intelligence"/>
        <s v="circulo de sub oficiales y agentes de la policia de corrientes"/>
        <s v="dragontec"/>
        <s v="reseramos"/>
        <s v="petroandina s.r.l."/>
        <s v="joaquín garcia"/>
        <s v="farmacias peruanas"/>
        <s v="pacta"/>
        <s v="delfoi"/>
        <s v="lft solutions"/>
        <s v="codetogether"/>
        <s v="ingertec s.r.l"/>
        <s v="viatur srl"/>
        <s v="universidad nacional de lujan"/>
        <s v="marquez constructora desarrollista"/>
        <s v="helios system"/>
        <s v="ucrop.it"/>
        <s v="ministerio de seguridad de la provincia de neuquen"/>
        <s v="lynx soluciones sa"/>
        <s v="jimena medina"/>
        <s v="entur"/>
        <s v="uncaus"/>
        <s v="tcs technology consulting"/>
        <s v="411 locals"/>
        <s v="d.l.r. s.a."/>
        <s v="agora partnership"/>
        <s v="bim soluciones"/>
        <s v="ciampagna"/>
        <s v="gacitua y asociados"/>
        <s v="bitmerang s.a."/>
        <s v="surgicalmed"/>
        <s v="cahuana"/>
        <s v="instituto arnold gesell"/>
        <s v="mundo obd sa"/>
        <s v="delet"/>
        <s v="trueway realty"/>
        <s v="digy"/>
        <s v="thomson reuters"/>
        <s v="scale up media agency"/>
        <s v="grido"/>
        <s v="n-shoke"/>
        <s v="jesus del gran poder s.a."/>
        <s v="grupo lamar"/>
        <s v="a.e.l.e.m. s.a.s."/>
        <s v="firstplug"/>
        <s v="mernet"/>
        <s v="blankfact"/>
        <s v="datax"/>
        <s v="jardins grill"/>
        <s v="buzz marketing"/>
        <s v="bigger tech"/>
        <s v="ises"/>
        <s v="kami pac spa"/>
        <s v="smart twigs"/>
        <s v="kibernum"/>
        <s v="geti solutions"/>
        <s v="campoalto"/>
        <s v="serviquick"/>
        <s v="hola moda"/>
        <s v="car2token"/>
        <s v="leonardo torres"/>
        <s v="suma sas"/>
        <s v="chilling time"/>
        <s v="dr envio"/>
        <s v="aimedic"/>
        <s v="opensistemas"/>
        <s v="ramon carrillo sociedad del estado e.e."/>
        <s v="gtc corporation"/>
        <s v="modelogeo"/>
        <s v="ldc"/>
        <s v="universidad"/>
        <s v="multiempleos"/>
        <s v="legal hub"/>
        <s v="duppla"/>
        <s v="portal inmobiliario sas"/>
        <s v="acceda"/>
        <s v="mairon castro"/>
        <s v="global 66"/>
        <s v="saludelectronica"/>
        <s v="calm"/>
        <s v="cenyt ingeniero y consultores sas"/>
        <s v="fidelitytools"/>
        <s v="byraices"/>
        <s v="stack overflight"/>
        <s v="petit plast s.a."/>
        <s v="redegal"/>
        <s v="playa hotels and resorts"/>
        <s v="moneyfi tecnologies"/>
        <s v="website depot"/>
        <s v="ey gds mexico"/>
        <s v="bodega chico zossi"/>
        <s v="ecometales sas"/>
        <s v="complejo alimenticio san salvador"/>
        <s v="acri"/>
        <s v="nextbooks"/>
        <s v="c.e.i.p. bright beginnings s.c.r.l."/>
        <s v="inlearning institutos"/>
        <s v="zest"/>
        <s v="cineplex s.a."/>
        <s v="roca alliances"/>
        <s v="carta ai"/>
        <s v="kantar"/>
        <s v="suma wealth"/>
        <s v="channelattribution"/>
        <s v="anclajes cima"/>
        <s v="outlier"/>
        <s v="vanv comp srl"/>
        <s v="handytec"/>
        <s v="instrutech"/>
        <s v="delta digital"/>
        <s v="bedu"/>
        <s v="meanlight studio"/>
        <s v="segimed"/>
        <s v="people's eyes"/>
        <s v="emprendimientos satelitales sa"/>
        <s v="siderperu"/>
        <s v="by derm"/>
        <s v="strongwood"/>
        <s v="cheil"/>
        <s v="academia europea"/>
        <s v="municipalidad bariloche"/>
        <s v="double point"/>
        <s v="comercial del plata s.r.l."/>
        <s v="ehvert"/>
        <s v="colegio santa clara de asis"/>
        <s v="colegio bilingüe nueva galica"/>
        <s v="edu passport"/>
        <s v="municipalidad de san nicolás de los arroyos"/>
        <s v="pequeños genios"/>
        <s v="planify"/>
        <s v="crm partners"/>
        <s v="ascar dev"/>
        <s v="ryr.asociados"/>
        <s v="kyndryl"/>
        <s v="s&amp;s corporate solutions llc"/>
        <s v="bigview"/>
        <s v="base labs"/>
        <s v="mica group"/>
        <s v="outlier ia"/>
        <s v="revolt"/>
        <s v="tiempo exacto"/>
        <s v="innova it"/>
        <s v="todosgamers"/>
        <s v="proven"/>
        <s v="universidad francisco de paula santander"/>
        <s v="dream junk studio"/>
        <s v="emtipay"/>
        <s v="5ca"/>
        <s v="cafè"/>
        <s v="genialitys.a.s"/>
        <s v="magis publicidad sas"/>
        <s v="precia"/>
        <s v="direccion informatica - ministario de hacienda e infraestructura"/>
        <s v="mindfactory"/>
        <s v="story dots"/>
        <s v="distri-sur"/>
        <s v="sistemas temporarios sa"/>
        <s v="vtex"/>
        <s v="direccion provincial de rentas"/>
        <s v="santa monica woods ltd"/>
        <s v="solutions malls"/>
        <s v="zingueria san luis"/>
        <s v="wibbux"/>
        <s v="data vimenca"/>
        <s v="business integration partners"/>
        <s v="alan silcher"/>
        <s v="strategico tech"/>
        <s v="bettercloud"/>
        <s v="hermes music"/>
        <s v="entermyinvoice"/>
        <s v="consultoria global s.a."/>
        <s v="ul solutions"/>
        <s v="jc marketing"/>
        <s v="viasite"/>
        <s v="vanguardia tecnologica en control de emisiones contaminantes vehiculares"/>
        <s v="ecom s.a"/>
        <s v="flexxus s.a."/>
        <s v="todoalojamiento"/>
        <s v="bigodoo"/>
        <s v="orbisdata perú"/>
        <s v="cms delsur"/>
        <s v="rojosoft"/>
        <s v="iqnet"/>
        <s v="valtec"/>
        <s v="integreat comunicaciones s.a.c"/>
        <s v="choucair testing"/>
        <s v="industrias san miguel"/>
        <s v="equans perú"/>
        <s v="nomade soft"/>
        <s v="arisale"/>
        <s v="nestle"/>
        <s v="itti digital"/>
        <s v="como1contacto"/>
        <s v="cala projects"/>
        <s v="percona"/>
        <s v="branak"/>
        <s v="pay per tic sa"/>
        <s v="singularity health"/>
        <s v="andesita sas"/>
        <s v="tribekya"/>
        <s v="2clics"/>
        <s v="bummiai"/>
        <s v="capital certainty"/>
        <s v="basdonax ai"/>
        <s v="desafío latam"/>
        <s v="dill"/>
        <s v="galante d' antonio"/>
        <s v="uma health argentina sa"/>
        <s v="indigital xp"/>
        <s v="tenpearls sac"/>
        <s v="inibep"/>
        <s v="sherpa.wtf"/>
        <s v="vindow"/>
        <s v="rysconnect"/>
        <s v="packapp"/>
        <s v="invisible"/>
        <s v="leafpress"/>
        <s v="making sense llc"/>
        <s v="switchit"/>
        <s v="cloudgaia"/>
        <s v="mercurio soft"/>
        <s v="circulo medico de salta"/>
        <s v="bairesdev"/>
        <s v="grupo yuma"/>
        <s v="gonzalo chirinos"/>
        <s v="seis"/>
        <s v="gestión informática iso"/>
        <s v="apros"/>
        <s v="bealit"/>
        <s v="teambots"/>
        <s v="kan it"/>
        <s v="bitconsulting"/>
        <s v="atenea ai"/>
        <s v="finniu"/>
        <s v="blockr"/>
        <s v="neoxpat limited"/>
        <s v="stroke scan"/>
        <s v="ayrée"/>
        <s v="claro"/>
        <s v="betrusty"/>
        <s v="weatherford international argentina"/>
        <s v="kamchatka"/>
        <s v="betrusy"/>
        <s v="sofka technologies sas"/>
        <s v="brokerware"/>
        <s v="urucorp"/>
        <s v="cinépolis"/>
        <s v="servinformacion"/>
        <s v="garnet technology"/>
        <s v="lothal blockchain sa"/>
        <s v="municipalidad de santa clara de jujuy"/>
        <s v="alleycorp sur"/>
        <s v="unilever"/>
        <s v="juzgado de faltas"/>
        <s v="le pain qutidien"/>
        <s v="distribuidora cuyana"/>
        <s v="kiura"/>
        <s v="bit"/>
        <s v="innova code"/>
        <s v="mancii"/>
        <s v="tucán marketing digital"/>
        <s v="wireless sur"/>
        <s v="samtel"/>
        <s v="softimo"/>
        <s v="persat"/>
        <s v="colegio jhon dewey"/>
        <s v="smartway"/>
        <s v="mega"/>
        <s v="haomai technology"/>
        <s v="inegi"/>
        <s v="south"/>
        <s v="televisaunivision"/>
        <s v="ecosistemas"/>
        <s v="universidad tecnologica de méxico"/>
        <s v="tualo"/>
        <s v="aardvark partners"/>
        <s v="gobierno de la ciudad de bsas"/>
        <s v="digito"/>
        <s v="monstruo creativo"/>
        <s v="iderma capilar"/>
        <s v="aprendizaje digital sac"/>
        <s v="carmen arce company"/>
        <s v="khipu"/>
        <s v="evoluciona"/>
        <s v="homeland language services"/>
        <s v="agencia marlon"/>
        <s v="panificados martin"/>
        <s v="revelo"/>
        <s v="mercately"/>
        <s v="betterandfaster"/>
        <s v="geo"/>
        <s v="dacompany s.a.c."/>
        <s v="instituto los robles"/>
        <s v="ldn gestion"/>
        <s v="luba"/>
        <s v="rentlysoft"/>
        <s v="adinfluence"/>
        <s v="aditi consulting"/>
        <s v="maatai"/>
        <s v="hyperreality company"/>
        <s v="brainlabs"/>
        <s v="novigo technology"/>
        <s v="calm es simple"/>
        <s v="ar consultores srl"/>
        <s v="infinita consulting"/>
        <s v="oechsle s.a."/>
        <s v="edupassport"/>
        <s v="grupo dos rios"/>
        <s v="exceser"/>
        <s v="caja popular cristobal colón"/>
        <s v="grupo proare"/>
        <s v="gtc"/>
        <s v="ycs pr corp"/>
        <s v="bdcatalyst"/>
        <s v="talento digital"/>
        <s v="stenox analytics"/>
        <s v="zafra s.a"/>
        <s v="leisure accommodation collective pty ltd"/>
        <s v="kiche"/>
        <s v="emporio la rosa"/>
        <s v="skydropx"/>
        <s v="noswar studio"/>
        <s v="evolución i3"/>
        <s v="the store intelligence"/>
        <s v="gwocu"/>
        <s v="camea"/>
        <s v="taktify"/>
        <s v="nextailabs"/>
        <s v="iol invertironline"/>
        <s v="andes bpo"/>
        <s v="cabildo muysca de suba"/>
        <s v="universidad de palermo"/>
        <s v="rop st digitall"/>
        <s v="ticxar"/>
        <s v="hospital nacional de clincias"/>
        <s v="atower"/>
        <m/>
      </sharedItems>
    </cacheField>
    <cacheField name="Pais_Empresa" numFmtId="49">
      <sharedItems containsBlank="1">
        <s v="Argentina"/>
        <s v="Colombia"/>
        <s v="Mexico"/>
        <s v="Estados Unidos"/>
        <s v="Colombia "/>
        <s v="Inglaterra"/>
        <m/>
        <s v="Francia"/>
        <s v="China"/>
        <s v="Chile"/>
        <s v="Reino Unido"/>
        <s v="España"/>
        <s v="Suiza"/>
        <s v="Uruguay"/>
        <s v="Canada"/>
        <s v="Suecia"/>
        <s v="Italia"/>
        <s v="Ecuador"/>
        <s v="Peru"/>
        <s v="Dinamarca"/>
        <s v="Singapore"/>
        <s v="Paises Bajos"/>
        <s v="Brasil"/>
        <s v="Alemania"/>
        <s v="India"/>
        <s v="Singapur"/>
        <s v="Paraguay"/>
        <s v="Belgica"/>
        <s v="Guatemala"/>
        <s v="Emiratos Arabes"/>
        <s v="Australia"/>
        <s v="Costa Rica"/>
        <s v="nicaragua"/>
        <s v="Bolivia"/>
        <s v="israel"/>
        <s v="Noruega"/>
        <s v="Kenia"/>
        <s v="Panama"/>
        <s v="Austria"/>
        <s v="Venezuela"/>
        <s v="Estonia"/>
        <s v="El salvador"/>
        <s v="Filipina"/>
        <s v="Polonia"/>
        <s v="Gibraltar"/>
        <s v="Turquia"/>
        <s v="Egipto"/>
        <s v="Puerto Rico"/>
        <s v="México"/>
        <s v="Grecia"/>
        <s v="Malasia"/>
        <s v="Dubai"/>
        <s v="Canadá"/>
        <s v="Japon"/>
        <s v="Irlanda"/>
        <s v="Letonia"/>
        <s v="Indonesia"/>
        <s v="Países Bajos"/>
        <s v="Emiratos Árabes Unidos"/>
        <s v="Bélgica"/>
        <s v="República Dominicana"/>
        <s v="Corea del Sur"/>
        <s v="Marruecos"/>
        <s v="Perú"/>
        <s v="Portugal"/>
        <s v="Pakistán"/>
        <s v="Not found"/>
        <s v="Ginebra"/>
        <s v="Nueva Zelanda"/>
        <s v="Republica Checa"/>
        <s v="No encontrado"/>
        <s v="Finlandia"/>
        <s v="Sudafrica"/>
        <s v="Malta"/>
        <s v="Croacia"/>
        <s v="Curazao"/>
        <s v="Panamá"/>
        <s v="Bangladesh"/>
        <s v="Turquía"/>
        <s v="Filipinas"/>
        <s v="find"/>
        <s v="Tailandia"/>
        <s v="Arabia"/>
        <s v="`"/>
      </sharedItems>
    </cacheField>
    <cacheField name="industria" numFmtId="49">
      <sharedItems containsBlank="1">
        <s v="Software Factory / Staffing"/>
        <s v="FMCG / Consumo masivo"/>
        <s v="Health"/>
        <s v="Travel and Tourism"/>
        <s v="Education &amp; Edtech"/>
        <s v="Media &amp; Communication"/>
        <s v="Data &amp; Analytics"/>
        <s v="Law/Legal Services"/>
        <s v="E-commerce"/>
        <s v="Fintech"/>
        <s v="Banking &amp; Financial Servicies"/>
        <s v="Marketing &amp; Advertising"/>
        <s v="Other"/>
        <s v="Management Consulting"/>
        <m/>
        <s v="Cibersecurity"/>
        <s v="Hardware"/>
        <s v="Messaging and Telecommunications"/>
        <s v="SaaS"/>
        <s v="Blockchain, Crypto &amp; NFT"/>
        <s v="Public Center"/>
        <s v="Recruiting"/>
        <s v="Logistics"/>
        <s v="Energy"/>
        <s v="Construction"/>
        <s v="PropTech / Real State"/>
        <s v="Artificil Intelligence"/>
        <s v="Human Resources"/>
        <s v="Automation"/>
        <s v="Mechanical/Industrial Engineering"/>
        <s v="Accounting"/>
        <s v="Movility"/>
        <s v="Insurance"/>
        <s v="Agtech / Agro"/>
        <s v="Gaming"/>
        <s v="Biotechnology"/>
        <s v="Estados Unidos"/>
        <s v="Artificil Intelligence&#10;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" cacheId="0" dataCaption="" rowGrandTotals="0" compact="0" compactData="0">
  <location ref="B1:E2689" firstHeaderRow="0" firstDataRow="3" firstDataCol="0"/>
  <pivotFields>
    <pivotField name="empresa" axis="axisRow" compact="0" numFmtId="49" outline="0" multipleItemSelectionAllowed="1" showAll="0" sortType="ascending" defaultSubtotal="0">
      <items>
        <item x="3645"/>
        <item x="207"/>
        <item x="295"/>
        <item x="2264"/>
        <item x="2943"/>
        <item x="905"/>
        <item x="226"/>
        <item x="2087"/>
        <item x="183"/>
        <item x="1790"/>
        <item x="3509"/>
        <item x="693"/>
        <item x="1576"/>
        <item x="161"/>
        <item x="950"/>
        <item x="3263"/>
        <item x="3105"/>
        <item x="1000"/>
        <item x="1308"/>
        <item x="1498"/>
        <item x="1917"/>
        <item x="3332"/>
        <item x="553"/>
        <item x="659"/>
        <item x="2529"/>
        <item x="2247"/>
        <item x="1012"/>
        <item x="1853"/>
        <item x="669"/>
        <item x="1217"/>
        <item x="3456"/>
        <item x="751"/>
        <item x="2001"/>
        <item x="2928"/>
        <item x="622"/>
        <item x="3240"/>
        <item x="2968"/>
        <item x="1849"/>
        <item x="3352"/>
        <item x="2409"/>
        <item x="1722"/>
        <item x="2424"/>
        <item x="3584"/>
        <item x="3050"/>
        <item x="1845"/>
        <item x="1636"/>
        <item x="723"/>
        <item x="2133"/>
        <item x="2624"/>
        <item x="3428"/>
        <item x="3108"/>
        <item x="966"/>
        <item x="1517"/>
        <item x="3384"/>
        <item x="2312"/>
        <item x="857"/>
        <item x="591"/>
        <item x="53"/>
        <item x="2972"/>
        <item x="916"/>
        <item x="3007"/>
        <item x="2079"/>
        <item x="381"/>
        <item x="1464"/>
        <item x="2168"/>
        <item x="33"/>
        <item x="2124"/>
        <item x="3402"/>
        <item x="1411"/>
        <item x="1304"/>
        <item x="301"/>
        <item x="1101"/>
        <item x="795"/>
        <item x="1473"/>
        <item x="2167"/>
        <item x="1286"/>
        <item x="3041"/>
        <item x="464"/>
        <item sd="0" x="1146"/>
        <item x="1572"/>
        <item x="510"/>
        <item x="2740"/>
        <item x="1540"/>
        <item x="2375"/>
        <item x="211"/>
        <item x="1086"/>
        <item x="1729"/>
        <item x="662"/>
        <item x="1331"/>
        <item x="1113"/>
        <item x="1033"/>
        <item x="2755"/>
        <item x="2589"/>
        <item x="3605"/>
        <item x="3606"/>
        <item x="1561"/>
        <item x="2143"/>
        <item x="3193"/>
        <item x="1871"/>
        <item x="3061"/>
        <item x="379"/>
        <item x="1466"/>
        <item x="845"/>
        <item x="599"/>
        <item x="1967"/>
        <item x="2642"/>
        <item x="978"/>
        <item x="1194"/>
        <item x="1409"/>
        <item x="486"/>
        <item x="42"/>
        <item x="3594"/>
        <item x="695"/>
        <item x="1419"/>
        <item x="1477"/>
        <item x="2237"/>
        <item x="119"/>
        <item x="1645"/>
        <item x="771"/>
        <item x="1693"/>
        <item x="3334"/>
        <item x="1714"/>
        <item x="1928"/>
        <item x="3182"/>
        <item x="918"/>
        <item x="1243"/>
        <item x="2843"/>
        <item x="989"/>
        <item x="2352"/>
        <item x="326"/>
        <item x="3180"/>
        <item x="953"/>
        <item x="1094"/>
        <item x="3373"/>
        <item x="941"/>
        <item x="284"/>
        <item x="2756"/>
        <item x="1514"/>
        <item x="755"/>
        <item x="1941"/>
        <item x="1269"/>
        <item x="1167"/>
        <item x="3474"/>
        <item x="143"/>
        <item x="2917"/>
        <item x="931"/>
        <item x="611"/>
        <item x="2248"/>
        <item x="2565"/>
        <item x="1493"/>
        <item x="1401"/>
        <item x="786"/>
        <item x="648"/>
        <item x="442"/>
        <item x="960"/>
        <item x="2615"/>
        <item x="2635"/>
        <item x="2646"/>
        <item x="3560"/>
        <item x="558"/>
        <item x="1099"/>
        <item x="1726"/>
        <item x="1875"/>
        <item x="2604"/>
        <item x="1390"/>
        <item x="1302"/>
        <item x="1883"/>
        <item x="830"/>
        <item x="1704"/>
        <item x="2345"/>
        <item x="921"/>
        <item x="2520"/>
        <item x="520"/>
        <item x="94"/>
        <item x="3274"/>
        <item x="2300"/>
        <item x="2953"/>
        <item x="3023"/>
        <item x="528"/>
        <item x="1956"/>
        <item x="1153"/>
        <item x="359"/>
        <item x="1700"/>
        <item x="2526"/>
        <item x="2466"/>
        <item x="3257"/>
        <item x="737"/>
        <item x="2002"/>
        <item x="3413"/>
        <item x="561"/>
        <item x="3638"/>
        <item x="3507"/>
        <item x="1129"/>
        <item x="2920"/>
        <item x="2967"/>
        <item x="2476"/>
        <item x="2980"/>
        <item x="1676"/>
        <item x="2798"/>
        <item x="2426"/>
        <item x="2269"/>
        <item x="460"/>
        <item x="2298"/>
        <item x="367"/>
        <item x="842"/>
        <item x="2272"/>
        <item x="3278"/>
        <item x="3040"/>
        <item x="1433"/>
        <item x="2482"/>
        <item x="796"/>
        <item x="1337"/>
        <item x="2428"/>
        <item x="2111"/>
        <item x="1112"/>
        <item x="2011"/>
        <item x="542"/>
        <item x="1425"/>
        <item x="2007"/>
        <item x="3009"/>
        <item x="926"/>
        <item x="948"/>
        <item x="1520"/>
        <item x="318"/>
        <item x="1885"/>
        <item x="694"/>
        <item x="540"/>
        <item x="1501"/>
        <item x="2546"/>
        <item x="1516"/>
        <item x="3008"/>
        <item x="1093"/>
        <item x="2659"/>
        <item x="1105"/>
        <item x="1076"/>
        <item x="3589"/>
        <item x="3536"/>
        <item x="2038"/>
        <item x="2791"/>
        <item x="1156"/>
        <item x="268"/>
        <item x="3612"/>
        <item x="2840"/>
        <item x="2509"/>
        <item x="2416"/>
        <item x="1259"/>
        <item x="2033"/>
        <item x="2594"/>
        <item x="2091"/>
        <item x="1047"/>
        <item x="2736"/>
        <item x="2329"/>
        <item x="2962"/>
        <item x="946"/>
        <item x="3498"/>
        <item x="2994"/>
        <item x="1482"/>
        <item x="1940"/>
        <item x="1709"/>
        <item x="2726"/>
        <item x="1805"/>
        <item x="1412"/>
        <item x="2873"/>
        <item x="219"/>
        <item x="2782"/>
        <item x="639"/>
        <item x="910"/>
        <item x="2745"/>
        <item x="940"/>
        <item x="273"/>
        <item x="1536"/>
        <item x="3047"/>
        <item x="3440"/>
        <item x="1285"/>
        <item x="1541"/>
        <item x="2257"/>
        <item x="1410"/>
        <item x="2881"/>
        <item x="1490"/>
        <item x="3247"/>
        <item x="1579"/>
        <item x="1843"/>
        <item x="1742"/>
        <item x="2684"/>
        <item x="3165"/>
        <item x="3065"/>
        <item x="3137"/>
        <item x="2713"/>
        <item x="1035"/>
        <item x="3541"/>
        <item x="1778"/>
        <item x="1242"/>
        <item x="264"/>
        <item x="836"/>
        <item x="3644"/>
        <item x="1848"/>
        <item x="1191"/>
        <item x="1467"/>
        <item x="1219"/>
        <item x="410"/>
        <item x="699"/>
        <item x="256"/>
        <item x="113"/>
        <item x="2077"/>
        <item x="95"/>
        <item x="2222"/>
        <item x="1103"/>
        <item x="2579"/>
        <item x="1906"/>
        <item x="2270"/>
        <item x="298"/>
        <item x="2219"/>
        <item x="2833"/>
        <item sd="0" x="1381"/>
        <item x="1924"/>
        <item x="1032"/>
        <item x="193"/>
        <item x="3231"/>
        <item x="1670"/>
        <item x="933"/>
        <item x="2105"/>
        <item x="34"/>
        <item x="1619"/>
        <item x="1985"/>
        <item x="2854"/>
        <item x="2631"/>
        <item x="173"/>
        <item x="2016"/>
        <item x="2028"/>
        <item x="2071"/>
        <item x="3546"/>
        <item x="2252"/>
        <item x="1594"/>
        <item x="3042"/>
        <item x="675"/>
        <item x="1193"/>
        <item x="3531"/>
        <item x="150"/>
        <item x="2166"/>
        <item x="393"/>
        <item x="224"/>
        <item x="1450"/>
        <item x="1905"/>
        <item x="1121"/>
        <item x="368"/>
        <item x="1122"/>
        <item x="2858"/>
        <item x="1221"/>
        <item x="200"/>
        <item x="587"/>
        <item x="2721"/>
        <item x="1507"/>
        <item x="1369"/>
        <item x="652"/>
        <item x="2875"/>
        <item x="1126"/>
        <item x="1157"/>
        <item x="1524"/>
        <item x="2500"/>
        <item x="2730"/>
        <item x="610"/>
        <item x="2084"/>
        <item x="498"/>
        <item x="2334"/>
        <item x="2581"/>
        <item x="3512"/>
        <item x="3445"/>
        <item x="952"/>
        <item x="255"/>
        <item x="2602"/>
        <item x="3306"/>
        <item x="485"/>
        <item x="515"/>
        <item x="3622"/>
        <item x="2186"/>
        <item x="1485"/>
        <item x="1233"/>
        <item x="1163"/>
        <item x="3537"/>
        <item x="942"/>
        <item x="2055"/>
        <item x="983"/>
        <item x="3419"/>
        <item x="843"/>
        <item x="1931"/>
        <item x="1074"/>
        <item x="523"/>
        <item x="735"/>
        <item x="939"/>
        <item x="405"/>
        <item x="646"/>
        <item x="2650"/>
        <item x="1631"/>
        <item x="1178"/>
        <item x="1603"/>
        <item x="2368"/>
        <item x="2672"/>
        <item x="3162"/>
        <item x="1566"/>
        <item x="477"/>
        <item x="1544"/>
        <item x="3548"/>
        <item x="3551"/>
        <item x="932"/>
        <item x="3598"/>
        <item x="3476"/>
        <item x="3132"/>
        <item x="880"/>
        <item x="1677"/>
        <item x="2142"/>
        <item x="2951"/>
        <item x="417"/>
        <item x="3056"/>
        <item x="2454"/>
        <item x="2183"/>
        <item x="454"/>
        <item x="2597"/>
        <item x="2680"/>
        <item x="3005"/>
        <item x="3359"/>
        <item x="3487"/>
        <item x="2859"/>
        <item x="991"/>
        <item x="3444"/>
        <item x="1271"/>
        <item x="3335"/>
        <item x="2826"/>
        <item x="2961"/>
        <item x="1558"/>
        <item x="2485"/>
        <item x="176"/>
        <item x="733"/>
        <item x="170"/>
        <item x="1697"/>
        <item x="2608"/>
        <item x="3187"/>
        <item x="2957"/>
        <item x="3566"/>
        <item x="439"/>
        <item x="2571"/>
        <item x="2285"/>
        <item x="568"/>
        <item x="3540"/>
        <item x="1136"/>
        <item x="3144"/>
        <item x="683"/>
        <item x="3338"/>
        <item x="2134"/>
        <item x="1182"/>
        <item x="1522"/>
        <item x="829"/>
        <item x="1702"/>
        <item x="3081"/>
        <item x="2865"/>
        <item x="2762"/>
        <item x="235"/>
        <item x="3355"/>
        <item x="1319"/>
        <item x="2566"/>
        <item x="2463"/>
        <item x="3256"/>
        <item x="2400"/>
        <item x="80"/>
        <item x="2456"/>
        <item x="44"/>
        <item x="1424"/>
        <item x="3543"/>
        <item x="1226"/>
        <item x="527"/>
        <item x="489"/>
        <item x="2081"/>
        <item x="1199"/>
        <item x="641"/>
        <item x="1900"/>
        <item x="1356"/>
        <item x="1660"/>
        <item x="2322"/>
        <item x="1890"/>
        <item x="2714"/>
        <item x="1833"/>
        <item x="2366"/>
        <item x="3399"/>
        <item x="1525"/>
        <item x="2738"/>
        <item x="1202"/>
        <item x="2044"/>
        <item x="2902"/>
        <item x="101"/>
        <item x="575"/>
        <item x="91"/>
        <item x="1754"/>
        <item x="1397"/>
        <item x="1179"/>
        <item x="2165"/>
        <item x="1282"/>
        <item x="1502"/>
        <item x="3057"/>
        <item x="1042"/>
        <item x="362"/>
        <item x="3100"/>
        <item x="328"/>
        <item x="3170"/>
        <item x="2429"/>
        <item x="407"/>
        <item x="3609"/>
        <item x="3197"/>
        <item x="1510"/>
        <item x="3504"/>
        <item x="3299"/>
        <item x="3089"/>
        <item x="2559"/>
        <item x="2614"/>
        <item x="3271"/>
        <item x="1651"/>
        <item x="826"/>
        <item x="761"/>
        <item x="2321"/>
        <item x="3553"/>
        <item x="375"/>
        <item x="632"/>
        <item x="657"/>
        <item x="719"/>
        <item x="2260"/>
        <item x="762"/>
        <item x="2947"/>
        <item x="1829"/>
        <item x="3510"/>
        <item x="2752"/>
        <item x="3473"/>
        <item x="1387"/>
        <item x="2544"/>
        <item x="3358"/>
        <item x="3425"/>
        <item x="2695"/>
        <item x="1590"/>
        <item x="3391"/>
        <item x="1903"/>
        <item x="550"/>
        <item x="254"/>
        <item x="3404"/>
        <item x="3189"/>
        <item x="3639"/>
        <item x="1195"/>
        <item x="3457"/>
        <item x="3340"/>
        <item x="3049"/>
        <item x="869"/>
        <item x="3618"/>
        <item x="3502"/>
        <item x="1218"/>
        <item x="2244"/>
        <item x="2784"/>
        <item x="3388"/>
        <item x="3611"/>
        <item x="750"/>
        <item x="2711"/>
        <item x="2775"/>
        <item x="2245"/>
        <item x="3634"/>
        <item x="753"/>
        <item x="3365"/>
        <item x="1620"/>
        <item x="1824"/>
        <item x="1854"/>
        <item x="2214"/>
        <item x="1946"/>
        <item x="567"/>
        <item x="3511"/>
        <item x="2364"/>
        <item x="35"/>
        <item x="3055"/>
        <item x="3368"/>
        <item x="2918"/>
        <item x="355"/>
        <item x="1744"/>
        <item x="698"/>
        <item x="878"/>
        <item x="3590"/>
        <item x="3409"/>
        <item x="353"/>
        <item x="2837"/>
        <item x="2940"/>
        <item x="3063"/>
        <item x="325"/>
        <item x="2908"/>
        <item x="3253"/>
        <item x="1859"/>
        <item x="316"/>
        <item x="2799"/>
        <item x="822"/>
        <item x="1212"/>
        <item x="110"/>
        <item x="130"/>
        <item x="1562"/>
        <item x="1775"/>
        <item x="1656"/>
        <item x="2766"/>
        <item x="416"/>
        <item x="539"/>
        <item x="2075"/>
        <item x="1689"/>
        <item x="1238"/>
        <item x="2440"/>
        <item x="1131"/>
        <item x="2516"/>
        <item x="2934"/>
        <item x="274"/>
        <item x="2325"/>
        <item x="2108"/>
        <item x="1711"/>
        <item x="2611"/>
        <item x="1772"/>
        <item x="2847"/>
        <item x="664"/>
        <item x="1268"/>
        <item x="2004"/>
        <item x="2625"/>
        <item x="3389"/>
        <item x="1707"/>
        <item x="717"/>
        <item x="437"/>
        <item x="2484"/>
        <item x="2295"/>
        <item x="1209"/>
        <item x="2323"/>
        <item x="2254"/>
        <item x="2019"/>
        <item x="1368"/>
        <item x="548"/>
        <item x="1232"/>
        <item x="106"/>
        <item x="2561"/>
        <item x="1376"/>
        <item x="3250"/>
        <item x="1937"/>
        <item x="3412"/>
        <item x="2113"/>
        <item x="1393"/>
        <item x="1635"/>
        <item x="900"/>
        <item x="848"/>
        <item x="473"/>
        <item x="1207"/>
        <item x="3427"/>
        <item x="2246"/>
        <item x="2125"/>
        <item x="424"/>
        <item x="3151"/>
        <item x="3371"/>
        <item x="3206"/>
        <item x="11"/>
        <item x="3494"/>
        <item x="3120"/>
        <item x="481"/>
        <item x="1914"/>
        <item x="3336"/>
        <item x="2741"/>
        <item x="2376"/>
        <item x="3279"/>
        <item x="1847"/>
        <item x="1713"/>
        <item x="3407"/>
        <item x="3555"/>
        <item x="3185"/>
        <item x="3310"/>
        <item x="3530"/>
        <item x="1784"/>
        <item x="3022"/>
        <item x="1926"/>
        <item x="1468"/>
        <item x="502"/>
        <item x="3019"/>
        <item x="1237"/>
        <item x="1894"/>
        <item x="684"/>
        <item x="2771"/>
        <item x="1812"/>
        <item x="3547"/>
        <item x="2952"/>
        <item x="302"/>
        <item x="2524"/>
        <item x="287"/>
        <item x="1402"/>
        <item x="837"/>
        <item x="2942"/>
        <item x="1318"/>
        <item x="686"/>
        <item x="399"/>
        <item x="3245"/>
        <item x="1436"/>
        <item x="1699"/>
        <item x="2121"/>
        <item x="3528"/>
        <item x="2523"/>
        <item x="1386"/>
        <item x="3154"/>
        <item x="2792"/>
        <item x="2417"/>
        <item x="2293"/>
        <item x="1994"/>
        <item x="3489"/>
        <item x="1867"/>
        <item x="487"/>
        <item x="2396"/>
        <item x="1082"/>
        <item x="2939"/>
        <item x="376"/>
        <item x="387"/>
        <item x="537"/>
        <item x="51"/>
        <item x="3319"/>
        <item x="1015"/>
        <item x="2467"/>
        <item x="2362"/>
        <item x="2674"/>
        <item x="2986"/>
        <item x="1965"/>
        <item x="3163"/>
        <item x="1166"/>
        <item x="149"/>
        <item x="3434"/>
        <item x="1706"/>
        <item x="452"/>
        <item x="2198"/>
        <item x="3574"/>
        <item x="2955"/>
        <item x="1952"/>
        <item x="107"/>
        <item x="3433"/>
        <item x="3104"/>
        <item x="285"/>
        <item x="682"/>
        <item x="3192"/>
        <item x="1922"/>
        <item x="2314"/>
        <item x="2126"/>
        <item x="3111"/>
        <item x="159"/>
        <item x="3431"/>
        <item x="1666"/>
        <item x="3501"/>
        <item x="2935"/>
        <item x="1624"/>
        <item x="2543"/>
        <item x="3401"/>
        <item x="409"/>
        <item x="114"/>
        <item x="2701"/>
        <item x="854"/>
        <item x="2367"/>
        <item x="1601"/>
        <item x="2408"/>
        <item x="892"/>
        <item x="2177"/>
        <item x="2230"/>
        <item x="2832"/>
        <item x="2287"/>
        <item x="321"/>
        <item x="1312"/>
        <item x="2652"/>
        <item x="1881"/>
        <item x="1817"/>
        <item x="3136"/>
        <item x="3479"/>
        <item x="3074"/>
        <item x="2751"/>
        <item x="2560"/>
        <item x="2188"/>
        <item x="2042"/>
        <item x="195"/>
        <item x="1005"/>
        <item x="3166"/>
        <item x="2074"/>
        <item x="3069"/>
        <item x="2115"/>
        <item x="533"/>
        <item x="57"/>
        <item x="3195"/>
        <item x="852"/>
        <item x="445"/>
        <item x="111"/>
        <item x="2703"/>
        <item x="1589"/>
        <item x="1944"/>
        <item x="40"/>
        <item x="1291"/>
        <item x="2158"/>
        <item x="24"/>
        <item x="289"/>
        <item x="618"/>
        <item x="1358"/>
        <item x="2869"/>
        <item x="2049"/>
        <item x="3210"/>
        <item x="2241"/>
        <item x="2735"/>
        <item x="2993"/>
        <item x="2774"/>
        <item x="2150"/>
        <item x="2418"/>
        <item x="2319"/>
        <item x="1826"/>
        <item x="1864"/>
        <item x="1559"/>
        <item x="2229"/>
        <item x="1925"/>
        <item x="3281"/>
        <item x="2978"/>
        <item x="174"/>
        <item x="1960"/>
        <item x="3304"/>
        <item x="1427"/>
        <item x="764"/>
        <item x="2190"/>
        <item x="2834"/>
        <item x="1211"/>
        <item x="823"/>
        <item x="649"/>
        <item x="2970"/>
        <item x="2103"/>
        <item x="3270"/>
        <item x="1078"/>
        <item x="2954"/>
        <item x="872"/>
        <item x="3439"/>
        <item x="738"/>
        <item x="2240"/>
        <item x="1333"/>
        <item x="186"/>
        <item x="1809"/>
        <item x="827"/>
        <item x="278"/>
        <item x="147"/>
        <item x="856"/>
        <item x="2273"/>
        <item x="1932"/>
        <item x="2486"/>
        <item x="1159"/>
        <item x="2815"/>
        <item x="629"/>
        <item x="530"/>
        <item x="319"/>
        <item x="866"/>
        <item x="52"/>
        <item x="281"/>
        <item x="1696"/>
        <item x="877"/>
        <item x="2348"/>
        <item x="459"/>
        <item x="521"/>
        <item x="1800"/>
        <item x="2567"/>
        <item x="2495"/>
        <item x="3333"/>
        <item x="507"/>
        <item x="3600"/>
        <item x="1834"/>
        <item x="792"/>
        <item x="3150"/>
        <item x="1277"/>
        <item x="2586"/>
        <item x="1288"/>
        <item x="1646"/>
        <item x="1782"/>
        <item x="2996"/>
        <item x="715"/>
        <item x="2552"/>
        <item x="3127"/>
        <item x="3030"/>
        <item x="2612"/>
        <item x="3472"/>
        <item x="756"/>
        <item x="3242"/>
        <item x="3062"/>
        <item x="2427"/>
        <item x="2651"/>
        <item x="1311"/>
        <item x="2267"/>
        <item x="2750"/>
        <item x="500"/>
        <item x="2991"/>
        <item x="3356"/>
        <item x="2017"/>
        <item x="996"/>
        <item x="102"/>
        <item x="2731"/>
        <item x="3087"/>
        <item x="1950"/>
        <item x="2461"/>
        <item x="554"/>
        <item x="2131"/>
        <item x="133"/>
        <item x="1004"/>
        <item x="2331"/>
        <item x="937"/>
        <item x="1951"/>
        <item x="3142"/>
        <item x="701"/>
        <item x="2768"/>
        <item x="2810"/>
        <item x="2299"/>
        <item x="1632"/>
        <item x="2407"/>
        <item x="3343"/>
        <item x="3317"/>
        <item x="1614"/>
        <item x="104"/>
        <item x="3418"/>
        <item x="2790"/>
        <item x="908"/>
        <item x="266"/>
        <item x="1028"/>
        <item x="1189"/>
        <item x="3110"/>
        <item x="3286"/>
        <item x="2729"/>
        <item x="1542"/>
        <item x="2097"/>
        <item x="3513"/>
        <item x="2059"/>
        <item x="1170"/>
        <item x="1904"/>
        <item x="2759"/>
        <item x="2507"/>
        <item x="1430"/>
        <item x="2431"/>
        <item x="374"/>
        <item x="1748"/>
        <item x="1479"/>
        <item x="2488"/>
        <item x="1347"/>
        <item x="2724"/>
        <item x="589"/>
        <item x="1224"/>
        <item x="1180"/>
        <item x="2804"/>
        <item x="1274"/>
        <item x="1585"/>
        <item x="1816"/>
        <item x="1819"/>
        <item x="2274"/>
        <item x="2289"/>
        <item x="2008"/>
        <item x="129"/>
        <item x="577"/>
        <item x="3027"/>
        <item x="3113"/>
        <item x="3140"/>
        <item x="1314"/>
        <item x="2715"/>
        <item x="112"/>
        <item x="808"/>
        <item x="3129"/>
        <item x="1850"/>
        <item x="1504"/>
        <item x="26"/>
        <item x="1296"/>
        <item x="2128"/>
        <item x="1280"/>
        <item x="1710"/>
        <item x="2629"/>
        <item x="2551"/>
        <item x="82"/>
        <item x="2227"/>
        <item x="2958"/>
        <item x="1741"/>
        <item x="3586"/>
        <item x="3345"/>
        <item x="3514"/>
        <item x="2827"/>
        <item x="1792"/>
        <item x="234"/>
        <item x="3146"/>
        <item x="1353"/>
        <item x="2410"/>
        <item x="1727"/>
        <item x="2169"/>
        <item x="1350"/>
        <item x="3461"/>
        <item x="3168"/>
        <item x="3467"/>
        <item x="2378"/>
        <item x="135"/>
        <item x="153"/>
        <item x="2434"/>
        <item x="2340"/>
        <item x="131"/>
        <item x="1686"/>
        <item x="1305"/>
        <item x="3464"/>
        <item x="3564"/>
        <item x="1830"/>
        <item x="1521"/>
        <item x="2397"/>
        <item x="134"/>
        <item x="3194"/>
        <item x="3161"/>
        <item x="1293"/>
        <item x="2058"/>
        <item x="1551"/>
        <item x="2349"/>
        <item x="730"/>
        <item x="218"/>
        <item x="650"/>
        <item x="2541"/>
        <item x="2539"/>
        <item x="606"/>
        <item x="2883"/>
        <item x="3176"/>
        <item x="1007"/>
        <item x="1003"/>
        <item x="2606"/>
        <item x="3430"/>
        <item x="874"/>
        <item x="3372"/>
        <item x="76"/>
        <item x="3311"/>
        <item x="3454"/>
        <item x="1519"/>
        <item x="233"/>
        <item x="1787"/>
        <item x="703"/>
        <item x="1564"/>
        <item x="598"/>
        <item x="2432"/>
        <item x="126"/>
        <item x="1380"/>
        <item x="519"/>
        <item x="600"/>
        <item x="3123"/>
        <item x="2795"/>
        <item x="3174"/>
        <item x="696"/>
        <item x="3139"/>
        <item x="3382"/>
        <item x="1746"/>
        <item x="645"/>
        <item x="2453"/>
        <item x="818"/>
        <item x="2554"/>
        <item x="876"/>
        <item x="1752"/>
        <item x="1913"/>
        <item x="128"/>
        <item x="643"/>
        <item x="1633"/>
        <item x="965"/>
        <item x="1008"/>
        <item x="444"/>
        <item x="2221"/>
        <item x="1605"/>
        <item x="3282"/>
        <item x="563"/>
        <item x="578"/>
        <item x="2095"/>
        <item x="3484"/>
        <item x="3400"/>
        <item x="2634"/>
        <item x="784"/>
        <item x="2842"/>
        <item x="3581"/>
        <item x="3147"/>
        <item x="945"/>
        <item x="1385"/>
        <item x="2073"/>
        <item x="2003"/>
        <item x="3435"/>
        <item x="1813"/>
        <item x="2304"/>
        <item x="1495"/>
        <item x="2187"/>
        <item x="3615"/>
        <item x="415"/>
        <item x="1684"/>
        <item x="122"/>
        <item x="1014"/>
        <item x="3432"/>
        <item x="3016"/>
        <item x="2498"/>
        <item x="1563"/>
        <item x="3229"/>
        <item x="3246"/>
        <item x="2813"/>
        <item x="2966"/>
        <item x="2451"/>
        <item x="1177"/>
        <item x="752"/>
        <item x="2513"/>
        <item x="338"/>
        <item x="1983"/>
        <item x="1392"/>
        <item x="436"/>
        <item x="501"/>
        <item x="2514"/>
        <item x="1731"/>
        <item x="1753"/>
        <item x="2836"/>
        <item x="2636"/>
        <item x="1718"/>
        <item x="223"/>
        <item x="2439"/>
        <item x="2144"/>
        <item x="296"/>
        <item x="2829"/>
        <item x="31"/>
        <item x="964"/>
        <item x="1982"/>
        <item x="3628"/>
        <item x="741"/>
        <item x="401"/>
        <item x="3423"/>
        <item x="3303"/>
        <item x="1275"/>
        <item x="2915"/>
        <item x="1399"/>
        <item x="3455"/>
        <item x="2778"/>
        <item x="2692"/>
        <item x="1953"/>
        <item x="346"/>
        <item x="17"/>
        <item x="43"/>
        <item x="1100"/>
        <item x="312"/>
        <item x="482"/>
        <item x="2977"/>
        <item x="1974"/>
        <item x="1442"/>
        <item x="3002"/>
        <item x="3044"/>
        <item x="2668"/>
        <item x="868"/>
        <item x="1087"/>
        <item x="994"/>
        <item x="3478"/>
        <item x="2933"/>
        <item x="2866"/>
        <item x="216"/>
        <item x="201"/>
        <item x="2350"/>
        <item x="2036"/>
        <item x="2025"/>
        <item x="2127"/>
        <item x="3329"/>
        <item x="1172"/>
        <item x="1227"/>
        <item x="1827"/>
        <item x="1151"/>
        <item x="2160"/>
        <item x="1736"/>
        <item x="118"/>
        <item x="2180"/>
        <item x="3496"/>
        <item x="336"/>
        <item x="1147"/>
        <item x="2803"/>
        <item x="586"/>
        <item x="1898"/>
        <item x="1930"/>
        <item x="2732"/>
        <item x="2781"/>
        <item x="2662"/>
        <item x="1962"/>
        <item x="1290"/>
        <item x="3024"/>
        <item x="2997"/>
        <item x="2719"/>
        <item x="1610"/>
        <item x="2228"/>
        <item x="2207"/>
        <item x="1496"/>
        <item x="1617"/>
        <item x="2394"/>
        <item x="742"/>
        <item x="2106"/>
        <item x="2153"/>
        <item x="3209"/>
        <item x="2861"/>
        <item x="3213"/>
        <item x="1060"/>
        <item x="1634"/>
        <item x="2014"/>
        <item x="89"/>
        <item x="277"/>
        <item x="440"/>
        <item x="1750"/>
        <item x="1420"/>
        <item x="427"/>
        <item x="1964"/>
        <item x="2404"/>
        <item x="3631"/>
        <item x="3592"/>
        <item x="1117"/>
        <item x="1204"/>
        <item x="1538"/>
        <item x="1588"/>
        <item x="731"/>
        <item x="2483"/>
        <item x="1492"/>
        <item x="2773"/>
        <item x="3617"/>
        <item x="1491"/>
        <item x="3034"/>
        <item x="1661"/>
        <item x="1254"/>
        <item x="1252"/>
        <item x="1001"/>
        <item x="2749"/>
        <item x="2535"/>
        <item x="1842"/>
        <item x="220"/>
        <item x="2534"/>
        <item x="2576"/>
        <item x="672"/>
        <item x="667"/>
        <item x="3398"/>
        <item x="1149"/>
        <item x="1270"/>
        <item x="1902"/>
        <item x="1085"/>
        <item x="2969"/>
        <item x="2814"/>
        <item x="108"/>
        <item x="1241"/>
        <item x="2170"/>
        <item x="392"/>
        <item x="608"/>
        <item x="780"/>
        <item x="824"/>
        <item x="1573"/>
        <item x="3072"/>
        <item x="1336"/>
        <item x="46"/>
        <item x="3315"/>
        <item x="2963"/>
        <item x="1777"/>
        <item x="1438"/>
        <item x="2438"/>
        <item x="265"/>
        <item x="123"/>
        <item x="2691"/>
        <item x="3216"/>
        <item x="1641"/>
        <item x="1027"/>
        <item x="3196"/>
        <item x="261"/>
        <item x="3390"/>
        <item x="2231"/>
        <item x="2288"/>
        <item x="303"/>
        <item x="2020"/>
        <item x="1104"/>
        <item x="1565"/>
        <item x="1880"/>
        <item x="681"/>
        <item x="3542"/>
        <item x="1865"/>
        <item x="1135"/>
        <item x="1329"/>
        <item x="1703"/>
        <item x="705"/>
        <item x="1323"/>
        <item x="3353"/>
        <item x="488"/>
        <item x="3053"/>
        <item x="3305"/>
        <item x="182"/>
        <item x="1373"/>
        <item x="588"/>
        <item x="1020"/>
        <item x="898"/>
        <item x="1018"/>
        <item x="333"/>
        <item x="1739"/>
        <item x="92"/>
        <item x="3485"/>
        <item x="1545"/>
        <item x="2447"/>
        <item x="457"/>
        <item x="1249"/>
        <item x="927"/>
        <item x="503"/>
        <item x="403"/>
        <item x="3091"/>
        <item x="2974"/>
        <item x="1604"/>
        <item x="132"/>
        <item x="690"/>
        <item x="2712"/>
        <item x="1414"/>
        <item x="821"/>
        <item x="453"/>
        <item x="1808"/>
        <item x="936"/>
        <item x="532"/>
        <item x="172"/>
        <item x="2351"/>
        <item x="1090"/>
        <item x="864"/>
        <item x="2851"/>
        <item x="1165"/>
        <item x="2371"/>
        <item x="616"/>
        <item x="2660"/>
        <item x="1655"/>
        <item x="2921"/>
        <item x="2600"/>
        <item x="913"/>
        <item x="3017"/>
        <item x="3300"/>
        <item x="2315"/>
        <item x="66"/>
        <item x="3125"/>
        <item x="188"/>
        <item x="429"/>
        <item x="2035"/>
        <item x="3101"/>
        <item x="1398"/>
        <item x="711"/>
        <item x="3275"/>
        <item x="2707"/>
        <item x="597"/>
        <item x="2663"/>
        <item x="2199"/>
        <item x="2148"/>
        <item x="1389"/>
        <item x="1678"/>
        <item x="1210"/>
        <item x="165"/>
        <item x="1942"/>
        <item x="2945"/>
        <item x="313"/>
        <item x="1377"/>
        <item x="2023"/>
        <item x="1945"/>
        <item x="1262"/>
        <item x="1017"/>
        <item x="3190"/>
        <item x="1899"/>
        <item x="604"/>
        <item x="1747"/>
        <item x="2769"/>
        <item x="1162"/>
        <item x="2722"/>
        <item x="3235"/>
        <item x="2764"/>
        <item x="2868"/>
        <item x="3337"/>
        <item x="1570"/>
        <item x="3149"/>
        <item x="3252"/>
        <item x="3515"/>
        <item x="2413"/>
        <item x="139"/>
        <item x="206"/>
        <item x="3179"/>
        <item x="3557"/>
        <item x="2877"/>
        <item x="447"/>
        <item x="413"/>
        <item x="1758"/>
        <item x="2090"/>
        <item x="895"/>
        <item x="1785"/>
        <item x="2220"/>
        <item x="1176"/>
        <item x="1188"/>
        <item x="1869"/>
        <item x="1009"/>
        <item x="2649"/>
        <item x="3458"/>
        <item x="2208"/>
        <item x="158"/>
        <item x="402"/>
        <item x="3599"/>
        <item x="2557"/>
        <item x="124"/>
        <item x="2872"/>
        <item x="1999"/>
        <item x="724"/>
        <item x="1258"/>
        <item x="1068"/>
        <item x="3535"/>
        <item x="1052"/>
        <item x="2388"/>
        <item x="2696"/>
        <item x="584"/>
        <item x="1391"/>
        <item x="1861"/>
        <item x="3364"/>
        <item x="887"/>
        <item x="1088"/>
        <item x="774"/>
        <item x="468"/>
        <item x="2282"/>
        <item x="1858"/>
        <item x="1767"/>
        <item x="2381"/>
        <item x="1016"/>
        <item x="242"/>
        <item x="1075"/>
        <item x="2613"/>
        <item x="3386"/>
        <item x="2880"/>
        <item x="2286"/>
        <item x="1723"/>
        <item x="1494"/>
        <item x="2457"/>
        <item x="861"/>
        <item x="141"/>
        <item x="566"/>
        <item x="2637"/>
        <item x="2855"/>
        <item x="2630"/>
        <item x="16"/>
        <item x="209"/>
        <item x="479"/>
        <item x="596"/>
        <item x="1580"/>
        <item x="1955"/>
        <item x="2706"/>
        <item x="2027"/>
        <item x="1998"/>
        <item x="2377"/>
        <item x="1796"/>
        <item x="3585"/>
        <item x="433"/>
        <item x="2210"/>
        <item x="467"/>
        <item x="2536"/>
        <item x="2907"/>
        <item x="1375"/>
        <item x="847"/>
        <item x="39"/>
        <item x="2481"/>
        <item x="2901"/>
        <item x="2442"/>
        <item x="3533"/>
        <item x="2189"/>
        <item x="2205"/>
        <item x="2444"/>
        <item x="820"/>
        <item x="543"/>
        <item x="2532"/>
        <item x="3254"/>
        <item x="2983"/>
        <item x="2110"/>
        <item x="3217"/>
        <item x="2405"/>
        <item x="1586"/>
        <item x="2627"/>
        <item x="3348"/>
        <item x="2987"/>
        <item x="2558"/>
        <item x="2292"/>
        <item x="2387"/>
        <item x="2213"/>
        <item x="804"/>
        <item x="1762"/>
        <item x="1289"/>
        <item x="2206"/>
        <item x="1569"/>
        <item x="1472"/>
        <item x="1820"/>
        <item x="2338"/>
        <item x="1325"/>
        <item x="2235"/>
        <item x="3010"/>
        <item x="2048"/>
        <item x="812"/>
        <item x="1807"/>
        <item x="862"/>
        <item x="2679"/>
        <item x="1879"/>
        <item x="3616"/>
        <item x="522"/>
        <item x="2310"/>
        <item x="2147"/>
        <item x="247"/>
        <item x="572"/>
        <item x="1096"/>
        <item x="288"/>
        <item x="1911"/>
        <item x="1837"/>
        <item x="3351"/>
        <item x="692"/>
        <item x="840"/>
        <item x="2469"/>
        <item x="2694"/>
        <item x="2975"/>
        <item x="2316"/>
        <item x="651"/>
        <item x="1609"/>
        <item x="2616"/>
        <item x="2819"/>
        <item x="2478"/>
        <item x="3619"/>
        <item x="2734"/>
        <item x="1108"/>
        <item x="145"/>
        <item x="2224"/>
        <item x="2402"/>
        <item x="465"/>
        <item x="938"/>
        <item x="1365"/>
        <item x="3532"/>
        <item x="2533"/>
        <item x="3038"/>
        <item x="3031"/>
        <item x="2061"/>
        <item x="1921"/>
        <item x="3620"/>
        <item x="3376"/>
        <item x="395"/>
        <item x="2098"/>
        <item x="2089"/>
        <item x="1695"/>
        <item x="2030"/>
        <item x="1554"/>
        <item x="1128"/>
        <item x="906"/>
        <item x="2812"/>
        <item x="3633"/>
        <item x="2743"/>
        <item x="378"/>
        <item x="624"/>
        <item x="3295"/>
        <item x="974"/>
        <item x="1287"/>
        <item x="2279"/>
        <item x="1134"/>
        <item x="3155"/>
        <item x="1779"/>
        <item x="3416"/>
        <item x="3577"/>
        <item x="2191"/>
        <item x="2013"/>
        <item x="1192"/>
        <item x="2063"/>
        <item x="4"/>
        <item x="3291"/>
        <item x="3324"/>
        <item x="1876"/>
        <item x="476"/>
        <item x="1186"/>
        <item x="2841"/>
        <item x="6"/>
        <item x="813"/>
        <item x="3477"/>
        <item x="785"/>
        <item x="2831"/>
        <item x="431"/>
        <item x="536"/>
        <item x="2174"/>
        <item x="1578"/>
        <item x="2092"/>
        <item x="72"/>
        <item x="1725"/>
        <item x="1044"/>
        <item x="529"/>
        <item x="3068"/>
        <item x="2657"/>
        <item x="2360"/>
        <item x="2896"/>
        <item x="783"/>
        <item x="1064"/>
        <item x="3289"/>
        <item x="121"/>
        <item x="576"/>
        <item x="497"/>
        <item x="3367"/>
        <item x="2320"/>
        <item x="2879"/>
        <item x="3593"/>
        <item x="2135"/>
        <item x="2284"/>
        <item x="3212"/>
        <item x="1036"/>
        <item x="2811"/>
        <item x="3643"/>
        <item x="2761"/>
        <item x="2015"/>
        <item x="2540"/>
        <item x="2435"/>
        <item x="2742"/>
        <item x="1874"/>
        <item x="631"/>
        <item x="2096"/>
        <item x="3171"/>
        <item x="2573"/>
        <item x="569"/>
        <item x="708"/>
        <item x="1225"/>
        <item x="1279"/>
        <item x="803"/>
        <item x="434"/>
        <item x="418"/>
        <item x="2473"/>
        <item x="3204"/>
        <item x="2154"/>
        <item x="3608"/>
        <item x="1662"/>
        <item x="2000"/>
        <item x="391"/>
        <item x="67"/>
        <item x="1266"/>
        <item x="29"/>
        <item x="461"/>
        <item x="1966"/>
        <item x="2401"/>
        <item x="2519"/>
        <item x="2445"/>
        <item x="2236"/>
        <item x="2123"/>
        <item x="1793"/>
        <item x="1245"/>
        <item x="1240"/>
        <item x="3588"/>
        <item x="2787"/>
        <item x="2107"/>
        <item x="1992"/>
        <item x="2390"/>
        <item x="315"/>
        <item x="2094"/>
        <item x="1267"/>
        <item x="1751"/>
        <item x="680"/>
        <item x="2192"/>
        <item x="776"/>
        <item x="2012"/>
        <item x="1529"/>
        <item x="225"/>
        <item x="640"/>
        <item x="1511"/>
        <item x="2941"/>
        <item x="551"/>
        <item x="3028"/>
        <item x="3258"/>
        <item x="673"/>
        <item x="3079"/>
        <item x="595"/>
        <item x="1107"/>
        <item x="3093"/>
        <item x="1330"/>
        <item x="1034"/>
        <item x="3116"/>
        <item x="3082"/>
        <item x="1050"/>
        <item x="163"/>
        <item x="0"/>
        <item x="560"/>
        <item x="385"/>
        <item x="3297"/>
        <item x="3517"/>
        <item x="1328"/>
        <item x="1503"/>
        <item x="2903"/>
        <item x="366"/>
        <item x="2333"/>
        <item x="2335"/>
        <item x="3495"/>
        <item x="142"/>
        <item x="3578"/>
        <item x="1141"/>
        <item x="192"/>
        <item x="2893"/>
        <item x="2266"/>
        <item x="3613"/>
        <item x="1480"/>
        <item x="1388"/>
        <item x="1313"/>
        <item x="505"/>
        <item x="565"/>
        <item x="48"/>
        <item x="1791"/>
        <item x="1201"/>
        <item x="1123"/>
        <item x="2710"/>
        <item x="1140"/>
        <item x="3320"/>
        <item x="2104"/>
        <item x="1712"/>
        <item x="3519"/>
        <item x="1327"/>
        <item x="3265"/>
        <item x="3405"/>
        <item x="1822"/>
        <item x="1160"/>
        <item x="181"/>
        <item x="986"/>
        <item x="1509"/>
        <item x="1892"/>
        <item x="615"/>
        <item x="3567"/>
        <item x="3450"/>
        <item x="1351"/>
        <item x="3215"/>
        <item x="2913"/>
        <item x="2102"/>
        <item x="1814"/>
        <item x="3085"/>
        <item x="166"/>
        <item x="2844"/>
        <item x="3241"/>
        <item x="1300"/>
        <item x="60"/>
        <item x="2665"/>
        <item x="2733"/>
        <item x="1838"/>
        <item x="2537"/>
        <item x="702"/>
        <item x="1884"/>
        <item x="3341"/>
        <item x="2337"/>
        <item x="1798"/>
        <item x="3601"/>
        <item x="342"/>
        <item x="2462"/>
        <item x="1682"/>
        <item x="980"/>
        <item x="3417"/>
        <item x="2139"/>
        <item x="621"/>
        <item x="1623"/>
        <item x="246"/>
        <item x="3493"/>
        <item x="2577"/>
        <item x="3029"/>
        <item x="2925"/>
        <item x="979"/>
        <item x="2794"/>
        <item x="2218"/>
        <item x="2078"/>
        <item x="758"/>
        <item x="1815"/>
        <item x="2664"/>
        <item x="571"/>
        <item x="2718"/>
        <item x="99"/>
        <item x="1877"/>
        <item x="814"/>
        <item x="2297"/>
        <item x="2209"/>
        <item x="229"/>
        <item x="911"/>
        <item x="2988"/>
        <item x="2242"/>
        <item x="1344"/>
        <item x="1912"/>
        <item x="397"/>
        <item x="660"/>
        <item x="390"/>
        <item x="2673"/>
        <item x="2944"/>
        <item x="2777"/>
        <item x="1276"/>
        <item x="425"/>
        <item x="240"/>
        <item x="2099"/>
        <item x="3524"/>
        <item x="1106"/>
        <item x="1756"/>
        <item x="793"/>
        <item x="3637"/>
        <item x="2005"/>
        <item x="832"/>
        <item x="1423"/>
        <item x="1155"/>
        <item x="1307"/>
        <item x="2223"/>
        <item x="2436"/>
        <item x="2906"/>
        <item x="3491"/>
        <item x="2066"/>
        <item x="310"/>
        <item x="2448"/>
        <item x="3360"/>
        <item x="3"/>
        <item x="1839"/>
        <item x="3092"/>
        <item x="746"/>
        <item x="1489"/>
        <item x="943"/>
        <item x="1818"/>
        <item x="833"/>
        <item x="2294"/>
        <item x="802"/>
        <item x="1143"/>
        <item x="3160"/>
        <item x="12"/>
        <item x="1216"/>
        <item x="2922"/>
        <item x="3090"/>
        <item x="3070"/>
        <item x="1394"/>
        <item x="244"/>
        <item x="2393"/>
        <item x="714"/>
        <item x="1738"/>
        <item x="1599"/>
        <item x="3500"/>
        <item x="718"/>
        <item x="3032"/>
        <item x="286"/>
        <item x="1970"/>
        <item x="1515"/>
        <item x="2064"/>
        <item x="1023"/>
        <item x="2527"/>
        <item x="2889"/>
        <item x="1650"/>
        <item x="2452"/>
        <item x="2437"/>
        <item x="2568"/>
        <item x="1915"/>
        <item x="408"/>
        <item x="1506"/>
        <item x="3357"/>
        <item x="2990"/>
        <item x="2946"/>
        <item x="1415"/>
        <item x="3481"/>
        <item x="1978"/>
        <item x="339"/>
        <item x="1776"/>
        <item x="788"/>
        <item x="3350"/>
        <item x="3328"/>
        <item x="2290"/>
        <item x="3314"/>
        <item x="726"/>
        <item x="3141"/>
        <item x="1969"/>
        <item x="2324"/>
        <item x="1568"/>
        <item x="3012"/>
        <item x="380"/>
        <item x="2793"/>
        <item x="949"/>
        <item x="1197"/>
        <item x="1500"/>
        <item x="1909"/>
        <item x="10"/>
        <item x="1475"/>
        <item x="1743"/>
        <item x="3562"/>
        <item x="2995"/>
        <item x="2415"/>
        <item x="290"/>
        <item x="1852"/>
        <item x="2641"/>
        <item x="2982"/>
        <item x="2140"/>
        <item x="1297"/>
        <item x="2152"/>
        <item x="2271"/>
        <item x="3550"/>
        <item x="3361"/>
        <item x="899"/>
        <item x="3539"/>
        <item x="3410"/>
        <item x="2702"/>
        <item x="2874"/>
        <item x="3294"/>
        <item x="455"/>
        <item x="152"/>
        <item x="361"/>
        <item x="2425"/>
        <item x="364"/>
        <item x="3228"/>
        <item x="870"/>
        <item x="963"/>
        <item x="2976"/>
        <item x="671"/>
        <item x="3298"/>
        <item x="2936"/>
        <item x="3591"/>
        <item x="3363"/>
        <item x="1081"/>
        <item x="3627"/>
        <item x="581"/>
        <item x="1483"/>
        <item x="849"/>
        <item x="217"/>
        <item x="2283"/>
        <item x="208"/>
        <item x="947"/>
        <item x="1821"/>
        <item x="1471"/>
        <item x="2789"/>
        <item x="306"/>
        <item x="1583"/>
        <item x="1597"/>
        <item x="3565"/>
        <item x="194"/>
        <item x="1019"/>
        <item x="907"/>
        <item x="2464"/>
        <item x="1348"/>
        <item x="3164"/>
        <item x="2984"/>
        <item x="491"/>
        <item x="799"/>
        <item x="2318"/>
        <item x="1403"/>
        <item x="350"/>
        <item x="1345"/>
        <item x="2512"/>
        <item x="1251"/>
        <item x="1823"/>
        <item x="853"/>
        <item x="1459"/>
        <item x="171"/>
        <item x="1694"/>
        <item x="1037"/>
        <item x="1625"/>
        <item x="745"/>
        <item x="61"/>
        <item x="2307"/>
        <item x="1097"/>
        <item x="2251"/>
        <item x="3442"/>
        <item x="2656"/>
        <item x="1456"/>
        <item x="294"/>
        <item x="1555"/>
        <item x="204"/>
        <item x="2658"/>
        <item x="1759"/>
        <item x="93"/>
        <item x="2548"/>
        <item x="1602"/>
        <item x="483"/>
        <item x="394"/>
        <item x="544"/>
        <item x="1658"/>
        <item x="2737"/>
        <item x="1040"/>
        <item x="97"/>
        <item x="2785"/>
        <item x="2511"/>
        <item x="1071"/>
        <item x="1102"/>
        <item x="2050"/>
        <item x="1187"/>
        <item x="70"/>
        <item x="38"/>
        <item x="1138"/>
        <item x="1320"/>
        <item x="1367"/>
        <item x="707"/>
        <item x="3378"/>
        <item x="3602"/>
        <item x="2846"/>
        <item x="3563"/>
        <item x="3525"/>
        <item x="382"/>
        <item x="2669"/>
        <item x="1745"/>
        <item x="1030"/>
        <item x="1372"/>
        <item x="2029"/>
        <item x="3381"/>
        <item x="2471"/>
        <item x="1582"/>
        <item x="601"/>
        <item x="1996"/>
        <item x="3626"/>
        <item x="2389"/>
        <item x="511"/>
        <item x="1462"/>
        <item x="3114"/>
        <item x="677"/>
        <item x="369"/>
        <item x="614"/>
        <item x="140"/>
        <item x="3369"/>
        <item x="504"/>
        <item x="1665"/>
        <item x="1571"/>
        <item x="688"/>
        <item x="1961"/>
        <item x="3264"/>
        <item x="3318"/>
        <item x="1637"/>
        <item x="1907"/>
        <item x="2547"/>
        <item x="3088"/>
        <item x="3064"/>
        <item x="2238"/>
        <item x="1150"/>
        <item x="1669"/>
        <item x="1334"/>
        <item x="210"/>
        <item x="831"/>
        <item x="435"/>
        <item x="882"/>
        <item x="2888"/>
        <item x="62"/>
        <item x="2708"/>
        <item x="1046"/>
        <item x="272"/>
        <item x="2093"/>
        <item x="2347"/>
        <item x="2770"/>
        <item x="1145"/>
        <item x="470"/>
        <item x="1066"/>
        <item x="2878"/>
        <item x="2699"/>
        <item x="1301"/>
        <item x="2114"/>
        <item x="2344"/>
        <item x="2816"/>
        <item x="1250"/>
        <item x="2930"/>
        <item x="2753"/>
        <item x="1513"/>
        <item x="928"/>
        <item x="1332"/>
        <item x="685"/>
        <item x="3558"/>
        <item x="973"/>
        <item x="2587"/>
        <item x="3006"/>
        <item x="2161"/>
        <item x="3603"/>
        <item x="2232"/>
        <item x="30"/>
        <item x="851"/>
        <item x="674"/>
        <item x="1505"/>
        <item x="1443"/>
        <item x="1316"/>
        <item x="1158"/>
        <item x="778"/>
        <item x="1766"/>
        <item x="1687"/>
        <item x="2086"/>
        <item x="103"/>
        <item x="484"/>
        <item x="3327"/>
        <item x="248"/>
        <item x="3067"/>
        <item x="3607"/>
        <item x="1993"/>
        <item x="96"/>
        <item x="2043"/>
        <item x="2667"/>
        <item x="3459"/>
        <item x="722"/>
        <item x="1054"/>
        <item x="257"/>
        <item x="1673"/>
        <item x="623"/>
        <item x="1938"/>
        <item x="3385"/>
        <item x="3223"/>
        <item x="271"/>
        <item x="3126"/>
        <item x="3526"/>
        <item x="2109"/>
        <item x="3568"/>
        <item x="1164"/>
        <item x="2403"/>
        <item x="2914"/>
        <item x="1972"/>
        <item x="3251"/>
        <item x="2423"/>
        <item x="1774"/>
        <item x="3234"/>
        <item x="3255"/>
        <item x="2034"/>
        <item x="1963"/>
        <item x="3323"/>
        <item x="729"/>
        <item x="1804"/>
        <item x="3112"/>
        <item x="1657"/>
        <item x="1891"/>
        <item x="2216"/>
        <item x="2196"/>
        <item x="3208"/>
        <item x="879"/>
        <item x="1457"/>
        <item x="1043"/>
        <item x="901"/>
        <item x="909"/>
        <item x="1029"/>
        <item x="2593"/>
        <item x="3219"/>
        <item x="305"/>
        <item x="990"/>
        <item x="1643"/>
        <item x="471"/>
        <item x="420"/>
        <item x="3048"/>
        <item x="1724"/>
        <item x="63"/>
        <item x="2112"/>
        <item x="2032"/>
        <item x="2705"/>
        <item x="3420"/>
        <item x="2919"/>
        <item x="1825"/>
        <item x="250"/>
        <item x="1437"/>
        <item x="2863"/>
        <item x="1080"/>
        <item x="2468"/>
        <item x="972"/>
        <item x="3203"/>
        <item x="2862"/>
        <item x="2601"/>
        <item x="3576"/>
        <item x="2146"/>
        <item x="2200"/>
        <item x="1061"/>
        <item x="2937"/>
        <item x="148"/>
        <item x="917"/>
        <item x="1278"/>
        <item x="419"/>
        <item x="2421"/>
        <item x="202"/>
        <item x="767"/>
        <item x="55"/>
        <item x="3156"/>
        <item x="3597"/>
        <item x="3529"/>
        <item x="3354"/>
        <item x="2382"/>
        <item x="2341"/>
        <item x="347"/>
        <item x="2633"/>
        <item x="740"/>
        <item x="1408"/>
        <item x="1256"/>
        <item x="1239"/>
        <item x="2575"/>
        <item x="2912"/>
        <item x="2363"/>
        <item x="968"/>
        <item x="1026"/>
        <item x="373"/>
        <item x="178"/>
        <item x="2821"/>
        <item x="3446"/>
        <item x="2563"/>
        <item x="2808"/>
        <item x="743"/>
        <item x="87"/>
        <item x="993"/>
        <item x="1497"/>
        <item x="1760"/>
        <item x="2317"/>
        <item x="766"/>
        <item x="1901"/>
        <item x="1981"/>
        <item x="944"/>
        <item x="3015"/>
        <item x="3462"/>
        <item x="1213"/>
        <item x="2910"/>
        <item x="883"/>
        <item x="1273"/>
        <item x="1379"/>
        <item x="1196"/>
        <item x="1757"/>
        <item x="2181"/>
        <item x="1878"/>
        <item x="725"/>
        <item x="2497"/>
        <item x="1549"/>
        <item x="2305"/>
        <item x="982"/>
        <item x="1672"/>
        <item x="2250"/>
        <item x="2132"/>
        <item x="175"/>
        <item x="971"/>
        <item x="1803"/>
        <item x="3326"/>
        <item x="3075"/>
        <item x="2886"/>
        <item x="1152"/>
        <item x="185"/>
        <item x="282"/>
        <item x="889"/>
        <item x="1235"/>
        <item x="2965"/>
        <item x="81"/>
        <item x="169"/>
        <item x="138"/>
        <item x="276"/>
        <item x="1366"/>
        <item x="3377"/>
        <item x="2433"/>
        <item x="3098"/>
        <item x="2088"/>
        <item x="2666"/>
        <item x="2823"/>
        <item x="2145"/>
        <item x="1272"/>
        <item x="2399"/>
        <item x="2202"/>
        <item x="3396"/>
        <item x="237"/>
        <item x="2598"/>
        <item x="1688"/>
        <item x="2356"/>
        <item x="1954"/>
        <item x="3587"/>
        <item x="3290"/>
        <item x="2621"/>
        <item x="538"/>
        <item x="620"/>
        <item x="2504"/>
        <item x="1231"/>
        <item x="1002"/>
        <item x="1574"/>
        <item x="970"/>
        <item x="2838"/>
        <item x="1616"/>
        <item x="58"/>
        <item x="2072"/>
        <item x="3109"/>
        <item x="2053"/>
        <item x="739"/>
        <item x="644"/>
        <item x="2725"/>
        <item x="1771"/>
        <item x="2687"/>
        <item x="451"/>
        <item x="1984"/>
        <item x="3380"/>
        <item x="1413"/>
        <item x="1806"/>
        <item x="1039"/>
        <item x="3342"/>
        <item x="579"/>
        <item x="3429"/>
        <item x="1283"/>
        <item x="582"/>
        <item x="2489"/>
        <item x="2562"/>
        <item x="2480"/>
        <item x="1863"/>
        <item x="2639"/>
        <item x="466"/>
        <item x="2217"/>
        <item x="617"/>
        <item x="1451"/>
        <item x="2949"/>
        <item x="88"/>
        <item x="2871"/>
        <item x="344"/>
        <item x="3119"/>
        <item x="3436"/>
        <item x="3559"/>
        <item x="1868"/>
        <item x="3218"/>
        <item x="1663"/>
        <item x="798"/>
        <item x="1441"/>
        <item x="430"/>
        <item x="855"/>
        <item x="1664"/>
        <item x="2620"/>
        <item x="3099"/>
        <item x="1111"/>
        <item x="54"/>
        <item x="1927"/>
        <item x="1083"/>
        <item x="1526"/>
        <item x="2758"/>
        <item x="902"/>
        <item x="2459"/>
        <item x="3349"/>
        <item x="19"/>
        <item x="929"/>
        <item x="2052"/>
        <item x="630"/>
        <item x="2391"/>
        <item x="262"/>
        <item x="728"/>
        <item x="2359"/>
        <item x="177"/>
        <item x="267"/>
        <item x="1449"/>
        <item x="1215"/>
        <item x="2211"/>
        <item x="1127"/>
        <item x="912"/>
        <item x="3177"/>
        <item x="2727"/>
        <item x="1732"/>
        <item x="1264"/>
        <item x="212"/>
        <item x="1681"/>
        <item x="371"/>
        <item x="414"/>
        <item x="2948"/>
        <item x="3544"/>
        <item x="919"/>
        <item x="2904"/>
        <item x="3499"/>
        <item x="2239"/>
        <item x="2746"/>
        <item x="1338"/>
        <item x="1856"/>
        <item x="136"/>
        <item x="687"/>
        <item x="1445"/>
        <item x="1091"/>
        <item x="2632"/>
        <item x="323"/>
        <item x="2450"/>
        <item x="2100"/>
        <item x="2716"/>
        <item x="549"/>
        <item x="1084"/>
        <item x="283"/>
        <item x="810"/>
        <item x="984"/>
        <item x="1095"/>
        <item x="2277"/>
        <item x="1613"/>
        <item x="2021"/>
        <item x="1310"/>
        <item x="1248"/>
        <item x="1057"/>
        <item x="337"/>
        <item x="3636"/>
        <item x="3403"/>
        <item x="3268"/>
        <item x="1995"/>
        <item x="1292"/>
        <item x="449"/>
        <item x="1537"/>
        <item x="1592"/>
        <item x="1596"/>
        <item x="1359"/>
        <item x="976"/>
        <item x="389"/>
        <item x="2179"/>
        <item x="2225"/>
        <item x="260"/>
        <item x="525"/>
        <item x="689"/>
        <item x="1400"/>
        <item x="513"/>
        <item x="1321"/>
        <item x="422"/>
        <item x="492"/>
        <item x="3225"/>
        <item x="1355"/>
        <item x="545"/>
        <item x="2767"/>
        <item x="1708"/>
        <item x="3497"/>
        <item x="2155"/>
        <item x="1022"/>
        <item x="2521"/>
        <item x="1067"/>
        <item x="3630"/>
        <item x="924"/>
        <item x="2582"/>
        <item x="1261"/>
        <item x="2760"/>
        <item x="3610"/>
        <item x="2047"/>
        <item x="423"/>
        <item x="2553"/>
        <item x="2723"/>
        <item x="331"/>
        <item x="2549"/>
        <item x="1051"/>
        <item x="2308"/>
        <item x="552"/>
        <item x="292"/>
        <item x="86"/>
        <item x="9"/>
        <item x="744"/>
        <item x="3106"/>
        <item x="1598"/>
        <item x="2258"/>
        <item x="709"/>
        <item x="637"/>
        <item x="3011"/>
        <item x="3175"/>
        <item x="2640"/>
        <item x="2653"/>
        <item x="2372"/>
        <item x="2515"/>
        <item x="1384"/>
        <item x="20"/>
        <item x="914"/>
        <item x="1730"/>
        <item x="3614"/>
        <item x="2856"/>
        <item x="1429"/>
        <item x="2018"/>
        <item x="56"/>
        <item x="79"/>
        <item x="757"/>
        <item x="654"/>
        <item x="1886"/>
        <item x="1546"/>
        <item x="332"/>
        <item x="341"/>
        <item x="3118"/>
        <item x="1799"/>
        <item x="2193"/>
        <item x="1929"/>
        <item x="480"/>
        <item x="3307"/>
        <item x="1396"/>
        <item x="2384"/>
        <item x="2681"/>
        <item x="1539"/>
        <item x="3138"/>
        <item x="1587"/>
        <item x="888"/>
        <item x="1581"/>
        <item x="2010"/>
        <item x="2689"/>
        <item x="3184"/>
        <item x="2643"/>
        <item x="1395"/>
        <item x="3128"/>
        <item x="2570"/>
        <item x="2301"/>
        <item x="1006"/>
        <item x="1523"/>
        <item x="1246"/>
        <item x="456"/>
        <item x="1862"/>
        <item x="1073"/>
        <item x="3374"/>
        <item x="1092"/>
        <item x="1685"/>
        <item x="2195"/>
        <item x="998"/>
        <item x="770"/>
        <item x="2490"/>
        <item x="71"/>
        <item x="3488"/>
        <item x="3167"/>
        <item x="21"/>
        <item x="781"/>
        <item x="1933"/>
        <item x="634"/>
        <item x="2263"/>
        <item x="2460"/>
        <item x="5"/>
        <item x="3280"/>
        <item x="2039"/>
        <item x="1627"/>
        <item x="988"/>
        <item x="1801"/>
        <item x="3414"/>
        <item x="3447"/>
        <item x="1844"/>
        <item x="3287"/>
        <item x="1263"/>
        <item x="2605"/>
        <item x="2067"/>
        <item x="3159"/>
        <item x="2648"/>
        <item x="1888"/>
        <item x="2748"/>
        <item x="3523"/>
        <item x="1939"/>
        <item x="3316"/>
        <item x="564"/>
        <item x="309"/>
        <item x="893"/>
        <item x="1648"/>
        <item x="1547"/>
        <item x="2385"/>
        <item x="1465"/>
        <item x="1062"/>
        <item x="74"/>
        <item x="835"/>
        <item x="1797"/>
        <item x="797"/>
        <item x="1691"/>
        <item x="3595"/>
        <item x="897"/>
        <item x="809"/>
        <item x="570"/>
        <item x="2899"/>
        <item x="3026"/>
        <item x="1426"/>
        <item x="1439"/>
        <item x="2802"/>
        <item x="1362"/>
        <item x="1455"/>
        <item x="890"/>
        <item x="446"/>
        <item x="3505"/>
        <item x="365"/>
        <item x="2617"/>
        <item x="886"/>
        <item x="1452"/>
        <item x="3152"/>
        <item x="241"/>
        <item x="191"/>
        <item x="3422"/>
        <item x="3437"/>
        <item x="3503"/>
        <item x="612"/>
        <item x="2491"/>
        <item x="3573"/>
        <item x="2950"/>
        <item x="109"/>
        <item x="3052"/>
        <item x="1119"/>
        <item x="2698"/>
        <item x="3393"/>
        <item x="3313"/>
        <item x="3200"/>
        <item x="1056"/>
        <item x="2588"/>
        <item x="1918"/>
        <item x="1652"/>
        <item x="3145"/>
        <item x="3039"/>
        <item x="710"/>
        <item x="1893"/>
        <item x="2327"/>
        <item x="1183"/>
        <item x="2022"/>
        <item x="32"/>
        <item x="28"/>
        <item x="65"/>
        <item x="3259"/>
        <item x="77"/>
        <item x="541"/>
        <item x="2518"/>
        <item x="2525"/>
        <item x="1770"/>
        <item x="3102"/>
        <item x="2797"/>
        <item x="3438"/>
        <item x="2443"/>
        <item x="3183"/>
        <item x="3395"/>
        <item x="779"/>
        <item x="1220"/>
        <item x="1649"/>
        <item x="2412"/>
        <item x="920"/>
        <item x="291"/>
        <item x="749"/>
        <item x="1045"/>
        <item x="2332"/>
        <item x="2065"/>
        <item x="580"/>
        <item x="2911"/>
        <item x="36"/>
        <item x="1448"/>
        <item x="2964"/>
        <item x="2596"/>
        <item x="2763"/>
        <item x="3383"/>
        <item x="716"/>
        <item x="2796"/>
        <item x="609"/>
        <item x="1349"/>
        <item x="1976"/>
        <item x="1628"/>
        <item x="363"/>
        <item x="1835"/>
        <item x="400"/>
        <item x="2171"/>
        <item x="642"/>
        <item x="2607"/>
        <item x="1059"/>
        <item x="3080"/>
        <item x="678"/>
        <item x="613"/>
        <item x="3460"/>
        <item x="198"/>
        <item x="1298"/>
        <item x="805"/>
        <item x="806"/>
        <item x="2508"/>
        <item x="2786"/>
        <item x="115"/>
        <item x="2628"/>
        <item x="828"/>
        <item x="168"/>
        <item x="668"/>
        <item x="859"/>
        <item x="1144"/>
        <item x="2556"/>
        <item x="3224"/>
        <item x="1343"/>
        <item x="1810"/>
        <item x="253"/>
        <item x="3117"/>
        <item x="555"/>
        <item x="1781"/>
        <item x="1679"/>
        <item x="2599"/>
        <item x="891"/>
        <item x="1600"/>
        <item x="2369"/>
        <item x="1968"/>
        <item x="1132"/>
        <item x="404"/>
        <item x="2676"/>
        <item x="2253"/>
        <item x="2379"/>
        <item x="2141"/>
        <item x="2184"/>
        <item x="2501"/>
        <item x="2992"/>
        <item x="2346"/>
        <item x="1203"/>
        <item x="3097"/>
        <item x="2083"/>
        <item x="2891"/>
        <item x="1341"/>
        <item x="1478"/>
        <item x="3452"/>
        <item x="2688"/>
        <item x="160"/>
        <item x="496"/>
        <item x="1440"/>
        <item x="1987"/>
        <item x="1444"/>
        <item x="37"/>
        <item x="1674"/>
        <item x="1234"/>
        <item x="2564"/>
        <item x="2339"/>
        <item x="1680"/>
        <item x="2779"/>
        <item x="1721"/>
        <item x="2122"/>
        <item x="2807"/>
        <item x="3191"/>
        <item x="2172"/>
        <item x="356"/>
        <item x="800"/>
        <item x="2420"/>
        <item x="236"/>
        <item x="602"/>
        <item x="2046"/>
        <item x="1171"/>
        <item x="3051"/>
        <item x="2203"/>
        <item x="1139"/>
        <item x="1038"/>
        <item x="386"/>
        <item x="1719"/>
        <item x="1370"/>
        <item x="2164"/>
        <item x="1533"/>
        <item x="349"/>
        <item x="2137"/>
        <item x="64"/>
        <item x="1024"/>
        <item x="251"/>
        <item x="2392"/>
        <item x="3096"/>
        <item x="155"/>
        <item x="1317"/>
        <item x="1512"/>
        <item x="1990"/>
        <item x="977"/>
        <item x="3094"/>
        <item x="1683"/>
        <item x="2249"/>
        <item x="3035"/>
        <item x="670"/>
        <item x="2580"/>
        <item x="184"/>
        <item x="3013"/>
        <item x="1363"/>
        <item x="90"/>
        <item x="2825"/>
        <item x="951"/>
        <item x="1011"/>
        <item x="3186"/>
        <item x="1851"/>
        <item x="885"/>
        <item x="2502"/>
        <item x="590"/>
        <item x="633"/>
        <item x="2182"/>
        <item x="3375"/>
        <item x="299"/>
        <item x="1295"/>
        <item x="1"/>
        <item x="2677"/>
        <item x="421"/>
        <item x="2492"/>
        <item x="1755"/>
        <item x="69"/>
        <item x="594"/>
        <item x="1474"/>
        <item x="1265"/>
        <item x="3276"/>
        <item x="75"/>
        <item x="1980"/>
        <item x="3000"/>
        <item x="961"/>
        <item x="1049"/>
        <item x="3243"/>
        <item x="320"/>
        <item x="3394"/>
        <item x="2076"/>
        <item x="2006"/>
        <item x="816"/>
        <item x="2446"/>
        <item x="1618"/>
        <item x="2809"/>
        <item x="2265"/>
        <item x="1470"/>
        <item x="398"/>
        <item x="2898"/>
        <item x="2876"/>
        <item x="2365"/>
        <item x="2895"/>
        <item x="2887"/>
        <item x="2817"/>
        <item x="754"/>
        <item x="3273"/>
        <item x="2054"/>
        <item x="2406"/>
        <item x="3604"/>
        <item x="2328"/>
        <item x="2801"/>
        <item x="3004"/>
        <item x="2259"/>
        <item x="1647"/>
        <item x="2280"/>
        <item x="2882"/>
        <item x="3020"/>
        <item x="2517"/>
        <item x="1116"/>
        <item x="2860"/>
        <item x="1832"/>
        <item x="3312"/>
        <item x="493"/>
        <item x="3054"/>
        <item x="1253"/>
        <item x="167"/>
        <item x="1098"/>
        <item x="3207"/>
        <item x="340"/>
        <item x="1550"/>
        <item x="1667"/>
        <item x="3596"/>
        <item x="3448"/>
        <item x="1556"/>
        <item x="1434"/>
        <item x="838"/>
        <item x="2256"/>
        <item x="3232"/>
        <item x="13"/>
        <item x="47"/>
        <item x="1508"/>
        <item x="494"/>
        <item x="2897"/>
        <item x="1715"/>
        <item x="1728"/>
        <item x="3131"/>
        <item x="3296"/>
        <item x="1161"/>
        <item x="2383"/>
        <item x="2595"/>
        <item x="3408"/>
        <item x="3001"/>
        <item x="3071"/>
        <item x="768"/>
        <item x="3490"/>
        <item x="322"/>
        <item x="329"/>
        <item x="1173"/>
        <item x="2116"/>
        <item x="3236"/>
        <item x="2386"/>
        <item x="636"/>
        <item x="3641"/>
        <item x="1882"/>
        <item x="3037"/>
        <item x="1553"/>
        <item x="2374"/>
        <item x="68"/>
        <item x="3014"/>
        <item x="1428"/>
        <item x="2870"/>
        <item x="1640"/>
        <item x="2479"/>
        <item x="638"/>
        <item x="213"/>
        <item x="1733"/>
        <item x="2923"/>
        <item x="1228"/>
        <item x="3237"/>
        <item x="3238"/>
        <item x="1432"/>
        <item x="2850"/>
        <item x="3441"/>
        <item x="3522"/>
        <item x="2959"/>
        <item x="3443"/>
        <item x="2296"/>
        <item x="628"/>
        <item x="1487"/>
        <item x="1855"/>
        <item x="1973"/>
        <item x="1622"/>
        <item x="462"/>
        <item x="2728"/>
        <item x="1626"/>
        <item x="999"/>
        <item x="1608"/>
        <item x="3387"/>
        <item x="3571"/>
        <item x="526"/>
        <item x="663"/>
        <item x="2302"/>
        <item x="3285"/>
        <item x="3468"/>
        <item x="215"/>
        <item x="2031"/>
        <item x="2806"/>
        <item x="73"/>
        <item x="2342"/>
        <item x="3033"/>
        <item x="2671"/>
        <item x="151"/>
        <item x="3347"/>
        <item x="1481"/>
        <item x="1705"/>
        <item x="144"/>
        <item x="187"/>
        <item x="1988"/>
        <item x="2185"/>
        <item x="27"/>
        <item x="765"/>
        <item x="2163"/>
        <item x="2973"/>
        <item x="1577"/>
        <item x="2060"/>
        <item x="1621"/>
        <item x="815"/>
        <item x="2783"/>
        <item x="3220"/>
        <item x="3421"/>
        <item x="1346"/>
        <item x="2470"/>
        <item x="736"/>
        <item x="2892"/>
        <item x="1949"/>
        <item x="3534"/>
        <item x="512"/>
        <item x="3267"/>
        <item x="727"/>
        <item x="1404"/>
        <item x="562"/>
        <item x="1653"/>
        <item x="1896"/>
        <item x="2156"/>
        <item x="3169"/>
        <item x="1175"/>
        <item x="1720"/>
        <item x="732"/>
        <item x="2685"/>
        <item x="2499"/>
        <item x="157"/>
        <item x="1281"/>
        <item x="1476"/>
        <item x="2609"/>
        <item x="1840"/>
        <item x="666"/>
        <item x="2999"/>
        <item x="1222"/>
        <item x="2204"/>
        <item x="3556"/>
        <item x="3366"/>
        <item x="1063"/>
        <item x="934"/>
        <item x="691"/>
        <item x="2357"/>
        <item x="2981"/>
        <item x="1773"/>
        <item x="1260"/>
        <item x="2772"/>
        <item x="475"/>
        <item x="358"/>
        <item x="1630"/>
        <item x="3520"/>
        <item x="2603"/>
        <item x="2747"/>
        <item x="1919"/>
        <item x="2173"/>
        <item x="962"/>
        <item x="819"/>
        <item x="3283"/>
        <item x="2956"/>
        <item x="432"/>
        <item x="1735"/>
        <item x="3424"/>
        <item x="2343"/>
        <item x="2555"/>
        <item x="222"/>
        <item x="524"/>
        <item x="777"/>
        <item x="2176"/>
        <item x="3302"/>
        <item x="2233"/>
        <item x="1205"/>
        <item x="2493"/>
        <item x="7"/>
        <item x="2069"/>
        <item x="2275"/>
        <item x="199"/>
        <item x="661"/>
        <item x="2430"/>
        <item x="1208"/>
        <item x="713"/>
        <item x="3045"/>
        <item x="1768"/>
        <item x="2395"/>
        <item x="3506"/>
        <item x="2487"/>
        <item x="1794"/>
        <item x="867"/>
        <item x="8"/>
        <item x="1079"/>
        <item x="2638"/>
        <item x="2496"/>
        <item x="1860"/>
        <item x="2455"/>
        <item x="1789"/>
        <item x="992"/>
        <item x="2026"/>
        <item x="1435"/>
        <item x="1371"/>
        <item x="3465"/>
        <item x="252"/>
        <item x="2800"/>
        <item x="635"/>
        <item x="2261"/>
        <item x="518"/>
        <item x="2822"/>
        <item x="3095"/>
        <item x="1198"/>
        <item x="3046"/>
        <item x="3629"/>
        <item x="360"/>
        <item x="406"/>
        <item x="747"/>
        <item x="15"/>
        <item x="3133"/>
        <item x="3003"/>
        <item x="1857"/>
        <item x="3362"/>
        <item x="1229"/>
        <item x="1671"/>
        <item x="782"/>
        <item x="1528"/>
        <item x="3083"/>
        <item x="3575"/>
        <item x="1148"/>
        <item x="78"/>
        <item x="3103"/>
        <item x="2909"/>
        <item x="2358"/>
        <item x="1133"/>
        <item x="3178"/>
        <item x="1010"/>
        <item x="1206"/>
        <item x="3266"/>
        <item x="2068"/>
        <item x="2080"/>
        <item x="351"/>
        <item x="1698"/>
        <item x="1446"/>
        <item x="2979"/>
        <item x="1072"/>
        <item x="450"/>
        <item x="3552"/>
        <item x="1120"/>
        <item x="3572"/>
        <item x="2647"/>
        <item x="3058"/>
        <item x="2472"/>
        <item x="214"/>
        <item x="903"/>
        <item x="760"/>
        <item x="850"/>
        <item x="162"/>
        <item x="357"/>
        <item x="2085"/>
        <item x="2522"/>
        <item x="1065"/>
        <item x="2276"/>
        <item x="2162"/>
        <item x="1354"/>
        <item x="1315"/>
        <item x="791"/>
        <item x="1692"/>
        <item x="871"/>
        <item x="775"/>
        <item x="3469"/>
        <item x="1543"/>
        <item x="2938"/>
        <item x="1841"/>
        <item x="2194"/>
        <item x="2583"/>
        <item x="721"/>
        <item x="2380"/>
        <item x="593"/>
        <item x="626"/>
        <item x="3233"/>
        <item x="263"/>
        <item x="1130"/>
        <item x="2590"/>
        <item x="1786"/>
        <item x="3272"/>
        <item x="3078"/>
        <item x="3579"/>
        <item x="330"/>
        <item x="509"/>
        <item x="957"/>
        <item x="189"/>
        <item x="884"/>
        <item x="275"/>
        <item x="3249"/>
        <item x="146"/>
        <item x="697"/>
        <item x="3214"/>
        <item x="1421"/>
        <item x="656"/>
        <item x="2530"/>
        <item x="3199"/>
        <item x="474"/>
        <item x="2178"/>
        <item x="2226"/>
        <item x="2411"/>
        <item x="987"/>
        <item x="1675"/>
        <item x="2830"/>
        <item x="3230"/>
        <item x="1418"/>
        <item x="1463"/>
        <item x="2670"/>
        <item x="1788"/>
        <item x="3392"/>
        <item x="327"/>
        <item x="759"/>
        <item x="1360"/>
        <item x="605"/>
        <item x="1615"/>
        <item x="2585"/>
        <item x="279"/>
        <item x="245"/>
        <item x="308"/>
        <item x="3077"/>
        <item x="304"/>
        <item x="3624"/>
        <item x="154"/>
        <item x="2857"/>
        <item x="3148"/>
        <item x="3463"/>
        <item x="2136"/>
        <item x="1828"/>
        <item x="2234"/>
        <item x="3475"/>
        <item x="2159"/>
        <item x="1460"/>
        <item x="2985"/>
        <item x="2960"/>
        <item x="2900"/>
        <item x="2788"/>
        <item x="3545"/>
        <item x="3426"/>
        <item x="546"/>
        <item x="2070"/>
        <item x="2149"/>
        <item x="1975"/>
        <item x="2414"/>
        <item x="2531"/>
        <item x="1223"/>
        <item x="958"/>
        <item x="2655"/>
        <item x="875"/>
        <item x="463"/>
        <item x="2686"/>
        <item x="3370"/>
        <item x="3411"/>
        <item x="2117"/>
        <item x="2839"/>
        <item x="679"/>
        <item x="269"/>
        <item x="3277"/>
        <item x="2929"/>
        <item x="2268"/>
        <item x="2818"/>
        <item x="2503"/>
        <item x="3260"/>
        <item x="1364"/>
        <item x="3339"/>
        <item x="2330"/>
        <item x="300"/>
        <item x="2805"/>
        <item x="3107"/>
        <item x="1668"/>
        <item x="2890"/>
        <item x="1765"/>
        <item x="231"/>
        <item x="844"/>
        <item x="3527"/>
        <item x="3043"/>
        <item x="3021"/>
        <item x="811"/>
        <item x="3066"/>
        <item x="2618"/>
        <item x="1530"/>
        <item x="2475"/>
        <item x="3115"/>
        <item x="2885"/>
        <item x="3121"/>
        <item x="1780"/>
        <item x="1836"/>
        <item x="592"/>
        <item x="1055"/>
        <item x="125"/>
        <item x="1889"/>
        <item x="98"/>
        <item x="383"/>
        <item x="3158"/>
        <item x="2780"/>
        <item x="3221"/>
        <item x="3635"/>
        <item x="1406"/>
        <item x="499"/>
        <item x="2157"/>
        <item x="1431"/>
        <item x="3623"/>
        <item x="763"/>
        <item x="2040"/>
        <item x="773"/>
        <item x="915"/>
        <item x="2754"/>
        <item x="238"/>
        <item x="2682"/>
        <item x="1378"/>
        <item x="2303"/>
        <item x="841"/>
        <item x="1959"/>
        <item x="45"/>
        <item x="317"/>
        <item x="3073"/>
        <item x="221"/>
        <item x="2082"/>
        <item x="2739"/>
        <item x="1422"/>
        <item x="3025"/>
        <item x="228"/>
        <item x="3331"/>
        <item x="1607"/>
        <item x="1326"/>
        <item x="3153"/>
        <item x="2291"/>
        <item x="3538"/>
        <item x="384"/>
        <item x="2709"/>
        <item x="2744"/>
        <item x="2353"/>
        <item x="348"/>
        <item x="1557"/>
        <item x="583"/>
        <item x="2542"/>
        <item x="441"/>
        <item x="2700"/>
        <item x="2704"/>
        <item x="1769"/>
        <item x="1977"/>
        <item x="2118"/>
        <item x="2138"/>
        <item x="1499"/>
        <item x="2645"/>
        <item x="1469"/>
        <item x="2215"/>
        <item x="18"/>
        <item x="2506"/>
        <item x="1531"/>
        <item x="1740"/>
        <item x="377"/>
        <item x="1021"/>
        <item x="1910"/>
        <item x="1552"/>
        <item x="1322"/>
        <item x="426"/>
        <item x="997"/>
        <item x="1110"/>
        <item x="469"/>
        <item x="1654"/>
        <item x="922"/>
        <item x="1335"/>
        <item x="3084"/>
        <item x="2852"/>
        <item x="665"/>
        <item x="3580"/>
        <item x="720"/>
        <item x="2845"/>
        <item x="531"/>
        <item x="3518"/>
        <item x="2373"/>
        <item x="3188"/>
        <item x="959"/>
        <item x="1567"/>
        <item x="1299"/>
        <item x="478"/>
        <item x="2458"/>
        <item x="930"/>
        <item x="1763"/>
        <item x="1593"/>
        <item x="2835"/>
        <item x="2867"/>
        <item x="3201"/>
        <item x="860"/>
        <item x="1991"/>
        <item x="2654"/>
        <item x="443"/>
        <item x="3143"/>
        <item x="834"/>
        <item x="334"/>
        <item x="1013"/>
        <item x="3632"/>
        <item x="2336"/>
        <item x="3292"/>
        <item x="748"/>
        <item x="2545"/>
        <item x="1236"/>
        <item x="923"/>
        <item x="2477"/>
        <item x="3346"/>
        <item x="863"/>
        <item x="3642"/>
        <item x="2313"/>
        <item x="3449"/>
        <item x="1986"/>
        <item x="1383"/>
        <item x="1873"/>
        <item x="3130"/>
        <item x="647"/>
        <item x="2578"/>
        <item x="2119"/>
        <item x="3288"/>
        <item x="1115"/>
        <item x="2884"/>
        <item x="2474"/>
        <item x="1737"/>
        <item x="2175"/>
        <item x="3486"/>
        <item x="3451"/>
        <item x="83"/>
        <item x="280"/>
        <item x="2989"/>
        <item x="84"/>
        <item x="2422"/>
        <item x="981"/>
        <item x="559"/>
        <item x="955"/>
        <item x="448"/>
        <item x="517"/>
        <item x="1895"/>
        <item x="1214"/>
        <item x="297"/>
        <item x="495"/>
        <item x="2927"/>
        <item x="345"/>
        <item x="3122"/>
        <item x="1169"/>
        <item x="1612"/>
        <item x="1548"/>
        <item x="2622"/>
        <item x="1958"/>
        <item x="2864"/>
        <item x="790"/>
        <item x="712"/>
        <item x="1870"/>
        <item x="1690"/>
        <item x="769"/>
        <item x="1527"/>
        <item x="1340"/>
        <item x="1118"/>
        <item x="3135"/>
        <item x="1342"/>
        <item x="1920"/>
        <item x="1701"/>
        <item x="258"/>
        <item x="573"/>
        <item x="839"/>
        <item x="85"/>
        <item x="59"/>
        <item x="1109"/>
        <item x="1717"/>
        <item x="1453"/>
        <item x="1407"/>
        <item x="2971"/>
        <item x="2354"/>
        <item x="846"/>
        <item x="3508"/>
        <item x="2045"/>
        <item x="2311"/>
        <item x="1957"/>
        <item x="1306"/>
        <item x="179"/>
        <item x="249"/>
        <item x="2151"/>
        <item x="1783"/>
        <item x="2776"/>
        <item x="127"/>
        <item x="428"/>
        <item x="3344"/>
        <item x="1114"/>
        <item x="3173"/>
        <item x="2574"/>
        <item x="2932"/>
        <item x="1846"/>
        <item x="1048"/>
        <item x="203"/>
        <item x="411"/>
        <item x="789"/>
        <item x="3157"/>
        <item x="1461"/>
        <item x="3583"/>
        <item x="196"/>
        <item x="156"/>
        <item x="2717"/>
        <item x="3569"/>
        <item x="603"/>
        <item x="1629"/>
        <item x="1089"/>
        <item x="458"/>
        <item x="734"/>
        <item x="2494"/>
        <item x="1142"/>
        <item x="3211"/>
        <item x="1611"/>
        <item x="700"/>
        <item x="243"/>
        <item x="2924"/>
        <item x="412"/>
        <item x="881"/>
        <item x="2130"/>
        <item x="3172"/>
        <item x="2326"/>
        <item x="1137"/>
        <item x="956"/>
        <item x="388"/>
        <item x="1154"/>
        <item x="904"/>
        <item x="23"/>
        <item x="3325"/>
        <item x="508"/>
        <item x="3202"/>
        <item x="547"/>
        <item x="585"/>
        <item x="3480"/>
        <item x="3134"/>
        <item x="3244"/>
        <item x="794"/>
        <item x="2"/>
        <item x="3516"/>
        <item x="3060"/>
        <item x="1534"/>
        <item x="3284"/>
        <item x="2591"/>
        <item x="2757"/>
        <item x="2626"/>
        <item x="3330"/>
        <item x="180"/>
        <item x="2661"/>
        <item x="2905"/>
        <item x="1255"/>
        <item x="3561"/>
        <item x="3227"/>
        <item x="2281"/>
        <item x="772"/>
        <item x="2849"/>
        <item x="2009"/>
        <item x="801"/>
        <item x="3379"/>
        <item x="2465"/>
        <item x="1417"/>
        <item x="1184"/>
        <item x="3640"/>
        <item x="2820"/>
        <item x="1244"/>
        <item x="2720"/>
        <item x="3453"/>
        <item x="1591"/>
        <item x="1053"/>
        <item x="2306"/>
        <item x="2569"/>
        <item x="3269"/>
        <item x="3322"/>
        <item x="1606"/>
        <item x="3076"/>
        <item x="2931"/>
        <item x="3582"/>
        <item x="1948"/>
        <item x="1339"/>
        <item x="1190"/>
        <item x="557"/>
        <item x="514"/>
        <item x="3301"/>
        <item x="3205"/>
        <item x="230"/>
        <item x="3086"/>
        <item x="1357"/>
        <item x="1897"/>
        <item x="1644"/>
        <item x="3554"/>
        <item x="1887"/>
        <item x="1324"/>
        <item x="1916"/>
        <item x="3181"/>
        <item x="1595"/>
        <item x="2309"/>
        <item x="2848"/>
        <item x="120"/>
        <item x="1416"/>
        <item x="534"/>
        <item x="1761"/>
        <item x="556"/>
        <item x="1923"/>
        <item x="3492"/>
        <item x="535"/>
        <item x="967"/>
        <item x="2255"/>
        <item x="969"/>
        <item x="3483"/>
        <item x="3415"/>
        <item x="335"/>
        <item x="1230"/>
        <item x="1979"/>
        <item x="1764"/>
        <item x="472"/>
        <item x="1069"/>
        <item x="658"/>
        <item x="2361"/>
        <item x="2693"/>
        <item x="1174"/>
        <item x="2129"/>
        <item x="354"/>
        <item x="370"/>
        <item x="1989"/>
        <item x="625"/>
        <item x="1908"/>
        <item x="2828"/>
        <item x="1934"/>
        <item x="1749"/>
        <item x="1943"/>
        <item x="706"/>
        <item x="2538"/>
        <item x="438"/>
        <item x="239"/>
        <item x="3482"/>
        <item x="3321"/>
        <item x="1070"/>
        <item x="1185"/>
        <item x="1486"/>
        <item x="205"/>
        <item x="2592"/>
        <item x="574"/>
        <item x="1303"/>
        <item x="2926"/>
        <item x="1294"/>
        <item x="3521"/>
        <item x="1447"/>
        <item x="607"/>
        <item x="116"/>
        <item x="2441"/>
        <item x="858"/>
        <item x="2243"/>
        <item x="2690"/>
        <item x="1638"/>
        <item x="324"/>
        <item x="372"/>
        <item x="1795"/>
        <item x="396"/>
        <item x="1575"/>
        <item x="1352"/>
        <item x="1811"/>
        <item x="825"/>
        <item x="352"/>
        <item x="25"/>
        <item x="1659"/>
        <item x="2370"/>
        <item x="1058"/>
        <item x="2262"/>
        <item x="2101"/>
        <item x="1535"/>
        <item x="2675"/>
        <item x="164"/>
        <item x="995"/>
        <item x="2201"/>
        <item x="2528"/>
        <item x="2619"/>
        <item x="3226"/>
        <item x="2572"/>
        <item x="190"/>
        <item x="817"/>
        <item x="975"/>
        <item x="1247"/>
        <item x="3262"/>
        <item x="2505"/>
        <item x="3466"/>
        <item x="307"/>
        <item x="1560"/>
        <item x="894"/>
        <item x="293"/>
        <item x="985"/>
        <item x="865"/>
        <item x="896"/>
        <item x="873"/>
        <item x="2062"/>
        <item x="1935"/>
        <item x="1200"/>
        <item x="311"/>
        <item x="1518"/>
        <item x="2623"/>
        <item x="1077"/>
        <item x="1584"/>
        <item x="1284"/>
        <item x="3549"/>
        <item x="2824"/>
        <item x="1309"/>
        <item x="1532"/>
        <item x="2398"/>
        <item x="270"/>
        <item x="1488"/>
        <item x="2610"/>
        <item x="3397"/>
        <item x="1866"/>
        <item x="2678"/>
        <item x="50"/>
        <item x="2683"/>
        <item x="1382"/>
        <item x="105"/>
        <item x="1025"/>
        <item x="1125"/>
        <item x="1642"/>
        <item x="1947"/>
        <item x="2355"/>
        <item x="3471"/>
        <item x="676"/>
        <item x="137"/>
        <item x="807"/>
        <item x="2697"/>
        <item x="3222"/>
        <item x="2041"/>
        <item x="1031"/>
        <item x="1257"/>
        <item x="2037"/>
        <item x="314"/>
        <item x="1374"/>
        <item x="2894"/>
        <item x="3059"/>
        <item x="704"/>
        <item x="1181"/>
        <item x="490"/>
        <item x="3570"/>
        <item x="232"/>
        <item x="1361"/>
        <item x="117"/>
        <item x="1802"/>
        <item x="619"/>
        <item x="2051"/>
        <item x="2212"/>
        <item x="1734"/>
        <item x="2644"/>
        <item x="100"/>
        <item x="227"/>
        <item x="516"/>
        <item x="197"/>
        <item x="627"/>
        <item x="2916"/>
        <item x="1971"/>
        <item x="3036"/>
        <item x="49"/>
        <item x="259"/>
        <item x="1484"/>
        <item x="3309"/>
        <item x="2550"/>
        <item x="2419"/>
        <item x="935"/>
        <item x="2584"/>
        <item x="2510"/>
        <item x="925"/>
        <item x="1936"/>
        <item x="655"/>
        <item x="2765"/>
        <item x="1639"/>
        <item x="1454"/>
        <item x="1458"/>
        <item x="3621"/>
        <item x="14"/>
        <item x="2024"/>
        <item x="343"/>
        <item x="2197"/>
        <item x="3261"/>
        <item x="3248"/>
        <item x="1041"/>
        <item x="3124"/>
        <item x="3198"/>
        <item x="3293"/>
        <item x="1872"/>
        <item x="2120"/>
        <item x="3625"/>
        <item x="3239"/>
        <item x="2056"/>
        <item x="1405"/>
        <item x="787"/>
        <item x="2449"/>
        <item x="2998"/>
        <item x="1124"/>
        <item x="1716"/>
        <item x="653"/>
        <item x="3406"/>
        <item x="954"/>
        <item x="41"/>
        <item x="22"/>
        <item x="506"/>
        <item x="3470"/>
        <item x="1831"/>
        <item x="2278"/>
        <item x="2853"/>
        <item x="1997"/>
        <item x="2057"/>
        <item x="1168"/>
        <item x="3308"/>
        <item x="3018"/>
      </items>
    </pivotField>
    <pivotField name="Pais_Empresa" axis="axisRow" compact="0" numFmtId="49" outline="0" multipleItemSelectionAllowed="1" showAll="0" sortType="ascending" defaultSubtotal="0">
      <items>
        <item sd="0" x="6"/>
        <item h="1" x="83"/>
        <item x="23"/>
        <item h="1" x="82"/>
        <item x="0"/>
        <item x="30"/>
        <item x="38"/>
        <item h="1" x="77"/>
        <item x="27"/>
        <item h="1" x="59"/>
        <item x="33"/>
        <item x="22"/>
        <item x="14"/>
        <item h="1" x="52"/>
        <item x="9"/>
        <item x="8"/>
        <item x="1"/>
        <item x="4"/>
        <item x="61"/>
        <item x="31"/>
        <item h="1" x="74"/>
        <item h="1" x="75"/>
        <item x="19"/>
        <item x="51"/>
        <item x="17"/>
        <item x="46"/>
        <item x="41"/>
        <item x="29"/>
        <item h="1" x="58"/>
        <item x="11"/>
        <item x="3"/>
        <item x="40"/>
        <item x="42"/>
        <item h="1" x="79"/>
        <item h="1" x="80"/>
        <item h="1" x="71"/>
        <item x="7"/>
        <item x="44"/>
        <item x="67"/>
        <item x="49"/>
        <item x="28"/>
        <item x="24"/>
        <item h="1" x="56"/>
        <item x="5"/>
        <item x="54"/>
        <item x="34"/>
        <item x="16"/>
        <item x="53"/>
        <item x="36"/>
        <item x="55"/>
        <item x="50"/>
        <item h="1" x="73"/>
        <item h="1" x="62"/>
        <item x="2"/>
        <item h="1" x="48"/>
        <item x="32"/>
        <item h="1" x="70"/>
        <item x="35"/>
        <item h="1" x="66"/>
        <item h="1" x="68"/>
        <item x="21"/>
        <item h="1" x="57"/>
        <item h="1" x="65"/>
        <item x="37"/>
        <item h="1" x="76"/>
        <item x="26"/>
        <item x="18"/>
        <item h="1" x="63"/>
        <item x="43"/>
        <item x="64"/>
        <item sd="0" x="47"/>
        <item x="10"/>
        <item h="1" x="69"/>
        <item h="1" x="60"/>
        <item x="20"/>
        <item sd="0" x="25"/>
        <item h="1" x="72"/>
        <item x="15"/>
        <item sd="0" x="12"/>
        <item h="1" x="81"/>
        <item x="45"/>
        <item h="1" x="78"/>
        <item sd="0" x="13"/>
        <item sd="0" x="39"/>
      </items>
    </pivotField>
    <pivotField name="industria" axis="axisRow" compact="0" numFmtId="49" outline="0" multipleItemSelectionAllowed="1" showAll="0" sortType="ascending">
      <items>
        <item x="14"/>
        <item x="30"/>
        <item x="33"/>
        <item x="26"/>
        <item x="37"/>
        <item x="28"/>
        <item x="10"/>
        <item x="35"/>
        <item x="19"/>
        <item x="15"/>
        <item x="24"/>
        <item x="6"/>
        <item x="8"/>
        <item x="4"/>
        <item x="23"/>
        <item x="36"/>
        <item x="9"/>
        <item x="1"/>
        <item x="34"/>
        <item x="16"/>
        <item x="2"/>
        <item x="27"/>
        <item x="32"/>
        <item x="7"/>
        <item x="22"/>
        <item x="13"/>
        <item x="11"/>
        <item x="29"/>
        <item x="5"/>
        <item x="17"/>
        <item x="31"/>
        <item x="12"/>
        <item x="25"/>
        <item x="20"/>
        <item x="21"/>
        <item x="18"/>
        <item x="0"/>
        <item x="3"/>
        <item t="default"/>
      </items>
    </pivotField>
  </pivotFields>
  <rowFields>
    <field x="1"/>
    <field x="0"/>
    <field x="2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smith.ai" TargetMode="External"/><Relationship Id="rId10" Type="http://schemas.openxmlformats.org/officeDocument/2006/relationships/hyperlink" Target="http://famosos.com" TargetMode="External"/><Relationship Id="rId13" Type="http://schemas.openxmlformats.org/officeDocument/2006/relationships/hyperlink" Target="http://restaurant.pe" TargetMode="External"/><Relationship Id="rId12" Type="http://schemas.openxmlformats.org/officeDocument/2006/relationships/hyperlink" Target="http://habits.ai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cexar.io" TargetMode="External"/><Relationship Id="rId3" Type="http://schemas.openxmlformats.org/officeDocument/2006/relationships/hyperlink" Target="http://educ.ar" TargetMode="External"/><Relationship Id="rId4" Type="http://schemas.openxmlformats.org/officeDocument/2006/relationships/hyperlink" Target="http://openbusiness.ar" TargetMode="External"/><Relationship Id="rId9" Type="http://schemas.openxmlformats.org/officeDocument/2006/relationships/hyperlink" Target="http://heyandes.com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ucrop.it" TargetMode="External"/><Relationship Id="rId6" Type="http://schemas.openxmlformats.org/officeDocument/2006/relationships/hyperlink" Target="http://booz.cl" TargetMode="External"/><Relationship Id="rId7" Type="http://schemas.openxmlformats.org/officeDocument/2006/relationships/hyperlink" Target="http://charly.io" TargetMode="External"/><Relationship Id="rId8" Type="http://schemas.openxmlformats.org/officeDocument/2006/relationships/hyperlink" Target="http://foodsys.io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dating.com" TargetMode="External"/><Relationship Id="rId10" Type="http://schemas.openxmlformats.org/officeDocument/2006/relationships/hyperlink" Target="http://educ.ar" TargetMode="External"/><Relationship Id="rId13" Type="http://schemas.openxmlformats.org/officeDocument/2006/relationships/hyperlink" Target="http://foodsys.io" TargetMode="External"/><Relationship Id="rId12" Type="http://schemas.openxmlformats.org/officeDocument/2006/relationships/hyperlink" Target="http://contractorstest.com" TargetMode="External"/><Relationship Id="rId1" Type="http://schemas.openxmlformats.org/officeDocument/2006/relationships/hyperlink" Target="http://famosos.com" TargetMode="External"/><Relationship Id="rId2" Type="http://schemas.openxmlformats.org/officeDocument/2006/relationships/hyperlink" Target="http://cexar.io" TargetMode="External"/><Relationship Id="rId3" Type="http://schemas.openxmlformats.org/officeDocument/2006/relationships/hyperlink" Target="http://booz.cl" TargetMode="External"/><Relationship Id="rId4" Type="http://schemas.openxmlformats.org/officeDocument/2006/relationships/hyperlink" Target="http://habits.ai" TargetMode="External"/><Relationship Id="rId9" Type="http://schemas.openxmlformats.org/officeDocument/2006/relationships/hyperlink" Target="http://destacados.cl" TargetMode="External"/><Relationship Id="rId15" Type="http://schemas.openxmlformats.org/officeDocument/2006/relationships/hyperlink" Target="http://smith.ai" TargetMode="External"/><Relationship Id="rId14" Type="http://schemas.openxmlformats.org/officeDocument/2006/relationships/hyperlink" Target="http://remotasks.com" TargetMode="External"/><Relationship Id="rId17" Type="http://schemas.openxmlformats.org/officeDocument/2006/relationships/hyperlink" Target="http://piano.io" TargetMode="External"/><Relationship Id="rId16" Type="http://schemas.openxmlformats.org/officeDocument/2006/relationships/hyperlink" Target="http://apprende.cl" TargetMode="External"/><Relationship Id="rId5" Type="http://schemas.openxmlformats.org/officeDocument/2006/relationships/hyperlink" Target="http://openbusiness.ar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://restaurant.pe" TargetMode="External"/><Relationship Id="rId18" Type="http://schemas.openxmlformats.org/officeDocument/2006/relationships/hyperlink" Target="http://ucrop.it" TargetMode="External"/><Relationship Id="rId7" Type="http://schemas.openxmlformats.org/officeDocument/2006/relationships/hyperlink" Target="http://heyandes.com" TargetMode="External"/><Relationship Id="rId8" Type="http://schemas.openxmlformats.org/officeDocument/2006/relationships/hyperlink" Target="http://charly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22.88"/>
    <col customWidth="1" min="3" max="4" width="34.38"/>
    <col customWidth="1" hidden="1" min="5" max="5" width="22.88"/>
    <col customWidth="1" min="6" max="6" width="30.25"/>
  </cols>
  <sheetData>
    <row r="1" ht="72.75" customHeight="1">
      <c r="A1" s="1" t="s">
        <v>0</v>
      </c>
    </row>
    <row r="2"/>
    <row r="3">
      <c r="A3" s="5" t="s">
        <v>5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>
      <c r="B2690" s="4"/>
      <c r="C2690" s="4"/>
      <c r="D2690" s="4"/>
      <c r="E2690" s="4"/>
    </row>
    <row r="2691">
      <c r="B2691" s="4"/>
      <c r="C2691" s="4"/>
      <c r="D2691" s="4"/>
      <c r="E2691" s="4"/>
    </row>
    <row r="2692">
      <c r="B2692" s="4"/>
      <c r="C2692" s="4"/>
      <c r="D2692" s="4"/>
      <c r="E2692" s="4"/>
    </row>
    <row r="2693">
      <c r="B2693" s="4"/>
      <c r="C2693" s="4"/>
      <c r="D2693" s="4"/>
      <c r="E2693" s="4"/>
    </row>
    <row r="2694">
      <c r="B2694" s="4"/>
      <c r="C2694" s="4"/>
      <c r="D2694" s="4"/>
      <c r="E2694" s="4"/>
    </row>
    <row r="2695">
      <c r="B2695" s="4"/>
      <c r="C2695" s="4"/>
      <c r="D2695" s="4"/>
      <c r="E2695" s="4"/>
    </row>
    <row r="2696">
      <c r="B2696" s="4"/>
      <c r="C2696" s="4"/>
      <c r="D2696" s="4"/>
      <c r="E2696" s="4"/>
    </row>
    <row r="2697">
      <c r="B2697" s="4"/>
      <c r="C2697" s="4"/>
      <c r="D2697" s="4"/>
      <c r="E2697" s="4"/>
    </row>
    <row r="2698">
      <c r="B2698" s="4"/>
      <c r="C2698" s="4"/>
      <c r="D2698" s="4"/>
      <c r="E2698" s="4"/>
    </row>
    <row r="2699">
      <c r="B2699" s="4"/>
      <c r="C2699" s="4"/>
      <c r="D2699" s="4"/>
      <c r="E2699" s="4"/>
    </row>
    <row r="2700">
      <c r="B2700" s="4"/>
      <c r="C2700" s="4"/>
      <c r="D2700" s="4"/>
      <c r="E2700" s="4"/>
    </row>
    <row r="2701">
      <c r="B2701" s="4"/>
      <c r="C2701" s="4"/>
      <c r="D2701" s="4"/>
      <c r="E2701" s="4"/>
    </row>
    <row r="2702">
      <c r="B2702" s="4"/>
      <c r="C2702" s="4"/>
      <c r="D2702" s="4"/>
      <c r="E2702" s="4"/>
    </row>
    <row r="2703">
      <c r="B2703" s="4"/>
      <c r="C2703" s="4"/>
      <c r="D2703" s="4"/>
      <c r="E2703" s="4"/>
    </row>
    <row r="2704">
      <c r="B2704" s="4"/>
      <c r="C2704" s="4"/>
      <c r="D2704" s="4"/>
      <c r="E2704" s="4"/>
    </row>
    <row r="2705">
      <c r="B2705" s="4"/>
      <c r="C2705" s="4"/>
      <c r="D2705" s="4"/>
      <c r="E2705" s="4"/>
    </row>
    <row r="2706">
      <c r="B2706" s="4"/>
      <c r="C2706" s="4"/>
      <c r="D2706" s="4"/>
      <c r="E2706" s="4"/>
    </row>
    <row r="2707">
      <c r="B2707" s="4"/>
      <c r="C2707" s="4"/>
      <c r="D2707" s="4"/>
      <c r="E2707" s="4"/>
    </row>
    <row r="2708">
      <c r="B2708" s="4"/>
      <c r="C2708" s="4"/>
      <c r="D2708" s="4"/>
      <c r="E2708" s="4"/>
    </row>
    <row r="2709">
      <c r="B2709" s="4"/>
      <c r="C2709" s="4"/>
      <c r="D2709" s="4"/>
      <c r="E2709" s="4"/>
    </row>
    <row r="2710">
      <c r="B2710" s="4"/>
      <c r="C2710" s="4"/>
      <c r="D2710" s="4"/>
      <c r="E2710" s="4"/>
    </row>
    <row r="2711">
      <c r="B2711" s="4"/>
      <c r="C2711" s="4"/>
      <c r="D2711" s="4"/>
      <c r="E2711" s="4"/>
    </row>
    <row r="2712">
      <c r="B2712" s="4"/>
      <c r="C2712" s="4"/>
      <c r="D2712" s="4"/>
      <c r="E2712" s="4"/>
    </row>
    <row r="2713">
      <c r="B2713" s="4"/>
      <c r="C2713" s="4"/>
      <c r="D2713" s="4"/>
      <c r="E2713" s="4"/>
    </row>
    <row r="2714">
      <c r="B2714" s="4"/>
      <c r="C2714" s="4"/>
      <c r="D2714" s="4"/>
      <c r="E2714" s="4"/>
    </row>
    <row r="2715">
      <c r="B2715" s="4"/>
      <c r="C2715" s="4"/>
      <c r="D2715" s="4"/>
      <c r="E2715" s="4"/>
    </row>
    <row r="2716">
      <c r="B2716" s="4"/>
      <c r="C2716" s="4"/>
      <c r="D2716" s="4"/>
      <c r="E2716" s="4"/>
    </row>
    <row r="2717">
      <c r="B2717" s="4"/>
      <c r="C2717" s="4"/>
      <c r="D2717" s="4"/>
      <c r="E2717" s="4"/>
    </row>
    <row r="2718">
      <c r="B2718" s="4"/>
      <c r="C2718" s="4"/>
      <c r="D2718" s="4"/>
      <c r="E2718" s="4"/>
    </row>
    <row r="2719">
      <c r="B2719" s="4"/>
      <c r="C2719" s="4"/>
      <c r="D2719" s="4"/>
      <c r="E2719" s="4"/>
    </row>
    <row r="2720">
      <c r="B2720" s="4"/>
      <c r="C2720" s="4"/>
      <c r="D2720" s="4"/>
      <c r="E2720" s="4"/>
    </row>
    <row r="2721">
      <c r="B2721" s="4"/>
      <c r="C2721" s="4"/>
      <c r="D2721" s="4"/>
      <c r="E2721" s="4"/>
    </row>
    <row r="2722">
      <c r="B2722" s="4"/>
      <c r="C2722" s="4"/>
      <c r="D2722" s="4"/>
      <c r="E2722" s="4"/>
    </row>
    <row r="2723">
      <c r="B2723" s="4"/>
      <c r="C2723" s="4"/>
      <c r="D2723" s="4"/>
      <c r="E2723" s="4"/>
    </row>
    <row r="2724">
      <c r="B2724" s="4"/>
      <c r="C2724" s="4"/>
      <c r="D2724" s="4"/>
      <c r="E2724" s="4"/>
    </row>
    <row r="2725">
      <c r="B2725" s="4"/>
      <c r="C2725" s="4"/>
      <c r="D2725" s="4"/>
      <c r="E2725" s="4"/>
    </row>
    <row r="2726">
      <c r="B2726" s="4"/>
      <c r="C2726" s="4"/>
      <c r="D2726" s="4"/>
      <c r="E2726" s="4"/>
    </row>
    <row r="2727">
      <c r="B2727" s="4"/>
      <c r="C2727" s="4"/>
      <c r="D2727" s="4"/>
      <c r="E2727" s="4"/>
    </row>
    <row r="2728">
      <c r="B2728" s="4"/>
      <c r="C2728" s="4"/>
      <c r="D2728" s="4"/>
      <c r="E2728" s="4"/>
    </row>
    <row r="2729">
      <c r="B2729" s="4"/>
      <c r="C2729" s="4"/>
      <c r="D2729" s="4"/>
      <c r="E2729" s="4"/>
    </row>
    <row r="2730">
      <c r="B2730" s="4"/>
      <c r="C2730" s="4"/>
      <c r="D2730" s="4"/>
      <c r="E2730" s="4"/>
    </row>
    <row r="2731">
      <c r="B2731" s="4"/>
      <c r="C2731" s="4"/>
      <c r="D2731" s="4"/>
      <c r="E2731" s="4"/>
    </row>
    <row r="2732">
      <c r="B2732" s="4"/>
      <c r="C2732" s="4"/>
      <c r="D2732" s="4"/>
      <c r="E2732" s="4"/>
    </row>
    <row r="2733">
      <c r="B2733" s="4"/>
      <c r="C2733" s="4"/>
      <c r="D2733" s="4"/>
      <c r="E2733" s="4"/>
    </row>
    <row r="2734">
      <c r="B2734" s="4"/>
      <c r="C2734" s="4"/>
      <c r="D2734" s="4"/>
      <c r="E2734" s="4"/>
    </row>
    <row r="2735">
      <c r="B2735" s="4"/>
      <c r="C2735" s="4"/>
      <c r="D2735" s="4"/>
      <c r="E2735" s="4"/>
    </row>
    <row r="2736">
      <c r="B2736" s="4"/>
      <c r="C2736" s="4"/>
      <c r="D2736" s="4"/>
      <c r="E2736" s="4"/>
    </row>
    <row r="2737">
      <c r="B2737" s="4"/>
      <c r="C2737" s="4"/>
      <c r="D2737" s="4"/>
      <c r="E2737" s="4"/>
    </row>
    <row r="2738">
      <c r="B2738" s="4"/>
      <c r="C2738" s="4"/>
      <c r="D2738" s="4"/>
      <c r="E2738" s="4"/>
    </row>
    <row r="2739">
      <c r="B2739" s="4"/>
      <c r="C2739" s="4"/>
      <c r="D2739" s="4"/>
      <c r="E2739" s="4"/>
    </row>
    <row r="2740">
      <c r="B2740" s="4"/>
      <c r="C2740" s="4"/>
      <c r="D2740" s="4"/>
      <c r="E2740" s="4"/>
    </row>
    <row r="2741">
      <c r="B2741" s="4"/>
      <c r="C2741" s="4"/>
      <c r="D2741" s="4"/>
      <c r="E2741" s="4"/>
    </row>
    <row r="2742">
      <c r="B2742" s="4"/>
      <c r="C2742" s="4"/>
      <c r="D2742" s="4"/>
      <c r="E2742" s="4"/>
    </row>
    <row r="2743">
      <c r="B2743" s="4"/>
      <c r="C2743" s="4"/>
      <c r="D2743" s="4"/>
      <c r="E2743" s="4"/>
    </row>
    <row r="2744">
      <c r="B2744" s="4"/>
      <c r="C2744" s="4"/>
      <c r="D2744" s="4"/>
      <c r="E2744" s="4"/>
    </row>
    <row r="2745">
      <c r="B2745" s="4"/>
      <c r="C2745" s="4"/>
      <c r="D2745" s="4"/>
      <c r="E2745" s="4"/>
    </row>
    <row r="2746">
      <c r="B2746" s="4"/>
      <c r="C2746" s="4"/>
      <c r="D2746" s="4"/>
      <c r="E2746" s="4"/>
    </row>
    <row r="2747">
      <c r="B2747" s="4"/>
      <c r="C2747" s="4"/>
      <c r="D2747" s="4"/>
      <c r="E2747" s="4"/>
    </row>
    <row r="2748">
      <c r="B2748" s="4"/>
      <c r="C2748" s="4"/>
      <c r="D2748" s="4"/>
      <c r="E2748" s="4"/>
    </row>
    <row r="2749">
      <c r="B2749" s="4"/>
      <c r="C2749" s="4"/>
      <c r="D2749" s="4"/>
      <c r="E2749" s="4"/>
    </row>
    <row r="2750">
      <c r="B2750" s="4"/>
      <c r="C2750" s="4"/>
      <c r="D2750" s="4"/>
      <c r="E2750" s="4"/>
    </row>
    <row r="2751">
      <c r="B2751" s="4"/>
      <c r="C2751" s="4"/>
      <c r="D2751" s="4"/>
      <c r="E2751" s="4"/>
    </row>
    <row r="2752">
      <c r="B2752" s="4"/>
      <c r="C2752" s="4"/>
      <c r="D2752" s="4"/>
      <c r="E2752" s="4"/>
    </row>
    <row r="2753">
      <c r="B2753" s="4"/>
      <c r="C2753" s="4"/>
      <c r="D2753" s="4"/>
      <c r="E2753" s="4"/>
    </row>
    <row r="2754">
      <c r="B2754" s="4"/>
      <c r="C2754" s="4"/>
      <c r="D2754" s="4"/>
      <c r="E2754" s="4"/>
    </row>
    <row r="2755">
      <c r="B2755" s="4"/>
      <c r="C2755" s="4"/>
      <c r="D2755" s="4"/>
      <c r="E2755" s="4"/>
    </row>
    <row r="2756">
      <c r="B2756" s="4"/>
      <c r="C2756" s="4"/>
      <c r="D2756" s="4"/>
      <c r="E2756" s="4"/>
    </row>
    <row r="2757">
      <c r="B2757" s="4"/>
      <c r="C2757" s="4"/>
      <c r="D2757" s="4"/>
      <c r="E2757" s="4"/>
    </row>
    <row r="2758">
      <c r="B2758" s="4"/>
      <c r="C2758" s="4"/>
      <c r="D2758" s="4"/>
      <c r="E2758" s="4"/>
    </row>
    <row r="2759">
      <c r="B2759" s="4"/>
      <c r="C2759" s="4"/>
      <c r="D2759" s="4"/>
      <c r="E2759" s="4"/>
    </row>
    <row r="2760">
      <c r="B2760" s="4"/>
      <c r="C2760" s="4"/>
      <c r="D2760" s="4"/>
      <c r="E2760" s="4"/>
    </row>
    <row r="2761">
      <c r="B2761" s="4"/>
      <c r="C2761" s="4"/>
      <c r="D2761" s="4"/>
      <c r="E2761" s="4"/>
    </row>
    <row r="2762">
      <c r="B2762" s="4"/>
      <c r="C2762" s="4"/>
      <c r="D2762" s="4"/>
      <c r="E2762" s="4"/>
    </row>
    <row r="2763">
      <c r="B2763" s="4"/>
      <c r="C2763" s="4"/>
      <c r="D2763" s="4"/>
      <c r="E2763" s="4"/>
    </row>
    <row r="2764">
      <c r="B2764" s="4"/>
      <c r="C2764" s="4"/>
      <c r="D2764" s="4"/>
      <c r="E2764" s="4"/>
    </row>
    <row r="2765">
      <c r="B2765" s="4"/>
      <c r="C2765" s="4"/>
      <c r="D2765" s="4"/>
      <c r="E2765" s="4"/>
    </row>
    <row r="2766">
      <c r="B2766" s="4"/>
      <c r="C2766" s="4"/>
      <c r="D2766" s="4"/>
      <c r="E2766" s="4"/>
    </row>
    <row r="2767">
      <c r="B2767" s="4"/>
      <c r="C2767" s="4"/>
      <c r="D2767" s="4"/>
      <c r="E2767" s="4"/>
    </row>
    <row r="2768">
      <c r="B2768" s="4"/>
      <c r="C2768" s="4"/>
      <c r="D2768" s="4"/>
      <c r="E2768" s="4"/>
    </row>
    <row r="2769">
      <c r="B2769" s="4"/>
      <c r="C2769" s="4"/>
      <c r="D2769" s="4"/>
      <c r="E2769" s="4"/>
    </row>
    <row r="2770">
      <c r="B2770" s="4"/>
      <c r="C2770" s="4"/>
      <c r="D2770" s="4"/>
      <c r="E2770" s="4"/>
    </row>
    <row r="2771">
      <c r="B2771" s="4"/>
      <c r="C2771" s="4"/>
      <c r="D2771" s="4"/>
      <c r="E2771" s="4"/>
    </row>
    <row r="2772">
      <c r="B2772" s="4"/>
      <c r="C2772" s="4"/>
      <c r="D2772" s="4"/>
      <c r="E2772" s="4"/>
    </row>
    <row r="2773">
      <c r="B2773" s="4"/>
      <c r="C2773" s="4"/>
      <c r="D2773" s="4"/>
      <c r="E2773" s="4"/>
    </row>
    <row r="2774">
      <c r="B2774" s="4"/>
      <c r="C2774" s="4"/>
      <c r="D2774" s="4"/>
      <c r="E2774" s="4"/>
    </row>
    <row r="2775">
      <c r="B2775" s="4"/>
      <c r="C2775" s="4"/>
      <c r="D2775" s="4"/>
      <c r="E2775" s="4"/>
    </row>
    <row r="2776">
      <c r="B2776" s="4"/>
      <c r="C2776" s="4"/>
      <c r="D2776" s="4"/>
      <c r="E2776" s="4"/>
    </row>
    <row r="2777">
      <c r="B2777" s="4"/>
      <c r="C2777" s="4"/>
      <c r="D2777" s="4"/>
      <c r="E2777" s="4"/>
    </row>
    <row r="2778">
      <c r="B2778" s="4"/>
      <c r="C2778" s="4"/>
      <c r="D2778" s="4"/>
      <c r="E2778" s="4"/>
    </row>
    <row r="2779">
      <c r="B2779" s="4"/>
      <c r="C2779" s="4"/>
      <c r="D2779" s="4"/>
      <c r="E2779" s="4"/>
    </row>
    <row r="2780">
      <c r="B2780" s="4"/>
      <c r="C2780" s="4"/>
      <c r="D2780" s="4"/>
      <c r="E2780" s="4"/>
    </row>
    <row r="2781">
      <c r="B2781" s="4"/>
      <c r="C2781" s="4"/>
      <c r="D2781" s="4"/>
      <c r="E2781" s="4"/>
    </row>
    <row r="2782">
      <c r="B2782" s="4"/>
      <c r="C2782" s="4"/>
      <c r="D2782" s="4"/>
      <c r="E2782" s="4"/>
    </row>
    <row r="2783">
      <c r="B2783" s="4"/>
      <c r="C2783" s="4"/>
      <c r="D2783" s="4"/>
      <c r="E2783" s="4"/>
    </row>
    <row r="2784">
      <c r="B2784" s="4"/>
      <c r="C2784" s="4"/>
      <c r="D2784" s="4"/>
      <c r="E2784" s="4"/>
    </row>
    <row r="2785">
      <c r="B2785" s="4"/>
      <c r="C2785" s="4"/>
      <c r="D2785" s="4"/>
      <c r="E2785" s="4"/>
    </row>
    <row r="2786">
      <c r="B2786" s="4"/>
      <c r="C2786" s="4"/>
      <c r="D2786" s="4"/>
      <c r="E2786" s="4"/>
    </row>
    <row r="2787">
      <c r="B2787" s="4"/>
      <c r="C2787" s="4"/>
      <c r="D2787" s="4"/>
      <c r="E2787" s="4"/>
    </row>
    <row r="2788">
      <c r="B2788" s="4"/>
      <c r="C2788" s="4"/>
      <c r="D2788" s="4"/>
      <c r="E2788" s="4"/>
    </row>
    <row r="2789">
      <c r="B2789" s="4"/>
      <c r="C2789" s="4"/>
      <c r="D2789" s="4"/>
      <c r="E2789" s="4"/>
    </row>
    <row r="2790">
      <c r="B2790" s="4"/>
      <c r="C2790" s="4"/>
      <c r="D2790" s="4"/>
      <c r="E2790" s="4"/>
    </row>
    <row r="2791">
      <c r="B2791" s="4"/>
      <c r="C2791" s="4"/>
      <c r="D2791" s="4"/>
      <c r="E2791" s="4"/>
    </row>
    <row r="2792">
      <c r="B2792" s="4"/>
      <c r="C2792" s="4"/>
      <c r="D2792" s="4"/>
      <c r="E2792" s="4"/>
    </row>
    <row r="2793">
      <c r="B2793" s="4"/>
      <c r="C2793" s="4"/>
      <c r="D2793" s="4"/>
      <c r="E2793" s="4"/>
    </row>
    <row r="2794">
      <c r="B2794" s="4"/>
      <c r="C2794" s="4"/>
      <c r="D2794" s="4"/>
      <c r="E2794" s="4"/>
    </row>
    <row r="2795">
      <c r="B2795" s="4"/>
      <c r="C2795" s="4"/>
      <c r="D2795" s="4"/>
      <c r="E2795" s="4"/>
    </row>
    <row r="2796">
      <c r="B2796" s="4"/>
      <c r="C2796" s="4"/>
      <c r="D2796" s="4"/>
      <c r="E2796" s="4"/>
    </row>
    <row r="2797">
      <c r="B2797" s="4"/>
      <c r="C2797" s="4"/>
      <c r="D2797" s="4"/>
      <c r="E2797" s="4"/>
    </row>
    <row r="2798">
      <c r="B2798" s="4"/>
      <c r="C2798" s="4"/>
      <c r="D2798" s="4"/>
      <c r="E2798" s="4"/>
    </row>
    <row r="2799">
      <c r="B2799" s="4"/>
      <c r="C2799" s="4"/>
      <c r="D2799" s="4"/>
      <c r="E2799" s="4"/>
    </row>
    <row r="2800">
      <c r="B2800" s="4"/>
      <c r="C2800" s="4"/>
      <c r="D2800" s="4"/>
      <c r="E2800" s="4"/>
    </row>
    <row r="2801">
      <c r="B2801" s="4"/>
      <c r="C2801" s="4"/>
      <c r="D2801" s="4"/>
      <c r="E2801" s="4"/>
    </row>
    <row r="2802">
      <c r="B2802" s="4"/>
      <c r="C2802" s="4"/>
      <c r="D2802" s="4"/>
      <c r="E2802" s="4"/>
    </row>
    <row r="2803">
      <c r="B2803" s="4"/>
      <c r="C2803" s="4"/>
      <c r="D2803" s="4"/>
      <c r="E2803" s="4"/>
    </row>
    <row r="2804">
      <c r="B2804" s="4"/>
      <c r="C2804" s="4"/>
      <c r="D2804" s="4"/>
      <c r="E2804" s="4"/>
    </row>
    <row r="2805">
      <c r="B2805" s="4"/>
      <c r="C2805" s="4"/>
      <c r="D2805" s="4"/>
      <c r="E2805" s="4"/>
    </row>
    <row r="2806">
      <c r="B2806" s="4"/>
      <c r="C2806" s="4"/>
      <c r="D2806" s="4"/>
      <c r="E2806" s="4"/>
    </row>
    <row r="2807">
      <c r="B2807" s="4"/>
      <c r="C2807" s="4"/>
      <c r="D2807" s="4"/>
      <c r="E2807" s="4"/>
    </row>
    <row r="2808">
      <c r="B2808" s="4"/>
      <c r="C2808" s="4"/>
      <c r="D2808" s="4"/>
      <c r="E2808" s="4"/>
    </row>
    <row r="2809">
      <c r="B2809" s="4"/>
      <c r="C2809" s="4"/>
      <c r="D2809" s="4"/>
      <c r="E2809" s="4"/>
    </row>
    <row r="2810">
      <c r="B2810" s="4"/>
      <c r="C2810" s="4"/>
      <c r="D2810" s="4"/>
      <c r="E2810" s="4"/>
    </row>
    <row r="2811">
      <c r="B2811" s="4"/>
      <c r="C2811" s="4"/>
      <c r="D2811" s="4"/>
      <c r="E2811" s="4"/>
    </row>
    <row r="2812">
      <c r="B2812" s="4"/>
      <c r="C2812" s="4"/>
      <c r="D2812" s="4"/>
      <c r="E2812" s="4"/>
    </row>
    <row r="2813">
      <c r="B2813" s="4"/>
      <c r="C2813" s="4"/>
      <c r="D2813" s="4"/>
      <c r="E2813" s="4"/>
    </row>
    <row r="2814">
      <c r="B2814" s="4"/>
      <c r="C2814" s="4"/>
      <c r="D2814" s="4"/>
      <c r="E2814" s="4"/>
    </row>
    <row r="2815">
      <c r="B2815" s="4"/>
      <c r="C2815" s="4"/>
      <c r="D2815" s="4"/>
      <c r="E2815" s="4"/>
    </row>
    <row r="2816">
      <c r="B2816" s="4"/>
      <c r="C2816" s="4"/>
      <c r="D2816" s="4"/>
      <c r="E2816" s="4"/>
    </row>
    <row r="2817">
      <c r="B2817" s="4"/>
      <c r="C2817" s="4"/>
      <c r="D2817" s="4"/>
      <c r="E2817" s="4"/>
    </row>
    <row r="2818">
      <c r="B2818" s="4"/>
      <c r="C2818" s="4"/>
      <c r="D2818" s="4"/>
      <c r="E2818" s="4"/>
    </row>
    <row r="2819">
      <c r="B2819" s="4"/>
      <c r="C2819" s="4"/>
      <c r="D2819" s="4"/>
      <c r="E2819" s="4"/>
    </row>
    <row r="2820">
      <c r="B2820" s="4"/>
      <c r="C2820" s="4"/>
      <c r="D2820" s="4"/>
      <c r="E2820" s="4"/>
    </row>
    <row r="2821">
      <c r="B2821" s="4"/>
      <c r="C2821" s="4"/>
      <c r="D2821" s="4"/>
      <c r="E2821" s="4"/>
    </row>
    <row r="2822">
      <c r="B2822" s="4"/>
      <c r="C2822" s="4"/>
      <c r="D2822" s="4"/>
      <c r="E2822" s="4"/>
    </row>
    <row r="2823">
      <c r="B2823" s="4"/>
      <c r="C2823" s="4"/>
      <c r="D2823" s="4"/>
      <c r="E2823" s="4"/>
    </row>
    <row r="2824">
      <c r="B2824" s="4"/>
      <c r="C2824" s="4"/>
      <c r="D2824" s="4"/>
      <c r="E2824" s="4"/>
    </row>
    <row r="2825">
      <c r="B2825" s="4"/>
      <c r="C2825" s="4"/>
      <c r="D2825" s="4"/>
      <c r="E2825" s="4"/>
    </row>
    <row r="2826">
      <c r="B2826" s="4"/>
      <c r="C2826" s="4"/>
      <c r="D2826" s="4"/>
      <c r="E2826" s="4"/>
    </row>
    <row r="2827">
      <c r="B2827" s="4"/>
      <c r="C2827" s="4"/>
      <c r="D2827" s="4"/>
      <c r="E2827" s="4"/>
    </row>
    <row r="2828">
      <c r="B2828" s="4"/>
      <c r="C2828" s="4"/>
      <c r="D2828" s="4"/>
      <c r="E2828" s="4"/>
    </row>
    <row r="2829">
      <c r="B2829" s="4"/>
      <c r="C2829" s="4"/>
      <c r="D2829" s="4"/>
      <c r="E2829" s="4"/>
    </row>
    <row r="2830">
      <c r="B2830" s="4"/>
      <c r="C2830" s="4"/>
      <c r="D2830" s="4"/>
      <c r="E2830" s="4"/>
    </row>
    <row r="2831">
      <c r="B2831" s="4"/>
      <c r="C2831" s="4"/>
      <c r="D2831" s="4"/>
      <c r="E2831" s="4"/>
    </row>
    <row r="2832">
      <c r="B2832" s="4"/>
      <c r="C2832" s="4"/>
      <c r="D2832" s="4"/>
      <c r="E2832" s="4"/>
    </row>
    <row r="2833">
      <c r="B2833" s="4"/>
      <c r="C2833" s="4"/>
      <c r="D2833" s="4"/>
      <c r="E2833" s="4"/>
    </row>
    <row r="2834">
      <c r="B2834" s="4"/>
      <c r="C2834" s="4"/>
      <c r="D2834" s="4"/>
      <c r="E2834" s="4"/>
    </row>
    <row r="2835">
      <c r="B2835" s="4"/>
      <c r="C2835" s="4"/>
      <c r="D2835" s="4"/>
      <c r="E2835" s="4"/>
    </row>
    <row r="2836">
      <c r="B2836" s="4"/>
      <c r="C2836" s="4"/>
      <c r="D2836" s="4"/>
      <c r="E2836" s="4"/>
    </row>
    <row r="2837">
      <c r="B2837" s="4"/>
      <c r="C2837" s="4"/>
      <c r="D2837" s="4"/>
      <c r="E2837" s="4"/>
    </row>
    <row r="2838">
      <c r="B2838" s="4"/>
      <c r="C2838" s="4"/>
      <c r="D2838" s="4"/>
      <c r="E2838" s="4"/>
    </row>
    <row r="2839">
      <c r="B2839" s="4"/>
      <c r="C2839" s="4"/>
      <c r="D2839" s="4"/>
      <c r="E2839" s="4"/>
    </row>
    <row r="2840">
      <c r="B2840" s="4"/>
      <c r="C2840" s="4"/>
      <c r="D2840" s="4"/>
      <c r="E2840" s="4"/>
    </row>
    <row r="2841">
      <c r="B2841" s="4"/>
      <c r="C2841" s="4"/>
      <c r="D2841" s="4"/>
      <c r="E2841" s="4"/>
    </row>
    <row r="2842">
      <c r="B2842" s="4"/>
      <c r="C2842" s="4"/>
      <c r="D2842" s="4"/>
      <c r="E2842" s="4"/>
    </row>
    <row r="2843">
      <c r="B2843" s="4"/>
      <c r="C2843" s="4"/>
      <c r="D2843" s="4"/>
      <c r="E2843" s="4"/>
    </row>
    <row r="2844">
      <c r="B2844" s="4"/>
      <c r="C2844" s="4"/>
      <c r="D2844" s="4"/>
      <c r="E2844" s="4"/>
    </row>
    <row r="2845">
      <c r="B2845" s="4"/>
      <c r="C2845" s="4"/>
      <c r="D2845" s="4"/>
      <c r="E2845" s="4"/>
    </row>
    <row r="2846">
      <c r="B2846" s="4"/>
      <c r="C2846" s="4"/>
      <c r="D2846" s="4"/>
      <c r="E2846" s="4"/>
    </row>
    <row r="2847">
      <c r="B2847" s="4"/>
      <c r="C2847" s="4"/>
      <c r="D2847" s="4"/>
      <c r="E2847" s="4"/>
    </row>
    <row r="2848">
      <c r="B2848" s="4"/>
      <c r="C2848" s="4"/>
      <c r="D2848" s="4"/>
      <c r="E2848" s="4"/>
    </row>
    <row r="2849">
      <c r="B2849" s="4"/>
      <c r="C2849" s="4"/>
      <c r="D2849" s="4"/>
      <c r="E2849" s="4"/>
    </row>
    <row r="2850">
      <c r="B2850" s="4"/>
      <c r="C2850" s="4"/>
      <c r="D2850" s="4"/>
      <c r="E2850" s="4"/>
    </row>
    <row r="2851">
      <c r="B2851" s="4"/>
      <c r="C2851" s="4"/>
      <c r="D2851" s="4"/>
      <c r="E2851" s="4"/>
    </row>
    <row r="2852">
      <c r="B2852" s="4"/>
      <c r="C2852" s="4"/>
      <c r="D2852" s="4"/>
      <c r="E2852" s="4"/>
    </row>
    <row r="2853">
      <c r="B2853" s="4"/>
      <c r="C2853" s="4"/>
      <c r="D2853" s="4"/>
      <c r="E2853" s="4"/>
    </row>
    <row r="2854">
      <c r="B2854" s="4"/>
      <c r="C2854" s="4"/>
      <c r="D2854" s="4"/>
      <c r="E2854" s="4"/>
    </row>
    <row r="2855">
      <c r="B2855" s="4"/>
      <c r="C2855" s="4"/>
      <c r="D2855" s="4"/>
      <c r="E2855" s="4"/>
    </row>
    <row r="2856">
      <c r="B2856" s="4"/>
      <c r="C2856" s="4"/>
      <c r="D2856" s="4"/>
      <c r="E2856" s="4"/>
    </row>
    <row r="2857">
      <c r="B2857" s="4"/>
      <c r="C2857" s="4"/>
      <c r="D2857" s="4"/>
      <c r="E2857" s="4"/>
    </row>
    <row r="2858">
      <c r="B2858" s="4"/>
      <c r="C2858" s="4"/>
      <c r="D2858" s="4"/>
      <c r="E2858" s="4"/>
    </row>
    <row r="2859">
      <c r="B2859" s="4"/>
      <c r="C2859" s="4"/>
      <c r="D2859" s="4"/>
      <c r="E2859" s="4"/>
    </row>
    <row r="2860">
      <c r="B2860" s="4"/>
      <c r="C2860" s="4"/>
      <c r="D2860" s="4"/>
      <c r="E2860" s="4"/>
    </row>
    <row r="2861">
      <c r="B2861" s="4"/>
      <c r="C2861" s="4"/>
      <c r="D2861" s="4"/>
      <c r="E2861" s="4"/>
    </row>
    <row r="2862">
      <c r="B2862" s="4"/>
      <c r="C2862" s="4"/>
      <c r="D2862" s="4"/>
      <c r="E2862" s="4"/>
    </row>
    <row r="2863">
      <c r="B2863" s="4"/>
      <c r="C2863" s="4"/>
      <c r="D2863" s="4"/>
      <c r="E2863" s="4"/>
    </row>
    <row r="2864">
      <c r="B2864" s="4"/>
      <c r="C2864" s="4"/>
      <c r="D2864" s="4"/>
      <c r="E2864" s="4"/>
    </row>
    <row r="2865">
      <c r="B2865" s="4"/>
      <c r="C2865" s="4"/>
      <c r="D2865" s="4"/>
      <c r="E2865" s="4"/>
    </row>
    <row r="2866">
      <c r="B2866" s="4"/>
      <c r="C2866" s="4"/>
      <c r="D2866" s="4"/>
      <c r="E2866" s="4"/>
    </row>
    <row r="2867">
      <c r="B2867" s="4"/>
      <c r="C2867" s="4"/>
      <c r="D2867" s="4"/>
      <c r="E2867" s="4"/>
    </row>
    <row r="2868">
      <c r="B2868" s="4"/>
      <c r="C2868" s="4"/>
      <c r="D2868" s="4"/>
      <c r="E2868" s="4"/>
    </row>
    <row r="2869">
      <c r="B2869" s="4"/>
      <c r="C2869" s="4"/>
      <c r="D2869" s="4"/>
      <c r="E2869" s="4"/>
    </row>
    <row r="2870">
      <c r="B2870" s="4"/>
      <c r="C2870" s="4"/>
      <c r="D2870" s="4"/>
      <c r="E2870" s="4"/>
    </row>
    <row r="2871">
      <c r="B2871" s="4"/>
      <c r="C2871" s="4"/>
      <c r="D2871" s="4"/>
      <c r="E2871" s="4"/>
    </row>
    <row r="2872">
      <c r="B2872" s="4"/>
      <c r="C2872" s="4"/>
      <c r="D2872" s="4"/>
      <c r="E2872" s="4"/>
    </row>
    <row r="2873">
      <c r="B2873" s="4"/>
      <c r="C2873" s="4"/>
      <c r="D2873" s="4"/>
      <c r="E2873" s="4"/>
    </row>
    <row r="2874">
      <c r="B2874" s="4"/>
      <c r="C2874" s="4"/>
      <c r="D2874" s="4"/>
      <c r="E2874" s="4"/>
    </row>
    <row r="2875">
      <c r="B2875" s="4"/>
      <c r="C2875" s="4"/>
      <c r="D2875" s="4"/>
      <c r="E2875" s="4"/>
    </row>
    <row r="2876">
      <c r="B2876" s="4"/>
      <c r="C2876" s="4"/>
      <c r="D2876" s="4"/>
      <c r="E2876" s="4"/>
    </row>
    <row r="2877">
      <c r="B2877" s="4"/>
      <c r="C2877" s="4"/>
      <c r="D2877" s="4"/>
      <c r="E2877" s="4"/>
    </row>
    <row r="2878">
      <c r="B2878" s="4"/>
      <c r="C2878" s="4"/>
      <c r="D2878" s="4"/>
      <c r="E2878" s="4"/>
    </row>
    <row r="2879">
      <c r="B2879" s="4"/>
      <c r="C2879" s="4"/>
      <c r="D2879" s="4"/>
      <c r="E2879" s="4"/>
    </row>
    <row r="2880">
      <c r="B2880" s="4"/>
      <c r="C2880" s="4"/>
      <c r="D2880" s="4"/>
      <c r="E2880" s="4"/>
    </row>
    <row r="2881">
      <c r="B2881" s="4"/>
      <c r="C2881" s="4"/>
      <c r="D2881" s="4"/>
      <c r="E2881" s="4"/>
    </row>
    <row r="2882">
      <c r="B2882" s="4"/>
      <c r="C2882" s="4"/>
      <c r="D2882" s="4"/>
      <c r="E2882" s="4"/>
    </row>
    <row r="2883">
      <c r="B2883" s="4"/>
      <c r="C2883" s="4"/>
      <c r="D2883" s="4"/>
      <c r="E2883" s="4"/>
    </row>
    <row r="2884">
      <c r="B2884" s="4"/>
      <c r="C2884" s="4"/>
      <c r="D2884" s="4"/>
      <c r="E2884" s="4"/>
    </row>
    <row r="2885">
      <c r="B2885" s="4"/>
      <c r="C2885" s="4"/>
      <c r="D2885" s="4"/>
      <c r="E2885" s="4"/>
    </row>
    <row r="2886">
      <c r="B2886" s="4"/>
      <c r="C2886" s="4"/>
      <c r="D2886" s="4"/>
      <c r="E2886" s="4"/>
    </row>
    <row r="2887">
      <c r="B2887" s="4"/>
      <c r="C2887" s="4"/>
      <c r="D2887" s="4"/>
      <c r="E2887" s="4"/>
    </row>
    <row r="2888">
      <c r="B2888" s="4"/>
      <c r="C2888" s="4"/>
      <c r="D2888" s="4"/>
      <c r="E2888" s="4"/>
    </row>
    <row r="2889">
      <c r="B2889" s="4"/>
      <c r="C2889" s="4"/>
      <c r="D2889" s="4"/>
      <c r="E2889" s="4"/>
    </row>
    <row r="2890">
      <c r="B2890" s="4"/>
      <c r="C2890" s="4"/>
      <c r="D2890" s="4"/>
      <c r="E2890" s="4"/>
    </row>
    <row r="2891">
      <c r="B2891" s="4"/>
      <c r="C2891" s="4"/>
      <c r="D2891" s="4"/>
      <c r="E2891" s="4"/>
    </row>
    <row r="2892">
      <c r="B2892" s="4"/>
      <c r="C2892" s="4"/>
      <c r="D2892" s="4"/>
      <c r="E2892" s="4"/>
    </row>
    <row r="2893">
      <c r="B2893" s="4"/>
      <c r="C2893" s="4"/>
      <c r="D2893" s="4"/>
      <c r="E2893" s="4"/>
    </row>
    <row r="2894">
      <c r="B2894" s="4"/>
      <c r="C2894" s="4"/>
      <c r="D2894" s="4"/>
      <c r="E2894" s="4"/>
    </row>
    <row r="2895">
      <c r="B2895" s="4"/>
      <c r="C2895" s="4"/>
      <c r="D2895" s="4"/>
      <c r="E2895" s="4"/>
    </row>
    <row r="2896">
      <c r="B2896" s="4"/>
      <c r="C2896" s="4"/>
      <c r="D2896" s="4"/>
      <c r="E2896" s="4"/>
    </row>
    <row r="2897">
      <c r="B2897" s="4"/>
      <c r="C2897" s="4"/>
      <c r="D2897" s="4"/>
      <c r="E2897" s="4"/>
    </row>
    <row r="2898">
      <c r="B2898" s="4"/>
      <c r="C2898" s="4"/>
      <c r="D2898" s="4"/>
      <c r="E2898" s="4"/>
    </row>
    <row r="2899">
      <c r="B2899" s="4"/>
      <c r="C2899" s="4"/>
      <c r="D2899" s="4"/>
      <c r="E2899" s="4"/>
    </row>
    <row r="2900">
      <c r="B2900" s="4"/>
      <c r="C2900" s="4"/>
      <c r="D2900" s="4"/>
      <c r="E2900" s="4"/>
    </row>
    <row r="2901">
      <c r="B2901" s="4"/>
      <c r="C2901" s="4"/>
      <c r="D2901" s="4"/>
      <c r="E2901" s="4"/>
    </row>
    <row r="2902">
      <c r="B2902" s="4"/>
      <c r="C2902" s="4"/>
      <c r="D2902" s="4"/>
      <c r="E2902" s="4"/>
    </row>
    <row r="2903">
      <c r="B2903" s="4"/>
      <c r="C2903" s="4"/>
      <c r="D2903" s="4"/>
      <c r="E2903" s="4"/>
    </row>
    <row r="2904">
      <c r="B2904" s="4"/>
      <c r="C2904" s="4"/>
      <c r="D2904" s="4"/>
      <c r="E2904" s="4"/>
    </row>
    <row r="2905">
      <c r="B2905" s="4"/>
      <c r="C2905" s="4"/>
      <c r="D2905" s="4"/>
      <c r="E2905" s="4"/>
    </row>
    <row r="2906">
      <c r="B2906" s="4"/>
      <c r="C2906" s="4"/>
      <c r="D2906" s="4"/>
      <c r="E2906" s="4"/>
    </row>
    <row r="2907">
      <c r="B2907" s="4"/>
      <c r="C2907" s="4"/>
      <c r="D2907" s="4"/>
      <c r="E2907" s="4"/>
    </row>
    <row r="2908">
      <c r="B2908" s="4"/>
      <c r="C2908" s="4"/>
      <c r="D2908" s="4"/>
      <c r="E2908" s="4"/>
    </row>
    <row r="2909">
      <c r="B2909" s="4"/>
      <c r="C2909" s="4"/>
      <c r="D2909" s="4"/>
      <c r="E2909" s="4"/>
    </row>
    <row r="2910">
      <c r="B2910" s="4"/>
      <c r="C2910" s="4"/>
      <c r="D2910" s="4"/>
      <c r="E2910" s="4"/>
    </row>
    <row r="2911">
      <c r="B2911" s="4"/>
      <c r="C2911" s="4"/>
      <c r="D2911" s="4"/>
      <c r="E2911" s="4"/>
    </row>
    <row r="2912">
      <c r="B2912" s="4"/>
      <c r="C2912" s="4"/>
      <c r="D2912" s="4"/>
      <c r="E2912" s="4"/>
    </row>
    <row r="2913">
      <c r="B2913" s="4"/>
      <c r="C2913" s="4"/>
      <c r="D2913" s="4"/>
      <c r="E2913" s="4"/>
    </row>
    <row r="2914">
      <c r="B2914" s="4"/>
      <c r="C2914" s="4"/>
      <c r="D2914" s="4"/>
      <c r="E2914" s="4"/>
    </row>
    <row r="2915">
      <c r="B2915" s="4"/>
      <c r="C2915" s="4"/>
      <c r="D2915" s="4"/>
      <c r="E2915" s="4"/>
    </row>
    <row r="2916">
      <c r="B2916" s="4"/>
      <c r="C2916" s="4"/>
      <c r="D2916" s="4"/>
      <c r="E2916" s="4"/>
    </row>
    <row r="2917">
      <c r="B2917" s="4"/>
      <c r="C2917" s="4"/>
      <c r="D2917" s="4"/>
      <c r="E2917" s="4"/>
    </row>
    <row r="2918">
      <c r="B2918" s="4"/>
      <c r="C2918" s="4"/>
      <c r="D2918" s="4"/>
      <c r="E2918" s="4"/>
    </row>
    <row r="2919">
      <c r="B2919" s="4"/>
      <c r="C2919" s="4"/>
      <c r="D2919" s="4"/>
      <c r="E2919" s="4"/>
    </row>
    <row r="2920">
      <c r="B2920" s="4"/>
      <c r="C2920" s="4"/>
      <c r="D2920" s="4"/>
      <c r="E2920" s="4"/>
    </row>
    <row r="2921">
      <c r="B2921" s="4"/>
      <c r="C2921" s="4"/>
      <c r="D2921" s="4"/>
      <c r="E2921" s="4"/>
    </row>
    <row r="2922">
      <c r="B2922" s="4"/>
      <c r="C2922" s="4"/>
      <c r="D2922" s="4"/>
      <c r="E2922" s="4"/>
    </row>
    <row r="2923">
      <c r="B2923" s="4"/>
      <c r="C2923" s="4"/>
      <c r="D2923" s="4"/>
      <c r="E2923" s="4"/>
    </row>
    <row r="2924">
      <c r="B2924" s="4"/>
      <c r="C2924" s="4"/>
      <c r="D2924" s="4"/>
      <c r="E2924" s="4"/>
    </row>
    <row r="2925">
      <c r="B2925" s="4"/>
      <c r="C2925" s="4"/>
      <c r="D2925" s="4"/>
      <c r="E2925" s="4"/>
    </row>
    <row r="2926">
      <c r="B2926" s="4"/>
      <c r="C2926" s="4"/>
      <c r="D2926" s="4"/>
      <c r="E2926" s="4"/>
    </row>
    <row r="2927">
      <c r="B2927" s="4"/>
      <c r="C2927" s="4"/>
      <c r="D2927" s="4"/>
      <c r="E2927" s="4"/>
    </row>
    <row r="2928">
      <c r="B2928" s="4"/>
      <c r="C2928" s="4"/>
      <c r="D2928" s="4"/>
      <c r="E2928" s="4"/>
    </row>
    <row r="2929">
      <c r="B2929" s="4"/>
      <c r="C2929" s="4"/>
      <c r="D2929" s="4"/>
      <c r="E2929" s="4"/>
    </row>
    <row r="2930">
      <c r="B2930" s="4"/>
      <c r="C2930" s="4"/>
      <c r="D2930" s="4"/>
      <c r="E2930" s="4"/>
    </row>
    <row r="2931">
      <c r="B2931" s="4"/>
      <c r="C2931" s="4"/>
      <c r="D2931" s="4"/>
      <c r="E2931" s="4"/>
    </row>
    <row r="2932">
      <c r="B2932" s="4"/>
      <c r="C2932" s="4"/>
      <c r="D2932" s="4"/>
      <c r="E2932" s="4"/>
    </row>
    <row r="2933">
      <c r="B2933" s="4"/>
      <c r="C2933" s="4"/>
      <c r="D2933" s="4"/>
      <c r="E2933" s="4"/>
    </row>
    <row r="2934">
      <c r="B2934" s="4"/>
      <c r="C2934" s="4"/>
      <c r="D2934" s="4"/>
      <c r="E2934" s="4"/>
    </row>
    <row r="2935">
      <c r="B2935" s="4"/>
      <c r="C2935" s="4"/>
      <c r="D2935" s="4"/>
      <c r="E2935" s="4"/>
    </row>
    <row r="2936">
      <c r="B2936" s="4"/>
      <c r="C2936" s="4"/>
      <c r="D2936" s="4"/>
      <c r="E2936" s="4"/>
    </row>
    <row r="2937">
      <c r="B2937" s="4"/>
      <c r="C2937" s="4"/>
      <c r="D2937" s="4"/>
      <c r="E2937" s="4"/>
    </row>
    <row r="2938">
      <c r="B2938" s="4"/>
      <c r="C2938" s="4"/>
      <c r="D2938" s="4"/>
      <c r="E2938" s="4"/>
    </row>
    <row r="2939">
      <c r="B2939" s="4"/>
      <c r="C2939" s="4"/>
      <c r="D2939" s="4"/>
      <c r="E2939" s="4"/>
    </row>
    <row r="2940">
      <c r="B2940" s="4"/>
      <c r="C2940" s="4"/>
      <c r="D2940" s="4"/>
      <c r="E2940" s="4"/>
    </row>
    <row r="2941">
      <c r="B2941" s="4"/>
      <c r="C2941" s="4"/>
      <c r="D2941" s="4"/>
      <c r="E2941" s="4"/>
    </row>
    <row r="2942">
      <c r="B2942" s="4"/>
      <c r="C2942" s="4"/>
      <c r="D2942" s="4"/>
      <c r="E2942" s="4"/>
    </row>
    <row r="2943">
      <c r="B2943" s="4"/>
      <c r="C2943" s="4"/>
      <c r="D2943" s="4"/>
      <c r="E2943" s="4"/>
    </row>
    <row r="2944">
      <c r="B2944" s="4"/>
      <c r="C2944" s="4"/>
      <c r="D2944" s="4"/>
      <c r="E2944" s="4"/>
    </row>
    <row r="2945">
      <c r="B2945" s="4"/>
      <c r="C2945" s="4"/>
      <c r="D2945" s="4"/>
      <c r="E2945" s="4"/>
    </row>
    <row r="2946">
      <c r="B2946" s="4"/>
      <c r="C2946" s="4"/>
      <c r="D2946" s="4"/>
      <c r="E2946" s="4"/>
    </row>
    <row r="2947">
      <c r="B2947" s="4"/>
      <c r="C2947" s="4"/>
      <c r="D2947" s="4"/>
      <c r="E2947" s="4"/>
    </row>
    <row r="2948">
      <c r="B2948" s="4"/>
      <c r="C2948" s="4"/>
      <c r="D2948" s="4"/>
      <c r="E2948" s="4"/>
    </row>
    <row r="2949">
      <c r="B2949" s="4"/>
      <c r="C2949" s="4"/>
      <c r="D2949" s="4"/>
      <c r="E2949" s="4"/>
    </row>
    <row r="2950">
      <c r="B2950" s="4"/>
      <c r="C2950" s="4"/>
      <c r="D2950" s="4"/>
      <c r="E2950" s="4"/>
    </row>
    <row r="2951">
      <c r="B2951" s="4"/>
      <c r="C2951" s="4"/>
      <c r="D2951" s="4"/>
      <c r="E2951" s="4"/>
    </row>
    <row r="2952">
      <c r="B2952" s="4"/>
      <c r="C2952" s="4"/>
      <c r="D2952" s="4"/>
      <c r="E2952" s="4"/>
    </row>
    <row r="2953">
      <c r="B2953" s="4"/>
      <c r="C2953" s="4"/>
      <c r="D2953" s="4"/>
      <c r="E2953" s="4"/>
    </row>
    <row r="2954">
      <c r="B2954" s="4"/>
      <c r="C2954" s="4"/>
      <c r="D2954" s="4"/>
      <c r="E2954" s="4"/>
    </row>
    <row r="2955">
      <c r="B2955" s="4"/>
      <c r="C2955" s="4"/>
      <c r="D2955" s="4"/>
      <c r="E2955" s="4"/>
    </row>
    <row r="2956">
      <c r="B2956" s="4"/>
      <c r="C2956" s="4"/>
      <c r="D2956" s="4"/>
      <c r="E2956" s="4"/>
    </row>
    <row r="2957">
      <c r="B2957" s="4"/>
      <c r="C2957" s="4"/>
      <c r="D2957" s="4"/>
      <c r="E2957" s="4"/>
    </row>
    <row r="2958">
      <c r="B2958" s="4"/>
      <c r="C2958" s="4"/>
      <c r="D2958" s="4"/>
      <c r="E2958" s="4"/>
    </row>
    <row r="2959">
      <c r="B2959" s="4"/>
      <c r="C2959" s="4"/>
      <c r="D2959" s="4"/>
      <c r="E2959" s="4"/>
    </row>
    <row r="2960">
      <c r="B2960" s="4"/>
      <c r="C2960" s="4"/>
      <c r="D2960" s="4"/>
      <c r="E2960" s="4"/>
    </row>
    <row r="2961">
      <c r="B2961" s="4"/>
      <c r="C2961" s="4"/>
      <c r="D2961" s="4"/>
      <c r="E2961" s="4"/>
    </row>
    <row r="2962">
      <c r="B2962" s="4"/>
      <c r="C2962" s="4"/>
      <c r="D2962" s="4"/>
      <c r="E2962" s="4"/>
    </row>
    <row r="2963">
      <c r="B2963" s="4"/>
      <c r="C2963" s="4"/>
      <c r="D2963" s="4"/>
      <c r="E2963" s="4"/>
    </row>
    <row r="2964">
      <c r="B2964" s="4"/>
      <c r="C2964" s="4"/>
      <c r="D2964" s="4"/>
      <c r="E2964" s="4"/>
    </row>
    <row r="2965">
      <c r="B2965" s="4"/>
      <c r="C2965" s="4"/>
      <c r="D2965" s="4"/>
      <c r="E2965" s="4"/>
    </row>
    <row r="2966">
      <c r="B2966" s="4"/>
      <c r="C2966" s="4"/>
      <c r="D2966" s="4"/>
      <c r="E2966" s="4"/>
    </row>
    <row r="2967">
      <c r="B2967" s="4"/>
      <c r="C2967" s="4"/>
      <c r="D2967" s="4"/>
      <c r="E2967" s="4"/>
    </row>
    <row r="2968">
      <c r="B2968" s="4"/>
      <c r="C2968" s="4"/>
      <c r="D2968" s="4"/>
      <c r="E2968" s="4"/>
    </row>
    <row r="2969">
      <c r="B2969" s="4"/>
      <c r="C2969" s="4"/>
      <c r="D2969" s="4"/>
      <c r="E2969" s="4"/>
    </row>
    <row r="2970">
      <c r="B2970" s="4"/>
      <c r="C2970" s="4"/>
      <c r="D2970" s="4"/>
      <c r="E2970" s="4"/>
    </row>
    <row r="2971">
      <c r="B2971" s="4"/>
      <c r="C2971" s="4"/>
      <c r="D2971" s="4"/>
      <c r="E2971" s="4"/>
    </row>
    <row r="2972">
      <c r="B2972" s="4"/>
      <c r="C2972" s="4"/>
      <c r="D2972" s="4"/>
      <c r="E2972" s="4"/>
    </row>
    <row r="2973">
      <c r="B2973" s="4"/>
      <c r="C2973" s="4"/>
      <c r="D2973" s="4"/>
      <c r="E2973" s="4"/>
    </row>
    <row r="2974">
      <c r="B2974" s="4"/>
      <c r="C2974" s="4"/>
      <c r="D2974" s="4"/>
      <c r="E2974" s="4"/>
    </row>
    <row r="2975">
      <c r="B2975" s="4"/>
      <c r="C2975" s="4"/>
      <c r="D2975" s="4"/>
      <c r="E2975" s="4"/>
    </row>
    <row r="2976">
      <c r="B2976" s="4"/>
      <c r="C2976" s="4"/>
      <c r="D2976" s="4"/>
      <c r="E2976" s="4"/>
    </row>
    <row r="2977">
      <c r="B2977" s="4"/>
      <c r="C2977" s="4"/>
      <c r="D2977" s="4"/>
      <c r="E2977" s="4"/>
    </row>
    <row r="2978">
      <c r="B2978" s="4"/>
      <c r="C2978" s="4"/>
      <c r="D2978" s="4"/>
      <c r="E2978" s="4"/>
    </row>
    <row r="2979">
      <c r="B2979" s="4"/>
      <c r="C2979" s="4"/>
      <c r="D2979" s="4"/>
      <c r="E2979" s="4"/>
    </row>
    <row r="2980">
      <c r="B2980" s="4"/>
      <c r="C2980" s="4"/>
      <c r="D2980" s="4"/>
      <c r="E2980" s="4"/>
    </row>
    <row r="2981">
      <c r="B2981" s="4"/>
      <c r="C2981" s="4"/>
      <c r="D2981" s="4"/>
      <c r="E2981" s="4"/>
    </row>
    <row r="2982">
      <c r="B2982" s="4"/>
      <c r="C2982" s="4"/>
      <c r="D2982" s="4"/>
      <c r="E2982" s="4"/>
    </row>
    <row r="2983">
      <c r="B2983" s="4"/>
      <c r="C2983" s="4"/>
      <c r="D2983" s="4"/>
      <c r="E2983" s="4"/>
    </row>
    <row r="2984">
      <c r="B2984" s="4"/>
      <c r="C2984" s="4"/>
      <c r="D2984" s="4"/>
      <c r="E2984" s="4"/>
    </row>
    <row r="2985">
      <c r="B2985" s="4"/>
      <c r="C2985" s="4"/>
      <c r="D2985" s="4"/>
      <c r="E2985" s="4"/>
    </row>
    <row r="2986">
      <c r="B2986" s="4"/>
      <c r="C2986" s="4"/>
      <c r="D2986" s="4"/>
      <c r="E2986" s="4"/>
    </row>
    <row r="2987">
      <c r="B2987" s="4"/>
      <c r="C2987" s="4"/>
      <c r="D2987" s="4"/>
      <c r="E2987" s="4"/>
    </row>
    <row r="2988">
      <c r="B2988" s="4"/>
      <c r="C2988" s="4"/>
      <c r="D2988" s="4"/>
      <c r="E2988" s="4"/>
    </row>
    <row r="2989">
      <c r="B2989" s="4"/>
      <c r="C2989" s="4"/>
      <c r="D2989" s="4"/>
      <c r="E2989" s="4"/>
    </row>
    <row r="2990">
      <c r="B2990" s="4"/>
      <c r="C2990" s="4"/>
      <c r="D2990" s="4"/>
      <c r="E2990" s="4"/>
    </row>
    <row r="2991">
      <c r="B2991" s="4"/>
      <c r="C2991" s="4"/>
      <c r="D2991" s="4"/>
      <c r="E2991" s="4"/>
    </row>
    <row r="2992">
      <c r="B2992" s="4"/>
      <c r="C2992" s="4"/>
      <c r="D2992" s="4"/>
      <c r="E2992" s="4"/>
    </row>
    <row r="2993">
      <c r="B2993" s="4"/>
      <c r="C2993" s="4"/>
      <c r="D2993" s="4"/>
      <c r="E2993" s="4"/>
    </row>
    <row r="2994">
      <c r="B2994" s="4"/>
      <c r="C2994" s="4"/>
      <c r="D2994" s="4"/>
      <c r="E2994" s="4"/>
    </row>
    <row r="2995">
      <c r="B2995" s="4"/>
      <c r="C2995" s="4"/>
      <c r="D2995" s="4"/>
      <c r="E2995" s="4"/>
    </row>
    <row r="2996">
      <c r="B2996" s="4"/>
      <c r="C2996" s="4"/>
      <c r="D2996" s="4"/>
      <c r="E2996" s="4"/>
    </row>
    <row r="2997">
      <c r="B2997" s="4"/>
      <c r="C2997" s="4"/>
      <c r="D2997" s="4"/>
      <c r="E2997" s="4"/>
    </row>
    <row r="2998">
      <c r="B2998" s="4"/>
      <c r="C2998" s="4"/>
      <c r="D2998" s="4"/>
      <c r="E2998" s="4"/>
    </row>
    <row r="2999">
      <c r="B2999" s="4"/>
      <c r="C2999" s="4"/>
      <c r="D2999" s="4"/>
      <c r="E2999" s="4"/>
    </row>
    <row r="3000">
      <c r="B3000" s="4"/>
      <c r="C3000" s="4"/>
      <c r="D3000" s="4"/>
      <c r="E3000" s="4"/>
    </row>
    <row r="3001">
      <c r="B3001" s="4"/>
      <c r="C3001" s="4"/>
      <c r="D3001" s="4"/>
      <c r="E3001" s="4"/>
    </row>
    <row r="3002">
      <c r="B3002" s="4"/>
      <c r="C3002" s="4"/>
      <c r="D3002" s="4"/>
      <c r="E3002" s="4"/>
    </row>
    <row r="3003">
      <c r="B3003" s="4"/>
      <c r="C3003" s="4"/>
      <c r="D3003" s="4"/>
      <c r="E3003" s="4"/>
    </row>
    <row r="3004">
      <c r="B3004" s="4"/>
      <c r="C3004" s="4"/>
      <c r="D3004" s="4"/>
      <c r="E3004" s="4"/>
    </row>
    <row r="3005">
      <c r="B3005" s="4"/>
      <c r="C3005" s="4"/>
      <c r="D3005" s="4"/>
      <c r="E3005" s="4"/>
    </row>
    <row r="3006">
      <c r="B3006" s="4"/>
      <c r="C3006" s="4"/>
      <c r="D3006" s="4"/>
      <c r="E3006" s="4"/>
    </row>
    <row r="3007">
      <c r="B3007" s="4"/>
      <c r="C3007" s="4"/>
      <c r="D3007" s="4"/>
      <c r="E3007" s="4"/>
    </row>
    <row r="3008">
      <c r="B3008" s="4"/>
      <c r="C3008" s="4"/>
      <c r="D3008" s="4"/>
      <c r="E3008" s="4"/>
    </row>
    <row r="3009">
      <c r="B3009" s="4"/>
      <c r="C3009" s="4"/>
      <c r="D3009" s="4"/>
      <c r="E3009" s="4"/>
    </row>
    <row r="3010">
      <c r="B3010" s="4"/>
      <c r="C3010" s="4"/>
      <c r="D3010" s="4"/>
      <c r="E3010" s="4"/>
    </row>
    <row r="3011">
      <c r="B3011" s="4"/>
      <c r="C3011" s="4"/>
      <c r="D3011" s="4"/>
      <c r="E3011" s="4"/>
    </row>
    <row r="3012">
      <c r="B3012" s="4"/>
      <c r="C3012" s="4"/>
      <c r="D3012" s="4"/>
      <c r="E3012" s="4"/>
    </row>
    <row r="3013">
      <c r="B3013" s="4"/>
      <c r="C3013" s="4"/>
      <c r="D3013" s="4"/>
      <c r="E3013" s="4"/>
    </row>
    <row r="3014">
      <c r="B3014" s="4"/>
      <c r="C3014" s="4"/>
      <c r="D3014" s="4"/>
      <c r="E3014" s="4"/>
    </row>
    <row r="3015">
      <c r="B3015" s="4"/>
      <c r="C3015" s="4"/>
      <c r="D3015" s="4"/>
      <c r="E3015" s="4"/>
    </row>
    <row r="3016">
      <c r="B3016" s="4"/>
      <c r="C3016" s="4"/>
      <c r="D3016" s="4"/>
      <c r="E3016" s="4"/>
    </row>
    <row r="3017">
      <c r="B3017" s="4"/>
      <c r="C3017" s="4"/>
      <c r="D3017" s="4"/>
      <c r="E3017" s="4"/>
    </row>
    <row r="3018">
      <c r="B3018" s="4"/>
      <c r="C3018" s="4"/>
      <c r="D3018" s="4"/>
      <c r="E3018" s="4"/>
    </row>
    <row r="3019">
      <c r="B3019" s="4"/>
      <c r="C3019" s="4"/>
      <c r="D3019" s="4"/>
      <c r="E3019" s="4"/>
    </row>
    <row r="3020">
      <c r="B3020" s="4"/>
      <c r="C3020" s="4"/>
      <c r="D3020" s="4"/>
      <c r="E3020" s="4"/>
    </row>
    <row r="3021">
      <c r="B3021" s="4"/>
      <c r="C3021" s="4"/>
      <c r="D3021" s="4"/>
      <c r="E3021" s="4"/>
    </row>
    <row r="3022">
      <c r="B3022" s="4"/>
      <c r="C3022" s="4"/>
      <c r="D3022" s="4"/>
      <c r="E3022" s="4"/>
    </row>
    <row r="3023">
      <c r="B3023" s="4"/>
      <c r="C3023" s="4"/>
      <c r="D3023" s="4"/>
      <c r="E3023" s="4"/>
    </row>
    <row r="3024">
      <c r="B3024" s="4"/>
      <c r="C3024" s="4"/>
      <c r="D3024" s="4"/>
      <c r="E3024" s="4"/>
    </row>
    <row r="3025">
      <c r="B3025" s="4"/>
      <c r="C3025" s="4"/>
      <c r="D3025" s="4"/>
      <c r="E3025" s="4"/>
    </row>
    <row r="3026">
      <c r="B3026" s="4"/>
      <c r="C3026" s="4"/>
      <c r="D3026" s="4"/>
      <c r="E3026" s="4"/>
    </row>
    <row r="3027">
      <c r="B3027" s="4"/>
      <c r="C3027" s="4"/>
      <c r="D3027" s="4"/>
      <c r="E3027" s="4"/>
    </row>
    <row r="3028">
      <c r="B3028" s="4"/>
      <c r="C3028" s="4"/>
      <c r="D3028" s="4"/>
      <c r="E3028" s="4"/>
    </row>
    <row r="3029">
      <c r="B3029" s="4"/>
      <c r="C3029" s="4"/>
      <c r="D3029" s="4"/>
      <c r="E3029" s="4"/>
    </row>
    <row r="3030">
      <c r="B3030" s="4"/>
      <c r="C3030" s="4"/>
      <c r="D3030" s="4"/>
      <c r="E3030" s="4"/>
    </row>
    <row r="3031">
      <c r="B3031" s="4"/>
      <c r="C3031" s="4"/>
      <c r="D3031" s="4"/>
      <c r="E3031" s="4"/>
    </row>
    <row r="3032">
      <c r="B3032" s="4"/>
      <c r="C3032" s="4"/>
      <c r="D3032" s="4"/>
      <c r="E3032" s="4"/>
    </row>
    <row r="3033">
      <c r="B3033" s="4"/>
      <c r="C3033" s="4"/>
      <c r="D3033" s="4"/>
      <c r="E3033" s="4"/>
    </row>
    <row r="3034">
      <c r="B3034" s="4"/>
      <c r="C3034" s="4"/>
      <c r="D3034" s="4"/>
      <c r="E3034" s="4"/>
    </row>
    <row r="3035">
      <c r="B3035" s="4"/>
      <c r="C3035" s="4"/>
      <c r="D3035" s="4"/>
      <c r="E3035" s="4"/>
    </row>
    <row r="3036">
      <c r="B3036" s="4"/>
      <c r="C3036" s="4"/>
      <c r="D3036" s="4"/>
      <c r="E3036" s="4"/>
    </row>
    <row r="3037">
      <c r="B3037" s="4"/>
      <c r="C3037" s="4"/>
      <c r="D3037" s="4"/>
      <c r="E3037" s="4"/>
    </row>
    <row r="3038">
      <c r="B3038" s="4"/>
      <c r="C3038" s="4"/>
      <c r="D3038" s="4"/>
      <c r="E3038" s="4"/>
    </row>
    <row r="3039">
      <c r="B3039" s="4"/>
      <c r="C3039" s="4"/>
      <c r="D3039" s="4"/>
      <c r="E3039" s="4"/>
    </row>
    <row r="3040">
      <c r="B3040" s="4"/>
      <c r="C3040" s="4"/>
      <c r="D3040" s="4"/>
      <c r="E3040" s="4"/>
    </row>
    <row r="3041">
      <c r="B3041" s="4"/>
      <c r="C3041" s="4"/>
      <c r="D3041" s="4"/>
      <c r="E3041" s="4"/>
    </row>
    <row r="3042">
      <c r="B3042" s="4"/>
      <c r="C3042" s="4"/>
      <c r="D3042" s="4"/>
      <c r="E3042" s="4"/>
    </row>
    <row r="3043">
      <c r="B3043" s="4"/>
      <c r="C3043" s="4"/>
      <c r="D3043" s="4"/>
      <c r="E3043" s="4"/>
    </row>
    <row r="3044">
      <c r="B3044" s="4"/>
      <c r="C3044" s="4"/>
      <c r="D3044" s="4"/>
      <c r="E3044" s="4"/>
    </row>
    <row r="3045">
      <c r="B3045" s="4"/>
      <c r="C3045" s="4"/>
      <c r="D3045" s="4"/>
      <c r="E3045" s="4"/>
    </row>
    <row r="3046">
      <c r="B3046" s="4"/>
      <c r="C3046" s="4"/>
      <c r="D3046" s="4"/>
      <c r="E3046" s="4"/>
    </row>
    <row r="3047">
      <c r="B3047" s="4"/>
      <c r="C3047" s="4"/>
      <c r="D3047" s="4"/>
      <c r="E3047" s="4"/>
    </row>
    <row r="3048">
      <c r="B3048" s="4"/>
      <c r="C3048" s="4"/>
      <c r="D3048" s="4"/>
      <c r="E3048" s="4"/>
    </row>
    <row r="3049">
      <c r="B3049" s="4"/>
      <c r="C3049" s="4"/>
      <c r="D3049" s="4"/>
      <c r="E3049" s="4"/>
    </row>
    <row r="3050">
      <c r="B3050" s="4"/>
      <c r="C3050" s="4"/>
      <c r="D3050" s="4"/>
      <c r="E3050" s="4"/>
    </row>
    <row r="3051">
      <c r="B3051" s="4"/>
      <c r="C3051" s="4"/>
      <c r="D3051" s="4"/>
      <c r="E3051" s="4"/>
    </row>
    <row r="3052">
      <c r="B3052" s="4"/>
      <c r="C3052" s="4"/>
      <c r="D3052" s="4"/>
      <c r="E3052" s="4"/>
    </row>
    <row r="3053">
      <c r="B3053" s="4"/>
      <c r="C3053" s="4"/>
      <c r="D3053" s="4"/>
      <c r="E3053" s="4"/>
    </row>
    <row r="3054">
      <c r="B3054" s="4"/>
      <c r="C3054" s="4"/>
      <c r="D3054" s="4"/>
      <c r="E3054" s="4"/>
    </row>
    <row r="3055">
      <c r="B3055" s="4"/>
      <c r="C3055" s="4"/>
      <c r="D3055" s="4"/>
      <c r="E3055" s="4"/>
    </row>
    <row r="3056">
      <c r="B3056" s="4"/>
      <c r="C3056" s="4"/>
      <c r="D3056" s="4"/>
      <c r="E3056" s="4"/>
    </row>
    <row r="3057">
      <c r="B3057" s="4"/>
      <c r="C3057" s="4"/>
      <c r="D3057" s="4"/>
      <c r="E3057" s="4"/>
    </row>
    <row r="3058">
      <c r="B3058" s="4"/>
      <c r="C3058" s="4"/>
      <c r="D3058" s="4"/>
      <c r="E3058" s="4"/>
    </row>
    <row r="3059">
      <c r="B3059" s="4"/>
      <c r="C3059" s="4"/>
      <c r="D3059" s="4"/>
      <c r="E3059" s="4"/>
    </row>
    <row r="3060">
      <c r="B3060" s="4"/>
      <c r="C3060" s="4"/>
      <c r="D3060" s="4"/>
      <c r="E3060" s="4"/>
    </row>
    <row r="3061">
      <c r="B3061" s="4"/>
      <c r="C3061" s="4"/>
      <c r="D3061" s="4"/>
      <c r="E3061" s="4"/>
    </row>
    <row r="3062">
      <c r="B3062" s="4"/>
      <c r="C3062" s="4"/>
      <c r="D3062" s="4"/>
      <c r="E3062" s="4"/>
    </row>
    <row r="3063">
      <c r="B3063" s="4"/>
      <c r="C3063" s="4"/>
      <c r="D3063" s="4"/>
      <c r="E3063" s="4"/>
    </row>
    <row r="3064">
      <c r="B3064" s="4"/>
      <c r="C3064" s="4"/>
      <c r="D3064" s="4"/>
      <c r="E3064" s="4"/>
    </row>
    <row r="3065">
      <c r="B3065" s="4"/>
      <c r="C3065" s="4"/>
      <c r="D3065" s="4"/>
      <c r="E3065" s="4"/>
    </row>
    <row r="3066">
      <c r="B3066" s="4"/>
      <c r="C3066" s="4"/>
      <c r="D3066" s="4"/>
      <c r="E3066" s="4"/>
    </row>
    <row r="3067">
      <c r="B3067" s="4"/>
      <c r="C3067" s="4"/>
      <c r="D3067" s="4"/>
      <c r="E3067" s="4"/>
    </row>
    <row r="3068">
      <c r="B3068" s="4"/>
      <c r="C3068" s="4"/>
      <c r="D3068" s="4"/>
      <c r="E3068" s="4"/>
    </row>
    <row r="3069">
      <c r="B3069" s="4"/>
      <c r="C3069" s="4"/>
      <c r="D3069" s="4"/>
      <c r="E3069" s="4"/>
    </row>
    <row r="3070">
      <c r="B3070" s="4"/>
      <c r="C3070" s="4"/>
      <c r="D3070" s="4"/>
      <c r="E3070" s="4"/>
    </row>
    <row r="3071">
      <c r="B3071" s="4"/>
      <c r="C3071" s="4"/>
      <c r="D3071" s="4"/>
      <c r="E3071" s="4"/>
    </row>
    <row r="3072">
      <c r="B3072" s="4"/>
      <c r="C3072" s="4"/>
      <c r="D3072" s="4"/>
      <c r="E3072" s="4"/>
    </row>
    <row r="3073">
      <c r="B3073" s="4"/>
      <c r="C3073" s="4"/>
      <c r="D3073" s="4"/>
      <c r="E3073" s="4"/>
    </row>
    <row r="3074">
      <c r="B3074" s="4"/>
      <c r="C3074" s="4"/>
      <c r="D3074" s="4"/>
      <c r="E3074" s="4"/>
    </row>
    <row r="3075">
      <c r="B3075" s="4"/>
      <c r="C3075" s="4"/>
      <c r="D3075" s="4"/>
      <c r="E3075" s="4"/>
    </row>
    <row r="3076">
      <c r="B3076" s="4"/>
      <c r="C3076" s="4"/>
      <c r="D3076" s="4"/>
      <c r="E3076" s="4"/>
    </row>
    <row r="3077">
      <c r="B3077" s="4"/>
      <c r="C3077" s="4"/>
      <c r="D3077" s="4"/>
      <c r="E3077" s="4"/>
    </row>
    <row r="3078">
      <c r="B3078" s="4"/>
      <c r="C3078" s="4"/>
      <c r="D3078" s="4"/>
      <c r="E3078" s="4"/>
    </row>
    <row r="3079">
      <c r="B3079" s="4"/>
      <c r="C3079" s="4"/>
      <c r="D3079" s="4"/>
      <c r="E3079" s="4"/>
    </row>
    <row r="3080">
      <c r="B3080" s="4"/>
      <c r="C3080" s="4"/>
      <c r="D3080" s="4"/>
      <c r="E3080" s="4"/>
    </row>
    <row r="3081">
      <c r="B3081" s="4"/>
      <c r="C3081" s="4"/>
      <c r="D3081" s="4"/>
      <c r="E3081" s="4"/>
    </row>
    <row r="3082">
      <c r="B3082" s="4"/>
      <c r="C3082" s="4"/>
      <c r="D3082" s="4"/>
      <c r="E3082" s="4"/>
    </row>
    <row r="3083">
      <c r="B3083" s="4"/>
      <c r="C3083" s="4"/>
      <c r="D3083" s="4"/>
      <c r="E3083" s="4"/>
    </row>
    <row r="3084">
      <c r="B3084" s="4"/>
      <c r="C3084" s="4"/>
      <c r="D3084" s="4"/>
      <c r="E3084" s="4"/>
    </row>
    <row r="3085">
      <c r="B3085" s="4"/>
      <c r="C3085" s="4"/>
      <c r="D3085" s="4"/>
      <c r="E3085" s="4"/>
    </row>
    <row r="3086">
      <c r="B3086" s="4"/>
      <c r="C3086" s="4"/>
      <c r="D3086" s="4"/>
      <c r="E3086" s="4"/>
    </row>
    <row r="3087">
      <c r="B3087" s="4"/>
      <c r="C3087" s="4"/>
      <c r="D3087" s="4"/>
      <c r="E3087" s="4"/>
    </row>
    <row r="3088">
      <c r="B3088" s="4"/>
      <c r="C3088" s="4"/>
      <c r="D3088" s="4"/>
      <c r="E3088" s="4"/>
    </row>
    <row r="3089">
      <c r="B3089" s="4"/>
      <c r="C3089" s="4"/>
      <c r="D3089" s="4"/>
      <c r="E3089" s="4"/>
    </row>
    <row r="3090">
      <c r="B3090" s="4"/>
      <c r="C3090" s="4"/>
      <c r="D3090" s="4"/>
      <c r="E3090" s="4"/>
    </row>
    <row r="3091">
      <c r="B3091" s="4"/>
      <c r="C3091" s="4"/>
      <c r="D3091" s="4"/>
      <c r="E3091" s="4"/>
    </row>
    <row r="3092">
      <c r="B3092" s="4"/>
      <c r="C3092" s="4"/>
      <c r="D3092" s="4"/>
      <c r="E3092" s="4"/>
    </row>
    <row r="3093">
      <c r="B3093" s="4"/>
      <c r="C3093" s="4"/>
      <c r="D3093" s="4"/>
      <c r="E3093" s="4"/>
    </row>
    <row r="3094">
      <c r="B3094" s="4"/>
      <c r="C3094" s="4"/>
      <c r="D3094" s="4"/>
      <c r="E3094" s="4"/>
    </row>
    <row r="3095">
      <c r="B3095" s="4"/>
      <c r="C3095" s="4"/>
      <c r="D3095" s="4"/>
      <c r="E3095" s="4"/>
    </row>
    <row r="3096">
      <c r="B3096" s="4"/>
      <c r="C3096" s="4"/>
      <c r="D3096" s="4"/>
      <c r="E3096" s="4"/>
    </row>
    <row r="3097">
      <c r="B3097" s="4"/>
      <c r="C3097" s="4"/>
      <c r="D3097" s="4"/>
      <c r="E3097" s="4"/>
    </row>
    <row r="3098">
      <c r="B3098" s="4"/>
      <c r="C3098" s="4"/>
      <c r="D3098" s="4"/>
      <c r="E3098" s="4"/>
    </row>
    <row r="3099">
      <c r="B3099" s="4"/>
      <c r="C3099" s="4"/>
      <c r="D3099" s="4"/>
      <c r="E3099" s="4"/>
    </row>
    <row r="3100">
      <c r="B3100" s="4"/>
      <c r="C3100" s="4"/>
      <c r="D3100" s="4"/>
      <c r="E3100" s="4"/>
    </row>
    <row r="3101">
      <c r="B3101" s="4"/>
      <c r="C3101" s="4"/>
      <c r="D3101" s="4"/>
      <c r="E3101" s="4"/>
    </row>
    <row r="3102">
      <c r="B3102" s="4"/>
      <c r="C3102" s="4"/>
      <c r="D3102" s="4"/>
      <c r="E3102" s="4"/>
    </row>
    <row r="3103">
      <c r="B3103" s="4"/>
      <c r="C3103" s="4"/>
      <c r="D3103" s="4"/>
      <c r="E3103" s="4"/>
    </row>
    <row r="3104">
      <c r="B3104" s="4"/>
      <c r="C3104" s="4"/>
      <c r="D3104" s="4"/>
      <c r="E3104" s="4"/>
    </row>
    <row r="3105">
      <c r="B3105" s="4"/>
      <c r="C3105" s="4"/>
      <c r="D3105" s="4"/>
      <c r="E3105" s="4"/>
    </row>
    <row r="3106">
      <c r="B3106" s="4"/>
      <c r="C3106" s="4"/>
      <c r="D3106" s="4"/>
      <c r="E3106" s="4"/>
    </row>
    <row r="3107">
      <c r="B3107" s="4"/>
      <c r="C3107" s="4"/>
      <c r="D3107" s="4"/>
      <c r="E3107" s="4"/>
    </row>
    <row r="3108">
      <c r="B3108" s="4"/>
      <c r="C3108" s="4"/>
      <c r="D3108" s="4"/>
      <c r="E3108" s="4"/>
    </row>
    <row r="3109">
      <c r="B3109" s="4"/>
      <c r="C3109" s="4"/>
      <c r="D3109" s="4"/>
      <c r="E3109" s="4"/>
    </row>
    <row r="3110">
      <c r="B3110" s="4"/>
      <c r="C3110" s="4"/>
      <c r="D3110" s="4"/>
      <c r="E3110" s="4"/>
    </row>
    <row r="3111">
      <c r="B3111" s="4"/>
      <c r="C3111" s="4"/>
      <c r="D3111" s="4"/>
      <c r="E3111" s="4"/>
    </row>
    <row r="3112">
      <c r="B3112" s="4"/>
      <c r="C3112" s="4"/>
      <c r="D3112" s="4"/>
      <c r="E3112" s="4"/>
    </row>
    <row r="3113">
      <c r="B3113" s="4"/>
      <c r="C3113" s="4"/>
      <c r="D3113" s="4"/>
      <c r="E3113" s="4"/>
    </row>
    <row r="3114">
      <c r="B3114" s="4"/>
      <c r="C3114" s="4"/>
      <c r="D3114" s="4"/>
      <c r="E3114" s="4"/>
    </row>
    <row r="3115">
      <c r="B3115" s="4"/>
      <c r="C3115" s="4"/>
      <c r="D3115" s="4"/>
      <c r="E3115" s="4"/>
    </row>
    <row r="3116">
      <c r="B3116" s="4"/>
      <c r="C3116" s="4"/>
      <c r="D3116" s="4"/>
      <c r="E3116" s="4"/>
    </row>
    <row r="3117">
      <c r="B3117" s="4"/>
      <c r="C3117" s="4"/>
      <c r="D3117" s="4"/>
      <c r="E3117" s="4"/>
    </row>
    <row r="3118">
      <c r="B3118" s="4"/>
      <c r="C3118" s="4"/>
      <c r="D3118" s="4"/>
      <c r="E3118" s="4"/>
    </row>
    <row r="3119">
      <c r="B3119" s="4"/>
      <c r="C3119" s="4"/>
      <c r="D3119" s="4"/>
      <c r="E3119" s="4"/>
    </row>
    <row r="3120">
      <c r="B3120" s="4"/>
      <c r="C3120" s="4"/>
      <c r="D3120" s="4"/>
      <c r="E3120" s="4"/>
    </row>
    <row r="3121">
      <c r="B3121" s="4"/>
      <c r="C3121" s="4"/>
      <c r="D3121" s="4"/>
      <c r="E3121" s="4"/>
    </row>
    <row r="3122">
      <c r="B3122" s="4"/>
      <c r="C3122" s="4"/>
      <c r="D3122" s="4"/>
      <c r="E3122" s="4"/>
    </row>
    <row r="3123">
      <c r="B3123" s="4"/>
      <c r="C3123" s="4"/>
      <c r="D3123" s="4"/>
      <c r="E3123" s="4"/>
    </row>
    <row r="3124">
      <c r="B3124" s="4"/>
      <c r="C3124" s="4"/>
      <c r="D3124" s="4"/>
      <c r="E3124" s="4"/>
    </row>
    <row r="3125">
      <c r="B3125" s="4"/>
      <c r="C3125" s="4"/>
      <c r="D3125" s="4"/>
      <c r="E3125" s="4"/>
    </row>
    <row r="3126">
      <c r="B3126" s="4"/>
      <c r="C3126" s="4"/>
      <c r="D3126" s="4"/>
      <c r="E3126" s="4"/>
    </row>
    <row r="3127">
      <c r="B3127" s="4"/>
      <c r="C3127" s="4"/>
      <c r="D3127" s="4"/>
      <c r="E3127" s="4"/>
    </row>
    <row r="3128">
      <c r="B3128" s="4"/>
      <c r="C3128" s="4"/>
      <c r="D3128" s="4"/>
      <c r="E3128" s="4"/>
    </row>
    <row r="3129">
      <c r="B3129" s="4"/>
      <c r="C3129" s="4"/>
      <c r="D3129" s="4"/>
      <c r="E3129" s="4"/>
    </row>
    <row r="3130">
      <c r="B3130" s="4"/>
      <c r="C3130" s="4"/>
      <c r="D3130" s="4"/>
      <c r="E3130" s="4"/>
    </row>
    <row r="3131">
      <c r="B3131" s="4"/>
      <c r="C3131" s="4"/>
      <c r="D3131" s="4"/>
      <c r="E3131" s="4"/>
    </row>
    <row r="3132">
      <c r="B3132" s="4"/>
      <c r="C3132" s="4"/>
      <c r="D3132" s="4"/>
      <c r="E3132" s="4"/>
    </row>
    <row r="3133">
      <c r="B3133" s="4"/>
      <c r="C3133" s="4"/>
      <c r="D3133" s="4"/>
      <c r="E3133" s="4"/>
    </row>
    <row r="3134">
      <c r="B3134" s="4"/>
      <c r="C3134" s="4"/>
      <c r="D3134" s="4"/>
      <c r="E3134" s="4"/>
    </row>
    <row r="3135">
      <c r="B3135" s="4"/>
      <c r="C3135" s="4"/>
      <c r="D3135" s="4"/>
      <c r="E3135" s="4"/>
    </row>
    <row r="3136">
      <c r="B3136" s="4"/>
      <c r="C3136" s="4"/>
      <c r="D3136" s="4"/>
      <c r="E3136" s="4"/>
    </row>
    <row r="3137">
      <c r="B3137" s="4"/>
      <c r="C3137" s="4"/>
      <c r="D3137" s="4"/>
      <c r="E3137" s="4"/>
    </row>
    <row r="3138">
      <c r="B3138" s="4"/>
      <c r="C3138" s="4"/>
      <c r="D3138" s="4"/>
      <c r="E3138" s="4"/>
    </row>
    <row r="3139">
      <c r="B3139" s="4"/>
      <c r="C3139" s="4"/>
      <c r="D3139" s="4"/>
      <c r="E3139" s="4"/>
    </row>
    <row r="3140">
      <c r="B3140" s="4"/>
      <c r="C3140" s="4"/>
      <c r="D3140" s="4"/>
      <c r="E3140" s="4"/>
    </row>
    <row r="3141">
      <c r="B3141" s="4"/>
      <c r="C3141" s="4"/>
      <c r="D3141" s="4"/>
      <c r="E3141" s="4"/>
    </row>
    <row r="3142">
      <c r="B3142" s="4"/>
      <c r="C3142" s="4"/>
      <c r="D3142" s="4"/>
      <c r="E3142" s="4"/>
    </row>
    <row r="3143">
      <c r="B3143" s="4"/>
      <c r="C3143" s="4"/>
      <c r="D3143" s="4"/>
      <c r="E3143" s="4"/>
    </row>
    <row r="3144">
      <c r="B3144" s="4"/>
      <c r="C3144" s="4"/>
      <c r="D3144" s="4"/>
      <c r="E3144" s="4"/>
    </row>
    <row r="3145">
      <c r="B3145" s="4"/>
      <c r="C3145" s="4"/>
      <c r="D3145" s="4"/>
      <c r="E3145" s="4"/>
    </row>
    <row r="3146">
      <c r="B3146" s="4"/>
      <c r="C3146" s="4"/>
      <c r="D3146" s="4"/>
      <c r="E3146" s="4"/>
    </row>
    <row r="3147">
      <c r="B3147" s="4"/>
      <c r="C3147" s="4"/>
      <c r="D3147" s="4"/>
      <c r="E3147" s="4"/>
    </row>
    <row r="3148">
      <c r="B3148" s="4"/>
      <c r="C3148" s="4"/>
      <c r="D3148" s="4"/>
      <c r="E3148" s="4"/>
    </row>
    <row r="3149">
      <c r="B3149" s="4"/>
      <c r="C3149" s="4"/>
      <c r="D3149" s="4"/>
      <c r="E3149" s="4"/>
    </row>
    <row r="3150">
      <c r="B3150" s="4"/>
      <c r="C3150" s="4"/>
      <c r="D3150" s="4"/>
      <c r="E3150" s="4"/>
    </row>
    <row r="3151">
      <c r="B3151" s="4"/>
      <c r="C3151" s="4"/>
      <c r="D3151" s="4"/>
      <c r="E3151" s="4"/>
    </row>
    <row r="3152">
      <c r="B3152" s="4"/>
      <c r="C3152" s="4"/>
      <c r="D3152" s="4"/>
      <c r="E3152" s="4"/>
    </row>
    <row r="3153">
      <c r="B3153" s="4"/>
      <c r="C3153" s="4"/>
      <c r="D3153" s="4"/>
      <c r="E3153" s="4"/>
    </row>
    <row r="3154">
      <c r="B3154" s="4"/>
      <c r="C3154" s="4"/>
      <c r="D3154" s="4"/>
      <c r="E3154" s="4"/>
    </row>
    <row r="3155">
      <c r="B3155" s="4"/>
      <c r="C3155" s="4"/>
      <c r="D3155" s="4"/>
      <c r="E3155" s="4"/>
    </row>
    <row r="3156">
      <c r="B3156" s="4"/>
      <c r="C3156" s="4"/>
      <c r="D3156" s="4"/>
      <c r="E3156" s="4"/>
    </row>
    <row r="3157">
      <c r="B3157" s="4"/>
      <c r="C3157" s="4"/>
      <c r="D3157" s="4"/>
      <c r="E3157" s="4"/>
    </row>
    <row r="3158">
      <c r="B3158" s="4"/>
      <c r="C3158" s="4"/>
      <c r="D3158" s="4"/>
      <c r="E3158" s="4"/>
    </row>
    <row r="3159">
      <c r="B3159" s="4"/>
      <c r="C3159" s="4"/>
      <c r="D3159" s="4"/>
      <c r="E3159" s="4"/>
    </row>
    <row r="3160">
      <c r="B3160" s="4"/>
      <c r="C3160" s="4"/>
      <c r="D3160" s="4"/>
      <c r="E3160" s="4"/>
    </row>
    <row r="3161">
      <c r="B3161" s="4"/>
      <c r="C3161" s="4"/>
      <c r="D3161" s="4"/>
      <c r="E3161" s="4"/>
    </row>
    <row r="3162">
      <c r="B3162" s="4"/>
      <c r="C3162" s="4"/>
      <c r="D3162" s="4"/>
      <c r="E3162" s="4"/>
    </row>
    <row r="3163">
      <c r="B3163" s="4"/>
      <c r="C3163" s="4"/>
      <c r="D3163" s="4"/>
      <c r="E3163" s="4"/>
    </row>
    <row r="3164">
      <c r="B3164" s="4"/>
      <c r="C3164" s="4"/>
      <c r="D3164" s="4"/>
      <c r="E3164" s="4"/>
    </row>
    <row r="3165">
      <c r="B3165" s="4"/>
      <c r="C3165" s="4"/>
      <c r="D3165" s="4"/>
      <c r="E3165" s="4"/>
    </row>
    <row r="3166">
      <c r="B3166" s="4"/>
      <c r="C3166" s="4"/>
      <c r="D3166" s="4"/>
      <c r="E3166" s="4"/>
    </row>
    <row r="3167">
      <c r="B3167" s="4"/>
      <c r="C3167" s="4"/>
      <c r="D3167" s="4"/>
      <c r="E3167" s="4"/>
    </row>
    <row r="3168">
      <c r="B3168" s="4"/>
      <c r="C3168" s="4"/>
      <c r="D3168" s="4"/>
      <c r="E3168" s="4"/>
    </row>
    <row r="3169">
      <c r="B3169" s="4"/>
      <c r="C3169" s="4"/>
      <c r="D3169" s="4"/>
      <c r="E3169" s="4"/>
    </row>
    <row r="3170">
      <c r="B3170" s="4"/>
      <c r="C3170" s="4"/>
      <c r="D3170" s="4"/>
      <c r="E3170" s="4"/>
    </row>
    <row r="3171">
      <c r="B3171" s="4"/>
      <c r="C3171" s="4"/>
      <c r="D3171" s="4"/>
      <c r="E3171" s="4"/>
    </row>
    <row r="3172">
      <c r="B3172" s="4"/>
      <c r="C3172" s="4"/>
      <c r="D3172" s="4"/>
      <c r="E3172" s="4"/>
    </row>
    <row r="3173">
      <c r="B3173" s="4"/>
      <c r="C3173" s="4"/>
      <c r="D3173" s="4"/>
      <c r="E3173" s="4"/>
    </row>
    <row r="3174">
      <c r="B3174" s="4"/>
      <c r="C3174" s="4"/>
      <c r="D3174" s="4"/>
      <c r="E3174" s="4"/>
    </row>
    <row r="3175">
      <c r="B3175" s="4"/>
      <c r="C3175" s="4"/>
      <c r="D3175" s="4"/>
      <c r="E3175" s="4"/>
    </row>
    <row r="3176">
      <c r="B3176" s="4"/>
      <c r="C3176" s="4"/>
      <c r="D3176" s="4"/>
      <c r="E3176" s="4"/>
    </row>
    <row r="3177">
      <c r="B3177" s="4"/>
      <c r="C3177" s="4"/>
      <c r="D3177" s="4"/>
      <c r="E3177" s="4"/>
    </row>
    <row r="3178">
      <c r="B3178" s="4"/>
      <c r="C3178" s="4"/>
      <c r="D3178" s="4"/>
      <c r="E3178" s="4"/>
    </row>
    <row r="3179">
      <c r="B3179" s="4"/>
      <c r="C3179" s="4"/>
      <c r="D3179" s="4"/>
      <c r="E3179" s="4"/>
    </row>
    <row r="3180">
      <c r="B3180" s="4"/>
      <c r="C3180" s="4"/>
      <c r="D3180" s="4"/>
      <c r="E3180" s="4"/>
    </row>
    <row r="3181">
      <c r="B3181" s="4"/>
      <c r="C3181" s="4"/>
      <c r="D3181" s="4"/>
      <c r="E3181" s="4"/>
    </row>
    <row r="3182">
      <c r="B3182" s="4"/>
      <c r="C3182" s="4"/>
      <c r="D3182" s="4"/>
      <c r="E3182" s="4"/>
    </row>
    <row r="3183">
      <c r="B3183" s="4"/>
      <c r="C3183" s="4"/>
      <c r="D3183" s="4"/>
      <c r="E3183" s="4"/>
    </row>
    <row r="3184">
      <c r="B3184" s="4"/>
      <c r="C3184" s="4"/>
      <c r="D3184" s="4"/>
      <c r="E3184" s="4"/>
    </row>
    <row r="3185">
      <c r="B3185" s="4"/>
      <c r="C3185" s="4"/>
      <c r="D3185" s="4"/>
      <c r="E3185" s="4"/>
    </row>
    <row r="3186">
      <c r="B3186" s="4"/>
      <c r="C3186" s="4"/>
      <c r="D3186" s="4"/>
      <c r="E3186" s="4"/>
    </row>
    <row r="3187">
      <c r="B3187" s="4"/>
      <c r="C3187" s="4"/>
      <c r="D3187" s="4"/>
      <c r="E3187" s="4"/>
    </row>
    <row r="3188">
      <c r="B3188" s="4"/>
      <c r="C3188" s="4"/>
      <c r="D3188" s="4"/>
      <c r="E3188" s="4"/>
    </row>
    <row r="3189">
      <c r="B3189" s="4"/>
      <c r="C3189" s="4"/>
      <c r="D3189" s="4"/>
      <c r="E3189" s="4"/>
    </row>
    <row r="3190">
      <c r="B3190" s="4"/>
      <c r="C3190" s="4"/>
      <c r="D3190" s="4"/>
      <c r="E3190" s="4"/>
    </row>
    <row r="3191">
      <c r="B3191" s="4"/>
      <c r="C3191" s="4"/>
      <c r="D3191" s="4"/>
      <c r="E3191" s="4"/>
    </row>
    <row r="3192">
      <c r="B3192" s="4"/>
      <c r="C3192" s="4"/>
      <c r="D3192" s="4"/>
      <c r="E3192" s="4"/>
    </row>
    <row r="3193">
      <c r="B3193" s="4"/>
      <c r="C3193" s="4"/>
      <c r="D3193" s="4"/>
      <c r="E3193" s="4"/>
    </row>
    <row r="3194">
      <c r="B3194" s="4"/>
      <c r="C3194" s="4"/>
      <c r="D3194" s="4"/>
      <c r="E3194" s="4"/>
    </row>
    <row r="3195">
      <c r="B3195" s="4"/>
      <c r="C3195" s="4"/>
      <c r="D3195" s="4"/>
      <c r="E3195" s="4"/>
    </row>
    <row r="3196">
      <c r="B3196" s="4"/>
      <c r="C3196" s="4"/>
      <c r="D3196" s="4"/>
      <c r="E3196" s="4"/>
    </row>
    <row r="3197">
      <c r="B3197" s="4"/>
      <c r="C3197" s="4"/>
      <c r="D3197" s="4"/>
      <c r="E3197" s="4"/>
    </row>
    <row r="3198">
      <c r="B3198" s="4"/>
      <c r="C3198" s="4"/>
      <c r="D3198" s="4"/>
      <c r="E3198" s="4"/>
    </row>
    <row r="3199">
      <c r="B3199" s="4"/>
      <c r="C3199" s="4"/>
      <c r="D3199" s="4"/>
      <c r="E3199" s="4"/>
    </row>
    <row r="3200">
      <c r="B3200" s="4"/>
      <c r="C3200" s="4"/>
      <c r="D3200" s="4"/>
      <c r="E3200" s="4"/>
    </row>
    <row r="3201">
      <c r="B3201" s="4"/>
      <c r="C3201" s="4"/>
      <c r="D3201" s="4"/>
      <c r="E3201" s="4"/>
    </row>
    <row r="3202">
      <c r="B3202" s="4"/>
      <c r="C3202" s="4"/>
      <c r="D3202" s="4"/>
      <c r="E3202" s="4"/>
    </row>
    <row r="3203">
      <c r="B3203" s="4"/>
      <c r="C3203" s="4"/>
      <c r="D3203" s="4"/>
      <c r="E3203" s="4"/>
    </row>
    <row r="3204">
      <c r="B3204" s="4"/>
      <c r="C3204" s="4"/>
      <c r="D3204" s="4"/>
      <c r="E3204" s="4"/>
    </row>
    <row r="3205">
      <c r="B3205" s="4"/>
      <c r="C3205" s="4"/>
      <c r="D3205" s="4"/>
      <c r="E3205" s="4"/>
    </row>
    <row r="3206">
      <c r="B3206" s="4"/>
      <c r="C3206" s="4"/>
      <c r="D3206" s="4"/>
      <c r="E3206" s="4"/>
    </row>
    <row r="3207">
      <c r="B3207" s="4"/>
      <c r="C3207" s="4"/>
      <c r="D3207" s="4"/>
      <c r="E3207" s="4"/>
    </row>
    <row r="3208">
      <c r="B3208" s="4"/>
      <c r="C3208" s="4"/>
      <c r="D3208" s="4"/>
      <c r="E3208" s="4"/>
    </row>
    <row r="3209">
      <c r="B3209" s="4"/>
      <c r="C3209" s="4"/>
      <c r="D3209" s="4"/>
      <c r="E3209" s="4"/>
    </row>
    <row r="3210">
      <c r="B3210" s="4"/>
      <c r="C3210" s="4"/>
      <c r="D3210" s="4"/>
      <c r="E3210" s="4"/>
    </row>
    <row r="3211">
      <c r="B3211" s="4"/>
      <c r="C3211" s="4"/>
      <c r="D3211" s="4"/>
      <c r="E3211" s="4"/>
    </row>
    <row r="3212">
      <c r="B3212" s="4"/>
      <c r="C3212" s="4"/>
      <c r="D3212" s="4"/>
      <c r="E3212" s="4"/>
    </row>
    <row r="3213">
      <c r="B3213" s="4"/>
      <c r="C3213" s="4"/>
      <c r="D3213" s="4"/>
      <c r="E3213" s="4"/>
    </row>
    <row r="3214">
      <c r="B3214" s="4"/>
      <c r="C3214" s="4"/>
      <c r="D3214" s="4"/>
      <c r="E3214" s="4"/>
    </row>
    <row r="3215">
      <c r="B3215" s="4"/>
      <c r="C3215" s="4"/>
      <c r="D3215" s="4"/>
      <c r="E3215" s="4"/>
    </row>
    <row r="3216">
      <c r="B3216" s="4"/>
      <c r="C3216" s="4"/>
      <c r="D3216" s="4"/>
      <c r="E3216" s="4"/>
    </row>
    <row r="3217">
      <c r="B3217" s="4"/>
      <c r="C3217" s="4"/>
      <c r="D3217" s="4"/>
      <c r="E3217" s="4"/>
    </row>
    <row r="3218">
      <c r="B3218" s="4"/>
      <c r="C3218" s="4"/>
      <c r="D3218" s="4"/>
      <c r="E3218" s="4"/>
    </row>
    <row r="3219">
      <c r="B3219" s="4"/>
      <c r="C3219" s="4"/>
      <c r="D3219" s="4"/>
      <c r="E3219" s="4"/>
    </row>
    <row r="3220">
      <c r="B3220" s="4"/>
      <c r="C3220" s="4"/>
      <c r="D3220" s="4"/>
      <c r="E3220" s="4"/>
    </row>
    <row r="3221">
      <c r="B3221" s="4"/>
      <c r="C3221" s="4"/>
      <c r="D3221" s="4"/>
      <c r="E3221" s="4"/>
    </row>
    <row r="3222">
      <c r="B3222" s="4"/>
      <c r="C3222" s="4"/>
      <c r="D3222" s="4"/>
      <c r="E3222" s="4"/>
    </row>
    <row r="3223">
      <c r="B3223" s="4"/>
      <c r="C3223" s="4"/>
      <c r="D3223" s="4"/>
      <c r="E3223" s="4"/>
    </row>
    <row r="3224">
      <c r="B3224" s="4"/>
      <c r="C3224" s="4"/>
      <c r="D3224" s="4"/>
      <c r="E3224" s="4"/>
    </row>
    <row r="3225">
      <c r="B3225" s="4"/>
      <c r="C3225" s="4"/>
      <c r="D3225" s="4"/>
      <c r="E3225" s="4"/>
    </row>
    <row r="3226">
      <c r="B3226" s="4"/>
      <c r="C3226" s="4"/>
      <c r="D3226" s="4"/>
      <c r="E3226" s="4"/>
    </row>
    <row r="3227">
      <c r="B3227" s="4"/>
      <c r="C3227" s="4"/>
      <c r="D3227" s="4"/>
      <c r="E3227" s="4"/>
    </row>
    <row r="3228">
      <c r="B3228" s="4"/>
      <c r="C3228" s="4"/>
      <c r="D3228" s="4"/>
      <c r="E3228" s="4"/>
    </row>
    <row r="3229">
      <c r="B3229" s="4"/>
      <c r="C3229" s="4"/>
      <c r="D3229" s="4"/>
      <c r="E3229" s="4"/>
    </row>
    <row r="3230">
      <c r="B3230" s="4"/>
      <c r="C3230" s="4"/>
      <c r="D3230" s="4"/>
      <c r="E3230" s="4"/>
    </row>
    <row r="3231">
      <c r="B3231" s="4"/>
      <c r="C3231" s="4"/>
      <c r="D3231" s="4"/>
      <c r="E3231" s="4"/>
    </row>
    <row r="3232">
      <c r="B3232" s="4"/>
      <c r="C3232" s="4"/>
      <c r="D3232" s="4"/>
      <c r="E3232" s="4"/>
    </row>
    <row r="3233">
      <c r="B3233" s="4"/>
      <c r="C3233" s="4"/>
      <c r="D3233" s="4"/>
      <c r="E3233" s="4"/>
    </row>
    <row r="3234">
      <c r="B3234" s="4"/>
      <c r="C3234" s="4"/>
      <c r="D3234" s="4"/>
      <c r="E3234" s="4"/>
    </row>
    <row r="3235">
      <c r="B3235" s="4"/>
      <c r="C3235" s="4"/>
      <c r="D3235" s="4"/>
      <c r="E3235" s="4"/>
    </row>
    <row r="3236">
      <c r="B3236" s="4"/>
      <c r="C3236" s="4"/>
      <c r="D3236" s="4"/>
      <c r="E3236" s="4"/>
    </row>
    <row r="3237">
      <c r="B3237" s="4"/>
      <c r="C3237" s="4"/>
      <c r="D3237" s="4"/>
      <c r="E3237" s="4"/>
    </row>
    <row r="3238">
      <c r="B3238" s="4"/>
      <c r="C3238" s="4"/>
      <c r="D3238" s="4"/>
      <c r="E3238" s="4"/>
    </row>
    <row r="3239">
      <c r="B3239" s="4"/>
      <c r="C3239" s="4"/>
      <c r="D3239" s="4"/>
      <c r="E3239" s="4"/>
    </row>
    <row r="3240">
      <c r="B3240" s="4"/>
      <c r="C3240" s="4"/>
      <c r="D3240" s="4"/>
      <c r="E3240" s="4"/>
    </row>
    <row r="3241">
      <c r="B3241" s="4"/>
      <c r="C3241" s="4"/>
      <c r="D3241" s="4"/>
      <c r="E3241" s="4"/>
    </row>
    <row r="3242">
      <c r="B3242" s="4"/>
      <c r="C3242" s="4"/>
      <c r="D3242" s="4"/>
      <c r="E3242" s="4"/>
    </row>
    <row r="3243">
      <c r="B3243" s="4"/>
      <c r="C3243" s="4"/>
      <c r="D3243" s="4"/>
      <c r="E3243" s="4"/>
    </row>
    <row r="3244">
      <c r="B3244" s="4"/>
      <c r="C3244" s="4"/>
      <c r="D3244" s="4"/>
      <c r="E3244" s="4"/>
    </row>
    <row r="3245">
      <c r="B3245" s="4"/>
      <c r="C3245" s="4"/>
      <c r="D3245" s="4"/>
      <c r="E3245" s="4"/>
    </row>
    <row r="3246">
      <c r="B3246" s="4"/>
      <c r="C3246" s="4"/>
      <c r="D3246" s="4"/>
      <c r="E3246" s="4"/>
    </row>
    <row r="3247">
      <c r="B3247" s="4"/>
      <c r="C3247" s="4"/>
      <c r="D3247" s="4"/>
      <c r="E3247" s="4"/>
    </row>
    <row r="3248">
      <c r="B3248" s="4"/>
      <c r="C3248" s="4"/>
      <c r="D3248" s="4"/>
      <c r="E3248" s="4"/>
    </row>
    <row r="3249">
      <c r="B3249" s="4"/>
      <c r="C3249" s="4"/>
      <c r="D3249" s="4"/>
      <c r="E3249" s="4"/>
    </row>
    <row r="3250">
      <c r="B3250" s="4"/>
      <c r="C3250" s="4"/>
      <c r="D3250" s="4"/>
      <c r="E3250" s="4"/>
    </row>
    <row r="3251">
      <c r="B3251" s="4"/>
      <c r="C3251" s="4"/>
      <c r="D3251" s="4"/>
      <c r="E3251" s="4"/>
    </row>
    <row r="3252">
      <c r="B3252" s="4"/>
      <c r="C3252" s="4"/>
      <c r="D3252" s="4"/>
      <c r="E3252" s="4"/>
    </row>
    <row r="3253">
      <c r="B3253" s="4"/>
      <c r="C3253" s="4"/>
      <c r="D3253" s="4"/>
      <c r="E3253" s="4"/>
    </row>
    <row r="3254">
      <c r="B3254" s="4"/>
      <c r="C3254" s="4"/>
      <c r="D3254" s="4"/>
      <c r="E3254" s="4"/>
    </row>
    <row r="3255">
      <c r="B3255" s="4"/>
      <c r="C3255" s="4"/>
      <c r="D3255" s="4"/>
      <c r="E3255" s="4"/>
    </row>
    <row r="3256">
      <c r="B3256" s="4"/>
      <c r="C3256" s="4"/>
      <c r="D3256" s="4"/>
      <c r="E3256" s="4"/>
    </row>
    <row r="3257">
      <c r="B3257" s="4"/>
      <c r="C3257" s="4"/>
      <c r="D3257" s="4"/>
      <c r="E3257" s="4"/>
    </row>
    <row r="3258">
      <c r="B3258" s="4"/>
      <c r="C3258" s="4"/>
      <c r="D3258" s="4"/>
      <c r="E3258" s="4"/>
    </row>
    <row r="3259">
      <c r="B3259" s="4"/>
      <c r="C3259" s="4"/>
      <c r="D3259" s="4"/>
      <c r="E3259" s="4"/>
    </row>
    <row r="3260">
      <c r="B3260" s="4"/>
      <c r="C3260" s="4"/>
      <c r="D3260" s="4"/>
      <c r="E3260" s="4"/>
    </row>
    <row r="3261">
      <c r="B3261" s="4"/>
      <c r="C3261" s="4"/>
      <c r="D3261" s="4"/>
      <c r="E3261" s="4"/>
    </row>
    <row r="3262">
      <c r="B3262" s="4"/>
      <c r="C3262" s="4"/>
      <c r="D3262" s="4"/>
      <c r="E3262" s="4"/>
    </row>
    <row r="3263">
      <c r="B3263" s="4"/>
      <c r="C3263" s="4"/>
      <c r="D3263" s="4"/>
      <c r="E3263" s="4"/>
    </row>
    <row r="3264">
      <c r="B3264" s="4"/>
      <c r="C3264" s="4"/>
      <c r="D3264" s="4"/>
      <c r="E3264" s="4"/>
    </row>
    <row r="3265">
      <c r="B3265" s="4"/>
      <c r="C3265" s="4"/>
      <c r="D3265" s="4"/>
      <c r="E3265" s="4"/>
    </row>
    <row r="3266">
      <c r="B3266" s="4"/>
      <c r="C3266" s="4"/>
      <c r="D3266" s="4"/>
      <c r="E3266" s="4"/>
    </row>
    <row r="3267">
      <c r="B3267" s="4"/>
      <c r="C3267" s="4"/>
      <c r="D3267" s="4"/>
      <c r="E3267" s="4"/>
    </row>
    <row r="3268">
      <c r="B3268" s="4"/>
      <c r="C3268" s="4"/>
      <c r="D3268" s="4"/>
      <c r="E3268" s="4"/>
    </row>
    <row r="3269">
      <c r="B3269" s="4"/>
      <c r="C3269" s="4"/>
      <c r="D3269" s="4"/>
      <c r="E3269" s="4"/>
    </row>
    <row r="3270">
      <c r="B3270" s="4"/>
      <c r="C3270" s="4"/>
      <c r="D3270" s="4"/>
      <c r="E3270" s="4"/>
    </row>
    <row r="3271">
      <c r="B3271" s="4"/>
      <c r="C3271" s="4"/>
      <c r="D3271" s="4"/>
      <c r="E3271" s="4"/>
    </row>
    <row r="3272">
      <c r="B3272" s="4"/>
      <c r="C3272" s="4"/>
      <c r="D3272" s="4"/>
      <c r="E3272" s="4"/>
    </row>
    <row r="3273">
      <c r="B3273" s="4"/>
      <c r="C3273" s="4"/>
      <c r="D3273" s="4"/>
      <c r="E3273" s="4"/>
    </row>
    <row r="3274">
      <c r="B3274" s="4"/>
      <c r="C3274" s="4"/>
      <c r="D3274" s="4"/>
      <c r="E3274" s="4"/>
    </row>
    <row r="3275">
      <c r="B3275" s="4"/>
      <c r="C3275" s="4"/>
      <c r="D3275" s="4"/>
      <c r="E3275" s="4"/>
    </row>
    <row r="3276">
      <c r="B3276" s="4"/>
      <c r="C3276" s="4"/>
      <c r="D3276" s="4"/>
      <c r="E3276" s="4"/>
    </row>
    <row r="3277">
      <c r="B3277" s="4"/>
      <c r="C3277" s="4"/>
      <c r="D3277" s="4"/>
      <c r="E3277" s="4"/>
    </row>
    <row r="3278">
      <c r="B3278" s="4"/>
      <c r="C3278" s="4"/>
      <c r="D3278" s="4"/>
      <c r="E3278" s="4"/>
    </row>
    <row r="3279">
      <c r="B3279" s="4"/>
      <c r="C3279" s="4"/>
      <c r="D3279" s="4"/>
      <c r="E3279" s="4"/>
    </row>
    <row r="3280">
      <c r="B3280" s="4"/>
      <c r="C3280" s="4"/>
      <c r="D3280" s="4"/>
      <c r="E3280" s="4"/>
    </row>
    <row r="3281">
      <c r="B3281" s="4"/>
      <c r="C3281" s="4"/>
      <c r="D3281" s="4"/>
      <c r="E3281" s="4"/>
    </row>
    <row r="3282">
      <c r="B3282" s="4"/>
      <c r="C3282" s="4"/>
      <c r="D3282" s="4"/>
      <c r="E3282" s="4"/>
    </row>
    <row r="3283">
      <c r="B3283" s="4"/>
      <c r="C3283" s="4"/>
      <c r="D3283" s="4"/>
      <c r="E3283" s="4"/>
    </row>
    <row r="3284">
      <c r="B3284" s="4"/>
      <c r="C3284" s="4"/>
      <c r="D3284" s="4"/>
      <c r="E3284" s="4"/>
    </row>
    <row r="3285">
      <c r="B3285" s="4"/>
      <c r="C3285" s="4"/>
      <c r="D3285" s="4"/>
      <c r="E3285" s="4"/>
    </row>
    <row r="3286">
      <c r="B3286" s="4"/>
      <c r="C3286" s="4"/>
      <c r="D3286" s="4"/>
      <c r="E3286" s="4"/>
    </row>
    <row r="3287">
      <c r="B3287" s="4"/>
      <c r="C3287" s="4"/>
      <c r="D3287" s="4"/>
      <c r="E3287" s="4"/>
    </row>
    <row r="3288">
      <c r="B3288" s="4"/>
      <c r="C3288" s="4"/>
      <c r="D3288" s="4"/>
      <c r="E3288" s="4"/>
    </row>
    <row r="3289">
      <c r="B3289" s="4"/>
      <c r="C3289" s="4"/>
      <c r="D3289" s="4"/>
      <c r="E3289" s="4"/>
    </row>
    <row r="3290">
      <c r="B3290" s="4"/>
      <c r="C3290" s="4"/>
      <c r="D3290" s="4"/>
      <c r="E3290" s="4"/>
    </row>
    <row r="3291">
      <c r="B3291" s="4"/>
      <c r="C3291" s="4"/>
      <c r="D3291" s="4"/>
      <c r="E3291" s="4"/>
    </row>
    <row r="3292">
      <c r="B3292" s="4"/>
      <c r="C3292" s="4"/>
      <c r="D3292" s="4"/>
      <c r="E3292" s="4"/>
    </row>
    <row r="3293">
      <c r="B3293" s="4"/>
      <c r="C3293" s="4"/>
      <c r="D3293" s="4"/>
      <c r="E3293" s="4"/>
    </row>
    <row r="3294">
      <c r="B3294" s="4"/>
      <c r="C3294" s="4"/>
      <c r="D3294" s="4"/>
      <c r="E3294" s="4"/>
    </row>
    <row r="3295">
      <c r="B3295" s="4"/>
      <c r="C3295" s="4"/>
      <c r="D3295" s="4"/>
      <c r="E3295" s="4"/>
    </row>
    <row r="3296">
      <c r="B3296" s="4"/>
      <c r="C3296" s="4"/>
      <c r="D3296" s="4"/>
      <c r="E3296" s="4"/>
    </row>
    <row r="3297">
      <c r="B3297" s="4"/>
      <c r="C3297" s="4"/>
      <c r="D3297" s="4"/>
      <c r="E3297" s="4"/>
    </row>
    <row r="3298">
      <c r="B3298" s="4"/>
      <c r="C3298" s="4"/>
      <c r="D3298" s="4"/>
      <c r="E3298" s="4"/>
    </row>
    <row r="3299">
      <c r="B3299" s="4"/>
      <c r="C3299" s="4"/>
      <c r="D3299" s="4"/>
      <c r="E3299" s="4"/>
    </row>
    <row r="3300">
      <c r="B3300" s="4"/>
      <c r="C3300" s="4"/>
      <c r="D3300" s="4"/>
      <c r="E3300" s="4"/>
    </row>
    <row r="3301">
      <c r="B3301" s="4"/>
      <c r="C3301" s="4"/>
      <c r="D3301" s="4"/>
      <c r="E3301" s="4"/>
    </row>
    <row r="3302">
      <c r="B3302" s="4"/>
      <c r="C3302" s="4"/>
      <c r="D3302" s="4"/>
      <c r="E3302" s="4"/>
    </row>
    <row r="3303">
      <c r="B3303" s="4"/>
      <c r="C3303" s="4"/>
      <c r="D3303" s="4"/>
      <c r="E3303" s="4"/>
    </row>
    <row r="3304">
      <c r="B3304" s="4"/>
      <c r="C3304" s="4"/>
      <c r="D3304" s="4"/>
      <c r="E3304" s="4"/>
    </row>
    <row r="3305">
      <c r="B3305" s="4"/>
      <c r="C3305" s="4"/>
      <c r="D3305" s="4"/>
      <c r="E3305" s="4"/>
    </row>
    <row r="3306">
      <c r="B3306" s="4"/>
      <c r="C3306" s="4"/>
      <c r="D3306" s="4"/>
      <c r="E3306" s="4"/>
    </row>
    <row r="3307">
      <c r="B3307" s="4"/>
      <c r="C3307" s="4"/>
      <c r="D3307" s="4"/>
      <c r="E3307" s="4"/>
    </row>
    <row r="3308">
      <c r="B3308" s="4"/>
      <c r="C3308" s="4"/>
      <c r="D3308" s="4"/>
      <c r="E3308" s="4"/>
    </row>
    <row r="3309">
      <c r="B3309" s="4"/>
      <c r="C3309" s="4"/>
      <c r="D3309" s="4"/>
      <c r="E3309" s="4"/>
    </row>
    <row r="3310">
      <c r="B3310" s="4"/>
      <c r="C3310" s="4"/>
      <c r="D3310" s="4"/>
      <c r="E3310" s="4"/>
    </row>
    <row r="3311">
      <c r="B3311" s="4"/>
      <c r="C3311" s="4"/>
      <c r="D3311" s="4"/>
      <c r="E3311" s="4"/>
    </row>
    <row r="3312">
      <c r="B3312" s="4"/>
      <c r="C3312" s="4"/>
      <c r="D3312" s="4"/>
      <c r="E3312" s="4"/>
    </row>
    <row r="3313">
      <c r="B3313" s="4"/>
      <c r="C3313" s="4"/>
      <c r="D3313" s="4"/>
      <c r="E3313" s="4"/>
    </row>
    <row r="3314">
      <c r="B3314" s="4"/>
      <c r="C3314" s="4"/>
      <c r="D3314" s="4"/>
      <c r="E3314" s="4"/>
    </row>
    <row r="3315">
      <c r="B3315" s="4"/>
      <c r="C3315" s="4"/>
      <c r="D3315" s="4"/>
      <c r="E3315" s="4"/>
    </row>
  </sheetData>
  <mergeCells count="2">
    <mergeCell ref="F1:F1857"/>
    <mergeCell ref="A3:A14"/>
  </mergeCells>
  <hyperlinks>
    <hyperlink r:id="rId2" ref="C206"/>
    <hyperlink r:id="rId3" ref="C334"/>
    <hyperlink r:id="rId4" ref="C729"/>
    <hyperlink r:id="rId5" ref="C980"/>
    <hyperlink r:id="rId6" ref="C1152"/>
    <hyperlink r:id="rId7" ref="C1154"/>
    <hyperlink r:id="rId8" ref="C1189"/>
    <hyperlink r:id="rId9" ref="C1198"/>
    <hyperlink r:id="rId10" ref="C1888"/>
    <hyperlink r:id="rId11" ref="C2125"/>
    <hyperlink r:id="rId12" ref="C2423"/>
    <hyperlink r:id="rId13" ref="C2575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5.5"/>
    <col customWidth="1" min="3" max="3" width="23.63"/>
  </cols>
  <sheetData>
    <row r="1" ht="24.0" customHeight="1">
      <c r="A1" s="8" t="str">
        <f>IFERROR(__xludf.DUMMYFUNCTION("IMPORTRANGE(""https://docs.google.com/spreadsheets/d/1GYA876hkB2XL-WkYHQUpnYgnB8bhF8wkFpvbRhwBbvE/edit#gid=23328848"",""Listado!A:C"")"),"empresa")</f>
        <v>empresa</v>
      </c>
      <c r="B1" s="8" t="str">
        <f>IFERROR(__xludf.DUMMYFUNCTION("""COMPUTED_VALUE"""),"Pais_Empresa")</f>
        <v>Pais_Empresa</v>
      </c>
      <c r="C1" s="8" t="str">
        <f>IFERROR(__xludf.DUMMYFUNCTION("""COMPUTED_VALUE"""),"industria")</f>
        <v>industria</v>
      </c>
    </row>
    <row r="2" hidden="1">
      <c r="A2" s="6" t="str">
        <f>IFERROR(__xludf.DUMMYFUNCTION("""COMPUTED_VALUE"""),"increase")</f>
        <v>increase</v>
      </c>
      <c r="B2" s="6" t="str">
        <f>IFERROR(__xludf.DUMMYFUNCTION("""COMPUTED_VALUE"""),"Argentina")</f>
        <v>Argentina</v>
      </c>
      <c r="C2" s="6" t="str">
        <f>IFERROR(__xludf.DUMMYFUNCTION("""COMPUTED_VALUE"""),"Software Factory / Staffing")</f>
        <v>Software Factory / Staffing</v>
      </c>
    </row>
    <row r="3" hidden="1">
      <c r="A3" s="6" t="str">
        <f>IFERROR(__xludf.DUMMYFUNCTION("""COMPUTED_VALUE"""),"rappi")</f>
        <v>rappi</v>
      </c>
      <c r="B3" s="6" t="str">
        <f>IFERROR(__xludf.DUMMYFUNCTION("""COMPUTED_VALUE"""),"Colombia")</f>
        <v>Colombia</v>
      </c>
      <c r="C3" s="6" t="str">
        <f>IFERROR(__xludf.DUMMYFUNCTION("""COMPUTED_VALUE"""),"FMCG / Consumo masivo")</f>
        <v>FMCG / Consumo masivo</v>
      </c>
    </row>
    <row r="4" hidden="1">
      <c r="A4" s="6" t="str">
        <f>IFERROR(__xludf.DUMMYFUNCTION("""COMPUTED_VALUE"""),"uma health ai")</f>
        <v>uma health ai</v>
      </c>
      <c r="B4" s="6" t="str">
        <f>IFERROR(__xludf.DUMMYFUNCTION("""COMPUTED_VALUE"""),"Argentina")</f>
        <v>Argentina</v>
      </c>
      <c r="C4" s="6" t="str">
        <f>IFERROR(__xludf.DUMMYFUNCTION("""COMPUTED_VALUE"""),"Health")</f>
        <v>Health</v>
      </c>
    </row>
    <row r="5" hidden="1">
      <c r="A5" s="6" t="str">
        <f>IFERROR(__xludf.DUMMYFUNCTION("""COMPUTED_VALUE"""),"isibit")</f>
        <v>isibit</v>
      </c>
      <c r="B5" s="6" t="str">
        <f>IFERROR(__xludf.DUMMYFUNCTION("""COMPUTED_VALUE"""),"Mexico")</f>
        <v>Mexico</v>
      </c>
      <c r="C5" s="6" t="str">
        <f>IFERROR(__xludf.DUMMYFUNCTION("""COMPUTED_VALUE"""),"Travel and Tourism")</f>
        <v>Travel and Tourism</v>
      </c>
    </row>
    <row r="6" hidden="1">
      <c r="A6" s="6" t="str">
        <f>IFERROR(__xludf.DUMMYFUNCTION("""COMPUTED_VALUE"""),"heliconia")</f>
        <v>heliconia</v>
      </c>
      <c r="B6" s="6" t="str">
        <f>IFERROR(__xludf.DUMMYFUNCTION("""COMPUTED_VALUE"""),"Argentina")</f>
        <v>Argentina</v>
      </c>
      <c r="C6" s="6" t="str">
        <f>IFERROR(__xludf.DUMMYFUNCTION("""COMPUTED_VALUE"""),"Software Factory / Staffing")</f>
        <v>Software Factory / Staffing</v>
      </c>
    </row>
    <row r="7" hidden="1">
      <c r="A7" s="6" t="str">
        <f>IFERROR(__xludf.DUMMYFUNCTION("""COMPUTED_VALUE"""),"osmind")</f>
        <v>osmind</v>
      </c>
      <c r="B7" s="6" t="str">
        <f>IFERROR(__xludf.DUMMYFUNCTION("""COMPUTED_VALUE"""),"Estados Unidos")</f>
        <v>Estados Unidos</v>
      </c>
      <c r="C7" s="6" t="str">
        <f>IFERROR(__xludf.DUMMYFUNCTION("""COMPUTED_VALUE"""),"Health")</f>
        <v>Health</v>
      </c>
    </row>
    <row r="8">
      <c r="A8" s="6" t="str">
        <f>IFERROR(__xludf.DUMMYFUNCTION("""COMPUTED_VALUE"""),"henry")</f>
        <v>henry</v>
      </c>
      <c r="B8" s="6" t="str">
        <f>IFERROR(__xludf.DUMMYFUNCTION("""COMPUTED_VALUE"""),"Argentina")</f>
        <v>Argentina</v>
      </c>
      <c r="C8" s="6" t="str">
        <f>IFERROR(__xludf.DUMMYFUNCTION("""COMPUTED_VALUE"""),"Education &amp; Edtech")</f>
        <v>Education &amp; Edtech</v>
      </c>
    </row>
    <row r="9" hidden="1">
      <c r="A9" s="6" t="str">
        <f>IFERROR(__xludf.DUMMYFUNCTION("""COMPUTED_VALUE"""),"simetrik")</f>
        <v>simetrik</v>
      </c>
      <c r="B9" s="6" t="str">
        <f>IFERROR(__xludf.DUMMYFUNCTION("""COMPUTED_VALUE"""),"Colombia")</f>
        <v>Colombia</v>
      </c>
      <c r="C9" s="6" t="str">
        <f>IFERROR(__xludf.DUMMYFUNCTION("""COMPUTED_VALUE"""),"Software Factory / Staffing")</f>
        <v>Software Factory / Staffing</v>
      </c>
    </row>
    <row r="10" hidden="1">
      <c r="A10" s="6" t="str">
        <f>IFERROR(__xludf.DUMMYFUNCTION("""COMPUTED_VALUE"""),"sirena")</f>
        <v>sirena</v>
      </c>
      <c r="B10" s="6" t="str">
        <f>IFERROR(__xludf.DUMMYFUNCTION("""COMPUTED_VALUE"""),"Argentina")</f>
        <v>Argentina</v>
      </c>
      <c r="C10" s="6" t="str">
        <f>IFERROR(__xludf.DUMMYFUNCTION("""COMPUTED_VALUE"""),"Media &amp; Communication")</f>
        <v>Media &amp; Communication</v>
      </c>
    </row>
    <row r="11" hidden="1">
      <c r="A11" s="6" t="str">
        <f>IFERROR(__xludf.DUMMYFUNCTION("""COMPUTED_VALUE"""),"nubimetrics")</f>
        <v>nubimetrics</v>
      </c>
      <c r="B11" s="6" t="str">
        <f>IFERROR(__xludf.DUMMYFUNCTION("""COMPUTED_VALUE"""),"Argentina")</f>
        <v>Argentina</v>
      </c>
      <c r="C11" s="6" t="str">
        <f>IFERROR(__xludf.DUMMYFUNCTION("""COMPUTED_VALUE"""),"Data &amp; Analytics")</f>
        <v>Data &amp; Analytics</v>
      </c>
    </row>
    <row r="12" hidden="1">
      <c r="A12" s="6" t="str">
        <f>IFERROR(__xludf.DUMMYFUNCTION("""COMPUTED_VALUE"""),"jumpstart filings")</f>
        <v>jumpstart filings</v>
      </c>
      <c r="B12" s="6" t="str">
        <f>IFERROR(__xludf.DUMMYFUNCTION("""COMPUTED_VALUE"""),"Estados Unidos")</f>
        <v>Estados Unidos</v>
      </c>
      <c r="C12" s="6" t="str">
        <f>IFERROR(__xludf.DUMMYFUNCTION("""COMPUTED_VALUE"""),"Law/Legal Services")</f>
        <v>Law/Legal Services</v>
      </c>
    </row>
    <row r="13" hidden="1">
      <c r="A13" s="6" t="str">
        <f>IFERROR(__xludf.DUMMYFUNCTION("""COMPUTED_VALUE"""),"chiper")</f>
        <v>chiper</v>
      </c>
      <c r="B13" s="6" t="str">
        <f>IFERROR(__xludf.DUMMYFUNCTION("""COMPUTED_VALUE"""),"Colombia ")</f>
        <v>Colombia </v>
      </c>
      <c r="C13" s="6" t="str">
        <f>IFERROR(__xludf.DUMMYFUNCTION("""COMPUTED_VALUE"""),"E-commerce")</f>
        <v>E-commerce</v>
      </c>
    </row>
    <row r="14" hidden="1">
      <c r="A14" s="6" t="str">
        <f>IFERROR(__xludf.DUMMYFUNCTION("""COMPUTED_VALUE"""),"italic")</f>
        <v>italic</v>
      </c>
      <c r="B14" s="6" t="str">
        <f>IFERROR(__xludf.DUMMYFUNCTION("""COMPUTED_VALUE"""),"Estados Unidos")</f>
        <v>Estados Unidos</v>
      </c>
      <c r="C14" s="6" t="str">
        <f>IFERROR(__xludf.DUMMYFUNCTION("""COMPUTED_VALUE"""),"E-commerce")</f>
        <v>E-commerce</v>
      </c>
    </row>
    <row r="15" hidden="1">
      <c r="A15" s="6" t="str">
        <f>IFERROR(__xludf.DUMMYFUNCTION("""COMPUTED_VALUE"""),"ribbon")</f>
        <v>ribbon</v>
      </c>
      <c r="B15" s="6" t="str">
        <f>IFERROR(__xludf.DUMMYFUNCTION("""COMPUTED_VALUE"""),"Estados Unidos")</f>
        <v>Estados Unidos</v>
      </c>
      <c r="C15" s="6" t="str">
        <f>IFERROR(__xludf.DUMMYFUNCTION("""COMPUTED_VALUE"""),"Fintech")</f>
        <v>Fintech</v>
      </c>
    </row>
    <row r="16" hidden="1">
      <c r="A16" s="6" t="str">
        <f>IFERROR(__xludf.DUMMYFUNCTION("""COMPUTED_VALUE"""),"yearend")</f>
        <v>yearend</v>
      </c>
      <c r="B16" s="6" t="str">
        <f>IFERROR(__xludf.DUMMYFUNCTION("""COMPUTED_VALUE"""),"Estados Unidos")</f>
        <v>Estados Unidos</v>
      </c>
      <c r="C16" s="6" t="str">
        <f>IFERROR(__xludf.DUMMYFUNCTION("""COMPUTED_VALUE"""),"Banking &amp; Financial Servicies")</f>
        <v>Banking &amp; Financial Servicies</v>
      </c>
    </row>
    <row r="17" hidden="1">
      <c r="A17" s="6" t="str">
        <f>IFERROR(__xludf.DUMMYFUNCTION("""COMPUTED_VALUE"""),"small giants agency")</f>
        <v>small giants agency</v>
      </c>
      <c r="B17" s="6" t="str">
        <f>IFERROR(__xludf.DUMMYFUNCTION("""COMPUTED_VALUE"""),"Inglaterra")</f>
        <v>Inglaterra</v>
      </c>
      <c r="C17" s="6" t="str">
        <f>IFERROR(__xludf.DUMMYFUNCTION("""COMPUTED_VALUE"""),"Marketing &amp; Advertising")</f>
        <v>Marketing &amp; Advertising</v>
      </c>
    </row>
    <row r="18">
      <c r="A18" s="6" t="str">
        <f>IFERROR(__xludf.DUMMYFUNCTION("""COMPUTED_VALUE"""),"globant")</f>
        <v>globant</v>
      </c>
      <c r="B18" s="6" t="str">
        <f>IFERROR(__xludf.DUMMYFUNCTION("""COMPUTED_VALUE"""),"Argentina")</f>
        <v>Argentina</v>
      </c>
      <c r="C18" s="6" t="str">
        <f>IFERROR(__xludf.DUMMYFUNCTION("""COMPUTED_VALUE"""),"Software Factory / Staffing")</f>
        <v>Software Factory / Staffing</v>
      </c>
    </row>
    <row r="19" hidden="1">
      <c r="A19" s="6" t="str">
        <f>IFERROR(__xludf.DUMMYFUNCTION("""COMPUTED_VALUE"""),"endow corp.")</f>
        <v>endow corp.</v>
      </c>
      <c r="B19" s="6" t="str">
        <f>IFERROR(__xludf.DUMMYFUNCTION("""COMPUTED_VALUE"""),"Estados Unidos")</f>
        <v>Estados Unidos</v>
      </c>
      <c r="C19" s="6" t="str">
        <f>IFERROR(__xludf.DUMMYFUNCTION("""COMPUTED_VALUE"""),"Other")</f>
        <v>Other</v>
      </c>
    </row>
    <row r="20" hidden="1">
      <c r="A20" s="6" t="str">
        <f>IFERROR(__xludf.DUMMYFUNCTION("""COMPUTED_VALUE"""),"tecnosoftware")</f>
        <v>tecnosoftware</v>
      </c>
      <c r="B20" s="6" t="str">
        <f>IFERROR(__xludf.DUMMYFUNCTION("""COMPUTED_VALUE"""),"Argentina")</f>
        <v>Argentina</v>
      </c>
      <c r="C20" s="6" t="str">
        <f>IFERROR(__xludf.DUMMYFUNCTION("""COMPUTED_VALUE"""),"Management Consulting")</f>
        <v>Management Consulting</v>
      </c>
    </row>
    <row r="21" hidden="1">
      <c r="A21" s="6" t="str">
        <f>IFERROR(__xludf.DUMMYFUNCTION("""COMPUTED_VALUE"""),"n5 now")</f>
        <v>n5 now</v>
      </c>
      <c r="B21" s="6" t="str">
        <f>IFERROR(__xludf.DUMMYFUNCTION("""COMPUTED_VALUE"""),"Argentina")</f>
        <v>Argentina</v>
      </c>
      <c r="C21" s="6" t="str">
        <f>IFERROR(__xludf.DUMMYFUNCTION("""COMPUTED_VALUE"""),"Software Factory / Staffing")</f>
        <v>Software Factory / Staffing</v>
      </c>
    </row>
    <row r="22" hidden="1">
      <c r="A22" s="6" t="str">
        <f>IFERROR(__xludf.DUMMYFUNCTION("""COMPUTED_VALUE"""),"octopus")</f>
        <v>octopus</v>
      </c>
      <c r="B22" s="6" t="str">
        <f>IFERROR(__xludf.DUMMYFUNCTION("""COMPUTED_VALUE"""),"Argentina")</f>
        <v>Argentina</v>
      </c>
      <c r="C22" s="6" t="str">
        <f>IFERROR(__xludf.DUMMYFUNCTION("""COMPUTED_VALUE"""),"Fintech")</f>
        <v>Fintech</v>
      </c>
    </row>
    <row r="23" hidden="1">
      <c r="A23" s="6" t="str">
        <f>IFERROR(__xludf.DUMMYFUNCTION("""COMPUTED_VALUE"""),"ordering")</f>
        <v>ordering</v>
      </c>
      <c r="B23" s="6" t="str">
        <f>IFERROR(__xludf.DUMMYFUNCTION("""COMPUTED_VALUE"""),"Estados Unidos")</f>
        <v>Estados Unidos</v>
      </c>
      <c r="C23" s="4"/>
    </row>
    <row r="24" hidden="1">
      <c r="A24" s="6" t="str">
        <f>IFERROR(__xludf.DUMMYFUNCTION("""COMPUTED_VALUE"""),"zil media")</f>
        <v>zil media</v>
      </c>
      <c r="B24" s="6" t="str">
        <f>IFERROR(__xludf.DUMMYFUNCTION("""COMPUTED_VALUE"""),"Estados Unidos")</f>
        <v>Estados Unidos</v>
      </c>
      <c r="C24" s="6" t="str">
        <f>IFERROR(__xludf.DUMMYFUNCTION("""COMPUTED_VALUE"""),"Other")</f>
        <v>Other</v>
      </c>
    </row>
    <row r="25" hidden="1">
      <c r="A25" s="6" t="str">
        <f>IFERROR(__xludf.DUMMYFUNCTION("""COMPUTED_VALUE"""),"ucompany")</f>
        <v>ucompany</v>
      </c>
      <c r="B25" s="4"/>
      <c r="C25" s="6" t="str">
        <f>IFERROR(__xludf.DUMMYFUNCTION("""COMPUTED_VALUE"""),"Software Factory / Staffing")</f>
        <v>Software Factory / Staffing</v>
      </c>
    </row>
    <row r="26" hidden="1">
      <c r="A26" s="6" t="str">
        <f>IFERROR(__xludf.DUMMYFUNCTION("""COMPUTED_VALUE"""),"corebi")</f>
        <v>corebi</v>
      </c>
      <c r="B26" s="6" t="str">
        <f>IFERROR(__xludf.DUMMYFUNCTION("""COMPUTED_VALUE"""),"Argentina")</f>
        <v>Argentina</v>
      </c>
      <c r="C26" s="6" t="str">
        <f>IFERROR(__xludf.DUMMYFUNCTION("""COMPUTED_VALUE"""),"Data &amp; Analytics")</f>
        <v>Data &amp; Analytics</v>
      </c>
    </row>
    <row r="27" hidden="1">
      <c r="A27" s="6" t="str">
        <f>IFERROR(__xludf.DUMMYFUNCTION("""COMPUTED_VALUE"""),"vitau")</f>
        <v>vitau</v>
      </c>
      <c r="B27" s="6" t="str">
        <f>IFERROR(__xludf.DUMMYFUNCTION("""COMPUTED_VALUE"""),"Mexico")</f>
        <v>Mexico</v>
      </c>
      <c r="C27" s="6" t="str">
        <f>IFERROR(__xludf.DUMMYFUNCTION("""COMPUTED_VALUE"""),"Health")</f>
        <v>Health</v>
      </c>
    </row>
    <row r="28" hidden="1">
      <c r="A28" s="6" t="str">
        <f>IFERROR(__xludf.DUMMYFUNCTION("""COMPUTED_VALUE"""),"digichanges")</f>
        <v>digichanges</v>
      </c>
      <c r="B28" s="6" t="str">
        <f>IFERROR(__xludf.DUMMYFUNCTION("""COMPUTED_VALUE"""),"Argentina")</f>
        <v>Argentina</v>
      </c>
      <c r="C28" s="6" t="str">
        <f>IFERROR(__xludf.DUMMYFUNCTION("""COMPUTED_VALUE"""),"Software Factory / Staffing")</f>
        <v>Software Factory / Staffing</v>
      </c>
    </row>
    <row r="29" hidden="1">
      <c r="A29" s="6" t="str">
        <f>IFERROR(__xludf.DUMMYFUNCTION("""COMPUTED_VALUE"""),"script")</f>
        <v>script</v>
      </c>
      <c r="B29" s="6" t="str">
        <f>IFERROR(__xludf.DUMMYFUNCTION("""COMPUTED_VALUE"""),"Estados Unidos")</f>
        <v>Estados Unidos</v>
      </c>
      <c r="C29" s="6" t="str">
        <f>IFERROR(__xludf.DUMMYFUNCTION("""COMPUTED_VALUE"""),"Education &amp; Edtech")</f>
        <v>Education &amp; Edtech</v>
      </c>
    </row>
    <row r="30" hidden="1">
      <c r="A30" s="6" t="str">
        <f>IFERROR(__xludf.DUMMYFUNCTION("""COMPUTED_VALUE"""),"pipe tech")</f>
        <v>pipe tech</v>
      </c>
      <c r="B30" s="6" t="str">
        <f>IFERROR(__xludf.DUMMYFUNCTION("""COMPUTED_VALUE"""),"Argentina")</f>
        <v>Argentina</v>
      </c>
      <c r="C30" s="6" t="str">
        <f>IFERROR(__xludf.DUMMYFUNCTION("""COMPUTED_VALUE"""),"Management Consulting")</f>
        <v>Management Consulting</v>
      </c>
    </row>
    <row r="31" hidden="1">
      <c r="A31" s="6" t="str">
        <f>IFERROR(__xludf.DUMMYFUNCTION("""COMPUTED_VALUE"""),"ibisdev")</f>
        <v>ibisdev</v>
      </c>
      <c r="B31" s="6" t="str">
        <f>IFERROR(__xludf.DUMMYFUNCTION("""COMPUTED_VALUE"""),"Francia")</f>
        <v>Francia</v>
      </c>
      <c r="C31" s="6" t="str">
        <f>IFERROR(__xludf.DUMMYFUNCTION("""COMPUTED_VALUE"""),"Management Consulting")</f>
        <v>Management Consulting</v>
      </c>
    </row>
    <row r="32" hidden="1">
      <c r="A32" s="6" t="str">
        <f>IFERROR(__xludf.DUMMYFUNCTION("""COMPUTED_VALUE"""),"lubee")</f>
        <v>lubee</v>
      </c>
      <c r="B32" s="6" t="str">
        <f>IFERROR(__xludf.DUMMYFUNCTION("""COMPUTED_VALUE"""),"Argentina")</f>
        <v>Argentina</v>
      </c>
      <c r="C32" s="6" t="str">
        <f>IFERROR(__xludf.DUMMYFUNCTION("""COMPUTED_VALUE"""),"Software Factory / Staffing")</f>
        <v>Software Factory / Staffing</v>
      </c>
    </row>
    <row r="33" hidden="1">
      <c r="A33" s="6" t="str">
        <f>IFERROR(__xludf.DUMMYFUNCTION("""COMPUTED_VALUE"""),"emergencias")</f>
        <v>emergencias</v>
      </c>
      <c r="B33" s="6" t="str">
        <f>IFERROR(__xludf.DUMMYFUNCTION("""COMPUTED_VALUE"""),"Argentina")</f>
        <v>Argentina</v>
      </c>
      <c r="C33" s="6" t="str">
        <f>IFERROR(__xludf.DUMMYFUNCTION("""COMPUTED_VALUE"""),"Health")</f>
        <v>Health</v>
      </c>
    </row>
    <row r="34" hidden="1">
      <c r="A34" s="6" t="str">
        <f>IFERROR(__xludf.DUMMYFUNCTION("""COMPUTED_VALUE"""),"pinard srl")</f>
        <v>pinard srl</v>
      </c>
      <c r="B34" s="6" t="str">
        <f>IFERROR(__xludf.DUMMYFUNCTION("""COMPUTED_VALUE"""),"Argentina")</f>
        <v>Argentina</v>
      </c>
      <c r="C34" s="6" t="str">
        <f>IFERROR(__xludf.DUMMYFUNCTION("""COMPUTED_VALUE"""),"Software Factory / Staffing")</f>
        <v>Software Factory / Staffing</v>
      </c>
    </row>
    <row r="35" hidden="1">
      <c r="A35" s="6" t="str">
        <f>IFERROR(__xludf.DUMMYFUNCTION("""COMPUTED_VALUE"""),"acompy")</f>
        <v>acompy</v>
      </c>
      <c r="B35" s="4"/>
      <c r="C35" s="4"/>
    </row>
    <row r="36" hidden="1">
      <c r="A36" s="6" t="str">
        <f>IFERROR(__xludf.DUMMYFUNCTION("""COMPUTED_VALUE"""),"awkbit")</f>
        <v>awkbit</v>
      </c>
      <c r="B36" s="6" t="str">
        <f>IFERROR(__xludf.DUMMYFUNCTION("""COMPUTED_VALUE"""),"Estados Unidos")</f>
        <v>Estados Unidos</v>
      </c>
      <c r="C36" s="6" t="str">
        <f>IFERROR(__xludf.DUMMYFUNCTION("""COMPUTED_VALUE"""),"E-commerce")</f>
        <v>E-commerce</v>
      </c>
    </row>
    <row r="37" hidden="1">
      <c r="A37" s="6" t="str">
        <f>IFERROR(__xludf.DUMMYFUNCTION("""COMPUTED_VALUE"""),"capmega")</f>
        <v>capmega</v>
      </c>
      <c r="B37" s="6" t="str">
        <f>IFERROR(__xludf.DUMMYFUNCTION("""COMPUTED_VALUE"""),"Mexico")</f>
        <v>Mexico</v>
      </c>
      <c r="C37" s="6" t="str">
        <f>IFERROR(__xludf.DUMMYFUNCTION("""COMPUTED_VALUE"""),"Management Consulting")</f>
        <v>Management Consulting</v>
      </c>
    </row>
    <row r="38" hidden="1">
      <c r="A38" s="6" t="str">
        <f>IFERROR(__xludf.DUMMYFUNCTION("""COMPUTED_VALUE"""),"policia de misiones")</f>
        <v>policia de misiones</v>
      </c>
      <c r="B38" s="6" t="str">
        <f>IFERROR(__xludf.DUMMYFUNCTION("""COMPUTED_VALUE"""),"Argentina")</f>
        <v>Argentina</v>
      </c>
      <c r="C38" s="6" t="str">
        <f>IFERROR(__xludf.DUMMYFUNCTION("""COMPUTED_VALUE"""),"Other")</f>
        <v>Other</v>
      </c>
    </row>
    <row r="39" hidden="1">
      <c r="A39" s="6" t="str">
        <f>IFERROR(__xludf.DUMMYFUNCTION("""COMPUTED_VALUE"""),"psh")</f>
        <v>psh</v>
      </c>
      <c r="B39" s="6" t="str">
        <f>IFERROR(__xludf.DUMMYFUNCTION("""COMPUTED_VALUE"""),"Estados Unidos")</f>
        <v>Estados Unidos</v>
      </c>
      <c r="C39" s="6" t="str">
        <f>IFERROR(__xludf.DUMMYFUNCTION("""COMPUTED_VALUE"""),"Software Factory / Staffing")</f>
        <v>Software Factory / Staffing</v>
      </c>
    </row>
    <row r="40" hidden="1">
      <c r="A40" s="6" t="str">
        <f>IFERROR(__xludf.DUMMYFUNCTION("""COMPUTED_VALUE"""),"laura gonzalez")</f>
        <v>laura gonzalez</v>
      </c>
      <c r="B40" s="4"/>
      <c r="C40" s="4"/>
    </row>
    <row r="41" hidden="1">
      <c r="A41" s="6" t="str">
        <f>IFERROR(__xludf.DUMMYFUNCTION("""COMPUTED_VALUE"""),"goiar")</f>
        <v>goiar</v>
      </c>
      <c r="B41" s="6" t="str">
        <f>IFERROR(__xludf.DUMMYFUNCTION("""COMPUTED_VALUE"""),"Argentina")</f>
        <v>Argentina</v>
      </c>
      <c r="C41" s="6" t="str">
        <f>IFERROR(__xludf.DUMMYFUNCTION("""COMPUTED_VALUE"""),"Management Consulting")</f>
        <v>Management Consulting</v>
      </c>
    </row>
    <row r="42" hidden="1">
      <c r="A42" s="6" t="str">
        <f>IFERROR(__xludf.DUMMYFUNCTION("""COMPUTED_VALUE"""),"cordial compañía financiera")</f>
        <v>cordial compañía financiera</v>
      </c>
      <c r="B42" s="6" t="str">
        <f>IFERROR(__xludf.DUMMYFUNCTION("""COMPUTED_VALUE"""),"Argentina")</f>
        <v>Argentina</v>
      </c>
      <c r="C42" s="6" t="str">
        <f>IFERROR(__xludf.DUMMYFUNCTION("""COMPUTED_VALUE"""),"Banking &amp; Financial Servicies")</f>
        <v>Banking &amp; Financial Servicies</v>
      </c>
    </row>
    <row r="43" hidden="1">
      <c r="A43" s="6" t="str">
        <f>IFERROR(__xludf.DUMMYFUNCTION("""COMPUTED_VALUE"""),"zil holdings")</f>
        <v>zil holdings</v>
      </c>
      <c r="B43" s="6" t="str">
        <f>IFERROR(__xludf.DUMMYFUNCTION("""COMPUTED_VALUE"""),"Argentina")</f>
        <v>Argentina</v>
      </c>
      <c r="C43" s="6" t="str">
        <f>IFERROR(__xludf.DUMMYFUNCTION("""COMPUTED_VALUE"""),"Media &amp; Communication")</f>
        <v>Media &amp; Communication</v>
      </c>
    </row>
    <row r="44" hidden="1">
      <c r="A44" s="6" t="str">
        <f>IFERROR(__xludf.DUMMYFUNCTION("""COMPUTED_VALUE"""),"agencia ego")</f>
        <v>agencia ego</v>
      </c>
      <c r="B44" s="6" t="str">
        <f>IFERROR(__xludf.DUMMYFUNCTION("""COMPUTED_VALUE"""),"Argentina")</f>
        <v>Argentina</v>
      </c>
      <c r="C44" s="6" t="str">
        <f>IFERROR(__xludf.DUMMYFUNCTION("""COMPUTED_VALUE"""),"Marketing &amp; Advertising")</f>
        <v>Marketing &amp; Advertising</v>
      </c>
    </row>
    <row r="45" hidden="1">
      <c r="A45" s="6" t="str">
        <f>IFERROR(__xludf.DUMMYFUNCTION("""COMPUTED_VALUE"""),"endwall")</f>
        <v>endwall</v>
      </c>
      <c r="B45" s="6" t="str">
        <f>IFERROR(__xludf.DUMMYFUNCTION("""COMPUTED_VALUE"""),"Argentina")</f>
        <v>Argentina</v>
      </c>
      <c r="C45" s="6" t="str">
        <f>IFERROR(__xludf.DUMMYFUNCTION("""COMPUTED_VALUE"""),"Cibersecurity")</f>
        <v>Cibersecurity</v>
      </c>
    </row>
    <row r="46" hidden="1">
      <c r="A46" s="6" t="str">
        <f>IFERROR(__xludf.DUMMYFUNCTION("""COMPUTED_VALUE"""),"blitz laser ltd.")</f>
        <v>blitz laser ltd.</v>
      </c>
      <c r="B46" s="6" t="str">
        <f>IFERROR(__xludf.DUMMYFUNCTION("""COMPUTED_VALUE"""),"China")</f>
        <v>China</v>
      </c>
      <c r="C46" s="6" t="str">
        <f>IFERROR(__xludf.DUMMYFUNCTION("""COMPUTED_VALUE"""),"Hardware")</f>
        <v>Hardware</v>
      </c>
    </row>
    <row r="47">
      <c r="A47" s="6" t="str">
        <f>IFERROR(__xludf.DUMMYFUNCTION("""COMPUTED_VALUE"""),"tarjetaplata")</f>
        <v>tarjetaplata</v>
      </c>
      <c r="B47" s="4"/>
      <c r="C47" s="4"/>
    </row>
    <row r="48" hidden="1">
      <c r="A48" s="6" t="str">
        <f>IFERROR(__xludf.DUMMYFUNCTION("""COMPUTED_VALUE"""),"farmacias natal")</f>
        <v>farmacias natal</v>
      </c>
      <c r="B48" s="6" t="str">
        <f>IFERROR(__xludf.DUMMYFUNCTION("""COMPUTED_VALUE"""),"Argentina")</f>
        <v>Argentina</v>
      </c>
      <c r="C48" s="6" t="str">
        <f>IFERROR(__xludf.DUMMYFUNCTION("""COMPUTED_VALUE"""),"Health")</f>
        <v>Health</v>
      </c>
    </row>
    <row r="49" hidden="1">
      <c r="A49" s="6" t="str">
        <f>IFERROR(__xludf.DUMMYFUNCTION("""COMPUTED_VALUE"""),"richetta")</f>
        <v>richetta</v>
      </c>
      <c r="B49" s="6" t="str">
        <f>IFERROR(__xludf.DUMMYFUNCTION("""COMPUTED_VALUE"""),"Argentina")</f>
        <v>Argentina</v>
      </c>
      <c r="C49" s="6" t="str">
        <f>IFERROR(__xludf.DUMMYFUNCTION("""COMPUTED_VALUE"""),"FMCG / Consumo masivo")</f>
        <v>FMCG / Consumo masivo</v>
      </c>
    </row>
    <row r="50" hidden="1">
      <c r="A50" s="6" t="str">
        <f>IFERROR(__xludf.DUMMYFUNCTION("""COMPUTED_VALUE"""),"infovalue")</f>
        <v>infovalue</v>
      </c>
      <c r="B50" s="6" t="str">
        <f>IFERROR(__xludf.DUMMYFUNCTION("""COMPUTED_VALUE"""),"Estados Unidos")</f>
        <v>Estados Unidos</v>
      </c>
      <c r="C50" s="6" t="str">
        <f>IFERROR(__xludf.DUMMYFUNCTION("""COMPUTED_VALUE"""),"Software Factory / Staffing")</f>
        <v>Software Factory / Staffing</v>
      </c>
    </row>
    <row r="51" hidden="1">
      <c r="A51" s="6" t="str">
        <f>IFERROR(__xludf.DUMMYFUNCTION("""COMPUTED_VALUE"""),"xepelin")</f>
        <v>xepelin</v>
      </c>
      <c r="B51" s="6" t="str">
        <f>IFERROR(__xludf.DUMMYFUNCTION("""COMPUTED_VALUE"""),"Chile")</f>
        <v>Chile</v>
      </c>
      <c r="C51" s="6" t="str">
        <f>IFERROR(__xludf.DUMMYFUNCTION("""COMPUTED_VALUE"""),"Fintech")</f>
        <v>Fintech</v>
      </c>
    </row>
    <row r="52" hidden="1">
      <c r="A52" s="6" t="str">
        <f>IFERROR(__xludf.DUMMYFUNCTION("""COMPUTED_VALUE"""),"wehaus")</f>
        <v>wehaus</v>
      </c>
      <c r="B52" s="6" t="str">
        <f>IFERROR(__xludf.DUMMYFUNCTION("""COMPUTED_VALUE"""),"Argentina")</f>
        <v>Argentina</v>
      </c>
      <c r="C52" s="6" t="str">
        <f>IFERROR(__xludf.DUMMYFUNCTION("""COMPUTED_VALUE"""),"Messaging and Telecommunications")</f>
        <v>Messaging and Telecommunications</v>
      </c>
    </row>
    <row r="53" hidden="1">
      <c r="A53" s="6" t="str">
        <f>IFERROR(__xludf.DUMMYFUNCTION("""COMPUTED_VALUE"""),"coderhouse")</f>
        <v>coderhouse</v>
      </c>
      <c r="B53" s="6" t="str">
        <f>IFERROR(__xludf.DUMMYFUNCTION("""COMPUTED_VALUE"""),"Argentina")</f>
        <v>Argentina</v>
      </c>
      <c r="C53" s="6" t="str">
        <f>IFERROR(__xludf.DUMMYFUNCTION("""COMPUTED_VALUE"""),"Education &amp; Edtech")</f>
        <v>Education &amp; Edtech</v>
      </c>
    </row>
    <row r="54" hidden="1">
      <c r="A54" s="6" t="str">
        <f>IFERROR(__xludf.DUMMYFUNCTION("""COMPUTED_VALUE"""),"cubiq")</f>
        <v>cubiq</v>
      </c>
      <c r="B54" s="6" t="str">
        <f>IFERROR(__xludf.DUMMYFUNCTION("""COMPUTED_VALUE"""),"Colombia")</f>
        <v>Colombia</v>
      </c>
      <c r="C54" s="6" t="str">
        <f>IFERROR(__xludf.DUMMYFUNCTION("""COMPUTED_VALUE"""),"Software Factory / Staffing")</f>
        <v>Software Factory / Staffing</v>
      </c>
    </row>
    <row r="55" hidden="1">
      <c r="A55" s="6" t="str">
        <f>IFERROR(__xludf.DUMMYFUNCTION("""COMPUTED_VALUE"""),"accenture")</f>
        <v>accenture</v>
      </c>
      <c r="B55" s="6" t="str">
        <f>IFERROR(__xludf.DUMMYFUNCTION("""COMPUTED_VALUE"""),"Argentina")</f>
        <v>Argentina</v>
      </c>
      <c r="C55" s="6" t="str">
        <f>IFERROR(__xludf.DUMMYFUNCTION("""COMPUTED_VALUE"""),"Management Consulting")</f>
        <v>Management Consulting</v>
      </c>
    </row>
    <row r="56" hidden="1">
      <c r="A56" s="6" t="str">
        <f>IFERROR(__xludf.DUMMYFUNCTION("""COMPUTED_VALUE"""),"my mini factory")</f>
        <v>my mini factory</v>
      </c>
      <c r="B56" s="6" t="str">
        <f>IFERROR(__xludf.DUMMYFUNCTION("""COMPUTED_VALUE"""),"Reino Unido")</f>
        <v>Reino Unido</v>
      </c>
      <c r="C56" s="6" t="str">
        <f>IFERROR(__xludf.DUMMYFUNCTION("""COMPUTED_VALUE"""),"Management Consulting")</f>
        <v>Management Consulting</v>
      </c>
    </row>
    <row r="57" hidden="1">
      <c r="A57" s="6" t="str">
        <f>IFERROR(__xludf.DUMMYFUNCTION("""COMPUTED_VALUE"""),"mercado libre")</f>
        <v>mercado libre</v>
      </c>
      <c r="B57" s="6" t="str">
        <f>IFERROR(__xludf.DUMMYFUNCTION("""COMPUTED_VALUE"""),"Argentina")</f>
        <v>Argentina</v>
      </c>
      <c r="C57" s="6" t="str">
        <f>IFERROR(__xludf.DUMMYFUNCTION("""COMPUTED_VALUE"""),"E-commerce")</f>
        <v>E-commerce</v>
      </c>
    </row>
    <row r="58" hidden="1">
      <c r="A58" s="6" t="str">
        <f>IFERROR(__xludf.DUMMYFUNCTION("""COMPUTED_VALUE"""),"ohana")</f>
        <v>ohana</v>
      </c>
      <c r="B58" s="6" t="str">
        <f>IFERROR(__xludf.DUMMYFUNCTION("""COMPUTED_VALUE"""),"Argentina")</f>
        <v>Argentina</v>
      </c>
      <c r="C58" s="6" t="str">
        <f>IFERROR(__xludf.DUMMYFUNCTION("""COMPUTED_VALUE"""),"Banking &amp; Financial Servicies")</f>
        <v>Banking &amp; Financial Servicies</v>
      </c>
    </row>
    <row r="59" hidden="1">
      <c r="A59" s="6" t="str">
        <f>IFERROR(__xludf.DUMMYFUNCTION("""COMPUTED_VALUE"""),"cooperativa de provisión de servicios agro turísticos la costera limitada")</f>
        <v>cooperativa de provisión de servicios agro turísticos la costera limitada</v>
      </c>
      <c r="B59" s="6" t="str">
        <f>IFERROR(__xludf.DUMMYFUNCTION("""COMPUTED_VALUE"""),"Argentina")</f>
        <v>Argentina</v>
      </c>
      <c r="C59" s="6" t="str">
        <f>IFERROR(__xludf.DUMMYFUNCTION("""COMPUTED_VALUE"""),"Travel and Tourism")</f>
        <v>Travel and Tourism</v>
      </c>
    </row>
    <row r="60" hidden="1">
      <c r="A60" s="6" t="str">
        <f>IFERROR(__xludf.DUMMYFUNCTION("""COMPUTED_VALUE"""),"movilbox s.a.s.")</f>
        <v>movilbox s.a.s.</v>
      </c>
      <c r="B60" s="6" t="str">
        <f>IFERROR(__xludf.DUMMYFUNCTION("""COMPUTED_VALUE"""),"Colombia")</f>
        <v>Colombia</v>
      </c>
      <c r="C60" s="6" t="str">
        <f>IFERROR(__xludf.DUMMYFUNCTION("""COMPUTED_VALUE"""),"Software Factory / Staffing")</f>
        <v>Software Factory / Staffing</v>
      </c>
    </row>
    <row r="61" hidden="1">
      <c r="A61" s="6" t="str">
        <f>IFERROR(__xludf.DUMMYFUNCTION("""COMPUTED_VALUE"""),"treinta sas")</f>
        <v>treinta sas</v>
      </c>
      <c r="B61" s="6" t="str">
        <f>IFERROR(__xludf.DUMMYFUNCTION("""COMPUTED_VALUE"""),"Colombia")</f>
        <v>Colombia</v>
      </c>
      <c r="C61" s="6" t="str">
        <f>IFERROR(__xludf.DUMMYFUNCTION("""COMPUTED_VALUE"""),"Fintech")</f>
        <v>Fintech</v>
      </c>
    </row>
    <row r="62" hidden="1">
      <c r="A62" s="6" t="str">
        <f>IFERROR(__xludf.DUMMYFUNCTION("""COMPUTED_VALUE"""),"inorbit")</f>
        <v>inorbit</v>
      </c>
      <c r="B62" s="6" t="str">
        <f>IFERROR(__xludf.DUMMYFUNCTION("""COMPUTED_VALUE"""),"Estados Unidos")</f>
        <v>Estados Unidos</v>
      </c>
      <c r="C62" s="6" t="str">
        <f>IFERROR(__xludf.DUMMYFUNCTION("""COMPUTED_VALUE"""),"SaaS")</f>
        <v>SaaS</v>
      </c>
    </row>
    <row r="63" hidden="1">
      <c r="A63" s="6" t="str">
        <f>IFERROR(__xludf.DUMMYFUNCTION("""COMPUTED_VALUE"""),"kuepa edutech")</f>
        <v>kuepa edutech</v>
      </c>
      <c r="B63" s="6" t="str">
        <f>IFERROR(__xludf.DUMMYFUNCTION("""COMPUTED_VALUE"""),"Colombia")</f>
        <v>Colombia</v>
      </c>
      <c r="C63" s="6" t="str">
        <f>IFERROR(__xludf.DUMMYFUNCTION("""COMPUTED_VALUE"""),"Education &amp; Edtech")</f>
        <v>Education &amp; Edtech</v>
      </c>
    </row>
    <row r="64" hidden="1">
      <c r="A64" s="6" t="str">
        <f>IFERROR(__xludf.DUMMYFUNCTION("""COMPUTED_VALUE"""),"linktic")</f>
        <v>linktic</v>
      </c>
      <c r="B64" s="6" t="str">
        <f>IFERROR(__xludf.DUMMYFUNCTION("""COMPUTED_VALUE"""),"Colombia")</f>
        <v>Colombia</v>
      </c>
      <c r="C64" s="6" t="str">
        <f>IFERROR(__xludf.DUMMYFUNCTION("""COMPUTED_VALUE"""),"Management Consulting")</f>
        <v>Management Consulting</v>
      </c>
    </row>
    <row r="65" hidden="1">
      <c r="A65" s="6" t="str">
        <f>IFERROR(__xludf.DUMMYFUNCTION("""COMPUTED_VALUE"""),"mdevz")</f>
        <v>mdevz</v>
      </c>
      <c r="B65" s="6" t="str">
        <f>IFERROR(__xludf.DUMMYFUNCTION("""COMPUTED_VALUE"""),"Argentina")</f>
        <v>Argentina</v>
      </c>
      <c r="C65" s="6" t="str">
        <f>IFERROR(__xludf.DUMMYFUNCTION("""COMPUTED_VALUE"""),"Software Factory / Staffing")</f>
        <v>Software Factory / Staffing</v>
      </c>
    </row>
    <row r="66" hidden="1">
      <c r="A66" s="6" t="str">
        <f>IFERROR(__xludf.DUMMYFUNCTION("""COMPUTED_VALUE"""),"quadminds")</f>
        <v>quadminds</v>
      </c>
      <c r="B66" s="6" t="str">
        <f>IFERROR(__xludf.DUMMYFUNCTION("""COMPUTED_VALUE"""),"Argentina")</f>
        <v>Argentina</v>
      </c>
      <c r="C66" s="6" t="str">
        <f>IFERROR(__xludf.DUMMYFUNCTION("""COMPUTED_VALUE"""),"Management Consulting")</f>
        <v>Management Consulting</v>
      </c>
    </row>
    <row r="67" hidden="1">
      <c r="A67" s="6" t="str">
        <f>IFERROR(__xludf.DUMMYFUNCTION("""COMPUTED_VALUE"""),"pipe tech sas")</f>
        <v>pipe tech sas</v>
      </c>
      <c r="B67" s="6" t="str">
        <f>IFERROR(__xludf.DUMMYFUNCTION("""COMPUTED_VALUE"""),"Argentina")</f>
        <v>Argentina</v>
      </c>
      <c r="C67" s="6" t="str">
        <f>IFERROR(__xludf.DUMMYFUNCTION("""COMPUTED_VALUE"""),"Software Factory / Staffing")</f>
        <v>Software Factory / Staffing</v>
      </c>
    </row>
    <row r="68" hidden="1">
      <c r="A68" s="6" t="str">
        <f>IFERROR(__xludf.DUMMYFUNCTION("""COMPUTED_VALUE"""),"freelance")</f>
        <v>freelance</v>
      </c>
      <c r="B68" s="6" t="str">
        <f>IFERROR(__xludf.DUMMYFUNCTION("""COMPUTED_VALUE"""),"España")</f>
        <v>España</v>
      </c>
      <c r="C68" s="6" t="str">
        <f>IFERROR(__xludf.DUMMYFUNCTION("""COMPUTED_VALUE"""),"Marketing &amp; Advertising")</f>
        <v>Marketing &amp; Advertising</v>
      </c>
    </row>
    <row r="69" hidden="1">
      <c r="A69" s="6" t="str">
        <f>IFERROR(__xludf.DUMMYFUNCTION("""COMPUTED_VALUE"""),"ias software")</f>
        <v>ias software</v>
      </c>
      <c r="B69" s="6" t="str">
        <f>IFERROR(__xludf.DUMMYFUNCTION("""COMPUTED_VALUE"""),"Colombia")</f>
        <v>Colombia</v>
      </c>
      <c r="C69" s="6" t="str">
        <f>IFERROR(__xludf.DUMMYFUNCTION("""COMPUTED_VALUE"""),"Management Consulting")</f>
        <v>Management Consulting</v>
      </c>
    </row>
    <row r="70" hidden="1">
      <c r="A70" s="6" t="str">
        <f>IFERROR(__xludf.DUMMYFUNCTION("""COMPUTED_VALUE"""),"ross outside the box")</f>
        <v>ross outside the box</v>
      </c>
      <c r="B70" s="6" t="str">
        <f>IFERROR(__xludf.DUMMYFUNCTION("""COMPUTED_VALUE"""),"Argentina")</f>
        <v>Argentina</v>
      </c>
      <c r="C70" s="6" t="str">
        <f>IFERROR(__xludf.DUMMYFUNCTION("""COMPUTED_VALUE"""),"Software Factory / Staffing")</f>
        <v>Software Factory / Staffing</v>
      </c>
    </row>
    <row r="71" hidden="1">
      <c r="A71" s="6" t="str">
        <f>IFERROR(__xludf.DUMMYFUNCTION("""COMPUTED_VALUE"""),"rava bursatil sa")</f>
        <v>rava bursatil sa</v>
      </c>
      <c r="B71" s="4"/>
      <c r="C71" s="4"/>
    </row>
    <row r="72" hidden="1">
      <c r="A72" s="6" t="str">
        <f>IFERROR(__xludf.DUMMYFUNCTION("""COMPUTED_VALUE"""),"latín cloud")</f>
        <v>latín cloud</v>
      </c>
      <c r="B72" s="6" t="str">
        <f>IFERROR(__xludf.DUMMYFUNCTION("""COMPUTED_VALUE"""),"Argentina")</f>
        <v>Argentina</v>
      </c>
      <c r="C72" s="6" t="str">
        <f>IFERROR(__xludf.DUMMYFUNCTION("""COMPUTED_VALUE"""),"Management Consulting")</f>
        <v>Management Consulting</v>
      </c>
    </row>
    <row r="73" hidden="1">
      <c r="A73" s="6" t="str">
        <f>IFERROR(__xludf.DUMMYFUNCTION("""COMPUTED_VALUE"""),"orangedata s.a(yacare.com)")</f>
        <v>orangedata s.a(yacare.com)</v>
      </c>
      <c r="B73" s="6" t="str">
        <f>IFERROR(__xludf.DUMMYFUNCTION("""COMPUTED_VALUE"""),"Argentina")</f>
        <v>Argentina</v>
      </c>
      <c r="C73" s="6" t="str">
        <f>IFERROR(__xludf.DUMMYFUNCTION("""COMPUTED_VALUE"""),"Banking &amp; Financial Servicies")</f>
        <v>Banking &amp; Financial Servicies</v>
      </c>
    </row>
    <row r="74" hidden="1">
      <c r="A74" s="6" t="str">
        <f>IFERROR(__xludf.DUMMYFUNCTION("""COMPUTED_VALUE"""),"hi propi")</f>
        <v>hi propi</v>
      </c>
      <c r="B74" s="6" t="str">
        <f>IFERROR(__xludf.DUMMYFUNCTION("""COMPUTED_VALUE"""),"Argentina")</f>
        <v>Argentina</v>
      </c>
      <c r="C74" s="6" t="str">
        <f>IFERROR(__xludf.DUMMYFUNCTION("""COMPUTED_VALUE"""),"Other")</f>
        <v>Other</v>
      </c>
    </row>
    <row r="75" hidden="1">
      <c r="A75" s="6" t="str">
        <f>IFERROR(__xludf.DUMMYFUNCTION("""COMPUTED_VALUE"""),"savvy")</f>
        <v>savvy</v>
      </c>
      <c r="B75" s="6" t="str">
        <f>IFERROR(__xludf.DUMMYFUNCTION("""COMPUTED_VALUE"""),"Reino Unido")</f>
        <v>Reino Unido</v>
      </c>
      <c r="C75" s="6" t="str">
        <f>IFERROR(__xludf.DUMMYFUNCTION("""COMPUTED_VALUE"""),"Marketing &amp; Advertising")</f>
        <v>Marketing &amp; Advertising</v>
      </c>
    </row>
    <row r="76" hidden="1">
      <c r="A76" s="6" t="str">
        <f>IFERROR(__xludf.DUMMYFUNCTION("""COMPUTED_VALUE"""),"paisanos")</f>
        <v>paisanos</v>
      </c>
      <c r="B76" s="6" t="str">
        <f>IFERROR(__xludf.DUMMYFUNCTION("""COMPUTED_VALUE"""),"Argentina")</f>
        <v>Argentina</v>
      </c>
      <c r="C76" s="6" t="str">
        <f>IFERROR(__xludf.DUMMYFUNCTION("""COMPUTED_VALUE"""),"Management Consulting")</f>
        <v>Management Consulting</v>
      </c>
    </row>
    <row r="77" hidden="1">
      <c r="A77" s="6" t="str">
        <f>IFERROR(__xludf.DUMMYFUNCTION("""COMPUTED_VALUE"""),"reanswer")</f>
        <v>reanswer</v>
      </c>
      <c r="B77" s="6" t="str">
        <f>IFERROR(__xludf.DUMMYFUNCTION("""COMPUTED_VALUE"""),"Argentina")</f>
        <v>Argentina</v>
      </c>
      <c r="C77" s="6" t="str">
        <f>IFERROR(__xludf.DUMMYFUNCTION("""COMPUTED_VALUE"""),"Management Consulting")</f>
        <v>Management Consulting</v>
      </c>
    </row>
    <row r="78" hidden="1">
      <c r="A78" s="6" t="str">
        <f>IFERROR(__xludf.DUMMYFUNCTION("""COMPUTED_VALUE"""),"drab brand agency")</f>
        <v>drab brand agency</v>
      </c>
      <c r="B78" s="6" t="str">
        <f>IFERROR(__xludf.DUMMYFUNCTION("""COMPUTED_VALUE"""),"Estados Unidos")</f>
        <v>Estados Unidos</v>
      </c>
      <c r="C78" s="6" t="str">
        <f>IFERROR(__xludf.DUMMYFUNCTION("""COMPUTED_VALUE"""),"Software Factory / Staffing")</f>
        <v>Software Factory / Staffing</v>
      </c>
    </row>
    <row r="79" hidden="1">
      <c r="A79" s="6" t="str">
        <f>IFERROR(__xludf.DUMMYFUNCTION("""COMPUTED_VALUE"""),"pivot")</f>
        <v>pivot</v>
      </c>
      <c r="B79" s="6" t="str">
        <f>IFERROR(__xludf.DUMMYFUNCTION("""COMPUTED_VALUE"""),"Reino Unido")</f>
        <v>Reino Unido</v>
      </c>
      <c r="C79" s="6" t="str">
        <f>IFERROR(__xludf.DUMMYFUNCTION("""COMPUTED_VALUE"""),"Marketing &amp; Advertising")</f>
        <v>Marketing &amp; Advertising</v>
      </c>
    </row>
    <row r="80" hidden="1">
      <c r="A80" s="6" t="str">
        <f>IFERROR(__xludf.DUMMYFUNCTION("""COMPUTED_VALUE"""),"smat s.a.")</f>
        <v>smat s.a.</v>
      </c>
      <c r="B80" s="6" t="str">
        <f>IFERROR(__xludf.DUMMYFUNCTION("""COMPUTED_VALUE"""),"Suiza")</f>
        <v>Suiza</v>
      </c>
      <c r="C80" s="6" t="str">
        <f>IFERROR(__xludf.DUMMYFUNCTION("""COMPUTED_VALUE"""),"Banking &amp; Financial Servicies")</f>
        <v>Banking &amp; Financial Servicies</v>
      </c>
    </row>
    <row r="81" hidden="1">
      <c r="A81" s="6" t="str">
        <f>IFERROR(__xludf.DUMMYFUNCTION("""COMPUTED_VALUE"""),"ohmunity")</f>
        <v>ohmunity</v>
      </c>
      <c r="B81" s="4"/>
      <c r="C81" s="6" t="str">
        <f>IFERROR(__xludf.DUMMYFUNCTION("""COMPUTED_VALUE"""),"Software Factory / Staffing")</f>
        <v>Software Factory / Staffing</v>
      </c>
    </row>
    <row r="82" hidden="1">
      <c r="A82" s="6" t="str">
        <f>IFERROR(__xludf.DUMMYFUNCTION("""COMPUTED_VALUE"""),"blimop")</f>
        <v>blimop</v>
      </c>
      <c r="B82" s="6" t="str">
        <f>IFERROR(__xludf.DUMMYFUNCTION("""COMPUTED_VALUE"""),"Argentina")</f>
        <v>Argentina</v>
      </c>
      <c r="C82" s="6" t="str">
        <f>IFERROR(__xludf.DUMMYFUNCTION("""COMPUTED_VALUE"""),"Software Factory / Staffing")</f>
        <v>Software Factory / Staffing</v>
      </c>
    </row>
    <row r="83" hidden="1">
      <c r="A83" s="6" t="str">
        <f>IFERROR(__xludf.DUMMYFUNCTION("""COMPUTED_VALUE"""),"mobbex")</f>
        <v>mobbex</v>
      </c>
      <c r="B83" s="6" t="str">
        <f>IFERROR(__xludf.DUMMYFUNCTION("""COMPUTED_VALUE"""),"Argentina")</f>
        <v>Argentina</v>
      </c>
      <c r="C83" s="6" t="str">
        <f>IFERROR(__xludf.DUMMYFUNCTION("""COMPUTED_VALUE"""),"Fintech")</f>
        <v>Fintech</v>
      </c>
    </row>
    <row r="84" hidden="1">
      <c r="A84" s="6" t="str">
        <f>IFERROR(__xludf.DUMMYFUNCTION("""COMPUTED_VALUE"""),"digital house")</f>
        <v>digital house</v>
      </c>
      <c r="B84" s="6" t="str">
        <f>IFERROR(__xludf.DUMMYFUNCTION("""COMPUTED_VALUE"""),"Argentina")</f>
        <v>Argentina</v>
      </c>
      <c r="C84" s="6" t="str">
        <f>IFERROR(__xludf.DUMMYFUNCTION("""COMPUTED_VALUE"""),"Education &amp; Edtech")</f>
        <v>Education &amp; Edtech</v>
      </c>
    </row>
    <row r="85" hidden="1">
      <c r="A85" s="6" t="str">
        <f>IFERROR(__xludf.DUMMYFUNCTION("""COMPUTED_VALUE"""),"token sport")</f>
        <v>token sport</v>
      </c>
      <c r="B85" s="6" t="str">
        <f>IFERROR(__xludf.DUMMYFUNCTION("""COMPUTED_VALUE"""),"Colombia")</f>
        <v>Colombia</v>
      </c>
      <c r="C85" s="6" t="str">
        <f>IFERROR(__xludf.DUMMYFUNCTION("""COMPUTED_VALUE"""),"Blockchain, Crypto &amp; NFT")</f>
        <v>Blockchain, Crypto &amp; NFT</v>
      </c>
    </row>
    <row r="86" hidden="1">
      <c r="A86" s="6" t="str">
        <f>IFERROR(__xludf.DUMMYFUNCTION("""COMPUTED_VALUE"""),"toolbox")</f>
        <v>toolbox</v>
      </c>
      <c r="B86" s="6" t="str">
        <f>IFERROR(__xludf.DUMMYFUNCTION("""COMPUTED_VALUE"""),"Uruguay")</f>
        <v>Uruguay</v>
      </c>
      <c r="C86" s="6" t="str">
        <f>IFERROR(__xludf.DUMMYFUNCTION("""COMPUTED_VALUE"""),"SaaS")</f>
        <v>SaaS</v>
      </c>
    </row>
    <row r="87" hidden="1">
      <c r="A87" s="6" t="str">
        <f>IFERROR(__xludf.DUMMYFUNCTION("""COMPUTED_VALUE"""),"treinta")</f>
        <v>treinta</v>
      </c>
      <c r="B87" s="6" t="str">
        <f>IFERROR(__xludf.DUMMYFUNCTION("""COMPUTED_VALUE"""),"Colombia")</f>
        <v>Colombia</v>
      </c>
      <c r="C87" s="6" t="str">
        <f>IFERROR(__xludf.DUMMYFUNCTION("""COMPUTED_VALUE"""),"SaaS")</f>
        <v>SaaS</v>
      </c>
    </row>
    <row r="88" hidden="1">
      <c r="A88" s="6" t="str">
        <f>IFERROR(__xludf.DUMMYFUNCTION("""COMPUTED_VALUE"""),"nubi")</f>
        <v>nubi</v>
      </c>
      <c r="B88" s="6" t="str">
        <f>IFERROR(__xludf.DUMMYFUNCTION("""COMPUTED_VALUE"""),"Argentina")</f>
        <v>Argentina</v>
      </c>
      <c r="C88" s="6" t="str">
        <f>IFERROR(__xludf.DUMMYFUNCTION("""COMPUTED_VALUE"""),"Banking &amp; Financial Servicies")</f>
        <v>Banking &amp; Financial Servicies</v>
      </c>
    </row>
    <row r="89" hidden="1">
      <c r="A89" s="6" t="str">
        <f>IFERROR(__xludf.DUMMYFUNCTION("""COMPUTED_VALUE"""),"midas consultores")</f>
        <v>midas consultores</v>
      </c>
      <c r="B89" s="6" t="str">
        <f>IFERROR(__xludf.DUMMYFUNCTION("""COMPUTED_VALUE"""),"Argentina")</f>
        <v>Argentina</v>
      </c>
      <c r="C89" s="6" t="str">
        <f>IFERROR(__xludf.DUMMYFUNCTION("""COMPUTED_VALUE"""),"Software Factory / Staffing")</f>
        <v>Software Factory / Staffing</v>
      </c>
    </row>
    <row r="90" hidden="1">
      <c r="A90" s="6" t="str">
        <f>IFERROR(__xludf.DUMMYFUNCTION("""COMPUTED_VALUE"""),"municipalidad de san miguel de tucuman")</f>
        <v>municipalidad de san miguel de tucuman</v>
      </c>
      <c r="B90" s="6" t="str">
        <f>IFERROR(__xludf.DUMMYFUNCTION("""COMPUTED_VALUE"""),"Argentina")</f>
        <v>Argentina</v>
      </c>
      <c r="C90" s="6" t="str">
        <f>IFERROR(__xludf.DUMMYFUNCTION("""COMPUTED_VALUE"""),"Public Center")</f>
        <v>Public Center</v>
      </c>
    </row>
    <row r="91" hidden="1">
      <c r="A91" s="6" t="str">
        <f>IFERROR(__xludf.DUMMYFUNCTION("""COMPUTED_VALUE"""),"everis")</f>
        <v>everis</v>
      </c>
      <c r="B91" s="6" t="str">
        <f>IFERROR(__xludf.DUMMYFUNCTION("""COMPUTED_VALUE"""),"España")</f>
        <v>España</v>
      </c>
      <c r="C91" s="6" t="str">
        <f>IFERROR(__xludf.DUMMYFUNCTION("""COMPUTED_VALUE"""),"Software Factory / Staffing")</f>
        <v>Software Factory / Staffing</v>
      </c>
    </row>
    <row r="92" hidden="1">
      <c r="A92" s="6" t="str">
        <f>IFERROR(__xludf.DUMMYFUNCTION("""COMPUTED_VALUE"""),"quoma s.a.")</f>
        <v>quoma s.a.</v>
      </c>
      <c r="B92" s="6" t="str">
        <f>IFERROR(__xludf.DUMMYFUNCTION("""COMPUTED_VALUE"""),"Argentina")</f>
        <v>Argentina</v>
      </c>
      <c r="C92" s="6" t="str">
        <f>IFERROR(__xludf.DUMMYFUNCTION("""COMPUTED_VALUE"""),"Other")</f>
        <v>Other</v>
      </c>
    </row>
    <row r="93" hidden="1">
      <c r="A93" s="6" t="str">
        <f>IFERROR(__xludf.DUMMYFUNCTION("""COMPUTED_VALUE"""),"borderless")</f>
        <v>borderless</v>
      </c>
      <c r="B93" s="6" t="str">
        <f>IFERROR(__xludf.DUMMYFUNCTION("""COMPUTED_VALUE"""),"Estados Unidos")</f>
        <v>Estados Unidos</v>
      </c>
      <c r="C93" s="6" t="str">
        <f>IFERROR(__xludf.DUMMYFUNCTION("""COMPUTED_VALUE"""),"Banking &amp; Financial Servicies")</f>
        <v>Banking &amp; Financial Servicies</v>
      </c>
    </row>
    <row r="94" hidden="1">
      <c r="A94" s="6" t="str">
        <f>IFERROR(__xludf.DUMMYFUNCTION("""COMPUTED_VALUE"""),"flexxus")</f>
        <v>flexxus</v>
      </c>
      <c r="B94" s="6" t="str">
        <f>IFERROR(__xludf.DUMMYFUNCTION("""COMPUTED_VALUE"""),"Argentina")</f>
        <v>Argentina</v>
      </c>
      <c r="C94" s="6" t="str">
        <f>IFERROR(__xludf.DUMMYFUNCTION("""COMPUTED_VALUE"""),"Software Factory / Staffing")</f>
        <v>Software Factory / Staffing</v>
      </c>
    </row>
    <row r="95" hidden="1">
      <c r="A95" s="6" t="str">
        <f>IFERROR(__xludf.DUMMYFUNCTION("""COMPUTED_VALUE"""),"labhouse")</f>
        <v>labhouse</v>
      </c>
      <c r="B95" s="6" t="str">
        <f>IFERROR(__xludf.DUMMYFUNCTION("""COMPUTED_VALUE"""),"España")</f>
        <v>España</v>
      </c>
      <c r="C95" s="6" t="str">
        <f>IFERROR(__xludf.DUMMYFUNCTION("""COMPUTED_VALUE"""),"Blockchain, Crypto &amp; NFT")</f>
        <v>Blockchain, Crypto &amp; NFT</v>
      </c>
    </row>
    <row r="96" hidden="1">
      <c r="A96" s="6" t="str">
        <f>IFERROR(__xludf.DUMMYFUNCTION("""COMPUTED_VALUE"""),"amaris consulting")</f>
        <v>amaris consulting</v>
      </c>
      <c r="B96" s="6" t="str">
        <f>IFERROR(__xludf.DUMMYFUNCTION("""COMPUTED_VALUE"""),"Colombia")</f>
        <v>Colombia</v>
      </c>
      <c r="C96" s="6" t="str">
        <f>IFERROR(__xludf.DUMMYFUNCTION("""COMPUTED_VALUE"""),"Management Consulting")</f>
        <v>Management Consulting</v>
      </c>
    </row>
    <row r="97" hidden="1">
      <c r="A97" s="6" t="str">
        <f>IFERROR(__xludf.DUMMYFUNCTION("""COMPUTED_VALUE"""),"autopartes.app")</f>
        <v>autopartes.app</v>
      </c>
      <c r="B97" s="6" t="str">
        <f>IFERROR(__xludf.DUMMYFUNCTION("""COMPUTED_VALUE"""),"Colombia")</f>
        <v>Colombia</v>
      </c>
      <c r="C97" s="6" t="str">
        <f>IFERROR(__xludf.DUMMYFUNCTION("""COMPUTED_VALUE"""),"Other")</f>
        <v>Other</v>
      </c>
    </row>
    <row r="98" hidden="1">
      <c r="A98" s="6" t="str">
        <f>IFERROR(__xludf.DUMMYFUNCTION("""COMPUTED_VALUE"""),"made2")</f>
        <v>made2</v>
      </c>
      <c r="B98" s="6" t="str">
        <f>IFERROR(__xludf.DUMMYFUNCTION("""COMPUTED_VALUE"""),"Argentina")</f>
        <v>Argentina</v>
      </c>
      <c r="C98" s="6" t="str">
        <f>IFERROR(__xludf.DUMMYFUNCTION("""COMPUTED_VALUE"""),"Software Factory / Staffing")</f>
        <v>Software Factory / Staffing</v>
      </c>
    </row>
    <row r="99" hidden="1">
      <c r="A99" s="6" t="str">
        <f>IFERROR(__xludf.DUMMYFUNCTION("""COMPUTED_VALUE"""),"lamanicurista")</f>
        <v>lamanicurista</v>
      </c>
      <c r="B99" s="6" t="str">
        <f>IFERROR(__xludf.DUMMYFUNCTION("""COMPUTED_VALUE"""),"Colombia")</f>
        <v>Colombia</v>
      </c>
      <c r="C99" s="6" t="str">
        <f>IFERROR(__xludf.DUMMYFUNCTION("""COMPUTED_VALUE"""),"Other")</f>
        <v>Other</v>
      </c>
    </row>
    <row r="100" hidden="1">
      <c r="A100" s="6" t="str">
        <f>IFERROR(__xludf.DUMMYFUNCTION("""COMPUTED_VALUE"""),"tailorsoft")</f>
        <v>tailorsoft</v>
      </c>
      <c r="B100" s="6" t="str">
        <f>IFERROR(__xludf.DUMMYFUNCTION("""COMPUTED_VALUE"""),"Colombia")</f>
        <v>Colombia</v>
      </c>
      <c r="C100" s="6" t="str">
        <f>IFERROR(__xludf.DUMMYFUNCTION("""COMPUTED_VALUE"""),"Software Factory / Staffing")</f>
        <v>Software Factory / Staffing</v>
      </c>
    </row>
    <row r="101" hidden="1">
      <c r="A101" s="6" t="str">
        <f>IFERROR(__xludf.DUMMYFUNCTION("""COMPUTED_VALUE"""),"interfell")</f>
        <v>interfell</v>
      </c>
      <c r="B101" s="6" t="str">
        <f>IFERROR(__xludf.DUMMYFUNCTION("""COMPUTED_VALUE"""),"Estados Unidos")</f>
        <v>Estados Unidos</v>
      </c>
      <c r="C101" s="6" t="str">
        <f>IFERROR(__xludf.DUMMYFUNCTION("""COMPUTED_VALUE"""),"Recruiting")</f>
        <v>Recruiting</v>
      </c>
    </row>
    <row r="102" hidden="1">
      <c r="A102" s="6" t="str">
        <f>IFERROR(__xludf.DUMMYFUNCTION("""COMPUTED_VALUE"""),"worldsys")</f>
        <v>worldsys</v>
      </c>
      <c r="B102" s="6" t="str">
        <f>IFERROR(__xludf.DUMMYFUNCTION("""COMPUTED_VALUE"""),"Argentina")</f>
        <v>Argentina</v>
      </c>
      <c r="C102" s="6" t="str">
        <f>IFERROR(__xludf.DUMMYFUNCTION("""COMPUTED_VALUE"""),"Software Factory / Staffing")</f>
        <v>Software Factory / Staffing</v>
      </c>
    </row>
    <row r="103" hidden="1">
      <c r="A103" s="6" t="str">
        <f>IFERROR(__xludf.DUMMYFUNCTION("""COMPUTED_VALUE"""),"boosmap")</f>
        <v>boosmap</v>
      </c>
      <c r="B103" s="6" t="str">
        <f>IFERROR(__xludf.DUMMYFUNCTION("""COMPUTED_VALUE"""),"Chile")</f>
        <v>Chile</v>
      </c>
      <c r="C103" s="6" t="str">
        <f>IFERROR(__xludf.DUMMYFUNCTION("""COMPUTED_VALUE"""),"Logistics")</f>
        <v>Logistics</v>
      </c>
    </row>
    <row r="104" hidden="1">
      <c r="A104" s="6" t="str">
        <f>IFERROR(__xludf.DUMMYFUNCTION("""COMPUTED_VALUE"""),"dbaccess")</f>
        <v>dbaccess</v>
      </c>
      <c r="B104" s="6" t="str">
        <f>IFERROR(__xludf.DUMMYFUNCTION("""COMPUTED_VALUE"""),"Estados Unidos")</f>
        <v>Estados Unidos</v>
      </c>
      <c r="C104" s="6" t="str">
        <f>IFERROR(__xludf.DUMMYFUNCTION("""COMPUTED_VALUE"""),"Software Factory / Staffing")</f>
        <v>Software Factory / Staffing</v>
      </c>
    </row>
    <row r="105" hidden="1">
      <c r="A105" s="6" t="str">
        <f>IFERROR(__xludf.DUMMYFUNCTION("""COMPUTED_VALUE"""),"lutinfox s.a")</f>
        <v>lutinfox s.a</v>
      </c>
      <c r="B105" s="4"/>
      <c r="C105" s="4"/>
    </row>
    <row r="106" hidden="1">
      <c r="A106" s="6" t="str">
        <f>IFERROR(__xludf.DUMMYFUNCTION("""COMPUTED_VALUE"""),"delivery el faro")</f>
        <v>delivery el faro</v>
      </c>
      <c r="B106" s="4"/>
      <c r="C106" s="4"/>
    </row>
    <row r="107" hidden="1">
      <c r="A107" s="6" t="str">
        <f>IFERROR(__xludf.DUMMYFUNCTION("""COMPUTED_VALUE"""),"wenance")</f>
        <v>wenance</v>
      </c>
      <c r="B107" s="6" t="str">
        <f>IFERROR(__xludf.DUMMYFUNCTION("""COMPUTED_VALUE"""),"Argentina")</f>
        <v>Argentina</v>
      </c>
      <c r="C107" s="6" t="str">
        <f>IFERROR(__xludf.DUMMYFUNCTION("""COMPUTED_VALUE"""),"Banking &amp; Financial Servicies")</f>
        <v>Banking &amp; Financial Servicies</v>
      </c>
    </row>
    <row r="108" hidden="1">
      <c r="A108" s="6" t="str">
        <f>IFERROR(__xludf.DUMMYFUNCTION("""COMPUTED_VALUE"""),"cha")</f>
        <v>cha</v>
      </c>
      <c r="B108" s="6" t="str">
        <f>IFERROR(__xludf.DUMMYFUNCTION("""COMPUTED_VALUE"""),"Francia")</f>
        <v>Francia</v>
      </c>
      <c r="C108" s="6" t="str">
        <f>IFERROR(__xludf.DUMMYFUNCTION("""COMPUTED_VALUE"""),"Other")</f>
        <v>Other</v>
      </c>
    </row>
    <row r="109" hidden="1">
      <c r="A109" s="6" t="str">
        <f>IFERROR(__xludf.DUMMYFUNCTION("""COMPUTED_VALUE"""),"colegio nacional justo josé de urquiza")</f>
        <v>colegio nacional justo josé de urquiza</v>
      </c>
      <c r="B109" s="6" t="str">
        <f>IFERROR(__xludf.DUMMYFUNCTION("""COMPUTED_VALUE"""),"Argentina")</f>
        <v>Argentina</v>
      </c>
      <c r="C109" s="6" t="str">
        <f>IFERROR(__xludf.DUMMYFUNCTION("""COMPUTED_VALUE"""),"Education &amp; Edtech")</f>
        <v>Education &amp; Edtech</v>
      </c>
    </row>
    <row r="110" hidden="1">
      <c r="A110" s="6" t="str">
        <f>IFERROR(__xludf.DUMMYFUNCTION("""COMPUTED_VALUE"""),"fado solutions")</f>
        <v>fado solutions</v>
      </c>
      <c r="B110" s="6" t="str">
        <f>IFERROR(__xludf.DUMMYFUNCTION("""COMPUTED_VALUE"""),"Colombia")</f>
        <v>Colombia</v>
      </c>
      <c r="C110" s="6" t="str">
        <f>IFERROR(__xludf.DUMMYFUNCTION("""COMPUTED_VALUE"""),"Software Factory / Staffing")</f>
        <v>Software Factory / Staffing</v>
      </c>
    </row>
    <row r="111" hidden="1">
      <c r="A111" s="6" t="str">
        <f>IFERROR(__xludf.DUMMYFUNCTION("""COMPUTED_VALUE"""),"persiscal consulting")</f>
        <v>persiscal consulting</v>
      </c>
      <c r="B111" s="6" t="str">
        <f>IFERROR(__xludf.DUMMYFUNCTION("""COMPUTED_VALUE"""),"Argentina")</f>
        <v>Argentina</v>
      </c>
      <c r="C111" s="6" t="str">
        <f>IFERROR(__xludf.DUMMYFUNCTION("""COMPUTED_VALUE"""),"Software Factory / Staffing")</f>
        <v>Software Factory / Staffing</v>
      </c>
    </row>
    <row r="112" hidden="1">
      <c r="A112" s="6" t="str">
        <f>IFERROR(__xludf.DUMMYFUNCTION("""COMPUTED_VALUE"""),"ccxc - centro de consultoría para la competitividad")</f>
        <v>ccxc - centro de consultoría para la competitividad</v>
      </c>
      <c r="B112" s="6" t="str">
        <f>IFERROR(__xludf.DUMMYFUNCTION("""COMPUTED_VALUE"""),"Colombia")</f>
        <v>Colombia</v>
      </c>
      <c r="C112" s="6" t="str">
        <f>IFERROR(__xludf.DUMMYFUNCTION("""COMPUTED_VALUE"""),"Banking &amp; Financial Servicies")</f>
        <v>Banking &amp; Financial Servicies</v>
      </c>
    </row>
    <row r="113" hidden="1">
      <c r="A113" s="6" t="str">
        <f>IFERROR(__xludf.DUMMYFUNCTION("""COMPUTED_VALUE"""),"cooperativa proyecto wow")</f>
        <v>cooperativa proyecto wow</v>
      </c>
      <c r="B113" s="6" t="str">
        <f>IFERROR(__xludf.DUMMYFUNCTION("""COMPUTED_VALUE"""),"Argentina")</f>
        <v>Argentina</v>
      </c>
      <c r="C113" s="6" t="str">
        <f>IFERROR(__xludf.DUMMYFUNCTION("""COMPUTED_VALUE"""),"E-commerce")</f>
        <v>E-commerce</v>
      </c>
    </row>
    <row r="114" hidden="1">
      <c r="A114" s="6" t="str">
        <f>IFERROR(__xludf.DUMMYFUNCTION("""COMPUTED_VALUE"""),"dicode group")</f>
        <v>dicode group</v>
      </c>
      <c r="B114" s="6" t="str">
        <f>IFERROR(__xludf.DUMMYFUNCTION("""COMPUTED_VALUE"""),"Argentina")</f>
        <v>Argentina</v>
      </c>
      <c r="C114" s="6" t="str">
        <f>IFERROR(__xludf.DUMMYFUNCTION("""COMPUTED_VALUE"""),"Software Factory / Staffing")</f>
        <v>Software Factory / Staffing</v>
      </c>
    </row>
    <row r="115" hidden="1">
      <c r="A115" s="6" t="str">
        <f>IFERROR(__xludf.DUMMYFUNCTION("""COMPUTED_VALUE"""),"auth0")</f>
        <v>auth0</v>
      </c>
      <c r="B115" s="6" t="str">
        <f>IFERROR(__xludf.DUMMYFUNCTION("""COMPUTED_VALUE"""),"Estados Unidos")</f>
        <v>Estados Unidos</v>
      </c>
      <c r="C115" s="6" t="str">
        <f>IFERROR(__xludf.DUMMYFUNCTION("""COMPUTED_VALUE"""),"SaaS")</f>
        <v>SaaS</v>
      </c>
    </row>
    <row r="116" hidden="1">
      <c r="A116" s="6" t="str">
        <f>IFERROR(__xludf.DUMMYFUNCTION("""COMPUTED_VALUE"""),"comscore")</f>
        <v>comscore</v>
      </c>
      <c r="B116" s="6" t="str">
        <f>IFERROR(__xludf.DUMMYFUNCTION("""COMPUTED_VALUE"""),"Chile")</f>
        <v>Chile</v>
      </c>
      <c r="C116" s="6" t="str">
        <f>IFERROR(__xludf.DUMMYFUNCTION("""COMPUTED_VALUE"""),"Data &amp; Analytics")</f>
        <v>Data &amp; Analytics</v>
      </c>
    </row>
    <row r="117" hidden="1">
      <c r="A117" s="6" t="str">
        <f>IFERROR(__xludf.DUMMYFUNCTION("""COMPUTED_VALUE"""),"pretty technical")</f>
        <v>pretty technical</v>
      </c>
      <c r="B117" s="6" t="str">
        <f>IFERROR(__xludf.DUMMYFUNCTION("""COMPUTED_VALUE"""),"Reino Unido")</f>
        <v>Reino Unido</v>
      </c>
      <c r="C117" s="6" t="str">
        <f>IFERROR(__xludf.DUMMYFUNCTION("""COMPUTED_VALUE"""),"Management Consulting")</f>
        <v>Management Consulting</v>
      </c>
    </row>
    <row r="118" hidden="1">
      <c r="A118" s="6" t="str">
        <f>IFERROR(__xludf.DUMMYFUNCTION("""COMPUTED_VALUE"""),"vippinn")</f>
        <v>vippinn</v>
      </c>
      <c r="B118" s="6" t="str">
        <f>IFERROR(__xludf.DUMMYFUNCTION("""COMPUTED_VALUE"""),"Argentina")</f>
        <v>Argentina</v>
      </c>
      <c r="C118" s="6" t="str">
        <f>IFERROR(__xludf.DUMMYFUNCTION("""COMPUTED_VALUE"""),"Software Factory / Staffing")</f>
        <v>Software Factory / Staffing</v>
      </c>
    </row>
    <row r="119" hidden="1">
      <c r="A119" s="6" t="str">
        <f>IFERROR(__xludf.DUMMYFUNCTION("""COMPUTED_VALUE"""),"wispro s.a")</f>
        <v>wispro s.a</v>
      </c>
      <c r="B119" s="6" t="str">
        <f>IFERROR(__xludf.DUMMYFUNCTION("""COMPUTED_VALUE"""),"Argentina")</f>
        <v>Argentina</v>
      </c>
      <c r="C119" s="6" t="str">
        <f>IFERROR(__xludf.DUMMYFUNCTION("""COMPUTED_VALUE"""),"Software Factory / Staffing")</f>
        <v>Software Factory / Staffing</v>
      </c>
    </row>
    <row r="120" hidden="1">
      <c r="A120" s="6" t="str">
        <f>IFERROR(__xludf.DUMMYFUNCTION("""COMPUTED_VALUE"""),"epidata")</f>
        <v>epidata</v>
      </c>
      <c r="B120" s="6" t="str">
        <f>IFERROR(__xludf.DUMMYFUNCTION("""COMPUTED_VALUE"""),"Argentina")</f>
        <v>Argentina</v>
      </c>
      <c r="C120" s="6" t="str">
        <f>IFERROR(__xludf.DUMMYFUNCTION("""COMPUTED_VALUE"""),"Software Factory / Staffing")</f>
        <v>Software Factory / Staffing</v>
      </c>
    </row>
    <row r="121" hidden="1">
      <c r="A121" s="6" t="str">
        <f>IFERROR(__xludf.DUMMYFUNCTION("""COMPUTED_VALUE"""),"agiika")</f>
        <v>agiika</v>
      </c>
      <c r="B121" s="6" t="str">
        <f>IFERROR(__xludf.DUMMYFUNCTION("""COMPUTED_VALUE"""),"Canada")</f>
        <v>Canada</v>
      </c>
      <c r="C121" s="6" t="str">
        <f>IFERROR(__xludf.DUMMYFUNCTION("""COMPUTED_VALUE"""),"Software Factory / Staffing")</f>
        <v>Software Factory / Staffing</v>
      </c>
    </row>
    <row r="122" hidden="1">
      <c r="A122" s="6" t="str">
        <f>IFERROR(__xludf.DUMMYFUNCTION("""COMPUTED_VALUE"""),"vairix")</f>
        <v>vairix</v>
      </c>
      <c r="B122" s="6" t="str">
        <f>IFERROR(__xludf.DUMMYFUNCTION("""COMPUTED_VALUE"""),"Uruguay")</f>
        <v>Uruguay</v>
      </c>
      <c r="C122" s="6" t="str">
        <f>IFERROR(__xludf.DUMMYFUNCTION("""COMPUTED_VALUE"""),"Management Consulting")</f>
        <v>Management Consulting</v>
      </c>
    </row>
    <row r="123" hidden="1">
      <c r="A123" s="6" t="str">
        <f>IFERROR(__xludf.DUMMYFUNCTION("""COMPUTED_VALUE"""),"hoffentech")</f>
        <v>hoffentech</v>
      </c>
      <c r="B123" s="6" t="str">
        <f>IFERROR(__xludf.DUMMYFUNCTION("""COMPUTED_VALUE"""),"Argentina")</f>
        <v>Argentina</v>
      </c>
      <c r="C123" s="6" t="str">
        <f>IFERROR(__xludf.DUMMYFUNCTION("""COMPUTED_VALUE"""),"Data &amp; Analytics")</f>
        <v>Data &amp; Analytics</v>
      </c>
    </row>
    <row r="124" hidden="1">
      <c r="A124" s="6" t="str">
        <f>IFERROR(__xludf.DUMMYFUNCTION("""COMPUTED_VALUE"""),"effectus software")</f>
        <v>effectus software</v>
      </c>
      <c r="B124" s="6" t="str">
        <f>IFERROR(__xludf.DUMMYFUNCTION("""COMPUTED_VALUE"""),"Argentina")</f>
        <v>Argentina</v>
      </c>
      <c r="C124" s="6" t="str">
        <f>IFERROR(__xludf.DUMMYFUNCTION("""COMPUTED_VALUE"""),"Software Factory / Staffing")</f>
        <v>Software Factory / Staffing</v>
      </c>
    </row>
    <row r="125" hidden="1">
      <c r="A125" s="6" t="str">
        <f>IFERROR(__xludf.DUMMYFUNCTION("""COMPUTED_VALUE"""),"fenix forward")</f>
        <v>fenix forward</v>
      </c>
      <c r="B125" s="6" t="str">
        <f>IFERROR(__xludf.DUMMYFUNCTION("""COMPUTED_VALUE"""),"Argentina")</f>
        <v>Argentina</v>
      </c>
      <c r="C125" s="6" t="str">
        <f>IFERROR(__xludf.DUMMYFUNCTION("""COMPUTED_VALUE"""),"Software Factory / Staffing")</f>
        <v>Software Factory / Staffing</v>
      </c>
    </row>
    <row r="126" hidden="1">
      <c r="A126" s="6" t="str">
        <f>IFERROR(__xludf.DUMMYFUNCTION("""COMPUTED_VALUE"""),"geolitix")</f>
        <v>geolitix</v>
      </c>
      <c r="B126" s="6" t="str">
        <f>IFERROR(__xludf.DUMMYFUNCTION("""COMPUTED_VALUE"""),"Canada")</f>
        <v>Canada</v>
      </c>
      <c r="C126" s="6" t="str">
        <f>IFERROR(__xludf.DUMMYFUNCTION("""COMPUTED_VALUE"""),"Data &amp; Analytics")</f>
        <v>Data &amp; Analytics</v>
      </c>
    </row>
    <row r="127" hidden="1">
      <c r="A127" s="6" t="str">
        <f>IFERROR(__xludf.DUMMYFUNCTION("""COMPUTED_VALUE"""),"tag latam")</f>
        <v>tag latam</v>
      </c>
      <c r="B127" s="6" t="str">
        <f>IFERROR(__xludf.DUMMYFUNCTION("""COMPUTED_VALUE"""),"Argentina")</f>
        <v>Argentina</v>
      </c>
      <c r="C127" s="6" t="str">
        <f>IFERROR(__xludf.DUMMYFUNCTION("""COMPUTED_VALUE"""),"Messaging and Telecommunications")</f>
        <v>Messaging and Telecommunications</v>
      </c>
    </row>
    <row r="128" hidden="1">
      <c r="A128" s="6" t="str">
        <f>IFERROR(__xludf.DUMMYFUNCTION("""COMPUTED_VALUE"""),"dt-ip")</f>
        <v>dt-ip</v>
      </c>
      <c r="B128" s="6" t="str">
        <f>IFERROR(__xludf.DUMMYFUNCTION("""COMPUTED_VALUE"""),"Mexico")</f>
        <v>Mexico</v>
      </c>
      <c r="C128" s="6" t="str">
        <f>IFERROR(__xludf.DUMMYFUNCTION("""COMPUTED_VALUE"""),"Software Factory / Staffing")</f>
        <v>Software Factory / Staffing</v>
      </c>
    </row>
    <row r="129" hidden="1">
      <c r="A129" s="6" t="str">
        <f>IFERROR(__xludf.DUMMYFUNCTION("""COMPUTED_VALUE"""),"tru startup sas")</f>
        <v>tru startup sas</v>
      </c>
      <c r="B129" s="6" t="str">
        <f>IFERROR(__xludf.DUMMYFUNCTION("""COMPUTED_VALUE"""),"Colombia")</f>
        <v>Colombia</v>
      </c>
      <c r="C129" s="6" t="str">
        <f>IFERROR(__xludf.DUMMYFUNCTION("""COMPUTED_VALUE"""),"Banking &amp; Financial Servicies")</f>
        <v>Banking &amp; Financial Servicies</v>
      </c>
    </row>
    <row r="130" hidden="1">
      <c r="A130" s="6" t="str">
        <f>IFERROR(__xludf.DUMMYFUNCTION("""COMPUTED_VALUE"""),"e-solutions")</f>
        <v>e-solutions</v>
      </c>
      <c r="B130" s="6" t="str">
        <f>IFERROR(__xludf.DUMMYFUNCTION("""COMPUTED_VALUE"""),"Argentina")</f>
        <v>Argentina</v>
      </c>
      <c r="C130" s="6" t="str">
        <f>IFERROR(__xludf.DUMMYFUNCTION("""COMPUTED_VALUE"""),"Software Factory / Staffing")</f>
        <v>Software Factory / Staffing</v>
      </c>
    </row>
    <row r="131" hidden="1">
      <c r="A131" s="6" t="str">
        <f>IFERROR(__xludf.DUMMYFUNCTION("""COMPUTED_VALUE"""),"devsavant")</f>
        <v>devsavant</v>
      </c>
      <c r="B131" s="6" t="str">
        <f>IFERROR(__xludf.DUMMYFUNCTION("""COMPUTED_VALUE"""),"Colombia")</f>
        <v>Colombia</v>
      </c>
      <c r="C131" s="6" t="str">
        <f>IFERROR(__xludf.DUMMYFUNCTION("""COMPUTED_VALUE"""),"Software Factory / Staffing")</f>
        <v>Software Factory / Staffing</v>
      </c>
    </row>
    <row r="132" hidden="1">
      <c r="A132" s="6" t="str">
        <f>IFERROR(__xludf.DUMMYFUNCTION("""COMPUTED_VALUE"""),"cda informática")</f>
        <v>cda informática</v>
      </c>
      <c r="B132" s="6" t="str">
        <f>IFERROR(__xludf.DUMMYFUNCTION("""COMPUTED_VALUE"""),"Argentina")</f>
        <v>Argentina</v>
      </c>
      <c r="C132" s="6" t="str">
        <f>IFERROR(__xludf.DUMMYFUNCTION("""COMPUTED_VALUE"""),"Software Factory / Staffing")</f>
        <v>Software Factory / Staffing</v>
      </c>
    </row>
    <row r="133" hidden="1">
      <c r="A133" s="6" t="str">
        <f>IFERROR(__xludf.DUMMYFUNCTION("""COMPUTED_VALUE"""),"dispatchsss")</f>
        <v>dispatchsss</v>
      </c>
      <c r="B133" s="6" t="str">
        <f>IFERROR(__xludf.DUMMYFUNCTION("""COMPUTED_VALUE"""),"Argentina")</f>
        <v>Argentina</v>
      </c>
      <c r="C133" s="6" t="str">
        <f>IFERROR(__xludf.DUMMYFUNCTION("""COMPUTED_VALUE"""),"Software Factory / Staffing")</f>
        <v>Software Factory / Staffing</v>
      </c>
    </row>
    <row r="134" hidden="1">
      <c r="A134" s="6" t="str">
        <f>IFERROR(__xludf.DUMMYFUNCTION("""COMPUTED_VALUE"""),"flydevs")</f>
        <v>flydevs</v>
      </c>
      <c r="B134" s="6" t="str">
        <f>IFERROR(__xludf.DUMMYFUNCTION("""COMPUTED_VALUE"""),"Argentina")</f>
        <v>Argentina</v>
      </c>
      <c r="C134" s="6" t="str">
        <f>IFERROR(__xludf.DUMMYFUNCTION("""COMPUTED_VALUE"""),"Software Factory / Staffing")</f>
        <v>Software Factory / Staffing</v>
      </c>
    </row>
    <row r="135" hidden="1">
      <c r="A135" s="6" t="str">
        <f>IFERROR(__xludf.DUMMYFUNCTION("""COMPUTED_VALUE"""),"decathlon")</f>
        <v>decathlon</v>
      </c>
      <c r="B135" s="6" t="str">
        <f>IFERROR(__xludf.DUMMYFUNCTION("""COMPUTED_VALUE"""),"Francia")</f>
        <v>Francia</v>
      </c>
      <c r="C135" s="6" t="str">
        <f>IFERROR(__xludf.DUMMYFUNCTION("""COMPUTED_VALUE"""),"Other")</f>
        <v>Other</v>
      </c>
    </row>
    <row r="136">
      <c r="A136" s="6" t="str">
        <f>IFERROR(__xludf.DUMMYFUNCTION("""COMPUTED_VALUE"""),"distrocuyo s.a.")</f>
        <v>distrocuyo s.a.</v>
      </c>
      <c r="B136" s="6" t="str">
        <f>IFERROR(__xludf.DUMMYFUNCTION("""COMPUTED_VALUE"""),"Argentina")</f>
        <v>Argentina</v>
      </c>
      <c r="C136" s="6" t="str">
        <f>IFERROR(__xludf.DUMMYFUNCTION("""COMPUTED_VALUE"""),"Energy")</f>
        <v>Energy</v>
      </c>
    </row>
    <row r="137" hidden="1">
      <c r="A137" s="6" t="str">
        <f>IFERROR(__xludf.DUMMYFUNCTION("""COMPUTED_VALUE"""),"dirmod")</f>
        <v>dirmod</v>
      </c>
      <c r="B137" s="6" t="str">
        <f>IFERROR(__xludf.DUMMYFUNCTION("""COMPUTED_VALUE"""),"Argentina")</f>
        <v>Argentina</v>
      </c>
      <c r="C137" s="6" t="str">
        <f>IFERROR(__xludf.DUMMYFUNCTION("""COMPUTED_VALUE"""),"Management Consulting")</f>
        <v>Management Consulting</v>
      </c>
    </row>
    <row r="138" hidden="1">
      <c r="A138" s="6" t="str">
        <f>IFERROR(__xludf.DUMMYFUNCTION("""COMPUTED_VALUE"""),"netgeu")</f>
        <v>netgeu</v>
      </c>
      <c r="B138" s="6" t="str">
        <f>IFERROR(__xludf.DUMMYFUNCTION("""COMPUTED_VALUE"""),"Argentina")</f>
        <v>Argentina</v>
      </c>
      <c r="C138" s="6" t="str">
        <f>IFERROR(__xludf.DUMMYFUNCTION("""COMPUTED_VALUE"""),"Software Factory / Staffing")</f>
        <v>Software Factory / Staffing</v>
      </c>
    </row>
    <row r="139" hidden="1">
      <c r="A139" s="6" t="str">
        <f>IFERROR(__xludf.DUMMYFUNCTION("""COMPUTED_VALUE"""),"widergy")</f>
        <v>widergy</v>
      </c>
      <c r="B139" s="6" t="str">
        <f>IFERROR(__xludf.DUMMYFUNCTION("""COMPUTED_VALUE"""),"Argentina")</f>
        <v>Argentina</v>
      </c>
      <c r="C139" s="6" t="str">
        <f>IFERROR(__xludf.DUMMYFUNCTION("""COMPUTED_VALUE"""),"Software Factory / Staffing")</f>
        <v>Software Factory / Staffing</v>
      </c>
    </row>
    <row r="140" hidden="1">
      <c r="A140" s="6" t="str">
        <f>IFERROR(__xludf.DUMMYFUNCTION("""COMPUTED_VALUE"""),"mobile computing")</f>
        <v>mobile computing</v>
      </c>
      <c r="B140" s="6" t="str">
        <f>IFERROR(__xludf.DUMMYFUNCTION("""COMPUTED_VALUE"""),"Argentina")</f>
        <v>Argentina</v>
      </c>
      <c r="C140" s="6" t="str">
        <f>IFERROR(__xludf.DUMMYFUNCTION("""COMPUTED_VALUE"""),"Management Consulting")</f>
        <v>Management Consulting</v>
      </c>
    </row>
    <row r="141" hidden="1">
      <c r="A141" s="6" t="str">
        <f>IFERROR(__xludf.DUMMYFUNCTION("""COMPUTED_VALUE"""),"gante s.a")</f>
        <v>gante s.a</v>
      </c>
      <c r="B141" s="6" t="str">
        <f>IFERROR(__xludf.DUMMYFUNCTION("""COMPUTED_VALUE"""),"Argentina")</f>
        <v>Argentina</v>
      </c>
      <c r="C141" s="6" t="str">
        <f>IFERROR(__xludf.DUMMYFUNCTION("""COMPUTED_VALUE"""),"Other")</f>
        <v>Other</v>
      </c>
    </row>
    <row r="142" hidden="1">
      <c r="A142" s="6" t="str">
        <f>IFERROR(__xludf.DUMMYFUNCTION("""COMPUTED_VALUE"""),"lentesplus")</f>
        <v>lentesplus</v>
      </c>
      <c r="B142" s="6" t="str">
        <f>IFERROR(__xludf.DUMMYFUNCTION("""COMPUTED_VALUE"""),"Colombia")</f>
        <v>Colombia</v>
      </c>
      <c r="C142" s="6" t="str">
        <f>IFERROR(__xludf.DUMMYFUNCTION("""COMPUTED_VALUE"""),"E-commerce")</f>
        <v>E-commerce</v>
      </c>
    </row>
    <row r="143" hidden="1">
      <c r="A143" s="6" t="str">
        <f>IFERROR(__xludf.DUMMYFUNCTION("""COMPUTED_VALUE"""),"global logic")</f>
        <v>global logic</v>
      </c>
      <c r="B143" s="6" t="str">
        <f>IFERROR(__xludf.DUMMYFUNCTION("""COMPUTED_VALUE"""),"Estados Unidos")</f>
        <v>Estados Unidos</v>
      </c>
      <c r="C143" s="6" t="str">
        <f>IFERROR(__xludf.DUMMYFUNCTION("""COMPUTED_VALUE"""),"Software Factory / Staffing")</f>
        <v>Software Factory / Staffing</v>
      </c>
    </row>
    <row r="144" hidden="1">
      <c r="A144" s="6" t="str">
        <f>IFERROR(__xludf.DUMMYFUNCTION("""COMPUTED_VALUE"""),"ineco")</f>
        <v>ineco</v>
      </c>
      <c r="B144" s="6" t="str">
        <f>IFERROR(__xludf.DUMMYFUNCTION("""COMPUTED_VALUE"""),"Argentina")</f>
        <v>Argentina</v>
      </c>
      <c r="C144" s="6" t="str">
        <f>IFERROR(__xludf.DUMMYFUNCTION("""COMPUTED_VALUE"""),"Health")</f>
        <v>Health</v>
      </c>
    </row>
    <row r="145" hidden="1">
      <c r="A145" s="6" t="str">
        <f>IFERROR(__xludf.DUMMYFUNCTION("""COMPUTED_VALUE"""),"albo")</f>
        <v>albo</v>
      </c>
      <c r="B145" s="6" t="str">
        <f>IFERROR(__xludf.DUMMYFUNCTION("""COMPUTED_VALUE"""),"Mexico")</f>
        <v>Mexico</v>
      </c>
      <c r="C145" s="6" t="str">
        <f>IFERROR(__xludf.DUMMYFUNCTION("""COMPUTED_VALUE"""),"Fintech")</f>
        <v>Fintech</v>
      </c>
    </row>
    <row r="146" hidden="1">
      <c r="A146" s="6" t="str">
        <f>IFERROR(__xludf.DUMMYFUNCTION("""COMPUTED_VALUE"""),"scania")</f>
        <v>scania</v>
      </c>
      <c r="B146" s="6" t="str">
        <f>IFERROR(__xludf.DUMMYFUNCTION("""COMPUTED_VALUE"""),"Suecia")</f>
        <v>Suecia</v>
      </c>
      <c r="C146" s="6" t="str">
        <f>IFERROR(__xludf.DUMMYFUNCTION("""COMPUTED_VALUE"""),"FMCG / Consumo masivo")</f>
        <v>FMCG / Consumo masivo</v>
      </c>
    </row>
    <row r="147" hidden="1">
      <c r="A147" s="6" t="str">
        <f>IFERROR(__xludf.DUMMYFUNCTION("""COMPUTED_VALUE"""),"grupo sbs")</f>
        <v>grupo sbs</v>
      </c>
      <c r="B147" s="6" t="str">
        <f>IFERROR(__xludf.DUMMYFUNCTION("""COMPUTED_VALUE"""),"Argentina")</f>
        <v>Argentina</v>
      </c>
      <c r="C147" s="6" t="str">
        <f>IFERROR(__xludf.DUMMYFUNCTION("""COMPUTED_VALUE"""),"Banking &amp; Financial Servicies")</f>
        <v>Banking &amp; Financial Servicies</v>
      </c>
    </row>
    <row r="148" hidden="1">
      <c r="A148" s="6" t="str">
        <f>IFERROR(__xludf.DUMMYFUNCTION("""COMPUTED_VALUE"""),"spark solutions")</f>
        <v>spark solutions</v>
      </c>
      <c r="B148" s="6" t="str">
        <f>IFERROR(__xludf.DUMMYFUNCTION("""COMPUTED_VALUE"""),"Argentina")</f>
        <v>Argentina</v>
      </c>
      <c r="C148" s="6" t="str">
        <f>IFERROR(__xludf.DUMMYFUNCTION("""COMPUTED_VALUE"""),"Software Factory / Staffing")</f>
        <v>Software Factory / Staffing</v>
      </c>
    </row>
    <row r="149" hidden="1">
      <c r="A149" s="6" t="str">
        <f>IFERROR(__xludf.DUMMYFUNCTION("""COMPUTED_VALUE"""),"crowdbotics")</f>
        <v>crowdbotics</v>
      </c>
      <c r="B149" s="6" t="str">
        <f>IFERROR(__xludf.DUMMYFUNCTION("""COMPUTED_VALUE"""),"Estados Unidos")</f>
        <v>Estados Unidos</v>
      </c>
      <c r="C149" s="6" t="str">
        <f>IFERROR(__xludf.DUMMYFUNCTION("""COMPUTED_VALUE"""),"Software Factory / Staffing")</f>
        <v>Software Factory / Staffing</v>
      </c>
    </row>
    <row r="150" hidden="1">
      <c r="A150" s="6" t="str">
        <f>IFERROR(__xludf.DUMMYFUNCTION("""COMPUTED_VALUE"""),"melonn")</f>
        <v>melonn</v>
      </c>
      <c r="B150" s="6" t="str">
        <f>IFERROR(__xludf.DUMMYFUNCTION("""COMPUTED_VALUE"""),"Colombia")</f>
        <v>Colombia</v>
      </c>
      <c r="C150" s="6" t="str">
        <f>IFERROR(__xludf.DUMMYFUNCTION("""COMPUTED_VALUE"""),"Management Consulting")</f>
        <v>Management Consulting</v>
      </c>
    </row>
    <row r="151" hidden="1">
      <c r="A151" s="6" t="str">
        <f>IFERROR(__xludf.DUMMYFUNCTION("""COMPUTED_VALUE"""),"coledu")</f>
        <v>coledu</v>
      </c>
      <c r="B151" s="4"/>
      <c r="C151" s="4"/>
    </row>
    <row r="152" hidden="1">
      <c r="A152" s="6" t="str">
        <f>IFERROR(__xludf.DUMMYFUNCTION("""COMPUTED_VALUE"""),"baja website")</f>
        <v>baja website</v>
      </c>
      <c r="B152" s="6" t="str">
        <f>IFERROR(__xludf.DUMMYFUNCTION("""COMPUTED_VALUE"""),"Mexico")</f>
        <v>Mexico</v>
      </c>
      <c r="C152" s="6" t="str">
        <f>IFERROR(__xludf.DUMMYFUNCTION("""COMPUTED_VALUE"""),"Software Factory / Staffing")</f>
        <v>Software Factory / Staffing</v>
      </c>
    </row>
    <row r="153" hidden="1">
      <c r="A153" s="6" t="str">
        <f>IFERROR(__xludf.DUMMYFUNCTION("""COMPUTED_VALUE"""),"scale ai")</f>
        <v>scale ai</v>
      </c>
      <c r="B153" s="6" t="str">
        <f>IFERROR(__xludf.DUMMYFUNCTION("""COMPUTED_VALUE"""),"Estados Unidos")</f>
        <v>Estados Unidos</v>
      </c>
      <c r="C153" s="6" t="str">
        <f>IFERROR(__xludf.DUMMYFUNCTION("""COMPUTED_VALUE"""),"Software Factory / Staffing")</f>
        <v>Software Factory / Staffing</v>
      </c>
    </row>
    <row r="154" hidden="1">
      <c r="A154" s="6" t="str">
        <f>IFERROR(__xludf.DUMMYFUNCTION("""COMPUTED_VALUE"""),"karvi")</f>
        <v>karvi</v>
      </c>
      <c r="B154" s="6" t="str">
        <f>IFERROR(__xludf.DUMMYFUNCTION("""COMPUTED_VALUE"""),"Argentina")</f>
        <v>Argentina</v>
      </c>
      <c r="C154" s="6" t="str">
        <f>IFERROR(__xludf.DUMMYFUNCTION("""COMPUTED_VALUE"""),"Other")</f>
        <v>Other</v>
      </c>
    </row>
    <row r="155" hidden="1">
      <c r="A155" s="6" t="str">
        <f>IFERROR(__xludf.DUMMYFUNCTION("""COMPUTED_VALUE"""),"dirwa")</f>
        <v>dirwa</v>
      </c>
      <c r="B155" s="6" t="str">
        <f>IFERROR(__xludf.DUMMYFUNCTION("""COMPUTED_VALUE"""),"Estados Unidos")</f>
        <v>Estados Unidos</v>
      </c>
      <c r="C155" s="6" t="str">
        <f>IFERROR(__xludf.DUMMYFUNCTION("""COMPUTED_VALUE"""),"Management Consulting")</f>
        <v>Management Consulting</v>
      </c>
    </row>
    <row r="156" hidden="1">
      <c r="A156" s="6" t="str">
        <f>IFERROR(__xludf.DUMMYFUNCTION("""COMPUTED_VALUE"""),"steplix")</f>
        <v>steplix</v>
      </c>
      <c r="B156" s="6" t="str">
        <f>IFERROR(__xludf.DUMMYFUNCTION("""COMPUTED_VALUE"""),"Argentina")</f>
        <v>Argentina</v>
      </c>
      <c r="C156" s="6" t="str">
        <f>IFERROR(__xludf.DUMMYFUNCTION("""COMPUTED_VALUE"""),"Software Factory / Staffing")</f>
        <v>Software Factory / Staffing</v>
      </c>
    </row>
    <row r="157" hidden="1">
      <c r="A157" s="6" t="str">
        <f>IFERROR(__xludf.DUMMYFUNCTION("""COMPUTED_VALUE"""),"quantify")</f>
        <v>quantify</v>
      </c>
      <c r="B157" s="6" t="str">
        <f>IFERROR(__xludf.DUMMYFUNCTION("""COMPUTED_VALUE"""),"Colombia")</f>
        <v>Colombia</v>
      </c>
      <c r="C157" s="6" t="str">
        <f>IFERROR(__xludf.DUMMYFUNCTION("""COMPUTED_VALUE"""),"Software Factory / Staffing")</f>
        <v>Software Factory / Staffing</v>
      </c>
    </row>
    <row r="158" hidden="1">
      <c r="A158" s="6" t="str">
        <f>IFERROR(__xludf.DUMMYFUNCTION("""COMPUTED_VALUE"""),"tubesoft")</f>
        <v>tubesoft</v>
      </c>
      <c r="B158" s="6" t="str">
        <f>IFERROR(__xludf.DUMMYFUNCTION("""COMPUTED_VALUE"""),"Chile")</f>
        <v>Chile</v>
      </c>
      <c r="C158" s="6" t="str">
        <f>IFERROR(__xludf.DUMMYFUNCTION("""COMPUTED_VALUE"""),"Software Factory / Staffing")</f>
        <v>Software Factory / Staffing</v>
      </c>
    </row>
    <row r="159" hidden="1">
      <c r="A159" s="6" t="str">
        <f>IFERROR(__xludf.DUMMYFUNCTION("""COMPUTED_VALUE"""),"sequre")</f>
        <v>sequre</v>
      </c>
      <c r="B159" s="6" t="str">
        <f>IFERROR(__xludf.DUMMYFUNCTION("""COMPUTED_VALUE"""),"Italia")</f>
        <v>Italia</v>
      </c>
      <c r="C159" s="6" t="str">
        <f>IFERROR(__xludf.DUMMYFUNCTION("""COMPUTED_VALUE"""),"Management Consulting")</f>
        <v>Management Consulting</v>
      </c>
    </row>
    <row r="160" hidden="1">
      <c r="A160" s="6" t="str">
        <f>IFERROR(__xludf.DUMMYFUNCTION("""COMPUTED_VALUE"""),"genius sports")</f>
        <v>genius sports</v>
      </c>
      <c r="B160" s="6" t="str">
        <f>IFERROR(__xludf.DUMMYFUNCTION("""COMPUTED_VALUE"""),"Inglaterra")</f>
        <v>Inglaterra</v>
      </c>
      <c r="C160" s="6" t="str">
        <f>IFERROR(__xludf.DUMMYFUNCTION("""COMPUTED_VALUE"""),"Software Factory / Staffing")</f>
        <v>Software Factory / Staffing</v>
      </c>
    </row>
    <row r="161" hidden="1">
      <c r="A161" s="6" t="str">
        <f>IFERROR(__xludf.DUMMYFUNCTION("""COMPUTED_VALUE"""),"comercia latam")</f>
        <v>comercia latam</v>
      </c>
      <c r="B161" s="4"/>
      <c r="C161" s="4"/>
    </row>
    <row r="162" hidden="1">
      <c r="A162" s="6" t="str">
        <f>IFERROR(__xludf.DUMMYFUNCTION("""COMPUTED_VALUE"""),"proyecto color")</f>
        <v>proyecto color</v>
      </c>
      <c r="B162" s="6" t="str">
        <f>IFERROR(__xludf.DUMMYFUNCTION("""COMPUTED_VALUE"""),"Argentina")</f>
        <v>Argentina</v>
      </c>
      <c r="C162" s="6" t="str">
        <f>IFERROR(__xludf.DUMMYFUNCTION("""COMPUTED_VALUE"""),"Media &amp; Communication")</f>
        <v>Media &amp; Communication</v>
      </c>
    </row>
    <row r="163" hidden="1">
      <c r="A163" s="6" t="str">
        <f>IFERROR(__xludf.DUMMYFUNCTION("""COMPUTED_VALUE"""),"3dus")</f>
        <v>3dus</v>
      </c>
      <c r="B163" s="6" t="str">
        <f>IFERROR(__xludf.DUMMYFUNCTION("""COMPUTED_VALUE"""),"Estados Unidos")</f>
        <v>Estados Unidos</v>
      </c>
      <c r="C163" s="6" t="str">
        <f>IFERROR(__xludf.DUMMYFUNCTION("""COMPUTED_VALUE"""),"Construction")</f>
        <v>Construction</v>
      </c>
    </row>
    <row r="164" hidden="1">
      <c r="A164" s="6" t="str">
        <f>IFERROR(__xludf.DUMMYFUNCTION("""COMPUTED_VALUE"""),"sol4it")</f>
        <v>sol4it</v>
      </c>
      <c r="B164" s="6" t="str">
        <f>IFERROR(__xludf.DUMMYFUNCTION("""COMPUTED_VALUE"""),"Mexico")</f>
        <v>Mexico</v>
      </c>
      <c r="C164" s="6" t="str">
        <f>IFERROR(__xludf.DUMMYFUNCTION("""COMPUTED_VALUE"""),"Software Factory / Staffing")</f>
        <v>Software Factory / Staffing</v>
      </c>
    </row>
    <row r="165" hidden="1">
      <c r="A165" s="6" t="str">
        <f>IFERROR(__xludf.DUMMYFUNCTION("""COMPUTED_VALUE"""),"incluit")</f>
        <v>incluit</v>
      </c>
      <c r="B165" s="6" t="str">
        <f>IFERROR(__xludf.DUMMYFUNCTION("""COMPUTED_VALUE"""),"Estados Unidos")</f>
        <v>Estados Unidos</v>
      </c>
      <c r="C165" s="6" t="str">
        <f>IFERROR(__xludf.DUMMYFUNCTION("""COMPUTED_VALUE"""),"Management Consulting")</f>
        <v>Management Consulting</v>
      </c>
    </row>
    <row r="166" hidden="1">
      <c r="A166" s="6" t="str">
        <f>IFERROR(__xludf.DUMMYFUNCTION("""COMPUTED_VALUE"""),"volkfire music")</f>
        <v>volkfire music</v>
      </c>
      <c r="B166" s="6" t="str">
        <f>IFERROR(__xludf.DUMMYFUNCTION("""COMPUTED_VALUE"""),"Ecuador")</f>
        <v>Ecuador</v>
      </c>
      <c r="C166" s="6" t="str">
        <f>IFERROR(__xludf.DUMMYFUNCTION("""COMPUTED_VALUE"""),"Software Factory / Staffing")</f>
        <v>Software Factory / Staffing</v>
      </c>
    </row>
    <row r="167">
      <c r="A167" s="6" t="str">
        <f>IFERROR(__xludf.DUMMYFUNCTION("""COMPUTED_VALUE"""),"fulltimeforce")</f>
        <v>fulltimeforce</v>
      </c>
      <c r="B167" s="6" t="str">
        <f>IFERROR(__xludf.DUMMYFUNCTION("""COMPUTED_VALUE"""),"Peru")</f>
        <v>Peru</v>
      </c>
      <c r="C167" s="6" t="str">
        <f>IFERROR(__xludf.DUMMYFUNCTION("""COMPUTED_VALUE"""),"Software Factory / Staffing")</f>
        <v>Software Factory / Staffing</v>
      </c>
    </row>
    <row r="168" hidden="1">
      <c r="A168" s="6" t="str">
        <f>IFERROR(__xludf.DUMMYFUNCTION("""COMPUTED_VALUE"""),"innovit")</f>
        <v>innovit</v>
      </c>
      <c r="B168" s="6" t="str">
        <f>IFERROR(__xludf.DUMMYFUNCTION("""COMPUTED_VALUE"""),"Chile")</f>
        <v>Chile</v>
      </c>
      <c r="C168" s="6" t="str">
        <f>IFERROR(__xludf.DUMMYFUNCTION("""COMPUTED_VALUE"""),"Software Factory / Staffing")</f>
        <v>Software Factory / Staffing</v>
      </c>
    </row>
    <row r="169" hidden="1">
      <c r="A169" s="6" t="str">
        <f>IFERROR(__xludf.DUMMYFUNCTION("""COMPUTED_VALUE"""),"resultadistas")</f>
        <v>resultadistas</v>
      </c>
      <c r="B169" s="6" t="str">
        <f>IFERROR(__xludf.DUMMYFUNCTION("""COMPUTED_VALUE"""),"Chile")</f>
        <v>Chile</v>
      </c>
      <c r="C169" s="6" t="str">
        <f>IFERROR(__xludf.DUMMYFUNCTION("""COMPUTED_VALUE"""),"Software Factory / Staffing")</f>
        <v>Software Factory / Staffing</v>
      </c>
    </row>
    <row r="170" hidden="1">
      <c r="A170" s="6" t="str">
        <f>IFERROR(__xludf.DUMMYFUNCTION("""COMPUTED_VALUE"""),"prex")</f>
        <v>prex</v>
      </c>
      <c r="B170" s="6" t="str">
        <f>IFERROR(__xludf.DUMMYFUNCTION("""COMPUTED_VALUE"""),"Uruguay")</f>
        <v>Uruguay</v>
      </c>
      <c r="C170" s="6" t="str">
        <f>IFERROR(__xludf.DUMMYFUNCTION("""COMPUTED_VALUE"""),"Fintech")</f>
        <v>Fintech</v>
      </c>
    </row>
    <row r="171" hidden="1">
      <c r="A171" s="6" t="str">
        <f>IFERROR(__xludf.DUMMYFUNCTION("""COMPUTED_VALUE"""),"mobeats")</f>
        <v>mobeats</v>
      </c>
      <c r="B171" s="6" t="str">
        <f>IFERROR(__xludf.DUMMYFUNCTION("""COMPUTED_VALUE"""),"Argentina")</f>
        <v>Argentina</v>
      </c>
      <c r="C171" s="6" t="str">
        <f>IFERROR(__xludf.DUMMYFUNCTION("""COMPUTED_VALUE"""),"Management Consulting")</f>
        <v>Management Consulting</v>
      </c>
    </row>
    <row r="172" hidden="1">
      <c r="A172" s="6" t="str">
        <f>IFERROR(__xludf.DUMMYFUNCTION("""COMPUTED_VALUE"""),"binpar")</f>
        <v>binpar</v>
      </c>
      <c r="B172" s="6" t="str">
        <f>IFERROR(__xludf.DUMMYFUNCTION("""COMPUTED_VALUE"""),"España")</f>
        <v>España</v>
      </c>
      <c r="C172" s="6" t="str">
        <f>IFERROR(__xludf.DUMMYFUNCTION("""COMPUTED_VALUE"""),"Management Consulting")</f>
        <v>Management Consulting</v>
      </c>
    </row>
    <row r="173" hidden="1">
      <c r="A173" s="6" t="str">
        <f>IFERROR(__xludf.DUMMYFUNCTION("""COMPUTED_VALUE"""),"krispy kreme")</f>
        <v>krispy kreme</v>
      </c>
      <c r="B173" s="6" t="str">
        <f>IFERROR(__xludf.DUMMYFUNCTION("""COMPUTED_VALUE"""),"Estados Unidos")</f>
        <v>Estados Unidos</v>
      </c>
      <c r="C173" s="6" t="str">
        <f>IFERROR(__xludf.DUMMYFUNCTION("""COMPUTED_VALUE"""),"Other")</f>
        <v>Other</v>
      </c>
    </row>
    <row r="174" hidden="1">
      <c r="A174" s="6" t="str">
        <f>IFERROR(__xludf.DUMMYFUNCTION("""COMPUTED_VALUE"""),"fondo")</f>
        <v>fondo</v>
      </c>
      <c r="B174" s="6" t="str">
        <f>IFERROR(__xludf.DUMMYFUNCTION("""COMPUTED_VALUE"""),"Colombia")</f>
        <v>Colombia</v>
      </c>
      <c r="C174" s="6" t="str">
        <f>IFERROR(__xludf.DUMMYFUNCTION("""COMPUTED_VALUE"""),"Banking &amp; Financial Servicies")</f>
        <v>Banking &amp; Financial Servicies</v>
      </c>
    </row>
    <row r="175">
      <c r="A175" s="6" t="str">
        <f>IFERROR(__xludf.DUMMYFUNCTION("""COMPUTED_VALUE"""),"axity")</f>
        <v>axity</v>
      </c>
      <c r="B175" s="6" t="str">
        <f>IFERROR(__xludf.DUMMYFUNCTION("""COMPUTED_VALUE"""),"Chile")</f>
        <v>Chile</v>
      </c>
      <c r="C175" s="6" t="str">
        <f>IFERROR(__xludf.DUMMYFUNCTION("""COMPUTED_VALUE"""),"Software Factory / Staffing")</f>
        <v>Software Factory / Staffing</v>
      </c>
    </row>
    <row r="176" hidden="1">
      <c r="A176" s="6" t="str">
        <f>IFERROR(__xludf.DUMMYFUNCTION("""COMPUTED_VALUE"""),"craneo")</f>
        <v>craneo</v>
      </c>
      <c r="B176" s="6" t="str">
        <f>IFERROR(__xludf.DUMMYFUNCTION("""COMPUTED_VALUE"""),"Argentina")</f>
        <v>Argentina</v>
      </c>
      <c r="C176" s="6" t="str">
        <f>IFERROR(__xludf.DUMMYFUNCTION("""COMPUTED_VALUE"""),"Software Factory / Staffing")</f>
        <v>Software Factory / Staffing</v>
      </c>
    </row>
    <row r="177" hidden="1">
      <c r="A177" s="6" t="str">
        <f>IFERROR(__xludf.DUMMYFUNCTION("""COMPUTED_VALUE"""),"ministerio de salud provincia de bs. as.")</f>
        <v>ministerio de salud provincia de bs. as.</v>
      </c>
      <c r="B177" s="6" t="str">
        <f>IFERROR(__xludf.DUMMYFUNCTION("""COMPUTED_VALUE"""),"Argentina")</f>
        <v>Argentina</v>
      </c>
      <c r="C177" s="6" t="str">
        <f>IFERROR(__xludf.DUMMYFUNCTION("""COMPUTED_VALUE"""),"Public Center")</f>
        <v>Public Center</v>
      </c>
    </row>
    <row r="178" hidden="1">
      <c r="A178" s="6" t="str">
        <f>IFERROR(__xludf.DUMMYFUNCTION("""COMPUTED_VALUE"""),"binit")</f>
        <v>binit</v>
      </c>
      <c r="B178" s="6" t="str">
        <f>IFERROR(__xludf.DUMMYFUNCTION("""COMPUTED_VALUE"""),"Estados Unidos")</f>
        <v>Estados Unidos</v>
      </c>
      <c r="C178" s="6" t="str">
        <f>IFERROR(__xludf.DUMMYFUNCTION("""COMPUTED_VALUE"""),"Software Factory / Staffing")</f>
        <v>Software Factory / Staffing</v>
      </c>
    </row>
    <row r="179" hidden="1">
      <c r="A179" s="6" t="str">
        <f>IFERROR(__xludf.DUMMYFUNCTION("""COMPUTED_VALUE"""),"navent")</f>
        <v>navent</v>
      </c>
      <c r="B179" s="6" t="str">
        <f>IFERROR(__xludf.DUMMYFUNCTION("""COMPUTED_VALUE"""),"Argentina")</f>
        <v>Argentina</v>
      </c>
      <c r="C179" s="6" t="str">
        <f>IFERROR(__xludf.DUMMYFUNCTION("""COMPUTED_VALUE"""),"PropTech / Real State")</f>
        <v>PropTech / Real State</v>
      </c>
    </row>
    <row r="180">
      <c r="A180" s="6" t="str">
        <f>IFERROR(__xludf.DUMMYFUNCTION("""COMPUTED_VALUE"""),"mi águila")</f>
        <v>mi águila</v>
      </c>
      <c r="B180" s="6" t="str">
        <f>IFERROR(__xludf.DUMMYFUNCTION("""COMPUTED_VALUE"""),"Colombia")</f>
        <v>Colombia</v>
      </c>
      <c r="C180" s="6" t="str">
        <f>IFERROR(__xludf.DUMMYFUNCTION("""COMPUTED_VALUE"""),"Logistics")</f>
        <v>Logistics</v>
      </c>
    </row>
    <row r="181" hidden="1">
      <c r="A181" s="6" t="str">
        <f>IFERROR(__xludf.DUMMYFUNCTION("""COMPUTED_VALUE"""),"trimix")</f>
        <v>trimix</v>
      </c>
      <c r="B181" s="6" t="str">
        <f>IFERROR(__xludf.DUMMYFUNCTION("""COMPUTED_VALUE"""),"Argentina")</f>
        <v>Argentina</v>
      </c>
      <c r="C181" s="6" t="str">
        <f>IFERROR(__xludf.DUMMYFUNCTION("""COMPUTED_VALUE"""),"Software Factory / Staffing")</f>
        <v>Software Factory / Staffing</v>
      </c>
    </row>
    <row r="182" hidden="1">
      <c r="A182" s="6" t="str">
        <f>IFERROR(__xludf.DUMMYFUNCTION("""COMPUTED_VALUE"""),"undef")</f>
        <v>undef</v>
      </c>
      <c r="B182" s="6" t="str">
        <f>IFERROR(__xludf.DUMMYFUNCTION("""COMPUTED_VALUE"""),"Colombia")</f>
        <v>Colombia</v>
      </c>
      <c r="C182" s="6" t="str">
        <f>IFERROR(__xludf.DUMMYFUNCTION("""COMPUTED_VALUE"""),"Public Center")</f>
        <v>Public Center</v>
      </c>
    </row>
    <row r="183" hidden="1">
      <c r="A183" s="6" t="str">
        <f>IFERROR(__xludf.DUMMYFUNCTION("""COMPUTED_VALUE"""),"innercore")</f>
        <v>innercore</v>
      </c>
      <c r="B183" s="6" t="str">
        <f>IFERROR(__xludf.DUMMYFUNCTION("""COMPUTED_VALUE"""),"Chile")</f>
        <v>Chile</v>
      </c>
      <c r="C183" s="6" t="str">
        <f>IFERROR(__xludf.DUMMYFUNCTION("""COMPUTED_VALUE"""),"Artificil Intelligence")</f>
        <v>Artificil Intelligence</v>
      </c>
    </row>
    <row r="184" hidden="1">
      <c r="A184" s="6" t="str">
        <f>IFERROR(__xludf.DUMMYFUNCTION("""COMPUTED_VALUE"""),"fizzmod")</f>
        <v>fizzmod</v>
      </c>
      <c r="B184" s="6" t="str">
        <f>IFERROR(__xludf.DUMMYFUNCTION("""COMPUTED_VALUE"""),"Argentina")</f>
        <v>Argentina</v>
      </c>
      <c r="C184" s="6" t="str">
        <f>IFERROR(__xludf.DUMMYFUNCTION("""COMPUTED_VALUE"""),"Software Factory / Staffing")</f>
        <v>Software Factory / Staffing</v>
      </c>
    </row>
    <row r="185" hidden="1">
      <c r="A185" s="6" t="str">
        <f>IFERROR(__xludf.DUMMYFUNCTION("""COMPUTED_VALUE"""),"25 watts")</f>
        <v>25 watts</v>
      </c>
      <c r="B185" s="6" t="str">
        <f>IFERROR(__xludf.DUMMYFUNCTION("""COMPUTED_VALUE"""),"Argentina")</f>
        <v>Argentina</v>
      </c>
      <c r="C185" s="6" t="str">
        <f>IFERROR(__xludf.DUMMYFUNCTION("""COMPUTED_VALUE"""),"Marketing &amp; Advertising")</f>
        <v>Marketing &amp; Advertising</v>
      </c>
    </row>
    <row r="186" hidden="1">
      <c r="A186" s="6" t="str">
        <f>IFERROR(__xludf.DUMMYFUNCTION("""COMPUTED_VALUE"""),"quipu market")</f>
        <v>quipu market</v>
      </c>
      <c r="B186" s="6" t="str">
        <f>IFERROR(__xludf.DUMMYFUNCTION("""COMPUTED_VALUE"""),"Argentina")</f>
        <v>Argentina</v>
      </c>
      <c r="C186" s="6" t="str">
        <f>IFERROR(__xludf.DUMMYFUNCTION("""COMPUTED_VALUE"""),"Banking &amp; Financial Servicies")</f>
        <v>Banking &amp; Financial Servicies</v>
      </c>
    </row>
    <row r="187" hidden="1">
      <c r="A187" s="6" t="str">
        <f>IFERROR(__xludf.DUMMYFUNCTION("""COMPUTED_VALUE"""),"minsait")</f>
        <v>minsait</v>
      </c>
      <c r="B187" s="6" t="str">
        <f>IFERROR(__xludf.DUMMYFUNCTION("""COMPUTED_VALUE"""),"España")</f>
        <v>España</v>
      </c>
      <c r="C187" s="6" t="str">
        <f>IFERROR(__xludf.DUMMYFUNCTION("""COMPUTED_VALUE"""),"Management Consulting")</f>
        <v>Management Consulting</v>
      </c>
    </row>
    <row r="188" hidden="1">
      <c r="A188" s="6" t="str">
        <f>IFERROR(__xludf.DUMMYFUNCTION("""COMPUTED_VALUE"""),"crossentropysolutions")</f>
        <v>crossentropysolutions</v>
      </c>
      <c r="B188" s="6" t="str">
        <f>IFERROR(__xludf.DUMMYFUNCTION("""COMPUTED_VALUE"""),"Argentina")</f>
        <v>Argentina</v>
      </c>
      <c r="C188" s="6" t="str">
        <f>IFERROR(__xludf.DUMMYFUNCTION("""COMPUTED_VALUE"""),"Software Factory / Staffing")</f>
        <v>Software Factory / Staffing</v>
      </c>
    </row>
    <row r="189" hidden="1">
      <c r="A189" s="6" t="str">
        <f>IFERROR(__xludf.DUMMYFUNCTION("""COMPUTED_VALUE"""),"scania argentina")</f>
        <v>scania argentina</v>
      </c>
      <c r="B189" s="6" t="str">
        <f>IFERROR(__xludf.DUMMYFUNCTION("""COMPUTED_VALUE"""),"Argentina")</f>
        <v>Argentina</v>
      </c>
      <c r="C189" s="6" t="str">
        <f>IFERROR(__xludf.DUMMYFUNCTION("""COMPUTED_VALUE"""),"Other")</f>
        <v>Other</v>
      </c>
    </row>
    <row r="190" hidden="1">
      <c r="A190" s="6" t="str">
        <f>IFERROR(__xludf.DUMMYFUNCTION("""COMPUTED_VALUE"""),"freelance + henry")</f>
        <v>freelance + henry</v>
      </c>
      <c r="B190" s="6" t="str">
        <f>IFERROR(__xludf.DUMMYFUNCTION("""COMPUTED_VALUE"""),"Dinamarca")</f>
        <v>Dinamarca</v>
      </c>
      <c r="C190" s="6" t="str">
        <f>IFERROR(__xludf.DUMMYFUNCTION("""COMPUTED_VALUE"""),"Other")</f>
        <v>Other</v>
      </c>
    </row>
    <row r="191">
      <c r="A191" s="6" t="str">
        <f>IFERROR(__xludf.DUMMYFUNCTION("""COMPUTED_VALUE"""),"soy momo")</f>
        <v>soy momo</v>
      </c>
      <c r="B191" s="6" t="str">
        <f>IFERROR(__xludf.DUMMYFUNCTION("""COMPUTED_VALUE"""),"Chile")</f>
        <v>Chile</v>
      </c>
      <c r="C191" s="6" t="str">
        <f>IFERROR(__xludf.DUMMYFUNCTION("""COMPUTED_VALUE"""),"Cibersecurity")</f>
        <v>Cibersecurity</v>
      </c>
    </row>
    <row r="192" hidden="1">
      <c r="A192" s="6" t="str">
        <f>IFERROR(__xludf.DUMMYFUNCTION("""COMPUTED_VALUE"""),"vortex it")</f>
        <v>vortex it</v>
      </c>
      <c r="B192" s="6" t="str">
        <f>IFERROR(__xludf.DUMMYFUNCTION("""COMPUTED_VALUE"""),"Argentina")</f>
        <v>Argentina</v>
      </c>
      <c r="C192" s="6" t="str">
        <f>IFERROR(__xludf.DUMMYFUNCTION("""COMPUTED_VALUE"""),"Management Consulting")</f>
        <v>Management Consulting</v>
      </c>
    </row>
    <row r="193" hidden="1">
      <c r="A193" s="6" t="str">
        <f>IFERROR(__xludf.DUMMYFUNCTION("""COMPUTED_VALUE"""),"penta security solutions")</f>
        <v>penta security solutions</v>
      </c>
      <c r="B193" s="6" t="str">
        <f>IFERROR(__xludf.DUMMYFUNCTION("""COMPUTED_VALUE"""),"Argentina")</f>
        <v>Argentina</v>
      </c>
      <c r="C193" s="6" t="str">
        <f>IFERROR(__xludf.DUMMYFUNCTION("""COMPUTED_VALUE"""),"Management Consulting")</f>
        <v>Management Consulting</v>
      </c>
    </row>
    <row r="194" hidden="1">
      <c r="A194" s="6" t="str">
        <f>IFERROR(__xludf.DUMMYFUNCTION("""COMPUTED_VALUE"""),"inetum")</f>
        <v>inetum</v>
      </c>
      <c r="B194" s="6" t="str">
        <f>IFERROR(__xludf.DUMMYFUNCTION("""COMPUTED_VALUE"""),"Francia")</f>
        <v>Francia</v>
      </c>
      <c r="C194" s="6" t="str">
        <f>IFERROR(__xludf.DUMMYFUNCTION("""COMPUTED_VALUE"""),"Artificil Intelligence")</f>
        <v>Artificil Intelligence</v>
      </c>
    </row>
    <row r="195" hidden="1">
      <c r="A195" s="6" t="str">
        <f>IFERROR(__xludf.DUMMYFUNCTION("""COMPUTED_VALUE"""),"aw artware")</f>
        <v>aw artware</v>
      </c>
      <c r="B195" s="6" t="str">
        <f>IFERROR(__xludf.DUMMYFUNCTION("""COMPUTED_VALUE"""),"Argentina")</f>
        <v>Argentina</v>
      </c>
      <c r="C195" s="6" t="str">
        <f>IFERROR(__xludf.DUMMYFUNCTION("""COMPUTED_VALUE"""),"Software Factory / Staffing")</f>
        <v>Software Factory / Staffing</v>
      </c>
    </row>
    <row r="196" hidden="1">
      <c r="A196" s="6" t="str">
        <f>IFERROR(__xludf.DUMMYFUNCTION("""COMPUTED_VALUE"""),"kiwibot")</f>
        <v>kiwibot</v>
      </c>
      <c r="B196" s="6" t="str">
        <f>IFERROR(__xludf.DUMMYFUNCTION("""COMPUTED_VALUE"""),"Estados Unidos")</f>
        <v>Estados Unidos</v>
      </c>
      <c r="C196" s="6" t="str">
        <f>IFERROR(__xludf.DUMMYFUNCTION("""COMPUTED_VALUE"""),"Artificil Intelligence")</f>
        <v>Artificil Intelligence</v>
      </c>
    </row>
    <row r="197" hidden="1">
      <c r="A197" s="6" t="str">
        <f>IFERROR(__xludf.DUMMYFUNCTION("""COMPUTED_VALUE"""),"contenidos digitales")</f>
        <v>contenidos digitales</v>
      </c>
      <c r="B197" s="6" t="str">
        <f>IFERROR(__xludf.DUMMYFUNCTION("""COMPUTED_VALUE"""),"Argentina")</f>
        <v>Argentina</v>
      </c>
      <c r="C197" s="6" t="str">
        <f>IFERROR(__xludf.DUMMYFUNCTION("""COMPUTED_VALUE"""),"Marketing &amp; Advertising")</f>
        <v>Marketing &amp; Advertising</v>
      </c>
    </row>
    <row r="198" hidden="1">
      <c r="A198" s="6" t="str">
        <f>IFERROR(__xludf.DUMMYFUNCTION("""COMPUTED_VALUE"""),"tualy")</f>
        <v>tualy</v>
      </c>
      <c r="B198" s="6" t="str">
        <f>IFERROR(__xludf.DUMMYFUNCTION("""COMPUTED_VALUE"""),"Colombia")</f>
        <v>Colombia</v>
      </c>
      <c r="C198" s="6" t="str">
        <f>IFERROR(__xludf.DUMMYFUNCTION("""COMPUTED_VALUE"""),"Other")</f>
        <v>Other</v>
      </c>
    </row>
    <row r="199">
      <c r="A199" s="6" t="str">
        <f>IFERROR(__xludf.DUMMYFUNCTION("""COMPUTED_VALUE"""),"wrks")</f>
        <v>wrks</v>
      </c>
      <c r="B199" s="6" t="str">
        <f>IFERROR(__xludf.DUMMYFUNCTION("""COMPUTED_VALUE"""),"Singapore")</f>
        <v>Singapore</v>
      </c>
      <c r="C199" s="6" t="str">
        <f>IFERROR(__xludf.DUMMYFUNCTION("""COMPUTED_VALUE"""),"Software Factory / Staffing")</f>
        <v>Software Factory / Staffing</v>
      </c>
    </row>
    <row r="200" hidden="1">
      <c r="A200" s="6" t="str">
        <f>IFERROR(__xludf.DUMMYFUNCTION("""COMPUTED_VALUE"""),"preki")</f>
        <v>preki</v>
      </c>
      <c r="B200" s="6" t="str">
        <f>IFERROR(__xludf.DUMMYFUNCTION("""COMPUTED_VALUE"""),"Colombia")</f>
        <v>Colombia</v>
      </c>
      <c r="C200" s="6" t="str">
        <f>IFERROR(__xludf.DUMMYFUNCTION("""COMPUTED_VALUE"""),"E-commerce")</f>
        <v>E-commerce</v>
      </c>
    </row>
    <row r="201" hidden="1">
      <c r="A201" s="6" t="str">
        <f>IFERROR(__xludf.DUMMYFUNCTION("""COMPUTED_VALUE"""),"simtlix")</f>
        <v>simtlix</v>
      </c>
      <c r="B201" s="6" t="str">
        <f>IFERROR(__xludf.DUMMYFUNCTION("""COMPUTED_VALUE"""),"Argentina")</f>
        <v>Argentina</v>
      </c>
      <c r="C201" s="6" t="str">
        <f>IFERROR(__xludf.DUMMYFUNCTION("""COMPUTED_VALUE"""),"Software Factory / Staffing")</f>
        <v>Software Factory / Staffing</v>
      </c>
    </row>
    <row r="202" hidden="1">
      <c r="A202" s="6" t="str">
        <f>IFERROR(__xludf.DUMMYFUNCTION("""COMPUTED_VALUE"""),"banco davivienda")</f>
        <v>banco davivienda</v>
      </c>
      <c r="B202" s="6" t="str">
        <f>IFERROR(__xludf.DUMMYFUNCTION("""COMPUTED_VALUE"""),"Colombia")</f>
        <v>Colombia</v>
      </c>
      <c r="C202" s="6" t="str">
        <f>IFERROR(__xludf.DUMMYFUNCTION("""COMPUTED_VALUE"""),"Banking &amp; Financial Servicies")</f>
        <v>Banking &amp; Financial Servicies</v>
      </c>
    </row>
    <row r="203" hidden="1">
      <c r="A203" s="6" t="str">
        <f>IFERROR(__xludf.DUMMYFUNCTION("""COMPUTED_VALUE"""),"entre corp")</f>
        <v>entre corp</v>
      </c>
      <c r="B203" s="6" t="str">
        <f>IFERROR(__xludf.DUMMYFUNCTION("""COMPUTED_VALUE"""),"Estados Unidos")</f>
        <v>Estados Unidos</v>
      </c>
      <c r="C203" s="6" t="str">
        <f>IFERROR(__xludf.DUMMYFUNCTION("""COMPUTED_VALUE"""),"Media &amp; Communication")</f>
        <v>Media &amp; Communication</v>
      </c>
    </row>
    <row r="204" hidden="1">
      <c r="A204" s="6" t="str">
        <f>IFERROR(__xludf.DUMMYFUNCTION("""COMPUTED_VALUE"""),"meowtel")</f>
        <v>meowtel</v>
      </c>
      <c r="B204" s="6" t="str">
        <f>IFERROR(__xludf.DUMMYFUNCTION("""COMPUTED_VALUE"""),"Estados Unidos")</f>
        <v>Estados Unidos</v>
      </c>
      <c r="C204" s="6" t="str">
        <f>IFERROR(__xludf.DUMMYFUNCTION("""COMPUTED_VALUE"""),"Other")</f>
        <v>Other</v>
      </c>
    </row>
    <row r="205" hidden="1">
      <c r="A205" s="6" t="str">
        <f>IFERROR(__xludf.DUMMYFUNCTION("""COMPUTED_VALUE"""),"tsoft")</f>
        <v>tsoft</v>
      </c>
      <c r="B205" s="6" t="str">
        <f>IFERROR(__xludf.DUMMYFUNCTION("""COMPUTED_VALUE"""),"Argentina")</f>
        <v>Argentina</v>
      </c>
      <c r="C205" s="6" t="str">
        <f>IFERROR(__xludf.DUMMYFUNCTION("""COMPUTED_VALUE"""),"Software Factory / Staffing")</f>
        <v>Software Factory / Staffing</v>
      </c>
    </row>
    <row r="206" hidden="1">
      <c r="A206" s="6" t="str">
        <f>IFERROR(__xludf.DUMMYFUNCTION("""COMPUTED_VALUE"""),"la voz del interior")</f>
        <v>la voz del interior</v>
      </c>
      <c r="B206" s="6" t="str">
        <f>IFERROR(__xludf.DUMMYFUNCTION("""COMPUTED_VALUE"""),"Argentina")</f>
        <v>Argentina</v>
      </c>
      <c r="C206" s="6" t="str">
        <f>IFERROR(__xludf.DUMMYFUNCTION("""COMPUTED_VALUE"""),"Media &amp; Communication")</f>
        <v>Media &amp; Communication</v>
      </c>
    </row>
    <row r="207" hidden="1">
      <c r="A207" s="6" t="str">
        <f>IFERROR(__xludf.DUMMYFUNCTION("""COMPUTED_VALUE"""),"vicino")</f>
        <v>vicino</v>
      </c>
      <c r="B207" s="6" t="str">
        <f>IFERROR(__xludf.DUMMYFUNCTION("""COMPUTED_VALUE"""),"Argentina")</f>
        <v>Argentina</v>
      </c>
      <c r="C207" s="6" t="str">
        <f>IFERROR(__xludf.DUMMYFUNCTION("""COMPUTED_VALUE"""),"Software Factory / Staffing")</f>
        <v>Software Factory / Staffing</v>
      </c>
    </row>
    <row r="208" hidden="1">
      <c r="A208" s="6" t="str">
        <f>IFERROR(__xludf.DUMMYFUNCTION("""COMPUTED_VALUE"""),"garaje de ideas americas")</f>
        <v>garaje de ideas americas</v>
      </c>
      <c r="B208" s="6" t="str">
        <f>IFERROR(__xludf.DUMMYFUNCTION("""COMPUTED_VALUE"""),"Argentina")</f>
        <v>Argentina</v>
      </c>
      <c r="C208" s="6" t="str">
        <f>IFERROR(__xludf.DUMMYFUNCTION("""COMPUTED_VALUE"""),"Software Factory / Staffing")</f>
        <v>Software Factory / Staffing</v>
      </c>
    </row>
    <row r="209" hidden="1">
      <c r="A209" s="6" t="str">
        <f>IFERROR(__xludf.DUMMYFUNCTION("""COMPUTED_VALUE"""),"-")</f>
        <v>-</v>
      </c>
      <c r="B209" s="4"/>
      <c r="C209" s="4"/>
    </row>
    <row r="210" hidden="1">
      <c r="A210" s="6" t="str">
        <f>IFERROR(__xludf.DUMMYFUNCTION("""COMPUTED_VALUE"""),"kin + carta")</f>
        <v>kin + carta</v>
      </c>
      <c r="B210" s="6" t="str">
        <f>IFERROR(__xludf.DUMMYFUNCTION("""COMPUTED_VALUE"""),"Estados Unidos")</f>
        <v>Estados Unidos</v>
      </c>
      <c r="C210" s="6" t="str">
        <f>IFERROR(__xludf.DUMMYFUNCTION("""COMPUTED_VALUE"""),"Management Consulting")</f>
        <v>Management Consulting</v>
      </c>
    </row>
    <row r="211" hidden="1">
      <c r="A211" s="6" t="str">
        <f>IFERROR(__xludf.DUMMYFUNCTION("""COMPUTED_VALUE"""),"globons srl")</f>
        <v>globons srl</v>
      </c>
      <c r="B211" s="6" t="str">
        <f>IFERROR(__xludf.DUMMYFUNCTION("""COMPUTED_VALUE"""),"Argentina")</f>
        <v>Argentina</v>
      </c>
      <c r="C211" s="6" t="str">
        <f>IFERROR(__xludf.DUMMYFUNCTION("""COMPUTED_VALUE"""),"Software Factory / Staffing")</f>
        <v>Software Factory / Staffing</v>
      </c>
    </row>
    <row r="212" hidden="1">
      <c r="A212" s="6" t="str">
        <f>IFERROR(__xludf.DUMMYFUNCTION("""COMPUTED_VALUE"""),"lilab")</f>
        <v>lilab</v>
      </c>
      <c r="B212" s="6" t="str">
        <f>IFERROR(__xludf.DUMMYFUNCTION("""COMPUTED_VALUE"""),"Peru")</f>
        <v>Peru</v>
      </c>
      <c r="C212" s="6" t="str">
        <f>IFERROR(__xludf.DUMMYFUNCTION("""COMPUTED_VALUE"""),"Software Factory / Staffing")</f>
        <v>Software Factory / Staffing</v>
      </c>
    </row>
    <row r="213" hidden="1">
      <c r="A213" s="6" t="str">
        <f>IFERROR(__xludf.DUMMYFUNCTION("""COMPUTED_VALUE"""),"adbot | agencia digital")</f>
        <v>adbot | agencia digital</v>
      </c>
      <c r="B213" s="6" t="str">
        <f>IFERROR(__xludf.DUMMYFUNCTION("""COMPUTED_VALUE"""),"Argentina")</f>
        <v>Argentina</v>
      </c>
      <c r="C213" s="6" t="str">
        <f>IFERROR(__xludf.DUMMYFUNCTION("""COMPUTED_VALUE"""),"Marketing &amp; Advertising")</f>
        <v>Marketing &amp; Advertising</v>
      </c>
    </row>
    <row r="214" hidden="1">
      <c r="A214" s="6" t="str">
        <f>IFERROR(__xludf.DUMMYFUNCTION("""COMPUTED_VALUE"""),"neivor")</f>
        <v>neivor</v>
      </c>
      <c r="B214" s="6" t="str">
        <f>IFERROR(__xludf.DUMMYFUNCTION("""COMPUTED_VALUE"""),"Mexico")</f>
        <v>Mexico</v>
      </c>
      <c r="C214" s="6" t="str">
        <f>IFERROR(__xludf.DUMMYFUNCTION("""COMPUTED_VALUE"""),"SaaS")</f>
        <v>SaaS</v>
      </c>
    </row>
    <row r="215" hidden="1">
      <c r="A215" s="6" t="str">
        <f>IFERROR(__xludf.DUMMYFUNCTION("""COMPUTED_VALUE"""),"rubic sa")</f>
        <v>rubic sa</v>
      </c>
      <c r="B215" s="6" t="str">
        <f>IFERROR(__xludf.DUMMYFUNCTION("""COMPUTED_VALUE"""),"Argentina")</f>
        <v>Argentina</v>
      </c>
      <c r="C215" s="6" t="str">
        <f>IFERROR(__xludf.DUMMYFUNCTION("""COMPUTED_VALUE"""),"E-commerce")</f>
        <v>E-commerce</v>
      </c>
    </row>
    <row r="216" hidden="1">
      <c r="A216" s="6" t="str">
        <f>IFERROR(__xludf.DUMMYFUNCTION("""COMPUTED_VALUE"""),"softtek")</f>
        <v>softtek</v>
      </c>
      <c r="B216" s="6" t="str">
        <f>IFERROR(__xludf.DUMMYFUNCTION("""COMPUTED_VALUE"""),"Mexico")</f>
        <v>Mexico</v>
      </c>
      <c r="C216" s="6" t="str">
        <f>IFERROR(__xludf.DUMMYFUNCTION("""COMPUTED_VALUE"""),"Management Consulting")</f>
        <v>Management Consulting</v>
      </c>
    </row>
    <row r="217" hidden="1">
      <c r="A217" s="6" t="str">
        <f>IFERROR(__xludf.DUMMYFUNCTION("""COMPUTED_VALUE"""),"santander")</f>
        <v>santander</v>
      </c>
      <c r="B217" s="6" t="str">
        <f>IFERROR(__xludf.DUMMYFUNCTION("""COMPUTED_VALUE"""),"Argentina")</f>
        <v>Argentina</v>
      </c>
      <c r="C217" s="6" t="str">
        <f>IFERROR(__xludf.DUMMYFUNCTION("""COMPUTED_VALUE"""),"Banking &amp; Financial Servicies")</f>
        <v>Banking &amp; Financial Servicies</v>
      </c>
    </row>
    <row r="218" hidden="1">
      <c r="A218" s="6" t="str">
        <f>IFERROR(__xludf.DUMMYFUNCTION("""COMPUTED_VALUE"""),"entertainment holdings s.a")</f>
        <v>entertainment holdings s.a</v>
      </c>
      <c r="B218" s="6" t="str">
        <f>IFERROR(__xludf.DUMMYFUNCTION("""COMPUTED_VALUE"""),"Argentina")</f>
        <v>Argentina</v>
      </c>
      <c r="C218" s="6" t="str">
        <f>IFERROR(__xludf.DUMMYFUNCTION("""COMPUTED_VALUE"""),"Other")</f>
        <v>Other</v>
      </c>
    </row>
    <row r="219" hidden="1">
      <c r="A219" s="6" t="str">
        <f>IFERROR(__xludf.DUMMYFUNCTION("""COMPUTED_VALUE"""),"kimo")</f>
        <v>kimo</v>
      </c>
      <c r="B219" s="6" t="str">
        <f>IFERROR(__xludf.DUMMYFUNCTION("""COMPUTED_VALUE"""),"Paises Bajos")</f>
        <v>Paises Bajos</v>
      </c>
      <c r="C219" s="6" t="str">
        <f>IFERROR(__xludf.DUMMYFUNCTION("""COMPUTED_VALUE"""),"Education &amp; Edtech")</f>
        <v>Education &amp; Edtech</v>
      </c>
    </row>
    <row r="220" hidden="1">
      <c r="A220" s="6" t="str">
        <f>IFERROR(__xludf.DUMMYFUNCTION("""COMPUTED_VALUE"""),"docmobi")</f>
        <v>docmobi</v>
      </c>
      <c r="B220" s="6" t="str">
        <f>IFERROR(__xludf.DUMMYFUNCTION("""COMPUTED_VALUE"""),"Brasil")</f>
        <v>Brasil</v>
      </c>
      <c r="C220" s="6" t="str">
        <f>IFERROR(__xludf.DUMMYFUNCTION("""COMPUTED_VALUE"""),"Software Factory / Staffing")</f>
        <v>Software Factory / Staffing</v>
      </c>
    </row>
    <row r="221" hidden="1">
      <c r="A221" s="6" t="str">
        <f>IFERROR(__xludf.DUMMYFUNCTION("""COMPUTED_VALUE"""),"artekium technology studio")</f>
        <v>artekium technology studio</v>
      </c>
      <c r="B221" s="6" t="str">
        <f>IFERROR(__xludf.DUMMYFUNCTION("""COMPUTED_VALUE"""),"Argentina")</f>
        <v>Argentina</v>
      </c>
      <c r="C221" s="6" t="str">
        <f>IFERROR(__xludf.DUMMYFUNCTION("""COMPUTED_VALUE"""),"Management Consulting")</f>
        <v>Management Consulting</v>
      </c>
    </row>
    <row r="222" hidden="1">
      <c r="A222" s="6" t="str">
        <f>IFERROR(__xludf.DUMMYFUNCTION("""COMPUTED_VALUE"""),"expert communication systems gmbh")</f>
        <v>expert communication systems gmbh</v>
      </c>
      <c r="B222" s="6" t="str">
        <f>IFERROR(__xludf.DUMMYFUNCTION("""COMPUTED_VALUE"""),"Alemania")</f>
        <v>Alemania</v>
      </c>
      <c r="C222" s="6" t="str">
        <f>IFERROR(__xludf.DUMMYFUNCTION("""COMPUTED_VALUE"""),"Management Consulting")</f>
        <v>Management Consulting</v>
      </c>
    </row>
    <row r="223" hidden="1">
      <c r="A223" s="6" t="str">
        <f>IFERROR(__xludf.DUMMYFUNCTION("""COMPUTED_VALUE"""),"tata consultancy services")</f>
        <v>tata consultancy services</v>
      </c>
      <c r="B223" s="6" t="str">
        <f>IFERROR(__xludf.DUMMYFUNCTION("""COMPUTED_VALUE"""),"India")</f>
        <v>India</v>
      </c>
      <c r="C223" s="6" t="str">
        <f>IFERROR(__xludf.DUMMYFUNCTION("""COMPUTED_VALUE"""),"Management Consulting")</f>
        <v>Management Consulting</v>
      </c>
    </row>
    <row r="224" hidden="1">
      <c r="A224" s="6" t="str">
        <f>IFERROR(__xludf.DUMMYFUNCTION("""COMPUTED_VALUE"""),"sii group colombia")</f>
        <v>sii group colombia</v>
      </c>
      <c r="B224" s="6" t="str">
        <f>IFERROR(__xludf.DUMMYFUNCTION("""COMPUTED_VALUE"""),"Colombia")</f>
        <v>Colombia</v>
      </c>
      <c r="C224" s="6" t="str">
        <f>IFERROR(__xludf.DUMMYFUNCTION("""COMPUTED_VALUE"""),"Management Consulting")</f>
        <v>Management Consulting</v>
      </c>
    </row>
    <row r="225" hidden="1">
      <c r="A225" s="6" t="str">
        <f>IFERROR(__xludf.DUMMYFUNCTION("""COMPUTED_VALUE"""),"elipse")</f>
        <v>elipse</v>
      </c>
      <c r="B225" s="6" t="str">
        <f>IFERROR(__xludf.DUMMYFUNCTION("""COMPUTED_VALUE"""),"Argentina")</f>
        <v>Argentina</v>
      </c>
      <c r="C225" s="6" t="str">
        <f>IFERROR(__xludf.DUMMYFUNCTION("""COMPUTED_VALUE"""),"Other")</f>
        <v>Other</v>
      </c>
    </row>
    <row r="226" hidden="1">
      <c r="A226" s="6" t="str">
        <f>IFERROR(__xludf.DUMMYFUNCTION("""COMPUTED_VALUE"""),"balloon group, a fastforward.ai company")</f>
        <v>balloon group, a fastforward.ai company</v>
      </c>
      <c r="B226" s="6" t="str">
        <f>IFERROR(__xludf.DUMMYFUNCTION("""COMPUTED_VALUE"""),"Argentina")</f>
        <v>Argentina</v>
      </c>
      <c r="C226" s="6" t="str">
        <f>IFERROR(__xludf.DUMMYFUNCTION("""COMPUTED_VALUE"""),"E-commerce")</f>
        <v>E-commerce</v>
      </c>
    </row>
    <row r="227" hidden="1">
      <c r="A227" s="6" t="str">
        <f>IFERROR(__xludf.DUMMYFUNCTION("""COMPUTED_VALUE"""),"ilumno")</f>
        <v>ilumno</v>
      </c>
      <c r="B227" s="6" t="str">
        <f>IFERROR(__xludf.DUMMYFUNCTION("""COMPUTED_VALUE"""),"Estados Unidos")</f>
        <v>Estados Unidos</v>
      </c>
      <c r="C227" s="6" t="str">
        <f>IFERROR(__xludf.DUMMYFUNCTION("""COMPUTED_VALUE"""),"Education &amp; Edtech")</f>
        <v>Education &amp; Edtech</v>
      </c>
    </row>
    <row r="228" hidden="1">
      <c r="A228" s="6" t="str">
        <f>IFERROR(__xludf.DUMMYFUNCTION("""COMPUTED_VALUE"""),"1doc3")</f>
        <v>1doc3</v>
      </c>
      <c r="B228" s="6" t="str">
        <f>IFERROR(__xludf.DUMMYFUNCTION("""COMPUTED_VALUE"""),"Colombia")</f>
        <v>Colombia</v>
      </c>
      <c r="C228" s="6" t="str">
        <f>IFERROR(__xludf.DUMMYFUNCTION("""COMPUTED_VALUE"""),"Health")</f>
        <v>Health</v>
      </c>
    </row>
    <row r="229" hidden="1">
      <c r="A229" s="6" t="str">
        <f>IFERROR(__xludf.DUMMYFUNCTION("""COMPUTED_VALUE"""),"wortise")</f>
        <v>wortise</v>
      </c>
      <c r="B229" s="6" t="str">
        <f>IFERROR(__xludf.DUMMYFUNCTION("""COMPUTED_VALUE"""),"Uruguay")</f>
        <v>Uruguay</v>
      </c>
      <c r="C229" s="6" t="str">
        <f>IFERROR(__xludf.DUMMYFUNCTION("""COMPUTED_VALUE"""),"Software Factory / Staffing")</f>
        <v>Software Factory / Staffing</v>
      </c>
    </row>
    <row r="230" hidden="1">
      <c r="A230" s="6" t="str">
        <f>IFERROR(__xludf.DUMMYFUNCTION("""COMPUTED_VALUE"""),"tcit cloud solutions")</f>
        <v>tcit cloud solutions</v>
      </c>
      <c r="B230" s="6" t="str">
        <f>IFERROR(__xludf.DUMMYFUNCTION("""COMPUTED_VALUE"""),"Chile")</f>
        <v>Chile</v>
      </c>
      <c r="C230" s="6" t="str">
        <f>IFERROR(__xludf.DUMMYFUNCTION("""COMPUTED_VALUE"""),"Software Factory / Staffing")</f>
        <v>Software Factory / Staffing</v>
      </c>
    </row>
    <row r="231" hidden="1">
      <c r="A231" s="6" t="str">
        <f>IFERROR(__xludf.DUMMYFUNCTION("""COMPUTED_VALUE"""),"international health services argentina s.a.")</f>
        <v>international health services argentina s.a.</v>
      </c>
      <c r="B231" s="6" t="str">
        <f>IFERROR(__xludf.DUMMYFUNCTION("""COMPUTED_VALUE"""),"Argentina")</f>
        <v>Argentina</v>
      </c>
      <c r="C231" s="6" t="str">
        <f>IFERROR(__xludf.DUMMYFUNCTION("""COMPUTED_VALUE"""),"Health")</f>
        <v>Health</v>
      </c>
    </row>
    <row r="232" hidden="1">
      <c r="A232" s="6" t="str">
        <f>IFERROR(__xludf.DUMMYFUNCTION("""COMPUTED_VALUE"""),"urban technologies sa")</f>
        <v>urban technologies sa</v>
      </c>
      <c r="B232" s="4"/>
      <c r="C232" s="4"/>
    </row>
    <row r="233" hidden="1">
      <c r="A233" s="6" t="str">
        <f>IFERROR(__xludf.DUMMYFUNCTION("""COMPUTED_VALUE"""),"swiss medical")</f>
        <v>swiss medical</v>
      </c>
      <c r="B233" s="6" t="str">
        <f>IFERROR(__xludf.DUMMYFUNCTION("""COMPUTED_VALUE"""),"Argentina")</f>
        <v>Argentina</v>
      </c>
      <c r="C233" s="6" t="str">
        <f>IFERROR(__xludf.DUMMYFUNCTION("""COMPUTED_VALUE"""),"Health")</f>
        <v>Health</v>
      </c>
    </row>
    <row r="234" hidden="1">
      <c r="A234" s="6" t="str">
        <f>IFERROR(__xludf.DUMMYFUNCTION("""COMPUTED_VALUE"""),"wisboo")</f>
        <v>wisboo</v>
      </c>
      <c r="B234" s="6" t="str">
        <f>IFERROR(__xludf.DUMMYFUNCTION("""COMPUTED_VALUE"""),"Argentina")</f>
        <v>Argentina</v>
      </c>
      <c r="C234" s="6" t="str">
        <f>IFERROR(__xludf.DUMMYFUNCTION("""COMPUTED_VALUE"""),"E-commerce")</f>
        <v>E-commerce</v>
      </c>
    </row>
    <row r="235" hidden="1">
      <c r="A235" s="6" t="str">
        <f>IFERROR(__xludf.DUMMYFUNCTION("""COMPUTED_VALUE"""),"dreamcode")</f>
        <v>dreamcode</v>
      </c>
      <c r="B235" s="6" t="str">
        <f>IFERROR(__xludf.DUMMYFUNCTION("""COMPUTED_VALUE"""),"Ecuador")</f>
        <v>Ecuador</v>
      </c>
      <c r="C235" s="6" t="str">
        <f>IFERROR(__xludf.DUMMYFUNCTION("""COMPUTED_VALUE"""),"Software Factory / Staffing")</f>
        <v>Software Factory / Staffing</v>
      </c>
    </row>
    <row r="236" hidden="1">
      <c r="A236" s="6" t="str">
        <f>IFERROR(__xludf.DUMMYFUNCTION("""COMPUTED_VALUE"""),"dinoia s.a.")</f>
        <v>dinoia s.a.</v>
      </c>
      <c r="B236" s="6" t="str">
        <f>IFERROR(__xludf.DUMMYFUNCTION("""COMPUTED_VALUE"""),"Argentina")</f>
        <v>Argentina</v>
      </c>
      <c r="C236" s="6" t="str">
        <f>IFERROR(__xludf.DUMMYFUNCTION("""COMPUTED_VALUE"""),"Software Factory / Staffing")</f>
        <v>Software Factory / Staffing</v>
      </c>
    </row>
    <row r="237" hidden="1">
      <c r="A237" s="6" t="str">
        <f>IFERROR(__xludf.DUMMYFUNCTION("""COMPUTED_VALUE"""),"blacksip")</f>
        <v>blacksip</v>
      </c>
      <c r="B237" s="6" t="str">
        <f>IFERROR(__xludf.DUMMYFUNCTION("""COMPUTED_VALUE"""),"Colombia")</f>
        <v>Colombia</v>
      </c>
      <c r="C237" s="6" t="str">
        <f>IFERROR(__xludf.DUMMYFUNCTION("""COMPUTED_VALUE"""),"E-commerce")</f>
        <v>E-commerce</v>
      </c>
    </row>
    <row r="238" hidden="1">
      <c r="A238" s="6" t="str">
        <f>IFERROR(__xludf.DUMMYFUNCTION("""COMPUTED_VALUE"""),"puzzle")</f>
        <v>puzzle</v>
      </c>
      <c r="B238" s="6" t="str">
        <f>IFERROR(__xludf.DUMMYFUNCTION("""COMPUTED_VALUE"""),"Argentina")</f>
        <v>Argentina</v>
      </c>
      <c r="C238" s="6" t="str">
        <f>IFERROR(__xludf.DUMMYFUNCTION("""COMPUTED_VALUE"""),"Management Consulting")</f>
        <v>Management Consulting</v>
      </c>
    </row>
    <row r="239" hidden="1">
      <c r="A239" s="6" t="str">
        <f>IFERROR(__xludf.DUMMYFUNCTION("""COMPUTED_VALUE"""),"mono")</f>
        <v>mono</v>
      </c>
      <c r="B239" s="6" t="str">
        <f>IFERROR(__xludf.DUMMYFUNCTION("""COMPUTED_VALUE"""),"Colombia")</f>
        <v>Colombia</v>
      </c>
      <c r="C239" s="6" t="str">
        <f>IFERROR(__xludf.DUMMYFUNCTION("""COMPUTED_VALUE"""),"Banking &amp; Financial Servicies")</f>
        <v>Banking &amp; Financial Servicies</v>
      </c>
    </row>
    <row r="240" hidden="1">
      <c r="A240" s="6" t="str">
        <f>IFERROR(__xludf.DUMMYFUNCTION("""COMPUTED_VALUE"""),"tally.sas")</f>
        <v>tally.sas</v>
      </c>
      <c r="B240" s="6" t="str">
        <f>IFERROR(__xludf.DUMMYFUNCTION("""COMPUTED_VALUE"""),"Estados Unidos")</f>
        <v>Estados Unidos</v>
      </c>
      <c r="C240" s="6" t="str">
        <f>IFERROR(__xludf.DUMMYFUNCTION("""COMPUTED_VALUE"""),"Banking &amp; Financial Servicies")</f>
        <v>Banking &amp; Financial Servicies</v>
      </c>
    </row>
    <row r="241" hidden="1">
      <c r="A241" s="6" t="str">
        <f>IFERROR(__xludf.DUMMYFUNCTION("""COMPUTED_VALUE"""),"viact")</f>
        <v>viact</v>
      </c>
      <c r="B241" s="6" t="str">
        <f>IFERROR(__xludf.DUMMYFUNCTION("""COMPUTED_VALUE"""),"China")</f>
        <v>China</v>
      </c>
      <c r="C241" s="6" t="str">
        <f>IFERROR(__xludf.DUMMYFUNCTION("""COMPUTED_VALUE"""),"Software Factory / Staffing")</f>
        <v>Software Factory / Staffing</v>
      </c>
    </row>
    <row r="242" hidden="1">
      <c r="A242" s="6" t="str">
        <f>IFERROR(__xludf.DUMMYFUNCTION("""COMPUTED_VALUE"""),"inventa s.a")</f>
        <v>inventa s.a</v>
      </c>
      <c r="B242" s="6" t="str">
        <f>IFERROR(__xludf.DUMMYFUNCTION("""COMPUTED_VALUE"""),"Chile")</f>
        <v>Chile</v>
      </c>
      <c r="C242" s="6" t="str">
        <f>IFERROR(__xludf.DUMMYFUNCTION("""COMPUTED_VALUE"""),"Management Consulting")</f>
        <v>Management Consulting</v>
      </c>
    </row>
    <row r="243" hidden="1">
      <c r="A243" s="6" t="str">
        <f>IFERROR(__xludf.DUMMYFUNCTION("""COMPUTED_VALUE"""),"pengyi labs costa rica")</f>
        <v>pengyi labs costa rica</v>
      </c>
      <c r="B243" s="6" t="str">
        <f>IFERROR(__xludf.DUMMYFUNCTION("""COMPUTED_VALUE"""),"Singapur")</f>
        <v>Singapur</v>
      </c>
      <c r="C243" s="6" t="str">
        <f>IFERROR(__xludf.DUMMYFUNCTION("""COMPUTED_VALUE"""),"Software Factory / Staffing")</f>
        <v>Software Factory / Staffing</v>
      </c>
    </row>
    <row r="244" hidden="1">
      <c r="A244" s="6" t="str">
        <f>IFERROR(__xludf.DUMMYFUNCTION("""COMPUTED_VALUE"""),"gk y hk s.h.")</f>
        <v>gk y hk s.h.</v>
      </c>
      <c r="B244" s="4"/>
      <c r="C244" s="4"/>
    </row>
    <row r="245" hidden="1">
      <c r="A245" s="6" t="str">
        <f>IFERROR(__xludf.DUMMYFUNCTION("""COMPUTED_VALUE"""),"tutenlabs")</f>
        <v>tutenlabs</v>
      </c>
      <c r="B245" s="6" t="str">
        <f>IFERROR(__xludf.DUMMYFUNCTION("""COMPUTED_VALUE"""),"Chile")</f>
        <v>Chile</v>
      </c>
      <c r="C245" s="6" t="str">
        <f>IFERROR(__xludf.DUMMYFUNCTION("""COMPUTED_VALUE"""),"Software Factory / Staffing")</f>
        <v>Software Factory / Staffing</v>
      </c>
    </row>
    <row r="246" hidden="1">
      <c r="A246" s="6" t="str">
        <f>IFERROR(__xludf.DUMMYFUNCTION("""COMPUTED_VALUE"""),"itglobers")</f>
        <v>itglobers</v>
      </c>
      <c r="B246" s="6" t="str">
        <f>IFERROR(__xludf.DUMMYFUNCTION("""COMPUTED_VALUE"""),"Colombia")</f>
        <v>Colombia</v>
      </c>
      <c r="C246" s="6" t="str">
        <f>IFERROR(__xludf.DUMMYFUNCTION("""COMPUTED_VALUE"""),"Software Factory / Staffing")</f>
        <v>Software Factory / Staffing</v>
      </c>
    </row>
    <row r="247" hidden="1">
      <c r="A247" s="6" t="str">
        <f>IFERROR(__xludf.DUMMYFUNCTION("""COMPUTED_VALUE"""),"starter")</f>
        <v>starter</v>
      </c>
      <c r="B247" s="6" t="str">
        <f>IFERROR(__xludf.DUMMYFUNCTION("""COMPUTED_VALUE"""),"Francia")</f>
        <v>Francia</v>
      </c>
      <c r="C247" s="6" t="str">
        <f>IFERROR(__xludf.DUMMYFUNCTION("""COMPUTED_VALUE"""),"Other")</f>
        <v>Other</v>
      </c>
    </row>
    <row r="248" hidden="1">
      <c r="A248" s="6" t="str">
        <f>IFERROR(__xludf.DUMMYFUNCTION("""COMPUTED_VALUE"""),"integra media")</f>
        <v>integra media</v>
      </c>
      <c r="B248" s="6" t="str">
        <f>IFERROR(__xludf.DUMMYFUNCTION("""COMPUTED_VALUE"""),"Argentina")</f>
        <v>Argentina</v>
      </c>
      <c r="C248" s="6" t="str">
        <f>IFERROR(__xludf.DUMMYFUNCTION("""COMPUTED_VALUE"""),"Software Factory / Staffing")</f>
        <v>Software Factory / Staffing</v>
      </c>
    </row>
    <row r="249" hidden="1">
      <c r="A249" s="6" t="str">
        <f>IFERROR(__xludf.DUMMYFUNCTION("""COMPUTED_VALUE"""),"grupo fidelatam")</f>
        <v>grupo fidelatam</v>
      </c>
      <c r="B249" s="6" t="str">
        <f>IFERROR(__xludf.DUMMYFUNCTION("""COMPUTED_VALUE"""),"Argentina")</f>
        <v>Argentina</v>
      </c>
      <c r="C249" s="6" t="str">
        <f>IFERROR(__xludf.DUMMYFUNCTION("""COMPUTED_VALUE"""),"Management Consulting")</f>
        <v>Management Consulting</v>
      </c>
    </row>
    <row r="250" hidden="1">
      <c r="A250" s="6" t="str">
        <f>IFERROR(__xludf.DUMMYFUNCTION("""COMPUTED_VALUE"""),"lyracons s. a.")</f>
        <v>lyracons s. a.</v>
      </c>
      <c r="B250" s="6" t="str">
        <f>IFERROR(__xludf.DUMMYFUNCTION("""COMPUTED_VALUE"""),"Argentina")</f>
        <v>Argentina</v>
      </c>
      <c r="C250" s="6" t="str">
        <f>IFERROR(__xludf.DUMMYFUNCTION("""COMPUTED_VALUE"""),"E-commerce")</f>
        <v>E-commerce</v>
      </c>
    </row>
    <row r="251" hidden="1">
      <c r="A251" s="6" t="str">
        <f>IFERROR(__xludf.DUMMYFUNCTION("""COMPUTED_VALUE"""),"trinworks sa")</f>
        <v>trinworks sa</v>
      </c>
      <c r="B251" s="4"/>
      <c r="C251" s="4"/>
    </row>
    <row r="252" hidden="1">
      <c r="A252" s="6" t="str">
        <f>IFERROR(__xludf.DUMMYFUNCTION("""COMPUTED_VALUE"""),"media.monks")</f>
        <v>media.monks</v>
      </c>
      <c r="B252" s="6" t="str">
        <f>IFERROR(__xludf.DUMMYFUNCTION("""COMPUTED_VALUE"""),"Argentina")</f>
        <v>Argentina</v>
      </c>
      <c r="C252" s="6" t="str">
        <f>IFERROR(__xludf.DUMMYFUNCTION("""COMPUTED_VALUE"""),"Marketing &amp; Advertising")</f>
        <v>Marketing &amp; Advertising</v>
      </c>
    </row>
    <row r="253" hidden="1">
      <c r="A253" s="6" t="str">
        <f>IFERROR(__xludf.DUMMYFUNCTION("""COMPUTED_VALUE"""),"quales group")</f>
        <v>quales group</v>
      </c>
      <c r="B253" s="6" t="str">
        <f>IFERROR(__xludf.DUMMYFUNCTION("""COMPUTED_VALUE"""),"Argentina")</f>
        <v>Argentina</v>
      </c>
      <c r="C253" s="6" t="str">
        <f>IFERROR(__xludf.DUMMYFUNCTION("""COMPUTED_VALUE"""),"Software Factory / Staffing")</f>
        <v>Software Factory / Staffing</v>
      </c>
    </row>
    <row r="254" hidden="1">
      <c r="A254" s="6" t="str">
        <f>IFERROR(__xludf.DUMMYFUNCTION("""COMPUTED_VALUE"""),"sistemas unificados de credito dirigido s.a.")</f>
        <v>sistemas unificados de credito dirigido s.a.</v>
      </c>
      <c r="B254" s="6" t="str">
        <f>IFERROR(__xludf.DUMMYFUNCTION("""COMPUTED_VALUE"""),"Argentina")</f>
        <v>Argentina</v>
      </c>
      <c r="C254" s="6" t="str">
        <f>IFERROR(__xludf.DUMMYFUNCTION("""COMPUTED_VALUE"""),"Banking &amp; Financial Servicies")</f>
        <v>Banking &amp; Financial Servicies</v>
      </c>
    </row>
    <row r="255" hidden="1">
      <c r="A255" s="6" t="str">
        <f>IFERROR(__xludf.DUMMYFUNCTION("""COMPUTED_VALUE"""),"proactiu")</f>
        <v>proactiu</v>
      </c>
      <c r="B255" s="6" t="str">
        <f>IFERROR(__xludf.DUMMYFUNCTION("""COMPUTED_VALUE"""),"España")</f>
        <v>España</v>
      </c>
      <c r="C255" s="6" t="str">
        <f>IFERROR(__xludf.DUMMYFUNCTION("""COMPUTED_VALUE"""),"Software Factory / Staffing")</f>
        <v>Software Factory / Staffing</v>
      </c>
    </row>
    <row r="256" hidden="1">
      <c r="A256" s="6" t="str">
        <f>IFERROR(__xludf.DUMMYFUNCTION("""COMPUTED_VALUE"""),"c-tech")</f>
        <v>c-tech</v>
      </c>
      <c r="B256" s="6" t="str">
        <f>IFERROR(__xludf.DUMMYFUNCTION("""COMPUTED_VALUE"""),"Estados Unidos")</f>
        <v>Estados Unidos</v>
      </c>
      <c r="C256" s="6" t="str">
        <f>IFERROR(__xludf.DUMMYFUNCTION("""COMPUTED_VALUE"""),"Education &amp; Edtech")</f>
        <v>Education &amp; Edtech</v>
      </c>
    </row>
    <row r="257" hidden="1">
      <c r="A257" s="6" t="str">
        <f>IFERROR(__xludf.DUMMYFUNCTION("""COMPUTED_VALUE"""),"baufest")</f>
        <v>baufest</v>
      </c>
      <c r="B257" s="6" t="str">
        <f>IFERROR(__xludf.DUMMYFUNCTION("""COMPUTED_VALUE"""),"Argentina")</f>
        <v>Argentina</v>
      </c>
      <c r="C257" s="6" t="str">
        <f>IFERROR(__xludf.DUMMYFUNCTION("""COMPUTED_VALUE"""),"Management Consulting")</f>
        <v>Management Consulting</v>
      </c>
    </row>
    <row r="258" hidden="1">
      <c r="A258" s="6" t="str">
        <f>IFERROR(__xludf.DUMMYFUNCTION("""COMPUTED_VALUE"""),"austin software")</f>
        <v>austin software</v>
      </c>
      <c r="B258" s="6" t="str">
        <f>IFERROR(__xludf.DUMMYFUNCTION("""COMPUTED_VALUE"""),"Estados Unidos")</f>
        <v>Estados Unidos</v>
      </c>
      <c r="C258" s="6" t="str">
        <f>IFERROR(__xludf.DUMMYFUNCTION("""COMPUTED_VALUE"""),"Software Factory / Staffing")</f>
        <v>Software Factory / Staffing</v>
      </c>
    </row>
    <row r="259" hidden="1">
      <c r="A259" s="6" t="str">
        <f>IFERROR(__xludf.DUMMYFUNCTION("""COMPUTED_VALUE"""),"magnético")</f>
        <v>magnético</v>
      </c>
      <c r="B259" s="6" t="str">
        <f>IFERROR(__xludf.DUMMYFUNCTION("""COMPUTED_VALUE"""),"España")</f>
        <v>España</v>
      </c>
      <c r="C259" s="6" t="str">
        <f>IFERROR(__xludf.DUMMYFUNCTION("""COMPUTED_VALUE"""),"Software Factory / Staffing")</f>
        <v>Software Factory / Staffing</v>
      </c>
    </row>
    <row r="260" hidden="1">
      <c r="A260" s="6" t="str">
        <f>IFERROR(__xludf.DUMMYFUNCTION("""COMPUTED_VALUE"""),"trato-hecho")</f>
        <v>trato-hecho</v>
      </c>
      <c r="B260" s="6" t="str">
        <f>IFERROR(__xludf.DUMMYFUNCTION("""COMPUTED_VALUE"""),"mexico")</f>
        <v>mexico</v>
      </c>
      <c r="C260" s="6" t="str">
        <f>IFERROR(__xludf.DUMMYFUNCTION("""COMPUTED_VALUE"""),"Other")</f>
        <v>Other</v>
      </c>
    </row>
    <row r="261" hidden="1">
      <c r="A261" s="6" t="str">
        <f>IFERROR(__xludf.DUMMYFUNCTION("""COMPUTED_VALUE"""),"xipron inc (tiendamia)")</f>
        <v>xipron inc (tiendamia)</v>
      </c>
      <c r="B261" s="6" t="str">
        <f>IFERROR(__xludf.DUMMYFUNCTION("""COMPUTED_VALUE"""),"Estados Unidos")</f>
        <v>Estados Unidos</v>
      </c>
      <c r="C261" s="6" t="str">
        <f>IFERROR(__xludf.DUMMYFUNCTION("""COMPUTED_VALUE"""),"E-commerce")</f>
        <v>E-commerce</v>
      </c>
    </row>
    <row r="262">
      <c r="A262" s="6" t="str">
        <f>IFERROR(__xludf.DUMMYFUNCTION("""COMPUTED_VALUE"""),"nimacloud")</f>
        <v>nimacloud</v>
      </c>
      <c r="B262" s="6" t="str">
        <f>IFERROR(__xludf.DUMMYFUNCTION("""COMPUTED_VALUE"""),"Uruguay")</f>
        <v>Uruguay</v>
      </c>
      <c r="C262" s="6" t="str">
        <f>IFERROR(__xludf.DUMMYFUNCTION("""COMPUTED_VALUE"""),"Other")</f>
        <v>Other</v>
      </c>
    </row>
    <row r="263" hidden="1">
      <c r="A263" s="6" t="str">
        <f>IFERROR(__xludf.DUMMYFUNCTION("""COMPUTED_VALUE"""),"fichap")</f>
        <v>fichap</v>
      </c>
      <c r="B263" s="6" t="str">
        <f>IFERROR(__xludf.DUMMYFUNCTION("""COMPUTED_VALUE"""),"Argentina")</f>
        <v>Argentina</v>
      </c>
      <c r="C263" s="6" t="str">
        <f>IFERROR(__xludf.DUMMYFUNCTION("""COMPUTED_VALUE"""),"Software Factory / Staffing")</f>
        <v>Software Factory / Staffing</v>
      </c>
    </row>
    <row r="264" hidden="1">
      <c r="A264" s="6" t="str">
        <f>IFERROR(__xludf.DUMMYFUNCTION("""COMPUTED_VALUE"""),"naranja x")</f>
        <v>naranja x</v>
      </c>
      <c r="B264" s="6" t="str">
        <f>IFERROR(__xludf.DUMMYFUNCTION("""COMPUTED_VALUE"""),"Argentina")</f>
        <v>Argentina</v>
      </c>
      <c r="C264" s="6" t="str">
        <f>IFERROR(__xludf.DUMMYFUNCTION("""COMPUTED_VALUE"""),"Fintech")</f>
        <v>Fintech</v>
      </c>
    </row>
    <row r="265" hidden="1">
      <c r="A265" s="6" t="str">
        <f>IFERROR(__xludf.DUMMYFUNCTION("""COMPUTED_VALUE"""),"sooft technology")</f>
        <v>sooft technology</v>
      </c>
      <c r="B265" s="6" t="str">
        <f>IFERROR(__xludf.DUMMYFUNCTION("""COMPUTED_VALUE"""),"Argentina")</f>
        <v>Argentina</v>
      </c>
      <c r="C265" s="6" t="str">
        <f>IFERROR(__xludf.DUMMYFUNCTION("""COMPUTED_VALUE"""),"Management Consulting")</f>
        <v>Management Consulting</v>
      </c>
    </row>
    <row r="266" hidden="1">
      <c r="A266" s="6" t="str">
        <f>IFERROR(__xludf.DUMMYFUNCTION("""COMPUTED_VALUE"""),"atio international")</f>
        <v>atio international</v>
      </c>
      <c r="B266" s="6" t="str">
        <f>IFERROR(__xludf.DUMMYFUNCTION("""COMPUTED_VALUE"""),"Argentina")</f>
        <v>Argentina</v>
      </c>
      <c r="C266" s="6" t="str">
        <f>IFERROR(__xludf.DUMMYFUNCTION("""COMPUTED_VALUE"""),"Other")</f>
        <v>Other</v>
      </c>
    </row>
    <row r="267" hidden="1">
      <c r="A267" s="6" t="str">
        <f>IFERROR(__xludf.DUMMYFUNCTION("""COMPUTED_VALUE"""),"fc diez media")</f>
        <v>fc diez media</v>
      </c>
      <c r="B267" s="6" t="str">
        <f>IFERROR(__xludf.DUMMYFUNCTION("""COMPUTED_VALUE"""),"Paraguay")</f>
        <v>Paraguay</v>
      </c>
      <c r="C267" s="6" t="str">
        <f>IFERROR(__xludf.DUMMYFUNCTION("""COMPUTED_VALUE"""),"Other")</f>
        <v>Other</v>
      </c>
    </row>
    <row r="268" hidden="1">
      <c r="A268" s="6" t="str">
        <f>IFERROR(__xludf.DUMMYFUNCTION("""COMPUTED_VALUE"""),"deniron")</f>
        <v>deniron</v>
      </c>
      <c r="B268" s="6" t="str">
        <f>IFERROR(__xludf.DUMMYFUNCTION("""COMPUTED_VALUE"""),"Estados Unidos")</f>
        <v>Estados Unidos</v>
      </c>
      <c r="C268" s="6" t="str">
        <f>IFERROR(__xludf.DUMMYFUNCTION("""COMPUTED_VALUE"""),"Marketing &amp; Advertising")</f>
        <v>Marketing &amp; Advertising</v>
      </c>
    </row>
    <row r="269" hidden="1">
      <c r="A269" s="6" t="str">
        <f>IFERROR(__xludf.DUMMYFUNCTION("""COMPUTED_VALUE"""),"ncr")</f>
        <v>ncr</v>
      </c>
      <c r="B269" s="6" t="str">
        <f>IFERROR(__xludf.DUMMYFUNCTION("""COMPUTED_VALUE"""),"Estados Unidos")</f>
        <v>Estados Unidos</v>
      </c>
      <c r="C269" s="6" t="str">
        <f>IFERROR(__xludf.DUMMYFUNCTION("""COMPUTED_VALUE"""),"Management Consulting")</f>
        <v>Management Consulting</v>
      </c>
    </row>
    <row r="270" hidden="1">
      <c r="A270" s="6" t="str">
        <f>IFERROR(__xludf.DUMMYFUNCTION("""COMPUTED_VALUE"""),"aptuno")</f>
        <v>aptuno</v>
      </c>
      <c r="B270" s="6" t="str">
        <f>IFERROR(__xludf.DUMMYFUNCTION("""COMPUTED_VALUE"""),"Colombia")</f>
        <v>Colombia</v>
      </c>
      <c r="C270" s="6" t="str">
        <f>IFERROR(__xludf.DUMMYFUNCTION("""COMPUTED_VALUE"""),"PropTech / Real State")</f>
        <v>PropTech / Real State</v>
      </c>
    </row>
    <row r="271" hidden="1">
      <c r="A271" s="6" t="str">
        <f>IFERROR(__xludf.DUMMYFUNCTION("""COMPUTED_VALUE"""),"sundevs")</f>
        <v>sundevs</v>
      </c>
      <c r="B271" s="6" t="str">
        <f>IFERROR(__xludf.DUMMYFUNCTION("""COMPUTED_VALUE"""),"Estados Unidos")</f>
        <v>Estados Unidos</v>
      </c>
      <c r="C271" s="6" t="str">
        <f>IFERROR(__xludf.DUMMYFUNCTION("""COMPUTED_VALUE"""),"Management Consulting")</f>
        <v>Management Consulting</v>
      </c>
    </row>
    <row r="272" hidden="1">
      <c r="A272" s="6" t="str">
        <f>IFERROR(__xludf.DUMMYFUNCTION("""COMPUTED_VALUE"""),"webee")</f>
        <v>webee</v>
      </c>
      <c r="B272" s="6" t="str">
        <f>IFERROR(__xludf.DUMMYFUNCTION("""COMPUTED_VALUE"""),"Estados Unidos")</f>
        <v>Estados Unidos</v>
      </c>
      <c r="C272" s="6" t="str">
        <f>IFERROR(__xludf.DUMMYFUNCTION("""COMPUTED_VALUE"""),"Artificil Intelligence")</f>
        <v>Artificil Intelligence</v>
      </c>
    </row>
    <row r="273" hidden="1">
      <c r="A273" s="6" t="str">
        <f>IFERROR(__xludf.DUMMYFUNCTION("""COMPUTED_VALUE"""),"makeen")</f>
        <v>makeen</v>
      </c>
      <c r="B273" s="6" t="str">
        <f>IFERROR(__xludf.DUMMYFUNCTION("""COMPUTED_VALUE"""),"Estados Unidos")</f>
        <v>Estados Unidos</v>
      </c>
      <c r="C273" s="6" t="str">
        <f>IFERROR(__xludf.DUMMYFUNCTION("""COMPUTED_VALUE"""),"Software Factory / Staffing")</f>
        <v>Software Factory / Staffing</v>
      </c>
    </row>
    <row r="274" hidden="1">
      <c r="A274" s="6" t="str">
        <f>IFERROR(__xludf.DUMMYFUNCTION("""COMPUTED_VALUE"""),"linkus")</f>
        <v>linkus</v>
      </c>
      <c r="B274" s="6" t="str">
        <f>IFERROR(__xludf.DUMMYFUNCTION("""COMPUTED_VALUE"""),"Belgica")</f>
        <v>Belgica</v>
      </c>
      <c r="C274" s="6" t="str">
        <f>IFERROR(__xludf.DUMMYFUNCTION("""COMPUTED_VALUE"""),"Human Resources")</f>
        <v>Human Resources</v>
      </c>
    </row>
    <row r="275" hidden="1">
      <c r="A275" s="6" t="str">
        <f>IFERROR(__xludf.DUMMYFUNCTION("""COMPUTED_VALUE"""),"asante")</f>
        <v>asante</v>
      </c>
      <c r="B275" s="6" t="str">
        <f>IFERROR(__xludf.DUMMYFUNCTION("""COMPUTED_VALUE"""),"Argentina")</f>
        <v>Argentina</v>
      </c>
      <c r="C275" s="6" t="str">
        <f>IFERROR(__xludf.DUMMYFUNCTION("""COMPUTED_VALUE"""),"Management Consulting")</f>
        <v>Management Consulting</v>
      </c>
    </row>
    <row r="276" hidden="1">
      <c r="A276" s="6" t="str">
        <f>IFERROR(__xludf.DUMMYFUNCTION("""COMPUTED_VALUE"""),"censys")</f>
        <v>censys</v>
      </c>
      <c r="B276" s="6" t="str">
        <f>IFERROR(__xludf.DUMMYFUNCTION("""COMPUTED_VALUE"""),"Argentina")</f>
        <v>Argentina</v>
      </c>
      <c r="C276" s="6" t="str">
        <f>IFERROR(__xludf.DUMMYFUNCTION("""COMPUTED_VALUE"""),"Software Factory / Staffing")</f>
        <v>Software Factory / Staffing</v>
      </c>
    </row>
    <row r="277" hidden="1">
      <c r="A277" s="6" t="str">
        <f>IFERROR(__xludf.DUMMYFUNCTION("""COMPUTED_VALUE"""),"spacedev")</f>
        <v>spacedev</v>
      </c>
      <c r="B277" s="6" t="str">
        <f>IFERROR(__xludf.DUMMYFUNCTION("""COMPUTED_VALUE"""),"Uruguay")</f>
        <v>Uruguay</v>
      </c>
      <c r="C277" s="6" t="str">
        <f>IFERROR(__xludf.DUMMYFUNCTION("""COMPUTED_VALUE"""),"Management Consulting")</f>
        <v>Management Consulting</v>
      </c>
    </row>
    <row r="278" hidden="1">
      <c r="A278" s="6" t="str">
        <f>IFERROR(__xludf.DUMMYFUNCTION("""COMPUTED_VALUE"""),"mobydigital")</f>
        <v>mobydigital</v>
      </c>
      <c r="B278" s="6" t="str">
        <f>IFERROR(__xludf.DUMMYFUNCTION("""COMPUTED_VALUE"""),"Argentina")</f>
        <v>Argentina</v>
      </c>
      <c r="C278" s="6" t="str">
        <f>IFERROR(__xludf.DUMMYFUNCTION("""COMPUTED_VALUE"""),"Software Factory / Staffing")</f>
        <v>Software Factory / Staffing</v>
      </c>
    </row>
    <row r="279" hidden="1">
      <c r="A279" s="6" t="str">
        <f>IFERROR(__xludf.DUMMYFUNCTION("""COMPUTED_VALUE"""),"everis argentina sa")</f>
        <v>everis argentina sa</v>
      </c>
      <c r="B279" s="4"/>
      <c r="C279" s="4"/>
    </row>
    <row r="280" hidden="1">
      <c r="A280" s="6" t="str">
        <f>IFERROR(__xludf.DUMMYFUNCTION("""COMPUTED_VALUE"""),"crowdar")</f>
        <v>crowdar</v>
      </c>
      <c r="B280" s="6" t="str">
        <f>IFERROR(__xludf.DUMMYFUNCTION("""COMPUTED_VALUE"""),"Reino Unido")</f>
        <v>Reino Unido</v>
      </c>
      <c r="C280" s="6" t="str">
        <f>IFERROR(__xludf.DUMMYFUNCTION("""COMPUTED_VALUE"""),"Automation")</f>
        <v>Automation</v>
      </c>
    </row>
    <row r="281" hidden="1">
      <c r="A281" s="6" t="str">
        <f>IFERROR(__xludf.DUMMYFUNCTION("""COMPUTED_VALUE"""),"start-7")</f>
        <v>start-7</v>
      </c>
      <c r="B281" s="6" t="str">
        <f>IFERROR(__xludf.DUMMYFUNCTION("""COMPUTED_VALUE"""),"Argentina")</f>
        <v>Argentina</v>
      </c>
      <c r="C281" s="6" t="str">
        <f>IFERROR(__xludf.DUMMYFUNCTION("""COMPUTED_VALUE"""),"Management Consulting")</f>
        <v>Management Consulting</v>
      </c>
    </row>
    <row r="282" hidden="1">
      <c r="A282" s="6" t="str">
        <f>IFERROR(__xludf.DUMMYFUNCTION("""COMPUTED_VALUE"""),"tokensport")</f>
        <v>tokensport</v>
      </c>
      <c r="B282" s="6" t="str">
        <f>IFERROR(__xludf.DUMMYFUNCTION("""COMPUTED_VALUE"""),"Colombia")</f>
        <v>Colombia</v>
      </c>
      <c r="C282" s="6" t="str">
        <f>IFERROR(__xludf.DUMMYFUNCTION("""COMPUTED_VALUE"""),"Blockchain, Crypto &amp; NFT")</f>
        <v>Blockchain, Crypto &amp; NFT</v>
      </c>
    </row>
    <row r="283" hidden="1">
      <c r="A283" s="6" t="str">
        <f>IFERROR(__xludf.DUMMYFUNCTION("""COMPUTED_VALUE"""),"cultura it")</f>
        <v>cultura it</v>
      </c>
      <c r="B283" s="6" t="str">
        <f>IFERROR(__xludf.DUMMYFUNCTION("""COMPUTED_VALUE"""),"Argentina")</f>
        <v>Argentina</v>
      </c>
      <c r="C283" s="6" t="str">
        <f>IFERROR(__xludf.DUMMYFUNCTION("""COMPUTED_VALUE"""),"Software Factory / Staffing")</f>
        <v>Software Factory / Staffing</v>
      </c>
    </row>
    <row r="284" hidden="1">
      <c r="A284" s="6" t="str">
        <f>IFERROR(__xludf.DUMMYFUNCTION("""COMPUTED_VALUE"""),"mira commerce")</f>
        <v>mira commerce</v>
      </c>
      <c r="B284" s="6" t="str">
        <f>IFERROR(__xludf.DUMMYFUNCTION("""COMPUTED_VALUE"""),"Estados Unidos")</f>
        <v>Estados Unidos</v>
      </c>
      <c r="C284" s="6" t="str">
        <f>IFERROR(__xludf.DUMMYFUNCTION("""COMPUTED_VALUE"""),"E-commerce")</f>
        <v>E-commerce</v>
      </c>
    </row>
    <row r="285" hidden="1">
      <c r="A285" s="6" t="str">
        <f>IFERROR(__xludf.DUMMYFUNCTION("""COMPUTED_VALUE"""),"new fold digital")</f>
        <v>new fold digital</v>
      </c>
      <c r="B285" s="6" t="str">
        <f>IFERROR(__xludf.DUMMYFUNCTION("""COMPUTED_VALUE"""),"Estados Unidos")</f>
        <v>Estados Unidos</v>
      </c>
      <c r="C285" s="6" t="str">
        <f>IFERROR(__xludf.DUMMYFUNCTION("""COMPUTED_VALUE"""),"Software Factory / Staffing")</f>
        <v>Software Factory / Staffing</v>
      </c>
    </row>
    <row r="286" hidden="1">
      <c r="A286" s="6" t="str">
        <f>IFERROR(__xludf.DUMMYFUNCTION("""COMPUTED_VALUE"""),"air garage")</f>
        <v>air garage</v>
      </c>
      <c r="B286" s="6" t="str">
        <f>IFERROR(__xludf.DUMMYFUNCTION("""COMPUTED_VALUE"""),"Estados Unidos")</f>
        <v>Estados Unidos</v>
      </c>
      <c r="C286" s="6" t="str">
        <f>IFERROR(__xludf.DUMMYFUNCTION("""COMPUTED_VALUE"""),"PropTech / Real State")</f>
        <v>PropTech / Real State</v>
      </c>
    </row>
    <row r="287" hidden="1">
      <c r="A287" s="6" t="str">
        <f>IFERROR(__xludf.DUMMYFUNCTION("""COMPUTED_VALUE"""),"colektia")</f>
        <v>colektia</v>
      </c>
      <c r="B287" s="6" t="str">
        <f>IFERROR(__xludf.DUMMYFUNCTION("""COMPUTED_VALUE"""),"Chile")</f>
        <v>Chile</v>
      </c>
      <c r="C287" s="6" t="str">
        <f>IFERROR(__xludf.DUMMYFUNCTION("""COMPUTED_VALUE"""),"Automation")</f>
        <v>Automation</v>
      </c>
    </row>
    <row r="288" hidden="1">
      <c r="A288" s="6" t="str">
        <f>IFERROR(__xludf.DUMMYFUNCTION("""COMPUTED_VALUE"""),"ivoy")</f>
        <v>ivoy</v>
      </c>
      <c r="B288" s="6" t="str">
        <f>IFERROR(__xludf.DUMMYFUNCTION("""COMPUTED_VALUE"""),"Mexico")</f>
        <v>Mexico</v>
      </c>
      <c r="C288" s="6" t="str">
        <f>IFERROR(__xludf.DUMMYFUNCTION("""COMPUTED_VALUE"""),"Messaging and Telecommunications")</f>
        <v>Messaging and Telecommunications</v>
      </c>
    </row>
    <row r="289" hidden="1">
      <c r="A289" s="6" t="str">
        <f>IFERROR(__xludf.DUMMYFUNCTION("""COMPUTED_VALUE"""),"clevertech")</f>
        <v>clevertech</v>
      </c>
      <c r="B289" s="6" t="str">
        <f>IFERROR(__xludf.DUMMYFUNCTION("""COMPUTED_VALUE"""),"Estados Unidos")</f>
        <v>Estados Unidos</v>
      </c>
      <c r="C289" s="6" t="str">
        <f>IFERROR(__xludf.DUMMYFUNCTION("""COMPUTED_VALUE"""),"Management Consulting")</f>
        <v>Management Consulting</v>
      </c>
    </row>
    <row r="290" hidden="1">
      <c r="A290" s="6" t="str">
        <f>IFERROR(__xludf.DUMMYFUNCTION("""COMPUTED_VALUE"""),"grupo hasar")</f>
        <v>grupo hasar</v>
      </c>
      <c r="B290" s="6" t="str">
        <f>IFERROR(__xludf.DUMMYFUNCTION("""COMPUTED_VALUE"""),"Argentina")</f>
        <v>Argentina</v>
      </c>
      <c r="C290" s="6" t="str">
        <f>IFERROR(__xludf.DUMMYFUNCTION("""COMPUTED_VALUE"""),"E-commerce")</f>
        <v>E-commerce</v>
      </c>
    </row>
    <row r="291" hidden="1">
      <c r="A291" s="6" t="str">
        <f>IFERROR(__xludf.DUMMYFUNCTION("""COMPUTED_VALUE"""),"corebiz")</f>
        <v>corebiz</v>
      </c>
      <c r="B291" s="6" t="str">
        <f>IFERROR(__xludf.DUMMYFUNCTION("""COMPUTED_VALUE"""),"Brasil")</f>
        <v>Brasil</v>
      </c>
      <c r="C291" s="6" t="str">
        <f>IFERROR(__xludf.DUMMYFUNCTION("""COMPUTED_VALUE"""),"E-commerce")</f>
        <v>E-commerce</v>
      </c>
    </row>
    <row r="292" hidden="1">
      <c r="A292" s="6" t="str">
        <f>IFERROR(__xludf.DUMMYFUNCTION("""COMPUTED_VALUE"""),"kadabrait")</f>
        <v>kadabrait</v>
      </c>
      <c r="B292" s="6" t="str">
        <f>IFERROR(__xludf.DUMMYFUNCTION("""COMPUTED_VALUE"""),"Estados Unidos")</f>
        <v>Estados Unidos</v>
      </c>
      <c r="C292" s="6" t="str">
        <f>IFERROR(__xludf.DUMMYFUNCTION("""COMPUTED_VALUE"""),"E-commerce")</f>
        <v>E-commerce</v>
      </c>
    </row>
    <row r="293" hidden="1">
      <c r="A293" s="6" t="str">
        <f>IFERROR(__xludf.DUMMYFUNCTION("""COMPUTED_VALUE"""),"pluriza")</f>
        <v>pluriza</v>
      </c>
      <c r="B293" s="6" t="str">
        <f>IFERROR(__xludf.DUMMYFUNCTION("""COMPUTED_VALUE"""),"Colombia")</f>
        <v>Colombia</v>
      </c>
      <c r="C293" s="6" t="str">
        <f>IFERROR(__xludf.DUMMYFUNCTION("""COMPUTED_VALUE"""),"Software Factory / Staffing")</f>
        <v>Software Factory / Staffing</v>
      </c>
    </row>
    <row r="294">
      <c r="A294" s="6" t="str">
        <f>IFERROR(__xludf.DUMMYFUNCTION("""COMPUTED_VALUE"""),"nubego")</f>
        <v>nubego</v>
      </c>
      <c r="B294" s="6" t="str">
        <f>IFERROR(__xludf.DUMMYFUNCTION("""COMPUTED_VALUE"""),"Reino Unido")</f>
        <v>Reino Unido</v>
      </c>
      <c r="C294" s="6" t="str">
        <f>IFERROR(__xludf.DUMMYFUNCTION("""COMPUTED_VALUE"""),"Management Consulting")</f>
        <v>Management Consulting</v>
      </c>
    </row>
    <row r="295" hidden="1">
      <c r="A295" s="6" t="str">
        <f>IFERROR(__xludf.DUMMYFUNCTION("""COMPUTED_VALUE"""),"w3 it solutions")</f>
        <v>w3 it solutions</v>
      </c>
      <c r="B295" s="6" t="str">
        <f>IFERROR(__xludf.DUMMYFUNCTION("""COMPUTED_VALUE"""),"Argentina")</f>
        <v>Argentina</v>
      </c>
      <c r="C295" s="6" t="str">
        <f>IFERROR(__xludf.DUMMYFUNCTION("""COMPUTED_VALUE"""),"Management Consulting")</f>
        <v>Management Consulting</v>
      </c>
    </row>
    <row r="296" hidden="1">
      <c r="A296" s="6" t="str">
        <f>IFERROR(__xludf.DUMMYFUNCTION("""COMPUTED_VALUE"""),"la haus")</f>
        <v>la haus</v>
      </c>
      <c r="B296" s="6" t="str">
        <f>IFERROR(__xludf.DUMMYFUNCTION("""COMPUTED_VALUE"""),"Colombia")</f>
        <v>Colombia</v>
      </c>
      <c r="C296" s="6" t="str">
        <f>IFERROR(__xludf.DUMMYFUNCTION("""COMPUTED_VALUE"""),"Construction")</f>
        <v>Construction</v>
      </c>
    </row>
    <row r="297" hidden="1">
      <c r="A297" s="6" t="str">
        <f>IFERROR(__xludf.DUMMYFUNCTION("""COMPUTED_VALUE"""),".")</f>
        <v>.</v>
      </c>
      <c r="B297" s="4"/>
      <c r="C297" s="4"/>
    </row>
    <row r="298" hidden="1">
      <c r="A298" s="6" t="str">
        <f>IFERROR(__xludf.DUMMYFUNCTION("""COMPUTED_VALUE"""),"ember technologies")</f>
        <v>ember technologies</v>
      </c>
      <c r="B298" s="6" t="str">
        <f>IFERROR(__xludf.DUMMYFUNCTION("""COMPUTED_VALUE"""),"Mexico")</f>
        <v>Mexico</v>
      </c>
      <c r="C298" s="6" t="str">
        <f>IFERROR(__xludf.DUMMYFUNCTION("""COMPUTED_VALUE"""),"Management Consulting")</f>
        <v>Management Consulting</v>
      </c>
    </row>
    <row r="299" hidden="1">
      <c r="A299" s="6" t="str">
        <f>IFERROR(__xludf.DUMMYFUNCTION("""COMPUTED_VALUE"""),"toro advertising - affiliate network")</f>
        <v>toro advertising - affiliate network</v>
      </c>
      <c r="B299" s="6" t="str">
        <f>IFERROR(__xludf.DUMMYFUNCTION("""COMPUTED_VALUE"""),"España")</f>
        <v>España</v>
      </c>
      <c r="C299" s="6" t="str">
        <f>IFERROR(__xludf.DUMMYFUNCTION("""COMPUTED_VALUE"""),"Marketing &amp; Advertising")</f>
        <v>Marketing &amp; Advertising</v>
      </c>
    </row>
    <row r="300" hidden="1">
      <c r="A300" s="6" t="str">
        <f>IFERROR(__xludf.DUMMYFUNCTION("""COMPUTED_VALUE"""),"avenida +")</f>
        <v>avenida +</v>
      </c>
      <c r="B300" s="6" t="str">
        <f>IFERROR(__xludf.DUMMYFUNCTION("""COMPUTED_VALUE"""),"Argentina")</f>
        <v>Argentina</v>
      </c>
      <c r="C300" s="6" t="str">
        <f>IFERROR(__xludf.DUMMYFUNCTION("""COMPUTED_VALUE"""),"E-commerce")</f>
        <v>E-commerce</v>
      </c>
    </row>
    <row r="301" hidden="1">
      <c r="A301" s="6" t="str">
        <f>IFERROR(__xludf.DUMMYFUNCTION("""COMPUTED_VALUE"""),"randstad argentina")</f>
        <v>randstad argentina</v>
      </c>
      <c r="B301" s="6" t="str">
        <f>IFERROR(__xludf.DUMMYFUNCTION("""COMPUTED_VALUE"""),"Argentina")</f>
        <v>Argentina</v>
      </c>
      <c r="C301" s="6" t="str">
        <f>IFERROR(__xludf.DUMMYFUNCTION("""COMPUTED_VALUE"""),"Recruiting")</f>
        <v>Recruiting</v>
      </c>
    </row>
    <row r="302" hidden="1">
      <c r="A302" s="6" t="str">
        <f>IFERROR(__xludf.DUMMYFUNCTION("""COMPUTED_VALUE"""),"surtech holdings")</f>
        <v>surtech holdings</v>
      </c>
      <c r="B302" s="6" t="str">
        <f>IFERROR(__xludf.DUMMYFUNCTION("""COMPUTED_VALUE"""),"Estados Unidos")</f>
        <v>Estados Unidos</v>
      </c>
      <c r="C302" s="6" t="str">
        <f>IFERROR(__xludf.DUMMYFUNCTION("""COMPUTED_VALUE"""),"Software Factory / Staffing")</f>
        <v>Software Factory / Staffing</v>
      </c>
    </row>
    <row r="303" hidden="1">
      <c r="A303" s="6" t="str">
        <f>IFERROR(__xludf.DUMMYFUNCTION("""COMPUTED_VALUE"""),"acs aciel colombia soluciones integrales s.a.s.")</f>
        <v>acs aciel colombia soluciones integrales s.a.s.</v>
      </c>
      <c r="B303" s="6" t="str">
        <f>IFERROR(__xludf.DUMMYFUNCTION("""COMPUTED_VALUE"""),"Colombia")</f>
        <v>Colombia</v>
      </c>
      <c r="C303" s="6" t="str">
        <f>IFERROR(__xludf.DUMMYFUNCTION("""COMPUTED_VALUE"""),"Health")</f>
        <v>Health</v>
      </c>
    </row>
    <row r="304" hidden="1">
      <c r="A304" s="6" t="str">
        <f>IFERROR(__xludf.DUMMYFUNCTION("""COMPUTED_VALUE"""),"clear business intelligence llc")</f>
        <v>clear business intelligence llc</v>
      </c>
      <c r="B304" s="6" t="str">
        <f>IFERROR(__xludf.DUMMYFUNCTION("""COMPUTED_VALUE"""),"Estados Unidos")</f>
        <v>Estados Unidos</v>
      </c>
      <c r="C304" s="6" t="str">
        <f>IFERROR(__xludf.DUMMYFUNCTION("""COMPUTED_VALUE"""),"Data &amp; Analytics")</f>
        <v>Data &amp; Analytics</v>
      </c>
    </row>
    <row r="305" hidden="1">
      <c r="A305" s="6" t="str">
        <f>IFERROR(__xludf.DUMMYFUNCTION("""COMPUTED_VALUE"""),"filup rh")</f>
        <v>filup rh</v>
      </c>
      <c r="B305" s="6" t="str">
        <f>IFERROR(__xludf.DUMMYFUNCTION("""COMPUTED_VALUE"""),"Mexico")</f>
        <v>Mexico</v>
      </c>
      <c r="C305" s="6" t="str">
        <f>IFERROR(__xludf.DUMMYFUNCTION("""COMPUTED_VALUE"""),"Software Factory / Staffing")</f>
        <v>Software Factory / Staffing</v>
      </c>
    </row>
    <row r="306" hidden="1">
      <c r="A306" s="6" t="str">
        <f>IFERROR(__xludf.DUMMYFUNCTION("""COMPUTED_VALUE"""),"stefanini group")</f>
        <v>stefanini group</v>
      </c>
      <c r="B306" s="6" t="str">
        <f>IFERROR(__xludf.DUMMYFUNCTION("""COMPUTED_VALUE"""),"Argentina")</f>
        <v>Argentina</v>
      </c>
      <c r="C306" s="6" t="str">
        <f>IFERROR(__xludf.DUMMYFUNCTION("""COMPUTED_VALUE"""),"Software Factory / Staffing")</f>
        <v>Software Factory / Staffing</v>
      </c>
    </row>
    <row r="307" hidden="1">
      <c r="A307" s="6" t="str">
        <f>IFERROR(__xludf.DUMMYFUNCTION("""COMPUTED_VALUE"""),"maxelit")</f>
        <v>maxelit</v>
      </c>
      <c r="B307" s="6" t="str">
        <f>IFERROR(__xludf.DUMMYFUNCTION("""COMPUTED_VALUE"""),"Estados Unidos")</f>
        <v>Estados Unidos</v>
      </c>
      <c r="C307" s="6" t="str">
        <f>IFERROR(__xludf.DUMMYFUNCTION("""COMPUTED_VALUE"""),"Software Factory / Staffing")</f>
        <v>Software Factory / Staffing</v>
      </c>
    </row>
    <row r="308" hidden="1">
      <c r="A308" s="6" t="str">
        <f>IFERROR(__xludf.DUMMYFUNCTION("""COMPUTED_VALUE"""),"kiu system solutions - technology supplier srl")</f>
        <v>kiu system solutions - technology supplier srl</v>
      </c>
      <c r="B308" s="6" t="str">
        <f>IFERROR(__xludf.DUMMYFUNCTION("""COMPUTED_VALUE"""),"Uruguay")</f>
        <v>Uruguay</v>
      </c>
      <c r="C308" s="6" t="str">
        <f>IFERROR(__xludf.DUMMYFUNCTION("""COMPUTED_VALUE"""),"Mechanical/Industrial Engineering")</f>
        <v>Mechanical/Industrial Engineering</v>
      </c>
    </row>
    <row r="309" hidden="1">
      <c r="A309" s="6" t="str">
        <f>IFERROR(__xludf.DUMMYFUNCTION("""COMPUTED_VALUE"""),"vu security s.a")</f>
        <v>vu security s.a</v>
      </c>
      <c r="B309" s="4"/>
      <c r="C309" s="4"/>
    </row>
    <row r="310" hidden="1">
      <c r="A310" s="6" t="str">
        <f>IFERROR(__xludf.DUMMYFUNCTION("""COMPUTED_VALUE"""),"startrack sa")</f>
        <v>startrack sa</v>
      </c>
      <c r="B310" s="6" t="str">
        <f>IFERROR(__xludf.DUMMYFUNCTION("""COMPUTED_VALUE"""),"Guatemala")</f>
        <v>Guatemala</v>
      </c>
      <c r="C310" s="6" t="str">
        <f>IFERROR(__xludf.DUMMYFUNCTION("""COMPUTED_VALUE"""),"Logistics")</f>
        <v>Logistics</v>
      </c>
    </row>
    <row r="311">
      <c r="A311" s="6" t="str">
        <f>IFERROR(__xludf.DUMMYFUNCTION("""COMPUTED_VALUE"""),"pago46")</f>
        <v>pago46</v>
      </c>
      <c r="B311" s="6" t="str">
        <f>IFERROR(__xludf.DUMMYFUNCTION("""COMPUTED_VALUE"""),"Chile")</f>
        <v>Chile</v>
      </c>
      <c r="C311" s="6" t="str">
        <f>IFERROR(__xludf.DUMMYFUNCTION("""COMPUTED_VALUE"""),"Accounting")</f>
        <v>Accounting</v>
      </c>
    </row>
    <row r="312" hidden="1">
      <c r="A312" s="6" t="str">
        <f>IFERROR(__xludf.DUMMYFUNCTION("""COMPUTED_VALUE"""),"iquall networks")</f>
        <v>iquall networks</v>
      </c>
      <c r="B312" s="6" t="str">
        <f>IFERROR(__xludf.DUMMYFUNCTION("""COMPUTED_VALUE"""),"Estados Unidos")</f>
        <v>Estados Unidos</v>
      </c>
      <c r="C312" s="6" t="str">
        <f>IFERROR(__xludf.DUMMYFUNCTION("""COMPUTED_VALUE"""),"Messaging and Telecommunications")</f>
        <v>Messaging and Telecommunications</v>
      </c>
    </row>
    <row r="313" hidden="1">
      <c r="A313" s="6" t="str">
        <f>IFERROR(__xludf.DUMMYFUNCTION("""COMPUTED_VALUE"""),"way too digital")</f>
        <v>way too digital</v>
      </c>
      <c r="B313" s="6" t="str">
        <f>IFERROR(__xludf.DUMMYFUNCTION("""COMPUTED_VALUE"""),"Argentina")</f>
        <v>Argentina</v>
      </c>
      <c r="C313" s="6" t="str">
        <f>IFERROR(__xludf.DUMMYFUNCTION("""COMPUTED_VALUE"""),"Software Factory / Staffing")</f>
        <v>Software Factory / Staffing</v>
      </c>
    </row>
    <row r="314" hidden="1">
      <c r="A314" s="6" t="str">
        <f>IFERROR(__xludf.DUMMYFUNCTION("""COMPUTED_VALUE"""),"enérgica city")</f>
        <v>enérgica city</v>
      </c>
      <c r="B314" s="6" t="str">
        <f>IFERROR(__xludf.DUMMYFUNCTION("""COMPUTED_VALUE"""),"Chile")</f>
        <v>Chile</v>
      </c>
      <c r="C314" s="6" t="str">
        <f>IFERROR(__xludf.DUMMYFUNCTION("""COMPUTED_VALUE"""),"Other")</f>
        <v>Other</v>
      </c>
    </row>
    <row r="315" hidden="1">
      <c r="A315" s="6" t="str">
        <f>IFERROR(__xludf.DUMMYFUNCTION("""COMPUTED_VALUE"""),"fundación educación para el progreso")</f>
        <v>fundación educación para el progreso</v>
      </c>
      <c r="B315" s="6" t="str">
        <f>IFERROR(__xludf.DUMMYFUNCTION("""COMPUTED_VALUE"""),"Argentina")</f>
        <v>Argentina</v>
      </c>
      <c r="C315" s="6" t="str">
        <f>IFERROR(__xludf.DUMMYFUNCTION("""COMPUTED_VALUE"""),"Public Center")</f>
        <v>Public Center</v>
      </c>
    </row>
    <row r="316" hidden="1">
      <c r="A316" s="6" t="str">
        <f>IFERROR(__xludf.DUMMYFUNCTION("""COMPUTED_VALUE"""),"winclap")</f>
        <v>winclap</v>
      </c>
      <c r="B316" s="6" t="str">
        <f>IFERROR(__xludf.DUMMYFUNCTION("""COMPUTED_VALUE"""),"Argentina")</f>
        <v>Argentina</v>
      </c>
      <c r="C316" s="6" t="str">
        <f>IFERROR(__xludf.DUMMYFUNCTION("""COMPUTED_VALUE"""),"Marketing &amp; Advertising")</f>
        <v>Marketing &amp; Advertising</v>
      </c>
    </row>
    <row r="317" hidden="1">
      <c r="A317" s="6" t="str">
        <f>IFERROR(__xludf.DUMMYFUNCTION("""COMPUTED_VALUE"""),"ieko")</f>
        <v>ieko</v>
      </c>
      <c r="B317" s="6" t="str">
        <f>IFERROR(__xludf.DUMMYFUNCTION("""COMPUTED_VALUE"""),"Argentina")</f>
        <v>Argentina</v>
      </c>
      <c r="C317" s="6" t="str">
        <f>IFERROR(__xludf.DUMMYFUNCTION("""COMPUTED_VALUE"""),"Software Factory / Staffing")</f>
        <v>Software Factory / Staffing</v>
      </c>
    </row>
    <row r="318" hidden="1">
      <c r="A318" s="6" t="str">
        <f>IFERROR(__xludf.DUMMYFUNCTION("""COMPUTED_VALUE"""),"cat technologies argentina")</f>
        <v>cat technologies argentina</v>
      </c>
      <c r="B318" s="6" t="str">
        <f>IFERROR(__xludf.DUMMYFUNCTION("""COMPUTED_VALUE"""),"Argentina")</f>
        <v>Argentina</v>
      </c>
      <c r="C318" s="6" t="str">
        <f>IFERROR(__xludf.DUMMYFUNCTION("""COMPUTED_VALUE"""),"Messaging and Telecommunications")</f>
        <v>Messaging and Telecommunications</v>
      </c>
    </row>
    <row r="319" hidden="1">
      <c r="A319" s="6" t="str">
        <f>IFERROR(__xludf.DUMMYFUNCTION("""COMPUTED_VALUE"""),"tas app sl")</f>
        <v>tas app sl</v>
      </c>
      <c r="B319" s="4"/>
      <c r="C319" s="6" t="str">
        <f>IFERROR(__xludf.DUMMYFUNCTION("""COMPUTED_VALUE"""),"Software Factory / Staffing")</f>
        <v>Software Factory / Staffing</v>
      </c>
    </row>
    <row r="320" hidden="1">
      <c r="A320" s="6" t="str">
        <f>IFERROR(__xludf.DUMMYFUNCTION("""COMPUTED_VALUE"""),"applaudo")</f>
        <v>applaudo</v>
      </c>
      <c r="B320" s="6" t="str">
        <f>IFERROR(__xludf.DUMMYFUNCTION("""COMPUTED_VALUE"""),"Estados Unidos")</f>
        <v>Estados Unidos</v>
      </c>
      <c r="C320" s="6" t="str">
        <f>IFERROR(__xludf.DUMMYFUNCTION("""COMPUTED_VALUE"""),"Software Factory / Staffing")</f>
        <v>Software Factory / Staffing</v>
      </c>
    </row>
    <row r="321" hidden="1">
      <c r="A321" s="6" t="str">
        <f>IFERROR(__xludf.DUMMYFUNCTION("""COMPUTED_VALUE"""),"ctrading")</f>
        <v>ctrading</v>
      </c>
      <c r="B321" s="6" t="str">
        <f>IFERROR(__xludf.DUMMYFUNCTION("""COMPUTED_VALUE"""),"España")</f>
        <v>España</v>
      </c>
      <c r="C321" s="6" t="str">
        <f>IFERROR(__xludf.DUMMYFUNCTION("""COMPUTED_VALUE"""),"Blockchain, Crypto &amp; NFT")</f>
        <v>Blockchain, Crypto &amp; NFT</v>
      </c>
    </row>
    <row r="322" hidden="1">
      <c r="A322" s="6" t="str">
        <f>IFERROR(__xludf.DUMMYFUNCTION("""COMPUTED_VALUE"""),"recargapay")</f>
        <v>recargapay</v>
      </c>
      <c r="B322" s="6" t="str">
        <f>IFERROR(__xludf.DUMMYFUNCTION("""COMPUTED_VALUE"""),"Brasil")</f>
        <v>Brasil</v>
      </c>
      <c r="C322" s="6" t="str">
        <f>IFERROR(__xludf.DUMMYFUNCTION("""COMPUTED_VALUE"""),"Fintech")</f>
        <v>Fintech</v>
      </c>
    </row>
    <row r="323" hidden="1">
      <c r="A323" s="6" t="str">
        <f>IFERROR(__xludf.DUMMYFUNCTION("""COMPUTED_VALUE"""),"consilience")</f>
        <v>consilience</v>
      </c>
      <c r="B323" s="6" t="str">
        <f>IFERROR(__xludf.DUMMYFUNCTION("""COMPUTED_VALUE"""),"Estados Unidos")</f>
        <v>Estados Unidos</v>
      </c>
      <c r="C323" s="6" t="str">
        <f>IFERROR(__xludf.DUMMYFUNCTION("""COMPUTED_VALUE"""),"Media &amp; Communication")</f>
        <v>Media &amp; Communication</v>
      </c>
    </row>
    <row r="324" hidden="1">
      <c r="A324" s="6" t="str">
        <f>IFERROR(__xludf.DUMMYFUNCTION("""COMPUTED_VALUE"""),"rokketlabs")</f>
        <v>rokketlabs</v>
      </c>
      <c r="B324" s="6" t="str">
        <f>IFERROR(__xludf.DUMMYFUNCTION("""COMPUTED_VALUE"""),"Emiratos Arabes")</f>
        <v>Emiratos Arabes</v>
      </c>
      <c r="C324" s="6" t="str">
        <f>IFERROR(__xludf.DUMMYFUNCTION("""COMPUTED_VALUE"""),"Software Factory / Staffing")</f>
        <v>Software Factory / Staffing</v>
      </c>
    </row>
    <row r="325" hidden="1">
      <c r="A325" s="6" t="str">
        <f>IFERROR(__xludf.DUMMYFUNCTION("""COMPUTED_VALUE"""),"netspot hub")</f>
        <v>netspot hub</v>
      </c>
      <c r="B325" s="6" t="str">
        <f>IFERROR(__xludf.DUMMYFUNCTION("""COMPUTED_VALUE"""),"España")</f>
        <v>España</v>
      </c>
      <c r="C325" s="6" t="str">
        <f>IFERROR(__xludf.DUMMYFUNCTION("""COMPUTED_VALUE"""),"Management Consulting")</f>
        <v>Management Consulting</v>
      </c>
    </row>
    <row r="326" hidden="1">
      <c r="A326" s="6" t="str">
        <f>IFERROR(__xludf.DUMMYFUNCTION("""COMPUTED_VALUE"""),"viseven")</f>
        <v>viseven</v>
      </c>
      <c r="B326" s="6" t="str">
        <f>IFERROR(__xludf.DUMMYFUNCTION("""COMPUTED_VALUE"""),"Estados Unidos")</f>
        <v>Estados Unidos</v>
      </c>
      <c r="C326" s="6" t="str">
        <f>IFERROR(__xludf.DUMMYFUNCTION("""COMPUTED_VALUE"""),"Marketing &amp; Advertising")</f>
        <v>Marketing &amp; Advertising</v>
      </c>
    </row>
    <row r="327" hidden="1">
      <c r="A327" s="6" t="str">
        <f>IFERROR(__xludf.DUMMYFUNCTION("""COMPUTED_VALUE"""),"cash online")</f>
        <v>cash online</v>
      </c>
      <c r="B327" s="6" t="str">
        <f>IFERROR(__xludf.DUMMYFUNCTION("""COMPUTED_VALUE"""),"Argentina")</f>
        <v>Argentina</v>
      </c>
      <c r="C327" s="6" t="str">
        <f>IFERROR(__xludf.DUMMYFUNCTION("""COMPUTED_VALUE"""),"Fintech")</f>
        <v>Fintech</v>
      </c>
    </row>
    <row r="328" hidden="1">
      <c r="A328" s="6" t="str">
        <f>IFERROR(__xludf.DUMMYFUNCTION("""COMPUTED_VALUE"""),"ai core")</f>
        <v>ai core</v>
      </c>
      <c r="B328" s="6" t="str">
        <f>IFERROR(__xludf.DUMMYFUNCTION("""COMPUTED_VALUE"""),"Argentina")</f>
        <v>Argentina</v>
      </c>
      <c r="C328" s="6" t="str">
        <f>IFERROR(__xludf.DUMMYFUNCTION("""COMPUTED_VALUE"""),"Software Factory / Staffing")</f>
        <v>Software Factory / Staffing</v>
      </c>
    </row>
    <row r="329" hidden="1">
      <c r="A329" s="6" t="str">
        <f>IFERROR(__xludf.DUMMYFUNCTION("""COMPUTED_VALUE"""),"stacktrace srl")</f>
        <v>stacktrace srl</v>
      </c>
      <c r="B329" s="6" t="str">
        <f>IFERROR(__xludf.DUMMYFUNCTION("""COMPUTED_VALUE"""),"Argentina")</f>
        <v>Argentina</v>
      </c>
      <c r="C329" s="6" t="str">
        <f>IFERROR(__xludf.DUMMYFUNCTION("""COMPUTED_VALUE"""),"Software Factory / Staffing")</f>
        <v>Software Factory / Staffing</v>
      </c>
    </row>
    <row r="330" hidden="1">
      <c r="A330" s="6" t="str">
        <f>IFERROR(__xludf.DUMMYFUNCTION("""COMPUTED_VALUE"""),"bp4")</f>
        <v>bp4</v>
      </c>
      <c r="B330" s="6" t="str">
        <f>IFERROR(__xludf.DUMMYFUNCTION("""COMPUTED_VALUE"""),"Argentina")</f>
        <v>Argentina</v>
      </c>
      <c r="C330" s="6" t="str">
        <f>IFERROR(__xludf.DUMMYFUNCTION("""COMPUTED_VALUE"""),"Software Factory / Staffing")</f>
        <v>Software Factory / Staffing</v>
      </c>
    </row>
    <row r="331" hidden="1">
      <c r="A331" s="6" t="str">
        <f>IFERROR(__xludf.DUMMYFUNCTION("""COMPUTED_VALUE"""),"rolling code")</f>
        <v>rolling code</v>
      </c>
      <c r="B331" s="6" t="str">
        <f>IFERROR(__xludf.DUMMYFUNCTION("""COMPUTED_VALUE"""),"Argentina")</f>
        <v>Argentina</v>
      </c>
      <c r="C331" s="6" t="str">
        <f>IFERROR(__xludf.DUMMYFUNCTION("""COMPUTED_VALUE"""),"Software Factory / Staffing")</f>
        <v>Software Factory / Staffing</v>
      </c>
    </row>
    <row r="332" hidden="1">
      <c r="A332" s="6" t="str">
        <f>IFERROR(__xludf.DUMMYFUNCTION("""COMPUTED_VALUE"""),"southernminds")</f>
        <v>southernminds</v>
      </c>
      <c r="B332" s="6" t="str">
        <f>IFERROR(__xludf.DUMMYFUNCTION("""COMPUTED_VALUE"""),"Estados Unidos")</f>
        <v>Estados Unidos</v>
      </c>
      <c r="C332" s="6" t="str">
        <f>IFERROR(__xludf.DUMMYFUNCTION("""COMPUTED_VALUE"""),"Software Factory / Staffing")</f>
        <v>Software Factory / Staffing</v>
      </c>
    </row>
    <row r="333" hidden="1">
      <c r="A333" s="6" t="str">
        <f>IFERROR(__xludf.DUMMYFUNCTION("""COMPUTED_VALUE"""),"ntt data")</f>
        <v>ntt data</v>
      </c>
      <c r="B333" s="6" t="str">
        <f>IFERROR(__xludf.DUMMYFUNCTION("""COMPUTED_VALUE"""),"Argentina")</f>
        <v>Argentina</v>
      </c>
      <c r="C333" s="6" t="str">
        <f>IFERROR(__xludf.DUMMYFUNCTION("""COMPUTED_VALUE"""),"Software Factory / Staffing")</f>
        <v>Software Factory / Staffing</v>
      </c>
    </row>
    <row r="334" hidden="1">
      <c r="A334" s="6" t="str">
        <f>IFERROR(__xludf.DUMMYFUNCTION("""COMPUTED_VALUE"""),"ombu tech services")</f>
        <v>ombu tech services</v>
      </c>
      <c r="B334" s="6" t="str">
        <f>IFERROR(__xludf.DUMMYFUNCTION("""COMPUTED_VALUE"""),"Argentina")</f>
        <v>Argentina</v>
      </c>
      <c r="C334" s="6" t="str">
        <f>IFERROR(__xludf.DUMMYFUNCTION("""COMPUTED_VALUE"""),"Software Factory / Staffing")</f>
        <v>Software Factory / Staffing</v>
      </c>
    </row>
    <row r="335" hidden="1">
      <c r="A335" s="6" t="str">
        <f>IFERROR(__xludf.DUMMYFUNCTION("""COMPUTED_VALUE"""),"flexio")</f>
        <v>flexio</v>
      </c>
      <c r="B335" s="6" t="str">
        <f>IFERROR(__xludf.DUMMYFUNCTION("""COMPUTED_VALUE"""),"Mexico")</f>
        <v>Mexico</v>
      </c>
      <c r="C335" s="6" t="str">
        <f>IFERROR(__xludf.DUMMYFUNCTION("""COMPUTED_VALUE"""),"Banking &amp; Financial Servicies")</f>
        <v>Banking &amp; Financial Servicies</v>
      </c>
    </row>
    <row r="336" hidden="1">
      <c r="A336" s="6" t="str">
        <f>IFERROR(__xludf.DUMMYFUNCTION("""COMPUTED_VALUE"""),"the mad fox")</f>
        <v>the mad fox</v>
      </c>
      <c r="B336" s="6" t="str">
        <f>IFERROR(__xludf.DUMMYFUNCTION("""COMPUTED_VALUE"""),"Colombia")</f>
        <v>Colombia</v>
      </c>
      <c r="C336" s="6" t="str">
        <f>IFERROR(__xludf.DUMMYFUNCTION("""COMPUTED_VALUE"""),"Artificil Intelligence")</f>
        <v>Artificil Intelligence</v>
      </c>
    </row>
    <row r="337" hidden="1">
      <c r="A337" s="6" t="str">
        <f>IFERROR(__xludf.DUMMYFUNCTION("""COMPUTED_VALUE"""),"varfaj partners")</f>
        <v>varfaj partners</v>
      </c>
      <c r="B337" s="6" t="str">
        <f>IFERROR(__xludf.DUMMYFUNCTION("""COMPUTED_VALUE"""),"Estados Unidos")</f>
        <v>Estados Unidos</v>
      </c>
      <c r="C337" s="6" t="str">
        <f>IFERROR(__xludf.DUMMYFUNCTION("""COMPUTED_VALUE"""),"Software Factory / Staffing")</f>
        <v>Software Factory / Staffing</v>
      </c>
    </row>
    <row r="338" hidden="1">
      <c r="A338" s="6" t="str">
        <f>IFERROR(__xludf.DUMMYFUNCTION("""COMPUTED_VALUE"""),"equo")</f>
        <v>equo</v>
      </c>
      <c r="B338" s="6" t="str">
        <f>IFERROR(__xludf.DUMMYFUNCTION("""COMPUTED_VALUE"""),"Canada")</f>
        <v>Canada</v>
      </c>
      <c r="C338" s="6" t="str">
        <f>IFERROR(__xludf.DUMMYFUNCTION("""COMPUTED_VALUE"""),"Marketing &amp; Advertising")</f>
        <v>Marketing &amp; Advertising</v>
      </c>
    </row>
    <row r="339" hidden="1">
      <c r="A339" s="6" t="str">
        <f>IFERROR(__xludf.DUMMYFUNCTION("""COMPUTED_VALUE"""),"next step")</f>
        <v>next step</v>
      </c>
      <c r="B339" s="6" t="str">
        <f>IFERROR(__xludf.DUMMYFUNCTION("""COMPUTED_VALUE"""),"Argentina")</f>
        <v>Argentina</v>
      </c>
      <c r="C339" s="6" t="str">
        <f>IFERROR(__xludf.DUMMYFUNCTION("""COMPUTED_VALUE"""),"Software Factory / Staffing")</f>
        <v>Software Factory / Staffing</v>
      </c>
    </row>
    <row r="340" hidden="1">
      <c r="A340" s="6" t="str">
        <f>IFERROR(__xludf.DUMMYFUNCTION("""COMPUTED_VALUE"""),"elastic dev team")</f>
        <v>elastic dev team</v>
      </c>
      <c r="B340" s="6" t="str">
        <f>IFERROR(__xludf.DUMMYFUNCTION("""COMPUTED_VALUE"""),"Estados Unidos")</f>
        <v>Estados Unidos</v>
      </c>
      <c r="C340" s="6" t="str">
        <f>IFERROR(__xludf.DUMMYFUNCTION("""COMPUTED_VALUE"""),"Management Consulting")</f>
        <v>Management Consulting</v>
      </c>
    </row>
    <row r="341" hidden="1">
      <c r="A341" s="6" t="str">
        <f>IFERROR(__xludf.DUMMYFUNCTION("""COMPUTED_VALUE"""),"jeduca")</f>
        <v>jeduca</v>
      </c>
      <c r="B341" s="6" t="str">
        <f>IFERROR(__xludf.DUMMYFUNCTION("""COMPUTED_VALUE"""),"Colombia")</f>
        <v>Colombia</v>
      </c>
      <c r="C341" s="6" t="str">
        <f>IFERROR(__xludf.DUMMYFUNCTION("""COMPUTED_VALUE"""),"Software Factory / Staffing")</f>
        <v>Software Factory / Staffing</v>
      </c>
    </row>
    <row r="342" hidden="1">
      <c r="A342" s="6" t="str">
        <f>IFERROR(__xludf.DUMMYFUNCTION("""COMPUTED_VALUE"""),"revai")</f>
        <v>revai</v>
      </c>
      <c r="B342" s="6" t="str">
        <f>IFERROR(__xludf.DUMMYFUNCTION("""COMPUTED_VALUE"""),"Argentina")</f>
        <v>Argentina</v>
      </c>
      <c r="C342" s="6" t="str">
        <f>IFERROR(__xludf.DUMMYFUNCTION("""COMPUTED_VALUE"""),"Software Factory / Staffing")</f>
        <v>Software Factory / Staffing</v>
      </c>
    </row>
    <row r="343">
      <c r="A343" s="6" t="str">
        <f>IFERROR(__xludf.DUMMYFUNCTION("""COMPUTED_VALUE"""),"ombutech services")</f>
        <v>ombutech services</v>
      </c>
      <c r="B343" s="4"/>
      <c r="C343" s="4"/>
    </row>
    <row r="344" hidden="1">
      <c r="A344" s="6" t="str">
        <f>IFERROR(__xludf.DUMMYFUNCTION("""COMPUTED_VALUE"""),"instituto nacional de musicología carlos vega")</f>
        <v>instituto nacional de musicología carlos vega</v>
      </c>
      <c r="B344" s="4"/>
      <c r="C344" s="4"/>
    </row>
    <row r="345" hidden="1">
      <c r="A345" s="6" t="str">
        <f>IFERROR(__xludf.DUMMYFUNCTION("""COMPUTED_VALUE"""),"yem")</f>
        <v>yem</v>
      </c>
      <c r="B345" s="6" t="str">
        <f>IFERROR(__xludf.DUMMYFUNCTION("""COMPUTED_VALUE"""),"Singapur")</f>
        <v>Singapur</v>
      </c>
      <c r="C345" s="6" t="str">
        <f>IFERROR(__xludf.DUMMYFUNCTION("""COMPUTED_VALUE"""),"Media &amp; Communication")</f>
        <v>Media &amp; Communication</v>
      </c>
    </row>
    <row r="346" hidden="1">
      <c r="A346" s="6" t="str">
        <f>IFERROR(__xludf.DUMMYFUNCTION("""COMPUTED_VALUE"""),"municipalidad de san nicolás")</f>
        <v>municipalidad de san nicolás</v>
      </c>
      <c r="B346" s="6" t="str">
        <f>IFERROR(__xludf.DUMMYFUNCTION("""COMPUTED_VALUE"""),"Argentina")</f>
        <v>Argentina</v>
      </c>
      <c r="C346" s="6" t="str">
        <f>IFERROR(__xludf.DUMMYFUNCTION("""COMPUTED_VALUE"""),"Public Center")</f>
        <v>Public Center</v>
      </c>
    </row>
    <row r="347" hidden="1">
      <c r="A347" s="6" t="str">
        <f>IFERROR(__xludf.DUMMYFUNCTION("""COMPUTED_VALUE"""),"torrens university australia")</f>
        <v>torrens university australia</v>
      </c>
      <c r="B347" s="6" t="str">
        <f>IFERROR(__xludf.DUMMYFUNCTION("""COMPUTED_VALUE"""),"Australia")</f>
        <v>Australia</v>
      </c>
      <c r="C347" s="6" t="str">
        <f>IFERROR(__xludf.DUMMYFUNCTION("""COMPUTED_VALUE"""),"Education &amp; Edtech")</f>
        <v>Education &amp; Edtech</v>
      </c>
    </row>
    <row r="348" hidden="1">
      <c r="A348" s="6" t="str">
        <f>IFERROR(__xludf.DUMMYFUNCTION("""COMPUTED_VALUE"""),"endava s.a.s")</f>
        <v>endava s.a.s</v>
      </c>
      <c r="B348" s="6" t="str">
        <f>IFERROR(__xludf.DUMMYFUNCTION("""COMPUTED_VALUE"""),"Inglaterra")</f>
        <v>Inglaterra</v>
      </c>
      <c r="C348" s="6" t="str">
        <f>IFERROR(__xludf.DUMMYFUNCTION("""COMPUTED_VALUE"""),"Software Factory / Staffing")</f>
        <v>Software Factory / Staffing</v>
      </c>
    </row>
    <row r="349" hidden="1">
      <c r="A349" s="6" t="str">
        <f>IFERROR(__xludf.DUMMYFUNCTION("""COMPUTED_VALUE"""),"messangi")</f>
        <v>messangi</v>
      </c>
      <c r="B349" s="6" t="str">
        <f>IFERROR(__xludf.DUMMYFUNCTION("""COMPUTED_VALUE"""),"Estados Unidos")</f>
        <v>Estados Unidos</v>
      </c>
      <c r="C349" s="6" t="str">
        <f>IFERROR(__xludf.DUMMYFUNCTION("""COMPUTED_VALUE"""),"Management Consulting")</f>
        <v>Management Consulting</v>
      </c>
    </row>
    <row r="350" hidden="1">
      <c r="A350" s="6" t="str">
        <f>IFERROR(__xludf.DUMMYFUNCTION("""COMPUTED_VALUE"""),"techedge")</f>
        <v>techedge</v>
      </c>
      <c r="B350" s="6" t="str">
        <f>IFERROR(__xludf.DUMMYFUNCTION("""COMPUTED_VALUE"""),"Italia")</f>
        <v>Italia</v>
      </c>
      <c r="C350" s="6" t="str">
        <f>IFERROR(__xludf.DUMMYFUNCTION("""COMPUTED_VALUE"""),"Management Consulting")</f>
        <v>Management Consulting</v>
      </c>
    </row>
    <row r="351" hidden="1">
      <c r="A351" s="6" t="str">
        <f>IFERROR(__xludf.DUMMYFUNCTION("""COMPUTED_VALUE"""),"qrono")</f>
        <v>qrono</v>
      </c>
      <c r="B351" s="6" t="str">
        <f>IFERROR(__xludf.DUMMYFUNCTION("""COMPUTED_VALUE"""),"Estados Unidos")</f>
        <v>Estados Unidos</v>
      </c>
      <c r="C351" s="6" t="str">
        <f>IFERROR(__xludf.DUMMYFUNCTION("""COMPUTED_VALUE"""),"Software Factory / Staffing")</f>
        <v>Software Factory / Staffing</v>
      </c>
    </row>
    <row r="352" hidden="1">
      <c r="A352" s="6" t="str">
        <f>IFERROR(__xludf.DUMMYFUNCTION("""COMPUTED_VALUE"""),"korinver usa llc")</f>
        <v>korinver usa llc</v>
      </c>
      <c r="B352" s="6" t="str">
        <f>IFERROR(__xludf.DUMMYFUNCTION("""COMPUTED_VALUE"""),"Estados Unidos")</f>
        <v>Estados Unidos</v>
      </c>
      <c r="C352" s="6" t="str">
        <f>IFERROR(__xludf.DUMMYFUNCTION("""COMPUTED_VALUE"""),"Software Factory / Staffing")</f>
        <v>Software Factory / Staffing</v>
      </c>
    </row>
    <row r="353" hidden="1">
      <c r="A353" s="6" t="str">
        <f>IFERROR(__xludf.DUMMYFUNCTION("""COMPUTED_VALUE"""),"socialab")</f>
        <v>socialab</v>
      </c>
      <c r="B353" s="6" t="str">
        <f>IFERROR(__xludf.DUMMYFUNCTION("""COMPUTED_VALUE"""),"Chile")</f>
        <v>Chile</v>
      </c>
      <c r="C353" s="6" t="str">
        <f>IFERROR(__xludf.DUMMYFUNCTION("""COMPUTED_VALUE"""),"Management Consulting")</f>
        <v>Management Consulting</v>
      </c>
    </row>
    <row r="354" hidden="1">
      <c r="A354" s="6" t="str">
        <f>IFERROR(__xludf.DUMMYFUNCTION("""COMPUTED_VALUE"""),"vita wallet")</f>
        <v>vita wallet</v>
      </c>
      <c r="B354" s="6" t="str">
        <f>IFERROR(__xludf.DUMMYFUNCTION("""COMPUTED_VALUE"""),"Chile")</f>
        <v>Chile</v>
      </c>
      <c r="C354" s="6" t="str">
        <f>IFERROR(__xludf.DUMMYFUNCTION("""COMPUTED_VALUE"""),"Banking &amp; Financial Servicies")</f>
        <v>Banking &amp; Financial Servicies</v>
      </c>
    </row>
    <row r="355" hidden="1">
      <c r="A355" s="6" t="str">
        <f>IFERROR(__xludf.DUMMYFUNCTION("""COMPUTED_VALUE"""),"cartometrics s. coop")</f>
        <v>cartometrics s. coop</v>
      </c>
      <c r="B355" s="6" t="str">
        <f>IFERROR(__xludf.DUMMYFUNCTION("""COMPUTED_VALUE"""),"España")</f>
        <v>España</v>
      </c>
      <c r="C355" s="6" t="str">
        <f>IFERROR(__xludf.DUMMYFUNCTION("""COMPUTED_VALUE"""),"Data &amp; Analytics")</f>
        <v>Data &amp; Analytics</v>
      </c>
    </row>
    <row r="356" hidden="1">
      <c r="A356" s="6" t="str">
        <f>IFERROR(__xludf.DUMMYFUNCTION("""COMPUTED_VALUE"""),"ventura travel")</f>
        <v>ventura travel</v>
      </c>
      <c r="B356" s="6" t="str">
        <f>IFERROR(__xludf.DUMMYFUNCTION("""COMPUTED_VALUE"""),"Colombia")</f>
        <v>Colombia</v>
      </c>
      <c r="C356" s="6" t="str">
        <f>IFERROR(__xludf.DUMMYFUNCTION("""COMPUTED_VALUE"""),"Travel and Tourism")</f>
        <v>Travel and Tourism</v>
      </c>
    </row>
    <row r="357" hidden="1">
      <c r="A357" s="6" t="str">
        <f>IFERROR(__xludf.DUMMYFUNCTION("""COMPUTED_VALUE"""),"caramel point")</f>
        <v>caramel point</v>
      </c>
      <c r="B357" s="6" t="str">
        <f>IFERROR(__xludf.DUMMYFUNCTION("""COMPUTED_VALUE"""),"Argentina")</f>
        <v>Argentina</v>
      </c>
      <c r="C357" s="6" t="str">
        <f>IFERROR(__xludf.DUMMYFUNCTION("""COMPUTED_VALUE"""),"Software Factory / Staffing")</f>
        <v>Software Factory / Staffing</v>
      </c>
    </row>
    <row r="358" hidden="1">
      <c r="A358" s="6" t="str">
        <f>IFERROR(__xludf.DUMMYFUNCTION("""COMPUTED_VALUE"""),"puntored")</f>
        <v>puntored</v>
      </c>
      <c r="B358" s="6" t="str">
        <f>IFERROR(__xludf.DUMMYFUNCTION("""COMPUTED_VALUE"""),"Colombia")</f>
        <v>Colombia</v>
      </c>
      <c r="C358" s="6" t="str">
        <f>IFERROR(__xludf.DUMMYFUNCTION("""COMPUTED_VALUE"""),"Banking &amp; Financial Servicies")</f>
        <v>Banking &amp; Financial Servicies</v>
      </c>
    </row>
    <row r="359" hidden="1">
      <c r="A359" s="6" t="str">
        <f>IFERROR(__xludf.DUMMYFUNCTION("""COMPUTED_VALUE"""),"solavieve")</f>
        <v>solavieve</v>
      </c>
      <c r="B359" s="6" t="str">
        <f>IFERROR(__xludf.DUMMYFUNCTION("""COMPUTED_VALUE"""),"Alemania")</f>
        <v>Alemania</v>
      </c>
      <c r="C359" s="6" t="str">
        <f>IFERROR(__xludf.DUMMYFUNCTION("""COMPUTED_VALUE"""),"Other")</f>
        <v>Other</v>
      </c>
    </row>
    <row r="360">
      <c r="A360" s="6" t="str">
        <f>IFERROR(__xludf.DUMMYFUNCTION("""COMPUTED_VALUE"""),"shareable innovations spa")</f>
        <v>shareable innovations spa</v>
      </c>
      <c r="B360" s="6" t="str">
        <f>IFERROR(__xludf.DUMMYFUNCTION("""COMPUTED_VALUE"""),"Chile")</f>
        <v>Chile</v>
      </c>
      <c r="C360" s="6" t="str">
        <f>IFERROR(__xludf.DUMMYFUNCTION("""COMPUTED_VALUE"""),"Software Factory / Staffing")</f>
        <v>Software Factory / Staffing</v>
      </c>
    </row>
    <row r="361" hidden="1">
      <c r="A361" s="6" t="str">
        <f>IFERROR(__xludf.DUMMYFUNCTION("""COMPUTED_VALUE"""),"amphy tech")</f>
        <v>amphy tech</v>
      </c>
      <c r="B361" s="6" t="str">
        <f>IFERROR(__xludf.DUMMYFUNCTION("""COMPUTED_VALUE"""),"Canada")</f>
        <v>Canada</v>
      </c>
      <c r="C361" s="6" t="str">
        <f>IFERROR(__xludf.DUMMYFUNCTION("""COMPUTED_VALUE"""),"PropTech / Real State")</f>
        <v>PropTech / Real State</v>
      </c>
    </row>
    <row r="362" hidden="1">
      <c r="A362" s="6" t="str">
        <f>IFERROR(__xludf.DUMMYFUNCTION("""COMPUTED_VALUE"""),"slash")</f>
        <v>slash</v>
      </c>
      <c r="B362" s="6" t="str">
        <f>IFERROR(__xludf.DUMMYFUNCTION("""COMPUTED_VALUE"""),"Chile")</f>
        <v>Chile</v>
      </c>
      <c r="C362" s="6" t="str">
        <f>IFERROR(__xludf.DUMMYFUNCTION("""COMPUTED_VALUE"""),"Management Consulting")</f>
        <v>Management Consulting</v>
      </c>
    </row>
    <row r="363" hidden="1">
      <c r="A363" s="6" t="str">
        <f>IFERROR(__xludf.DUMMYFUNCTION("""COMPUTED_VALUE"""),"kavak")</f>
        <v>kavak</v>
      </c>
      <c r="B363" s="6" t="str">
        <f>IFERROR(__xludf.DUMMYFUNCTION("""COMPUTED_VALUE"""),"Mexico")</f>
        <v>Mexico</v>
      </c>
      <c r="C363" s="6" t="str">
        <f>IFERROR(__xludf.DUMMYFUNCTION("""COMPUTED_VALUE"""),"Mechanical/Industrial Engineering")</f>
        <v>Mechanical/Industrial Engineering</v>
      </c>
    </row>
    <row r="364" hidden="1">
      <c r="A364" s="6" t="str">
        <f>IFERROR(__xludf.DUMMYFUNCTION("""COMPUTED_VALUE"""),"botin")</f>
        <v>botin</v>
      </c>
      <c r="B364" s="6" t="str">
        <f>IFERROR(__xludf.DUMMYFUNCTION("""COMPUTED_VALUE"""),"Costa Rica")</f>
        <v>Costa Rica</v>
      </c>
      <c r="C364" s="6" t="str">
        <f>IFERROR(__xludf.DUMMYFUNCTION("""COMPUTED_VALUE"""),"Fintech")</f>
        <v>Fintech</v>
      </c>
    </row>
    <row r="365" hidden="1">
      <c r="A365" s="6" t="str">
        <f>IFERROR(__xludf.DUMMYFUNCTION("""COMPUTED_VALUE"""),"possumuss")</f>
        <v>possumuss</v>
      </c>
      <c r="B365" s="6" t="str">
        <f>IFERROR(__xludf.DUMMYFUNCTION("""COMPUTED_VALUE"""),"Argentina")</f>
        <v>Argentina</v>
      </c>
      <c r="C365" s="6" t="str">
        <f>IFERROR(__xludf.DUMMYFUNCTION("""COMPUTED_VALUE"""),"Software Factory / Staffing")</f>
        <v>Software Factory / Staffing</v>
      </c>
    </row>
    <row r="366" hidden="1">
      <c r="A366" s="6" t="str">
        <f>IFERROR(__xludf.DUMMYFUNCTION("""COMPUTED_VALUE"""),"kawchi")</f>
        <v>kawchi</v>
      </c>
      <c r="B366" s="6" t="str">
        <f>IFERROR(__xludf.DUMMYFUNCTION("""COMPUTED_VALUE"""),"Estados Unidos")</f>
        <v>Estados Unidos</v>
      </c>
      <c r="C366" s="6" t="str">
        <f>IFERROR(__xludf.DUMMYFUNCTION("""COMPUTED_VALUE"""),"Software Factory / Staffing")</f>
        <v>Software Factory / Staffing</v>
      </c>
    </row>
    <row r="367" hidden="1">
      <c r="A367" s="6" t="str">
        <f>IFERROR(__xludf.DUMMYFUNCTION("""COMPUTED_VALUE"""),"payvalida")</f>
        <v>payvalida</v>
      </c>
      <c r="B367" s="6" t="str">
        <f>IFERROR(__xludf.DUMMYFUNCTION("""COMPUTED_VALUE"""),"Colombia")</f>
        <v>Colombia</v>
      </c>
      <c r="C367" s="6" t="str">
        <f>IFERROR(__xludf.DUMMYFUNCTION("""COMPUTED_VALUE"""),"Banking &amp; Financial Servicies")</f>
        <v>Banking &amp; Financial Servicies</v>
      </c>
    </row>
    <row r="368" hidden="1">
      <c r="A368" s="6" t="str">
        <f>IFERROR(__xludf.DUMMYFUNCTION("""COMPUTED_VALUE"""),"indra si s.a")</f>
        <v>indra si s.a</v>
      </c>
      <c r="B368" s="6" t="str">
        <f>IFERROR(__xludf.DUMMYFUNCTION("""COMPUTED_VALUE"""),"España")</f>
        <v>España</v>
      </c>
      <c r="C368" s="6" t="str">
        <f>IFERROR(__xludf.DUMMYFUNCTION("""COMPUTED_VALUE"""),"Software Factory / Staffing")</f>
        <v>Software Factory / Staffing</v>
      </c>
    </row>
    <row r="369" hidden="1">
      <c r="A369" s="6" t="str">
        <f>IFERROR(__xludf.DUMMYFUNCTION("""COMPUTED_VALUE"""),"antit")</f>
        <v>antit</v>
      </c>
      <c r="B369" s="6" t="str">
        <f>IFERROR(__xludf.DUMMYFUNCTION("""COMPUTED_VALUE"""),"Costa Rica")</f>
        <v>Costa Rica</v>
      </c>
      <c r="C369" s="6" t="str">
        <f>IFERROR(__xludf.DUMMYFUNCTION("""COMPUTED_VALUE"""),"Software Factory / Staffing")</f>
        <v>Software Factory / Staffing</v>
      </c>
    </row>
    <row r="370" hidden="1">
      <c r="A370" s="6" t="str">
        <f>IFERROR(__xludf.DUMMYFUNCTION("""COMPUTED_VALUE"""),"bancar tecnología co s.a. compañía de financiamiento (ualá)")</f>
        <v>bancar tecnología co s.a. compañía de financiamiento (ualá)</v>
      </c>
      <c r="B370" s="4"/>
      <c r="C370" s="4"/>
    </row>
    <row r="371" hidden="1">
      <c r="A371" s="6" t="str">
        <f>IFERROR(__xludf.DUMMYFUNCTION("""COMPUTED_VALUE"""),"lenovo")</f>
        <v>lenovo</v>
      </c>
      <c r="B371" s="6" t="str">
        <f>IFERROR(__xludf.DUMMYFUNCTION("""COMPUTED_VALUE"""),"China")</f>
        <v>China</v>
      </c>
      <c r="C371" s="6" t="str">
        <f>IFERROR(__xludf.DUMMYFUNCTION("""COMPUTED_VALUE"""),"Software Factory / Staffing")</f>
        <v>Software Factory / Staffing</v>
      </c>
    </row>
    <row r="372" hidden="1">
      <c r="A372" s="6" t="str">
        <f>IFERROR(__xludf.DUMMYFUNCTION("""COMPUTED_VALUE"""),"venturing srl")</f>
        <v>venturing srl</v>
      </c>
      <c r="B372" s="6" t="str">
        <f>IFERROR(__xludf.DUMMYFUNCTION("""COMPUTED_VALUE"""),"Argentina")</f>
        <v>Argentina</v>
      </c>
      <c r="C372" s="6" t="str">
        <f>IFERROR(__xludf.DUMMYFUNCTION("""COMPUTED_VALUE"""),"Software Factory / Staffing")</f>
        <v>Software Factory / Staffing</v>
      </c>
    </row>
    <row r="373" hidden="1">
      <c r="A373" s="6" t="str">
        <f>IFERROR(__xludf.DUMMYFUNCTION("""COMPUTED_VALUE"""),"neoris")</f>
        <v>neoris</v>
      </c>
      <c r="B373" s="6" t="str">
        <f>IFERROR(__xludf.DUMMYFUNCTION("""COMPUTED_VALUE"""),"Estados Unidos")</f>
        <v>Estados Unidos</v>
      </c>
      <c r="C373" s="6" t="str">
        <f>IFERROR(__xludf.DUMMYFUNCTION("""COMPUTED_VALUE"""),"Management Consulting")</f>
        <v>Management Consulting</v>
      </c>
    </row>
    <row r="374" hidden="1">
      <c r="A374" s="6" t="str">
        <f>IFERROR(__xludf.DUMMYFUNCTION("""COMPUTED_VALUE"""),"vision group")</f>
        <v>vision group</v>
      </c>
      <c r="B374" s="6" t="str">
        <f>IFERROR(__xludf.DUMMYFUNCTION("""COMPUTED_VALUE"""),"Estados Unidos")</f>
        <v>Estados Unidos</v>
      </c>
      <c r="C374" s="6" t="str">
        <f>IFERROR(__xludf.DUMMYFUNCTION("""COMPUTED_VALUE"""),"Movility")</f>
        <v>Movility</v>
      </c>
    </row>
    <row r="375" hidden="1">
      <c r="A375" s="6" t="str">
        <f>IFERROR(__xludf.DUMMYFUNCTION("""COMPUTED_VALUE"""),"mgrana")</f>
        <v>mgrana</v>
      </c>
      <c r="B375" s="6" t="str">
        <f>IFERROR(__xludf.DUMMYFUNCTION("""COMPUTED_VALUE"""),"Brasil")</f>
        <v>Brasil</v>
      </c>
      <c r="C375" s="6" t="str">
        <f>IFERROR(__xludf.DUMMYFUNCTION("""COMPUTED_VALUE"""),"Fintech")</f>
        <v>Fintech</v>
      </c>
    </row>
    <row r="376" hidden="1">
      <c r="A376" s="6" t="str">
        <f>IFERROR(__xludf.DUMMYFUNCTION("""COMPUTED_VALUE"""),"destacados chile")</f>
        <v>destacados chile</v>
      </c>
      <c r="B376" s="6" t="str">
        <f>IFERROR(__xludf.DUMMYFUNCTION("""COMPUTED_VALUE"""),"Chile")</f>
        <v>Chile</v>
      </c>
      <c r="C376" s="6" t="str">
        <f>IFERROR(__xludf.DUMMYFUNCTION("""COMPUTED_VALUE"""),"Marketing &amp; Advertising")</f>
        <v>Marketing &amp; Advertising</v>
      </c>
    </row>
    <row r="377" hidden="1">
      <c r="A377" s="6" t="str">
        <f>IFERROR(__xludf.DUMMYFUNCTION("""COMPUTED_VALUE"""),"bromus sas")</f>
        <v>bromus sas</v>
      </c>
      <c r="B377" s="6" t="str">
        <f>IFERROR(__xludf.DUMMYFUNCTION("""COMPUTED_VALUE"""),"Argentina")</f>
        <v>Argentina</v>
      </c>
      <c r="C377" s="6" t="str">
        <f>IFERROR(__xludf.DUMMYFUNCTION("""COMPUTED_VALUE"""),"Software Factory / Staffing")</f>
        <v>Software Factory / Staffing</v>
      </c>
    </row>
    <row r="378" hidden="1">
      <c r="A378" s="6" t="str">
        <f>IFERROR(__xludf.DUMMYFUNCTION("""COMPUTED_VALUE"""),"cobromix")</f>
        <v>cobromix</v>
      </c>
      <c r="B378" s="6" t="str">
        <f>IFERROR(__xludf.DUMMYFUNCTION("""COMPUTED_VALUE"""),"Argentina")</f>
        <v>Argentina</v>
      </c>
      <c r="C378" s="6" t="str">
        <f>IFERROR(__xludf.DUMMYFUNCTION("""COMPUTED_VALUE"""),"Fintech")</f>
        <v>Fintech</v>
      </c>
    </row>
    <row r="379" hidden="1">
      <c r="A379" s="6" t="str">
        <f>IFERROR(__xludf.DUMMYFUNCTION("""COMPUTED_VALUE"""),"tekal(memorable)")</f>
        <v>tekal(memorable)</v>
      </c>
      <c r="B379" s="6" t="str">
        <f>IFERROR(__xludf.DUMMYFUNCTION("""COMPUTED_VALUE"""),"Estados Unidos")</f>
        <v>Estados Unidos</v>
      </c>
      <c r="C379" s="6" t="str">
        <f>IFERROR(__xludf.DUMMYFUNCTION("""COMPUTED_VALUE"""),"Artificil Intelligence")</f>
        <v>Artificil Intelligence</v>
      </c>
    </row>
    <row r="380" hidden="1">
      <c r="A380" s="6" t="str">
        <f>IFERROR(__xludf.DUMMYFUNCTION("""COMPUTED_VALUE"""),"h&amp;co")</f>
        <v>h&amp;co</v>
      </c>
      <c r="B380" s="6" t="str">
        <f>IFERROR(__xludf.DUMMYFUNCTION("""COMPUTED_VALUE"""),"Estados Unidos")</f>
        <v>Estados Unidos</v>
      </c>
      <c r="C380" s="6" t="str">
        <f>IFERROR(__xludf.DUMMYFUNCTION("""COMPUTED_VALUE"""),"Banking &amp; Financial Servicies")</f>
        <v>Banking &amp; Financial Servicies</v>
      </c>
    </row>
    <row r="381" hidden="1">
      <c r="A381" s="6" t="str">
        <f>IFERROR(__xludf.DUMMYFUNCTION("""COMPUTED_VALUE"""),"advanced mankind")</f>
        <v>advanced mankind</v>
      </c>
      <c r="B381" s="6" t="str">
        <f>IFERROR(__xludf.DUMMYFUNCTION("""COMPUTED_VALUE"""),"Estados Unidos")</f>
        <v>Estados Unidos</v>
      </c>
      <c r="C381" s="6" t="str">
        <f>IFERROR(__xludf.DUMMYFUNCTION("""COMPUTED_VALUE"""),"Media &amp; Communication")</f>
        <v>Media &amp; Communication</v>
      </c>
    </row>
    <row r="382">
      <c r="A382" s="6" t="str">
        <f>IFERROR(__xludf.DUMMYFUNCTION("""COMPUTED_VALUE"""),"jpm chase")</f>
        <v>jpm chase</v>
      </c>
      <c r="B382" s="6" t="str">
        <f>IFERROR(__xludf.DUMMYFUNCTION("""COMPUTED_VALUE"""),"Estados Unidos")</f>
        <v>Estados Unidos</v>
      </c>
      <c r="C382" s="6" t="str">
        <f>IFERROR(__xludf.DUMMYFUNCTION("""COMPUTED_VALUE"""),"Fintech")</f>
        <v>Fintech</v>
      </c>
    </row>
    <row r="383" hidden="1">
      <c r="A383" s="6" t="str">
        <f>IFERROR(__xludf.DUMMYFUNCTION("""COMPUTED_VALUE"""),"accusys technology")</f>
        <v>accusys technology</v>
      </c>
      <c r="B383" s="6" t="str">
        <f>IFERROR(__xludf.DUMMYFUNCTION("""COMPUTED_VALUE"""),"Argentina")</f>
        <v>Argentina</v>
      </c>
      <c r="C383" s="6" t="str">
        <f>IFERROR(__xludf.DUMMYFUNCTION("""COMPUTED_VALUE"""),"Software Factory / Staffing")</f>
        <v>Software Factory / Staffing</v>
      </c>
    </row>
    <row r="384" hidden="1">
      <c r="A384" s="6" t="str">
        <f>IFERROR(__xludf.DUMMYFUNCTION("""COMPUTED_VALUE"""),"leal")</f>
        <v>leal</v>
      </c>
      <c r="B384" s="6" t="str">
        <f>IFERROR(__xludf.DUMMYFUNCTION("""COMPUTED_VALUE"""),"Colombia")</f>
        <v>Colombia</v>
      </c>
      <c r="C384" s="6" t="str">
        <f>IFERROR(__xludf.DUMMYFUNCTION("""COMPUTED_VALUE"""),"Management Consulting")</f>
        <v>Management Consulting</v>
      </c>
    </row>
    <row r="385" hidden="1">
      <c r="A385" s="6" t="str">
        <f>IFERROR(__xludf.DUMMYFUNCTION("""COMPUTED_VALUE"""),"takeaway express (lieferando)")</f>
        <v>takeaway express (lieferando)</v>
      </c>
      <c r="B385" s="6" t="str">
        <f>IFERROR(__xludf.DUMMYFUNCTION("""COMPUTED_VALUE"""),"Alemania")</f>
        <v>Alemania</v>
      </c>
      <c r="C385" s="6" t="str">
        <f>IFERROR(__xludf.DUMMYFUNCTION("""COMPUTED_VALUE"""),"Logistics")</f>
        <v>Logistics</v>
      </c>
    </row>
    <row r="386" hidden="1">
      <c r="A386" s="6" t="str">
        <f>IFERROR(__xludf.DUMMYFUNCTION("""COMPUTED_VALUE"""),"teamquality")</f>
        <v>teamquality</v>
      </c>
      <c r="B386" s="6" t="str">
        <f>IFERROR(__xludf.DUMMYFUNCTION("""COMPUTED_VALUE"""),"Argentina")</f>
        <v>Argentina</v>
      </c>
      <c r="C386" s="6" t="str">
        <f>IFERROR(__xludf.DUMMYFUNCTION("""COMPUTED_VALUE"""),"Software Factory / Staffing")</f>
        <v>Software Factory / Staffing</v>
      </c>
    </row>
    <row r="387" hidden="1">
      <c r="A387" s="6" t="str">
        <f>IFERROR(__xludf.DUMMYFUNCTION("""COMPUTED_VALUE"""),"indicius")</f>
        <v>indicius</v>
      </c>
      <c r="B387" s="6" t="str">
        <f>IFERROR(__xludf.DUMMYFUNCTION("""COMPUTED_VALUE"""),"Argentina")</f>
        <v>Argentina</v>
      </c>
      <c r="C387" s="6" t="str">
        <f>IFERROR(__xludf.DUMMYFUNCTION("""COMPUTED_VALUE"""),"Software Factory / Staffing")</f>
        <v>Software Factory / Staffing</v>
      </c>
    </row>
    <row r="388" hidden="1">
      <c r="A388" s="6" t="str">
        <f>IFERROR(__xludf.DUMMYFUNCTION("""COMPUTED_VALUE"""),"qdoc inc")</f>
        <v>qdoc inc</v>
      </c>
      <c r="B388" s="6" t="str">
        <f>IFERROR(__xludf.DUMMYFUNCTION("""COMPUTED_VALUE"""),"Canada")</f>
        <v>Canada</v>
      </c>
      <c r="C388" s="6" t="str">
        <f>IFERROR(__xludf.DUMMYFUNCTION("""COMPUTED_VALUE"""),"Health")</f>
        <v>Health</v>
      </c>
    </row>
    <row r="389" hidden="1">
      <c r="A389" s="6" t="str">
        <f>IFERROR(__xludf.DUMMYFUNCTION("""COMPUTED_VALUE"""),"cobuild lab")</f>
        <v>cobuild lab</v>
      </c>
      <c r="B389" s="6" t="str">
        <f>IFERROR(__xludf.DUMMYFUNCTION("""COMPUTED_VALUE"""),"Estados Unidos")</f>
        <v>Estados Unidos</v>
      </c>
      <c r="C389" s="6" t="str">
        <f>IFERROR(__xludf.DUMMYFUNCTION("""COMPUTED_VALUE"""),"Software Factory / Staffing")</f>
        <v>Software Factory / Staffing</v>
      </c>
    </row>
    <row r="390" hidden="1">
      <c r="A390" s="6" t="str">
        <f>IFERROR(__xludf.DUMMYFUNCTION("""COMPUTED_VALUE"""),"ualá")</f>
        <v>ualá</v>
      </c>
      <c r="B390" s="6" t="str">
        <f>IFERROR(__xludf.DUMMYFUNCTION("""COMPUTED_VALUE"""),"Argentina")</f>
        <v>Argentina</v>
      </c>
      <c r="C390" s="6" t="str">
        <f>IFERROR(__xludf.DUMMYFUNCTION("""COMPUTED_VALUE"""),"Fintech")</f>
        <v>Fintech</v>
      </c>
    </row>
    <row r="391" hidden="1">
      <c r="A391" s="6" t="str">
        <f>IFERROR(__xludf.DUMMYFUNCTION("""COMPUTED_VALUE"""),"nicasource")</f>
        <v>nicasource</v>
      </c>
      <c r="B391" s="6" t="str">
        <f>IFERROR(__xludf.DUMMYFUNCTION("""COMPUTED_VALUE"""),"nicaragua")</f>
        <v>nicaragua</v>
      </c>
      <c r="C391" s="6" t="str">
        <f>IFERROR(__xludf.DUMMYFUNCTION("""COMPUTED_VALUE"""),"Software Factory / Staffing")</f>
        <v>Software Factory / Staffing</v>
      </c>
    </row>
    <row r="392" hidden="1">
      <c r="A392" s="6" t="str">
        <f>IFERROR(__xludf.DUMMYFUNCTION("""COMPUTED_VALUE"""),"intive")</f>
        <v>intive</v>
      </c>
      <c r="B392" s="6" t="str">
        <f>IFERROR(__xludf.DUMMYFUNCTION("""COMPUTED_VALUE"""),"Alemania")</f>
        <v>Alemania</v>
      </c>
      <c r="C392" s="6" t="str">
        <f>IFERROR(__xludf.DUMMYFUNCTION("""COMPUTED_VALUE"""),"Management Consulting")</f>
        <v>Management Consulting</v>
      </c>
    </row>
    <row r="393" hidden="1">
      <c r="A393" s="6" t="str">
        <f>IFERROR(__xludf.DUMMYFUNCTION("""COMPUTED_VALUE"""),"iampubli")</f>
        <v>iampubli</v>
      </c>
      <c r="B393" s="6" t="str">
        <f>IFERROR(__xludf.DUMMYFUNCTION("""COMPUTED_VALUE"""),"Argentina")</f>
        <v>Argentina</v>
      </c>
      <c r="C393" s="6" t="str">
        <f>IFERROR(__xludf.DUMMYFUNCTION("""COMPUTED_VALUE"""),"Other")</f>
        <v>Other</v>
      </c>
    </row>
    <row r="394" hidden="1">
      <c r="A394" s="7" t="str">
        <f>IFERROR(__xludf.DUMMYFUNCTION("""COMPUTED_VALUE"""),"famosos.com")</f>
        <v>famosos.com</v>
      </c>
      <c r="B394" s="6" t="str">
        <f>IFERROR(__xludf.DUMMYFUNCTION("""COMPUTED_VALUE"""),"Estados Unidos")</f>
        <v>Estados Unidos</v>
      </c>
      <c r="C394" s="6" t="str">
        <f>IFERROR(__xludf.DUMMYFUNCTION("""COMPUTED_VALUE"""),"Marketing &amp; Advertising")</f>
        <v>Marketing &amp; Advertising</v>
      </c>
    </row>
    <row r="395" hidden="1">
      <c r="A395" s="6" t="str">
        <f>IFERROR(__xludf.DUMMYFUNCTION("""COMPUTED_VALUE"""),"balanz")</f>
        <v>balanz</v>
      </c>
      <c r="B395" s="6" t="str">
        <f>IFERROR(__xludf.DUMMYFUNCTION("""COMPUTED_VALUE"""),"Argentina")</f>
        <v>Argentina</v>
      </c>
      <c r="C395" s="6" t="str">
        <f>IFERROR(__xludf.DUMMYFUNCTION("""COMPUTED_VALUE"""),"Fintech")</f>
        <v>Fintech</v>
      </c>
    </row>
    <row r="396" hidden="1">
      <c r="A396" s="6" t="str">
        <f>IFERROR(__xludf.DUMMYFUNCTION("""COMPUTED_VALUE"""),"lae educacion internacional")</f>
        <v>lae educacion internacional</v>
      </c>
      <c r="B396" s="6" t="str">
        <f>IFERROR(__xludf.DUMMYFUNCTION("""COMPUTED_VALUE"""),"Colombia")</f>
        <v>Colombia</v>
      </c>
      <c r="C396" s="6" t="str">
        <f>IFERROR(__xludf.DUMMYFUNCTION("""COMPUTED_VALUE"""),"Management Consulting")</f>
        <v>Management Consulting</v>
      </c>
    </row>
    <row r="397" hidden="1">
      <c r="A397" s="6" t="str">
        <f>IFERROR(__xludf.DUMMYFUNCTION("""COMPUTED_VALUE"""),"gto trainer")</f>
        <v>gto trainer</v>
      </c>
      <c r="B397" s="6" t="str">
        <f>IFERROR(__xludf.DUMMYFUNCTION("""COMPUTED_VALUE"""),"Estados Unidos")</f>
        <v>Estados Unidos</v>
      </c>
      <c r="C397" s="6" t="str">
        <f>IFERROR(__xludf.DUMMYFUNCTION("""COMPUTED_VALUE"""),"Software Factory / Staffing")</f>
        <v>Software Factory / Staffing</v>
      </c>
    </row>
    <row r="398" hidden="1">
      <c r="A398" s="6" t="str">
        <f>IFERROR(__xludf.DUMMYFUNCTION("""COMPUTED_VALUE"""),"visma latam")</f>
        <v>visma latam</v>
      </c>
      <c r="B398" s="6" t="str">
        <f>IFERROR(__xludf.DUMMYFUNCTION("""COMPUTED_VALUE"""),"Argentina")</f>
        <v>Argentina</v>
      </c>
      <c r="C398" s="6" t="str">
        <f>IFERROR(__xludf.DUMMYFUNCTION("""COMPUTED_VALUE"""),"Software Factory / Staffing")</f>
        <v>Software Factory / Staffing</v>
      </c>
    </row>
    <row r="399">
      <c r="A399" s="6" t="str">
        <f>IFERROR(__xludf.DUMMYFUNCTION("""COMPUTED_VALUE"""),"intevo")</f>
        <v>intevo</v>
      </c>
      <c r="B399" s="6" t="str">
        <f>IFERROR(__xludf.DUMMYFUNCTION("""COMPUTED_VALUE"""),"Mexico")</f>
        <v>Mexico</v>
      </c>
      <c r="C399" s="6" t="str">
        <f>IFERROR(__xludf.DUMMYFUNCTION("""COMPUTED_VALUE"""),"Human Resources")</f>
        <v>Human Resources</v>
      </c>
    </row>
    <row r="400" hidden="1">
      <c r="A400" s="6" t="str">
        <f>IFERROR(__xludf.DUMMYFUNCTION("""COMPUTED_VALUE"""),"remitee")</f>
        <v>remitee</v>
      </c>
      <c r="B400" s="6" t="str">
        <f>IFERROR(__xludf.DUMMYFUNCTION("""COMPUTED_VALUE"""),"Argentina")</f>
        <v>Argentina</v>
      </c>
      <c r="C400" s="6" t="str">
        <f>IFERROR(__xludf.DUMMYFUNCTION("""COMPUTED_VALUE"""),"Banking &amp; Financial Servicies")</f>
        <v>Banking &amp; Financial Servicies</v>
      </c>
    </row>
    <row r="401" hidden="1">
      <c r="A401" s="6" t="str">
        <f>IFERROR(__xludf.DUMMYFUNCTION("""COMPUTED_VALUE"""),"clonify")</f>
        <v>clonify</v>
      </c>
      <c r="B401" s="6" t="str">
        <f>IFERROR(__xludf.DUMMYFUNCTION("""COMPUTED_VALUE"""),"Argentina")</f>
        <v>Argentina</v>
      </c>
      <c r="C401" s="6" t="str">
        <f>IFERROR(__xludf.DUMMYFUNCTION("""COMPUTED_VALUE"""),"Software Factory / Staffing")</f>
        <v>Software Factory / Staffing</v>
      </c>
    </row>
    <row r="402" hidden="1">
      <c r="A402" s="6" t="str">
        <f>IFERROR(__xludf.DUMMYFUNCTION("""COMPUTED_VALUE"""),"pow")</f>
        <v>pow</v>
      </c>
      <c r="B402" s="6" t="str">
        <f>IFERROR(__xludf.DUMMYFUNCTION("""COMPUTED_VALUE"""),"Argentina")</f>
        <v>Argentina</v>
      </c>
      <c r="C402" s="6" t="str">
        <f>IFERROR(__xludf.DUMMYFUNCTION("""COMPUTED_VALUE"""),"Marketing &amp; Advertising")</f>
        <v>Marketing &amp; Advertising</v>
      </c>
    </row>
    <row r="403" hidden="1">
      <c r="A403" s="6" t="str">
        <f>IFERROR(__xludf.DUMMYFUNCTION("""COMPUTED_VALUE"""),"emprendimiento personal")</f>
        <v>emprendimiento personal</v>
      </c>
      <c r="B403" s="4"/>
      <c r="C403" s="6" t="str">
        <f>IFERROR(__xludf.DUMMYFUNCTION("""COMPUTED_VALUE"""),"Education &amp; Edtech")</f>
        <v>Education &amp; Edtech</v>
      </c>
    </row>
    <row r="404" hidden="1">
      <c r="A404" s="6" t="str">
        <f>IFERROR(__xludf.DUMMYFUNCTION("""COMPUTED_VALUE"""),"genosha")</f>
        <v>genosha</v>
      </c>
      <c r="B404" s="6" t="str">
        <f>IFERROR(__xludf.DUMMYFUNCTION("""COMPUTED_VALUE"""),"Argentina")</f>
        <v>Argentina</v>
      </c>
      <c r="C404" s="6" t="str">
        <f>IFERROR(__xludf.DUMMYFUNCTION("""COMPUTED_VALUE"""),"Management Consulting")</f>
        <v>Management Consulting</v>
      </c>
    </row>
    <row r="405" hidden="1">
      <c r="A405" s="6" t="str">
        <f>IFERROR(__xludf.DUMMYFUNCTION("""COMPUTED_VALUE"""),"flux qr")</f>
        <v>flux qr</v>
      </c>
      <c r="B405" s="4"/>
      <c r="C405" s="4"/>
    </row>
    <row r="406" hidden="1">
      <c r="A406" s="6" t="str">
        <f>IFERROR(__xludf.DUMMYFUNCTION("""COMPUTED_VALUE"""),"proofpoint")</f>
        <v>proofpoint</v>
      </c>
      <c r="B406" s="6" t="str">
        <f>IFERROR(__xludf.DUMMYFUNCTION("""COMPUTED_VALUE"""),"Argentina")</f>
        <v>Argentina</v>
      </c>
      <c r="C406" s="6" t="str">
        <f>IFERROR(__xludf.DUMMYFUNCTION("""COMPUTED_VALUE"""),"SaaS")</f>
        <v>SaaS</v>
      </c>
    </row>
    <row r="407" hidden="1">
      <c r="A407" s="6" t="str">
        <f>IFERROR(__xludf.DUMMYFUNCTION("""COMPUTED_VALUE"""),"benefits s.a.")</f>
        <v>benefits s.a.</v>
      </c>
      <c r="B407" s="6" t="str">
        <f>IFERROR(__xludf.DUMMYFUNCTION("""COMPUTED_VALUE"""),"Argentina")</f>
        <v>Argentina</v>
      </c>
      <c r="C407" s="6" t="str">
        <f>IFERROR(__xludf.DUMMYFUNCTION("""COMPUTED_VALUE"""),"Insurance")</f>
        <v>Insurance</v>
      </c>
    </row>
    <row r="408" hidden="1">
      <c r="A408" s="6" t="str">
        <f>IFERROR(__xludf.DUMMYFUNCTION("""COMPUTED_VALUE"""),"slingr")</f>
        <v>slingr</v>
      </c>
      <c r="B408" s="6" t="str">
        <f>IFERROR(__xludf.DUMMYFUNCTION("""COMPUTED_VALUE"""),"Estados Unidos")</f>
        <v>Estados Unidos</v>
      </c>
      <c r="C408" s="6" t="str">
        <f>IFERROR(__xludf.DUMMYFUNCTION("""COMPUTED_VALUE"""),"Management Consulting")</f>
        <v>Management Consulting</v>
      </c>
    </row>
    <row r="409" hidden="1">
      <c r="A409" s="6" t="str">
        <f>IFERROR(__xludf.DUMMYFUNCTION("""COMPUTED_VALUE"""),"brain it llc")</f>
        <v>brain it llc</v>
      </c>
      <c r="B409" s="6" t="str">
        <f>IFERROR(__xludf.DUMMYFUNCTION("""COMPUTED_VALUE"""),"Estados Unidos")</f>
        <v>Estados Unidos</v>
      </c>
      <c r="C409" s="6" t="str">
        <f>IFERROR(__xludf.DUMMYFUNCTION("""COMPUTED_VALUE"""),"Health")</f>
        <v>Health</v>
      </c>
    </row>
    <row r="410" hidden="1">
      <c r="A410" s="6" t="str">
        <f>IFERROR(__xludf.DUMMYFUNCTION("""COMPUTED_VALUE"""),"jalasoft")</f>
        <v>jalasoft</v>
      </c>
      <c r="B410" s="6" t="str">
        <f>IFERROR(__xludf.DUMMYFUNCTION("""COMPUTED_VALUE"""),"Bolivia")</f>
        <v>Bolivia</v>
      </c>
      <c r="C410" s="6" t="str">
        <f>IFERROR(__xludf.DUMMYFUNCTION("""COMPUTED_VALUE"""),"Software Factory / Staffing")</f>
        <v>Software Factory / Staffing</v>
      </c>
    </row>
    <row r="411" hidden="1">
      <c r="A411" s="6" t="str">
        <f>IFERROR(__xludf.DUMMYFUNCTION("""COMPUTED_VALUE"""),"complemento 360")</f>
        <v>complemento 360</v>
      </c>
      <c r="B411" s="6" t="str">
        <f>IFERROR(__xludf.DUMMYFUNCTION("""COMPUTED_VALUE"""),"Colombia")</f>
        <v>Colombia</v>
      </c>
      <c r="C411" s="6" t="str">
        <f>IFERROR(__xludf.DUMMYFUNCTION("""COMPUTED_VALUE"""),"Software Factory / Staffing")</f>
        <v>Software Factory / Staffing</v>
      </c>
    </row>
    <row r="412" hidden="1">
      <c r="A412" s="6" t="str">
        <f>IFERROR(__xludf.DUMMYFUNCTION("""COMPUTED_VALUE"""),"auravant")</f>
        <v>auravant</v>
      </c>
      <c r="B412" s="6" t="str">
        <f>IFERROR(__xludf.DUMMYFUNCTION("""COMPUTED_VALUE"""),"Argentina")</f>
        <v>Argentina</v>
      </c>
      <c r="C412" s="6" t="str">
        <f>IFERROR(__xludf.DUMMYFUNCTION("""COMPUTED_VALUE"""),"Agtech / Agro")</f>
        <v>Agtech / Agro</v>
      </c>
    </row>
    <row r="413" hidden="1">
      <c r="A413" s="6" t="str">
        <f>IFERROR(__xludf.DUMMYFUNCTION("""COMPUTED_VALUE"""),"tu batalla")</f>
        <v>tu batalla</v>
      </c>
      <c r="B413" s="4"/>
      <c r="C413" s="4"/>
    </row>
    <row r="414">
      <c r="A414" s="6" t="str">
        <f>IFERROR(__xludf.DUMMYFUNCTION("""COMPUTED_VALUE"""),"tuyo")</f>
        <v>tuyo</v>
      </c>
      <c r="B414" s="6" t="str">
        <f>IFERROR(__xludf.DUMMYFUNCTION("""COMPUTED_VALUE"""),"Peru")</f>
        <v>Peru</v>
      </c>
      <c r="C414" s="6" t="str">
        <f>IFERROR(__xludf.DUMMYFUNCTION("""COMPUTED_VALUE"""),"Messaging and Telecommunications")</f>
        <v>Messaging and Telecommunications</v>
      </c>
    </row>
    <row r="415" hidden="1">
      <c r="A415" s="6" t="str">
        <f>IFERROR(__xludf.DUMMYFUNCTION("""COMPUTED_VALUE"""),"gatrocloud")</f>
        <v>gatrocloud</v>
      </c>
      <c r="B415" s="4"/>
      <c r="C415" s="4"/>
    </row>
    <row r="416" hidden="1">
      <c r="A416" s="6" t="str">
        <f>IFERROR(__xludf.DUMMYFUNCTION("""COMPUTED_VALUE"""),"neostella")</f>
        <v>neostella</v>
      </c>
      <c r="B416" s="6" t="str">
        <f>IFERROR(__xludf.DUMMYFUNCTION("""COMPUTED_VALUE"""),"Estados Unidos")</f>
        <v>Estados Unidos</v>
      </c>
      <c r="C416" s="6" t="str">
        <f>IFERROR(__xludf.DUMMYFUNCTION("""COMPUTED_VALUE"""),"Software Factory / Staffing")</f>
        <v>Software Factory / Staffing</v>
      </c>
    </row>
    <row r="417" hidden="1">
      <c r="A417" s="6" t="str">
        <f>IFERROR(__xludf.DUMMYFUNCTION("""COMPUTED_VALUE"""),"edutech")</f>
        <v>edutech</v>
      </c>
      <c r="B417" s="6" t="str">
        <f>IFERROR(__xludf.DUMMYFUNCTION("""COMPUTED_VALUE"""),"Argentina")</f>
        <v>Argentina</v>
      </c>
      <c r="C417" s="6" t="str">
        <f>IFERROR(__xludf.DUMMYFUNCTION("""COMPUTED_VALUE"""),"Education &amp; Edtech")</f>
        <v>Education &amp; Edtech</v>
      </c>
    </row>
    <row r="418">
      <c r="A418" s="6" t="str">
        <f>IFERROR(__xludf.DUMMYFUNCTION("""COMPUTED_VALUE"""),"celeri")</f>
        <v>celeri</v>
      </c>
      <c r="B418" s="6" t="str">
        <f>IFERROR(__xludf.DUMMYFUNCTION("""COMPUTED_VALUE"""),"Argentina")</f>
        <v>Argentina</v>
      </c>
      <c r="C418" s="6" t="str">
        <f>IFERROR(__xludf.DUMMYFUNCTION("""COMPUTED_VALUE"""),"Management Consulting")</f>
        <v>Management Consulting</v>
      </c>
    </row>
    <row r="419" hidden="1">
      <c r="A419" s="6" t="str">
        <f>IFERROR(__xludf.DUMMYFUNCTION("""COMPUTED_VALUE"""),"bglobal solutions")</f>
        <v>bglobal solutions</v>
      </c>
      <c r="B419" s="6" t="str">
        <f>IFERROR(__xludf.DUMMYFUNCTION("""COMPUTED_VALUE"""),"Argentina")</f>
        <v>Argentina</v>
      </c>
      <c r="C419" s="6" t="str">
        <f>IFERROR(__xludf.DUMMYFUNCTION("""COMPUTED_VALUE"""),"SaaS")</f>
        <v>SaaS</v>
      </c>
    </row>
    <row r="420" hidden="1">
      <c r="A420" s="6" t="str">
        <f>IFERROR(__xludf.DUMMYFUNCTION("""COMPUTED_VALUE"""),"human decode")</f>
        <v>human decode</v>
      </c>
      <c r="B420" s="6" t="str">
        <f>IFERROR(__xludf.DUMMYFUNCTION("""COMPUTED_VALUE"""),"Argentina")</f>
        <v>Argentina</v>
      </c>
      <c r="C420" s="6" t="str">
        <f>IFERROR(__xludf.DUMMYFUNCTION("""COMPUTED_VALUE"""),"Software Factory / Staffing")</f>
        <v>Software Factory / Staffing</v>
      </c>
    </row>
    <row r="421">
      <c r="A421" s="6" t="str">
        <f>IFERROR(__xludf.DUMMYFUNCTION("""COMPUTED_VALUE"""),"mendel")</f>
        <v>mendel</v>
      </c>
      <c r="B421" s="6" t="str">
        <f>IFERROR(__xludf.DUMMYFUNCTION("""COMPUTED_VALUE"""),"mexico")</f>
        <v>mexico</v>
      </c>
      <c r="C421" s="6" t="str">
        <f>IFERROR(__xludf.DUMMYFUNCTION("""COMPUTED_VALUE"""),"Banking &amp; Financial Servicies")</f>
        <v>Banking &amp; Financial Servicies</v>
      </c>
    </row>
    <row r="422">
      <c r="A422" s="6" t="str">
        <f>IFERROR(__xludf.DUMMYFUNCTION("""COMPUTED_VALUE"""),"mbsoft sa")</f>
        <v>mbsoft sa</v>
      </c>
      <c r="B422" s="6" t="str">
        <f>IFERROR(__xludf.DUMMYFUNCTION("""COMPUTED_VALUE"""),"Argentina")</f>
        <v>Argentina</v>
      </c>
      <c r="C422" s="6" t="str">
        <f>IFERROR(__xludf.DUMMYFUNCTION("""COMPUTED_VALUE"""),"Software Factory / Staffing")</f>
        <v>Software Factory / Staffing</v>
      </c>
    </row>
    <row r="423" hidden="1">
      <c r="A423" s="6" t="str">
        <f>IFERROR(__xludf.DUMMYFUNCTION("""COMPUTED_VALUE"""),"rather labs")</f>
        <v>rather labs</v>
      </c>
      <c r="B423" s="6" t="str">
        <f>IFERROR(__xludf.DUMMYFUNCTION("""COMPUTED_VALUE"""),"Argentina")</f>
        <v>Argentina</v>
      </c>
      <c r="C423" s="6" t="str">
        <f>IFERROR(__xludf.DUMMYFUNCTION("""COMPUTED_VALUE"""),"Software Factory / Staffing")</f>
        <v>Software Factory / Staffing</v>
      </c>
    </row>
    <row r="424" hidden="1">
      <c r="A424" s="6" t="str">
        <f>IFERROR(__xludf.DUMMYFUNCTION("""COMPUTED_VALUE"""),"noa experience")</f>
        <v>noa experience</v>
      </c>
      <c r="B424" s="6" t="str">
        <f>IFERROR(__xludf.DUMMYFUNCTION("""COMPUTED_VALUE"""),"Colombia")</f>
        <v>Colombia</v>
      </c>
      <c r="C424" s="6" t="str">
        <f>IFERROR(__xludf.DUMMYFUNCTION("""COMPUTED_VALUE"""),"Marketing &amp; Advertising")</f>
        <v>Marketing &amp; Advertising</v>
      </c>
    </row>
    <row r="425" hidden="1">
      <c r="A425" s="6" t="str">
        <f>IFERROR(__xludf.DUMMYFUNCTION("""COMPUTED_VALUE"""),"novolabs")</f>
        <v>novolabs</v>
      </c>
      <c r="B425" s="6" t="str">
        <f>IFERROR(__xludf.DUMMYFUNCTION("""COMPUTED_VALUE"""),"España")</f>
        <v>España</v>
      </c>
      <c r="C425" s="6" t="str">
        <f>IFERROR(__xludf.DUMMYFUNCTION("""COMPUTED_VALUE"""),"Software Factory / Staffing")</f>
        <v>Software Factory / Staffing</v>
      </c>
    </row>
    <row r="426" hidden="1">
      <c r="A426" s="6" t="str">
        <f>IFERROR(__xludf.DUMMYFUNCTION("""COMPUTED_VALUE"""),"chicho corp")</f>
        <v>chicho corp</v>
      </c>
      <c r="B426" s="6" t="str">
        <f>IFERROR(__xludf.DUMMYFUNCTION("""COMPUTED_VALUE"""),"Peru")</f>
        <v>Peru</v>
      </c>
      <c r="C426" s="6" t="str">
        <f>IFERROR(__xludf.DUMMYFUNCTION("""COMPUTED_VALUE"""),"Other")</f>
        <v>Other</v>
      </c>
    </row>
    <row r="427" hidden="1">
      <c r="A427" s="6" t="str">
        <f>IFERROR(__xludf.DUMMYFUNCTION("""COMPUTED_VALUE"""),"invasor")</f>
        <v>invasor</v>
      </c>
      <c r="B427" s="6" t="str">
        <f>IFERROR(__xludf.DUMMYFUNCTION("""COMPUTED_VALUE"""),"mexico")</f>
        <v>mexico</v>
      </c>
      <c r="C427" s="6" t="str">
        <f>IFERROR(__xludf.DUMMYFUNCTION("""COMPUTED_VALUE"""),"Marketing &amp; Advertising")</f>
        <v>Marketing &amp; Advertising</v>
      </c>
    </row>
    <row r="428" hidden="1">
      <c r="A428" s="6" t="str">
        <f>IFERROR(__xludf.DUMMYFUNCTION("""COMPUTED_VALUE"""),"tele red imagen s.a.")</f>
        <v>tele red imagen s.a.</v>
      </c>
      <c r="B428" s="4"/>
      <c r="C428" s="6" t="str">
        <f>IFERROR(__xludf.DUMMYFUNCTION("""COMPUTED_VALUE"""),"Messaging and Telecommunications")</f>
        <v>Messaging and Telecommunications</v>
      </c>
    </row>
    <row r="429" hidden="1">
      <c r="A429" s="6" t="str">
        <f>IFERROR(__xludf.DUMMYFUNCTION("""COMPUTED_VALUE"""),"evo-ion")</f>
        <v>evo-ion</v>
      </c>
      <c r="B429" s="6" t="str">
        <f>IFERROR(__xludf.DUMMYFUNCTION("""COMPUTED_VALUE"""),"Colombia")</f>
        <v>Colombia</v>
      </c>
      <c r="C429" s="6" t="str">
        <f>IFERROR(__xludf.DUMMYFUNCTION("""COMPUTED_VALUE"""),"Logistics")</f>
        <v>Logistics</v>
      </c>
    </row>
    <row r="430" hidden="1">
      <c r="A430" s="6" t="str">
        <f>IFERROR(__xludf.DUMMYFUNCTION("""COMPUTED_VALUE"""),"truehome")</f>
        <v>truehome</v>
      </c>
      <c r="B430" s="6" t="str">
        <f>IFERROR(__xludf.DUMMYFUNCTION("""COMPUTED_VALUE"""),"Mexico")</f>
        <v>Mexico</v>
      </c>
      <c r="C430" s="6" t="str">
        <f>IFERROR(__xludf.DUMMYFUNCTION("""COMPUTED_VALUE"""),"PropTech / Real State")</f>
        <v>PropTech / Real State</v>
      </c>
    </row>
    <row r="431" hidden="1">
      <c r="A431" s="6" t="str">
        <f>IFERROR(__xludf.DUMMYFUNCTION("""COMPUTED_VALUE"""),"freemoni")</f>
        <v>freemoni</v>
      </c>
      <c r="B431" s="6" t="str">
        <f>IFERROR(__xludf.DUMMYFUNCTION("""COMPUTED_VALUE"""),"Argentina")</f>
        <v>Argentina</v>
      </c>
      <c r="C431" s="6" t="str">
        <f>IFERROR(__xludf.DUMMYFUNCTION("""COMPUTED_VALUE"""),"Banking &amp; Financial Servicies")</f>
        <v>Banking &amp; Financial Servicies</v>
      </c>
    </row>
    <row r="432" hidden="1">
      <c r="A432" s="6" t="str">
        <f>IFERROR(__xludf.DUMMYFUNCTION("""COMPUTED_VALUE"""),"musure world")</f>
        <v>musure world</v>
      </c>
      <c r="B432" s="6" t="str">
        <f>IFERROR(__xludf.DUMMYFUNCTION("""COMPUTED_VALUE"""),"Argentina")</f>
        <v>Argentina</v>
      </c>
      <c r="C432" s="6" t="str">
        <f>IFERROR(__xludf.DUMMYFUNCTION("""COMPUTED_VALUE"""),"Gaming")</f>
        <v>Gaming</v>
      </c>
    </row>
    <row r="433" hidden="1">
      <c r="A433" s="6" t="str">
        <f>IFERROR(__xludf.DUMMYFUNCTION("""COMPUTED_VALUE"""),"hexacta sa")</f>
        <v>hexacta sa</v>
      </c>
      <c r="B433" s="6" t="str">
        <f>IFERROR(__xludf.DUMMYFUNCTION("""COMPUTED_VALUE"""),"Argentina")</f>
        <v>Argentina</v>
      </c>
      <c r="C433" s="6" t="str">
        <f>IFERROR(__xludf.DUMMYFUNCTION("""COMPUTED_VALUE"""),"Software Factory / Staffing")</f>
        <v>Software Factory / Staffing</v>
      </c>
    </row>
    <row r="434" hidden="1">
      <c r="A434" s="6" t="str">
        <f>IFERROR(__xludf.DUMMYFUNCTION("""COMPUTED_VALUE"""),"sibco consultores")</f>
        <v>sibco consultores</v>
      </c>
      <c r="B434" s="6" t="str">
        <f>IFERROR(__xludf.DUMMYFUNCTION("""COMPUTED_VALUE"""),"Argentina")</f>
        <v>Argentina</v>
      </c>
      <c r="C434" s="6" t="str">
        <f>IFERROR(__xludf.DUMMYFUNCTION("""COMPUTED_VALUE"""),"Management Consulting")</f>
        <v>Management Consulting</v>
      </c>
    </row>
    <row r="435" hidden="1">
      <c r="A435" s="6" t="str">
        <f>IFERROR(__xludf.DUMMYFUNCTION("""COMPUTED_VALUE"""),"gobierno de la ciudad de buenos aires")</f>
        <v>gobierno de la ciudad de buenos aires</v>
      </c>
      <c r="B435" s="6" t="str">
        <f>IFERROR(__xludf.DUMMYFUNCTION("""COMPUTED_VALUE"""),"Argentina")</f>
        <v>Argentina</v>
      </c>
      <c r="C435" s="6" t="str">
        <f>IFERROR(__xludf.DUMMYFUNCTION("""COMPUTED_VALUE"""),"Public Center")</f>
        <v>Public Center</v>
      </c>
    </row>
    <row r="436" hidden="1">
      <c r="A436" s="6" t="str">
        <f>IFERROR(__xludf.DUMMYFUNCTION("""COMPUTED_VALUE"""),"hueneit it services")</f>
        <v>hueneit it services</v>
      </c>
      <c r="B436" s="6" t="str">
        <f>IFERROR(__xludf.DUMMYFUNCTION("""COMPUTED_VALUE"""),"Argentina")</f>
        <v>Argentina</v>
      </c>
      <c r="C436" s="6" t="str">
        <f>IFERROR(__xludf.DUMMYFUNCTION("""COMPUTED_VALUE"""),"Software Factory / Staffing")</f>
        <v>Software Factory / Staffing</v>
      </c>
    </row>
    <row r="437" hidden="1">
      <c r="A437" s="6" t="str">
        <f>IFERROR(__xludf.DUMMYFUNCTION("""COMPUTED_VALUE"""),"lindo software/voy en bus")</f>
        <v>lindo software/voy en bus</v>
      </c>
      <c r="B437" s="4"/>
      <c r="C437" s="4"/>
    </row>
    <row r="438" hidden="1">
      <c r="A438" s="6" t="str">
        <f>IFERROR(__xludf.DUMMYFUNCTION("""COMPUTED_VALUE"""),"eldar srl")</f>
        <v>eldar srl</v>
      </c>
      <c r="B438" s="6" t="str">
        <f>IFERROR(__xludf.DUMMYFUNCTION("""COMPUTED_VALUE"""),"Argentina")</f>
        <v>Argentina</v>
      </c>
      <c r="C438" s="6" t="str">
        <f>IFERROR(__xludf.DUMMYFUNCTION("""COMPUTED_VALUE"""),"Software Factory / Staffing")</f>
        <v>Software Factory / Staffing</v>
      </c>
    </row>
    <row r="439" hidden="1">
      <c r="A439" s="6" t="str">
        <f>IFERROR(__xludf.DUMMYFUNCTION("""COMPUTED_VALUE"""),"cepsi - unlp")</f>
        <v>cepsi - unlp</v>
      </c>
      <c r="B439" s="4"/>
      <c r="C439" s="4"/>
    </row>
    <row r="440" hidden="1">
      <c r="A440" s="6" t="str">
        <f>IFERROR(__xludf.DUMMYFUNCTION("""COMPUTED_VALUE"""),"vfg consulting")</f>
        <v>vfg consulting</v>
      </c>
      <c r="B440" s="6" t="str">
        <f>IFERROR(__xludf.DUMMYFUNCTION("""COMPUTED_VALUE"""),"Uruguay")</f>
        <v>Uruguay</v>
      </c>
      <c r="C440" s="6" t="str">
        <f>IFERROR(__xludf.DUMMYFUNCTION("""COMPUTED_VALUE"""),"Management Consulting")</f>
        <v>Management Consulting</v>
      </c>
    </row>
    <row r="441" hidden="1">
      <c r="A441" s="6" t="str">
        <f>IFERROR(__xludf.DUMMYFUNCTION("""COMPUTED_VALUE"""),"bit s.a.")</f>
        <v>bit s.a.</v>
      </c>
      <c r="B441" s="6" t="str">
        <f>IFERROR(__xludf.DUMMYFUNCTION("""COMPUTED_VALUE"""),"Argentina")</f>
        <v>Argentina</v>
      </c>
      <c r="C441" s="6" t="str">
        <f>IFERROR(__xludf.DUMMYFUNCTION("""COMPUTED_VALUE"""),"Management Consulting")</f>
        <v>Management Consulting</v>
      </c>
    </row>
    <row r="442" hidden="1">
      <c r="A442" s="6" t="str">
        <f>IFERROR(__xludf.DUMMYFUNCTION("""COMPUTED_VALUE"""),"everst")</f>
        <v>everst</v>
      </c>
      <c r="B442" s="6" t="str">
        <f>IFERROR(__xludf.DUMMYFUNCTION("""COMPUTED_VALUE"""),"mexico")</f>
        <v>mexico</v>
      </c>
      <c r="C442" s="6" t="str">
        <f>IFERROR(__xludf.DUMMYFUNCTION("""COMPUTED_VALUE"""),"Software Factory / Staffing")</f>
        <v>Software Factory / Staffing</v>
      </c>
    </row>
    <row r="443" hidden="1">
      <c r="A443" s="6" t="str">
        <f>IFERROR(__xludf.DUMMYFUNCTION("""COMPUTED_VALUE"""),"technisys")</f>
        <v>technisys</v>
      </c>
      <c r="B443" s="6" t="str">
        <f>IFERROR(__xludf.DUMMYFUNCTION("""COMPUTED_VALUE"""),"Estados Unidos")</f>
        <v>Estados Unidos</v>
      </c>
      <c r="C443" s="6" t="str">
        <f>IFERROR(__xludf.DUMMYFUNCTION("""COMPUTED_VALUE"""),"Banking &amp; Financial Servicies")</f>
        <v>Banking &amp; Financial Servicies</v>
      </c>
    </row>
    <row r="444" hidden="1">
      <c r="A444" s="6" t="str">
        <f>IFERROR(__xludf.DUMMYFUNCTION("""COMPUTED_VALUE"""),"algoritmo")</f>
        <v>algoritmo</v>
      </c>
      <c r="B444" s="6" t="str">
        <f>IFERROR(__xludf.DUMMYFUNCTION("""COMPUTED_VALUE"""),"Colombia")</f>
        <v>Colombia</v>
      </c>
      <c r="C444" s="6" t="str">
        <f>IFERROR(__xludf.DUMMYFUNCTION("""COMPUTED_VALUE"""),"Software Factory / Staffing")</f>
        <v>Software Factory / Staffing</v>
      </c>
    </row>
    <row r="445" hidden="1">
      <c r="A445" s="6" t="str">
        <f>IFERROR(__xludf.DUMMYFUNCTION("""COMPUTED_VALUE"""),"the factory project")</f>
        <v>the factory project</v>
      </c>
      <c r="B445" s="6" t="str">
        <f>IFERROR(__xludf.DUMMYFUNCTION("""COMPUTED_VALUE"""),"Estados Unidos")</f>
        <v>Estados Unidos</v>
      </c>
      <c r="C445" s="6" t="str">
        <f>IFERROR(__xludf.DUMMYFUNCTION("""COMPUTED_VALUE"""),"Management Consulting")</f>
        <v>Management Consulting</v>
      </c>
    </row>
    <row r="446" hidden="1">
      <c r="A446" s="6" t="str">
        <f>IFERROR(__xludf.DUMMYFUNCTION("""COMPUTED_VALUE"""),"eat catering")</f>
        <v>eat catering</v>
      </c>
      <c r="B446" s="6" t="str">
        <f>IFERROR(__xludf.DUMMYFUNCTION("""COMPUTED_VALUE"""),"Estados Unidos")</f>
        <v>Estados Unidos</v>
      </c>
      <c r="C446" s="6" t="str">
        <f>IFERROR(__xludf.DUMMYFUNCTION("""COMPUTED_VALUE"""),"FMCG / Consumo masivo")</f>
        <v>FMCG / Consumo masivo</v>
      </c>
    </row>
    <row r="447" hidden="1">
      <c r="A447" s="6" t="str">
        <f>IFERROR(__xludf.DUMMYFUNCTION("""COMPUTED_VALUE"""),"cooperativa mental")</f>
        <v>cooperativa mental</v>
      </c>
      <c r="B447" s="6" t="str">
        <f>IFERROR(__xludf.DUMMYFUNCTION("""COMPUTED_VALUE"""),"Argentina")</f>
        <v>Argentina</v>
      </c>
      <c r="C447" s="6" t="str">
        <f>IFERROR(__xludf.DUMMYFUNCTION("""COMPUTED_VALUE"""),"Marketing &amp; Advertising")</f>
        <v>Marketing &amp; Advertising</v>
      </c>
    </row>
    <row r="448" hidden="1">
      <c r="A448" s="6" t="str">
        <f>IFERROR(__xludf.DUMMYFUNCTION("""COMPUTED_VALUE"""),"pay per tic")</f>
        <v>pay per tic</v>
      </c>
      <c r="B448" s="6" t="str">
        <f>IFERROR(__xludf.DUMMYFUNCTION("""COMPUTED_VALUE"""),"Argentina")</f>
        <v>Argentina</v>
      </c>
      <c r="C448" s="6" t="str">
        <f>IFERROR(__xludf.DUMMYFUNCTION("""COMPUTED_VALUE"""),"SaaS")</f>
        <v>SaaS</v>
      </c>
    </row>
    <row r="449" hidden="1">
      <c r="A449" s="6" t="str">
        <f>IFERROR(__xludf.DUMMYFUNCTION("""COMPUTED_VALUE"""),"gastronomia graffi sa")</f>
        <v>gastronomia graffi sa</v>
      </c>
      <c r="B449" s="6" t="str">
        <f>IFERROR(__xludf.DUMMYFUNCTION("""COMPUTED_VALUE"""),"Argentina")</f>
        <v>Argentina</v>
      </c>
      <c r="C449" s="6" t="str">
        <f>IFERROR(__xludf.DUMMYFUNCTION("""COMPUTED_VALUE"""),"Other")</f>
        <v>Other</v>
      </c>
    </row>
    <row r="450" hidden="1">
      <c r="A450" s="6" t="str">
        <f>IFERROR(__xludf.DUMMYFUNCTION("""COMPUTED_VALUE"""),"toplance")</f>
        <v>toplance</v>
      </c>
      <c r="B450" s="6" t="str">
        <f>IFERROR(__xludf.DUMMYFUNCTION("""COMPUTED_VALUE"""),"Chile")</f>
        <v>Chile</v>
      </c>
      <c r="C450" s="6" t="str">
        <f>IFERROR(__xludf.DUMMYFUNCTION("""COMPUTED_VALUE"""),"Human Resources")</f>
        <v>Human Resources</v>
      </c>
    </row>
    <row r="451" hidden="1">
      <c r="A451" s="6" t="str">
        <f>IFERROR(__xludf.DUMMYFUNCTION("""COMPUTED_VALUE"""),"nextia")</f>
        <v>nextia</v>
      </c>
      <c r="B451" s="6" t="str">
        <f>IFERROR(__xludf.DUMMYFUNCTION("""COMPUTED_VALUE"""),"Francia")</f>
        <v>Francia</v>
      </c>
      <c r="C451" s="6" t="str">
        <f>IFERROR(__xludf.DUMMYFUNCTION("""COMPUTED_VALUE"""),"Marketing &amp; Advertising")</f>
        <v>Marketing &amp; Advertising</v>
      </c>
    </row>
    <row r="452" hidden="1">
      <c r="A452" s="6" t="str">
        <f>IFERROR(__xludf.DUMMYFUNCTION("""COMPUTED_VALUE"""),"sofka")</f>
        <v>sofka</v>
      </c>
      <c r="B452" s="6" t="str">
        <f>IFERROR(__xludf.DUMMYFUNCTION("""COMPUTED_VALUE"""),"Colombia")</f>
        <v>Colombia</v>
      </c>
      <c r="C452" s="6" t="str">
        <f>IFERROR(__xludf.DUMMYFUNCTION("""COMPUTED_VALUE"""),"Software Factory / Staffing")</f>
        <v>Software Factory / Staffing</v>
      </c>
    </row>
    <row r="453" hidden="1">
      <c r="A453" s="6" t="str">
        <f>IFERROR(__xludf.DUMMYFUNCTION("""COMPUTED_VALUE"""),"mujer financiera")</f>
        <v>mujer financiera</v>
      </c>
      <c r="B453" s="6" t="str">
        <f>IFERROR(__xludf.DUMMYFUNCTION("""COMPUTED_VALUE"""),"Argentina")</f>
        <v>Argentina</v>
      </c>
      <c r="C453" s="6" t="str">
        <f>IFERROR(__xludf.DUMMYFUNCTION("""COMPUTED_VALUE"""),"Education &amp; Edtech")</f>
        <v>Education &amp; Edtech</v>
      </c>
    </row>
    <row r="454" hidden="1">
      <c r="A454" s="6" t="str">
        <f>IFERROR(__xludf.DUMMYFUNCTION("""COMPUTED_VALUE"""),"colegio de martilleros y corredores lomas de zamora")</f>
        <v>colegio de martilleros y corredores lomas de zamora</v>
      </c>
      <c r="B454" s="6" t="str">
        <f>IFERROR(__xludf.DUMMYFUNCTION("""COMPUTED_VALUE"""),"Argentina")</f>
        <v>Argentina</v>
      </c>
      <c r="C454" s="6" t="str">
        <f>IFERROR(__xludf.DUMMYFUNCTION("""COMPUTED_VALUE"""),"Public Center")</f>
        <v>Public Center</v>
      </c>
    </row>
    <row r="455" hidden="1">
      <c r="A455" s="6" t="str">
        <f>IFERROR(__xludf.DUMMYFUNCTION("""COMPUTED_VALUE"""),"folder it")</f>
        <v>folder it</v>
      </c>
      <c r="B455" s="6" t="str">
        <f>IFERROR(__xludf.DUMMYFUNCTION("""COMPUTED_VALUE"""),"Argentina")</f>
        <v>Argentina</v>
      </c>
      <c r="C455" s="6" t="str">
        <f>IFERROR(__xludf.DUMMYFUNCTION("""COMPUTED_VALUE"""),"SaaS")</f>
        <v>SaaS</v>
      </c>
    </row>
    <row r="456" hidden="1">
      <c r="A456" s="6" t="str">
        <f>IFERROR(__xludf.DUMMYFUNCTION("""COMPUTED_VALUE"""),"big data machine")</f>
        <v>big data machine</v>
      </c>
      <c r="B456" s="6" t="str">
        <f>IFERROR(__xludf.DUMMYFUNCTION("""COMPUTED_VALUE"""),"Uruguay")</f>
        <v>Uruguay</v>
      </c>
      <c r="C456" s="6" t="str">
        <f>IFERROR(__xludf.DUMMYFUNCTION("""COMPUTED_VALUE"""),"Software Factory / Staffing")</f>
        <v>Software Factory / Staffing</v>
      </c>
    </row>
    <row r="457" hidden="1">
      <c r="A457" s="6" t="str">
        <f>IFERROR(__xludf.DUMMYFUNCTION("""COMPUTED_VALUE"""),"kargoru")</f>
        <v>kargoru</v>
      </c>
      <c r="B457" s="6" t="str">
        <f>IFERROR(__xludf.DUMMYFUNCTION("""COMPUTED_VALUE"""),"Colombia")</f>
        <v>Colombia</v>
      </c>
      <c r="C457" s="6" t="str">
        <f>IFERROR(__xludf.DUMMYFUNCTION("""COMPUTED_VALUE"""),"Logistics")</f>
        <v>Logistics</v>
      </c>
    </row>
    <row r="458" hidden="1">
      <c r="A458" s="6" t="str">
        <f>IFERROR(__xludf.DUMMYFUNCTION("""COMPUTED_VALUE"""),"opendev pro")</f>
        <v>opendev pro</v>
      </c>
      <c r="B458" s="6" t="str">
        <f>IFERROR(__xludf.DUMMYFUNCTION("""COMPUTED_VALUE"""),"Argentina")</f>
        <v>Argentina</v>
      </c>
      <c r="C458" s="6" t="str">
        <f>IFERROR(__xludf.DUMMYFUNCTION("""COMPUTED_VALUE"""),"Software Factory / Staffing")</f>
        <v>Software Factory / Staffing</v>
      </c>
    </row>
    <row r="459" hidden="1">
      <c r="A459" s="6" t="str">
        <f>IFERROR(__xludf.DUMMYFUNCTION("""COMPUTED_VALUE"""),"flobi")</f>
        <v>flobi</v>
      </c>
      <c r="B459" s="6" t="str">
        <f>IFERROR(__xludf.DUMMYFUNCTION("""COMPUTED_VALUE"""),"Argentina")</f>
        <v>Argentina</v>
      </c>
      <c r="C459" s="6" t="str">
        <f>IFERROR(__xludf.DUMMYFUNCTION("""COMPUTED_VALUE"""),"Other")</f>
        <v>Other</v>
      </c>
    </row>
    <row r="460" hidden="1">
      <c r="A460" s="6" t="str">
        <f>IFERROR(__xludf.DUMMYFUNCTION("""COMPUTED_VALUE"""),"tuix gmbh")</f>
        <v>tuix gmbh</v>
      </c>
      <c r="B460" s="6" t="str">
        <f>IFERROR(__xludf.DUMMYFUNCTION("""COMPUTED_VALUE"""),"Alemania")</f>
        <v>Alemania</v>
      </c>
      <c r="C460" s="6" t="str">
        <f>IFERROR(__xludf.DUMMYFUNCTION("""COMPUTED_VALUE"""),"Software Factory / Staffing")</f>
        <v>Software Factory / Staffing</v>
      </c>
    </row>
    <row r="461" hidden="1">
      <c r="A461" s="6" t="str">
        <f>IFERROR(__xludf.DUMMYFUNCTION("""COMPUTED_VALUE"""),"customer scoops")</f>
        <v>customer scoops</v>
      </c>
      <c r="B461" s="6" t="str">
        <f>IFERROR(__xludf.DUMMYFUNCTION("""COMPUTED_VALUE"""),"Chile")</f>
        <v>Chile</v>
      </c>
      <c r="C461" s="6" t="str">
        <f>IFERROR(__xludf.DUMMYFUNCTION("""COMPUTED_VALUE"""),"Software Factory / Staffing")</f>
        <v>Software Factory / Staffing</v>
      </c>
    </row>
    <row r="462" hidden="1">
      <c r="A462" s="6" t="str">
        <f>IFERROR(__xludf.DUMMYFUNCTION("""COMPUTED_VALUE"""),"ant pack")</f>
        <v>ant pack</v>
      </c>
      <c r="B462" s="6" t="str">
        <f>IFERROR(__xludf.DUMMYFUNCTION("""COMPUTED_VALUE"""),"Colombia")</f>
        <v>Colombia</v>
      </c>
      <c r="C462" s="6" t="str">
        <f>IFERROR(__xludf.DUMMYFUNCTION("""COMPUTED_VALUE"""),"Software Factory / Staffing")</f>
        <v>Software Factory / Staffing</v>
      </c>
    </row>
    <row r="463" hidden="1">
      <c r="A463" s="6" t="str">
        <f>IFERROR(__xludf.DUMMYFUNCTION("""COMPUTED_VALUE"""),"ibm")</f>
        <v>ibm</v>
      </c>
      <c r="B463" s="6" t="str">
        <f>IFERROR(__xludf.DUMMYFUNCTION("""COMPUTED_VALUE"""),"Argentina")</f>
        <v>Argentina</v>
      </c>
      <c r="C463" s="6" t="str">
        <f>IFERROR(__xludf.DUMMYFUNCTION("""COMPUTED_VALUE"""),"Software Factory / Staffing")</f>
        <v>Software Factory / Staffing</v>
      </c>
    </row>
    <row r="464" hidden="1">
      <c r="A464" s="6" t="str">
        <f>IFERROR(__xludf.DUMMYFUNCTION("""COMPUTED_VALUE"""),"saeko")</f>
        <v>saeko</v>
      </c>
      <c r="B464" s="6" t="str">
        <f>IFERROR(__xludf.DUMMYFUNCTION("""COMPUTED_VALUE"""),"mexico")</f>
        <v>mexico</v>
      </c>
      <c r="C464" s="6" t="str">
        <f>IFERROR(__xludf.DUMMYFUNCTION("""COMPUTED_VALUE"""),"SaaS")</f>
        <v>SaaS</v>
      </c>
    </row>
    <row r="465" hidden="1">
      <c r="A465" s="6" t="str">
        <f>IFERROR(__xludf.DUMMYFUNCTION("""COMPUTED_VALUE"""),"suitedb")</f>
        <v>suitedb</v>
      </c>
      <c r="B465" s="6" t="str">
        <f>IFERROR(__xludf.DUMMYFUNCTION("""COMPUTED_VALUE"""),"uruguay")</f>
        <v>uruguay</v>
      </c>
      <c r="C465" s="6" t="str">
        <f>IFERROR(__xludf.DUMMYFUNCTION("""COMPUTED_VALUE"""),"E-commerce")</f>
        <v>E-commerce</v>
      </c>
    </row>
    <row r="466" hidden="1">
      <c r="A466" s="6" t="str">
        <f>IFERROR(__xludf.DUMMYFUNCTION("""COMPUTED_VALUE"""),"ad badger")</f>
        <v>ad badger</v>
      </c>
      <c r="B466" s="6" t="str">
        <f>IFERROR(__xludf.DUMMYFUNCTION("""COMPUTED_VALUE"""),"Estados Unidos")</f>
        <v>Estados Unidos</v>
      </c>
      <c r="C466" s="6" t="str">
        <f>IFERROR(__xludf.DUMMYFUNCTION("""COMPUTED_VALUE"""),"Marketing &amp; Advertising")</f>
        <v>Marketing &amp; Advertising</v>
      </c>
    </row>
    <row r="467" hidden="1">
      <c r="A467" s="6" t="str">
        <f>IFERROR(__xludf.DUMMYFUNCTION("""COMPUTED_VALUE"""),"grupo supervielle")</f>
        <v>grupo supervielle</v>
      </c>
      <c r="B467" s="6" t="str">
        <f>IFERROR(__xludf.DUMMYFUNCTION("""COMPUTED_VALUE"""),"Argentina")</f>
        <v>Argentina</v>
      </c>
      <c r="C467" s="6" t="str">
        <f>IFERROR(__xludf.DUMMYFUNCTION("""COMPUTED_VALUE"""),"Banking &amp; Financial Servicies")</f>
        <v>Banking &amp; Financial Servicies</v>
      </c>
    </row>
    <row r="468" hidden="1">
      <c r="A468" s="6" t="str">
        <f>IFERROR(__xludf.DUMMYFUNCTION("""COMPUTED_VALUE"""),"municipalidad de obera")</f>
        <v>municipalidad de obera</v>
      </c>
      <c r="B468" s="6" t="str">
        <f>IFERROR(__xludf.DUMMYFUNCTION("""COMPUTED_VALUE"""),"Argentina")</f>
        <v>Argentina</v>
      </c>
      <c r="C468" s="6" t="str">
        <f>IFERROR(__xludf.DUMMYFUNCTION("""COMPUTED_VALUE"""),"Public Center")</f>
        <v>Public Center</v>
      </c>
    </row>
    <row r="469" hidden="1">
      <c r="A469" s="6" t="str">
        <f>IFERROR(__xludf.DUMMYFUNCTION("""COMPUTED_VALUE"""),"gocloud")</f>
        <v>gocloud</v>
      </c>
      <c r="B469" s="6" t="str">
        <f>IFERROR(__xludf.DUMMYFUNCTION("""COMPUTED_VALUE"""),"Estados Unidos")</f>
        <v>Estados Unidos</v>
      </c>
      <c r="C469" s="6" t="str">
        <f>IFERROR(__xludf.DUMMYFUNCTION("""COMPUTED_VALUE"""),"Software Factory / Staffing")</f>
        <v>Software Factory / Staffing</v>
      </c>
    </row>
    <row r="470" hidden="1">
      <c r="A470" s="6" t="str">
        <f>IFERROR(__xludf.DUMMYFUNCTION("""COMPUTED_VALUE"""),"gigigo - econom digital")</f>
        <v>gigigo - econom digital</v>
      </c>
      <c r="B470" s="6" t="str">
        <f>IFERROR(__xludf.DUMMYFUNCTION("""COMPUTED_VALUE"""),"España")</f>
        <v>España</v>
      </c>
      <c r="C470" s="6" t="str">
        <f>IFERROR(__xludf.DUMMYFUNCTION("""COMPUTED_VALUE"""),"Marketing &amp; Advertising")</f>
        <v>Marketing &amp; Advertising</v>
      </c>
    </row>
    <row r="471" hidden="1">
      <c r="A471" s="6" t="str">
        <f>IFERROR(__xludf.DUMMYFUNCTION("""COMPUTED_VALUE"""),"telecom")</f>
        <v>telecom</v>
      </c>
      <c r="B471" s="6" t="str">
        <f>IFERROR(__xludf.DUMMYFUNCTION("""COMPUTED_VALUE"""),"Argentina")</f>
        <v>Argentina</v>
      </c>
      <c r="C471" s="6" t="str">
        <f>IFERROR(__xludf.DUMMYFUNCTION("""COMPUTED_VALUE"""),"Media &amp; Communication")</f>
        <v>Media &amp; Communication</v>
      </c>
    </row>
    <row r="472" hidden="1">
      <c r="A472" s="6" t="str">
        <f>IFERROR(__xludf.DUMMYFUNCTION("""COMPUTED_VALUE"""),"litebox")</f>
        <v>litebox</v>
      </c>
      <c r="B472" s="6" t="str">
        <f>IFERROR(__xludf.DUMMYFUNCTION("""COMPUTED_VALUE"""),"Argentina")</f>
        <v>Argentina</v>
      </c>
      <c r="C472" s="6" t="str">
        <f>IFERROR(__xludf.DUMMYFUNCTION("""COMPUTED_VALUE"""),"Software Factory / Staffing")</f>
        <v>Software Factory / Staffing</v>
      </c>
    </row>
    <row r="473" hidden="1">
      <c r="A473" s="6" t="str">
        <f>IFERROR(__xludf.DUMMYFUNCTION("""COMPUTED_VALUE"""),"mayland labs")</f>
        <v>mayland labs</v>
      </c>
      <c r="B473" s="4"/>
      <c r="C473" s="6" t="str">
        <f>IFERROR(__xludf.DUMMYFUNCTION("""COMPUTED_VALUE"""),"Blockchain, Crypto &amp; NFT")</f>
        <v>Blockchain, Crypto &amp; NFT</v>
      </c>
    </row>
    <row r="474" hidden="1">
      <c r="A474" s="6" t="str">
        <f>IFERROR(__xludf.DUMMYFUNCTION("""COMPUTED_VALUE"""),"vaypol")</f>
        <v>vaypol</v>
      </c>
      <c r="B474" s="6" t="str">
        <f>IFERROR(__xludf.DUMMYFUNCTION("""COMPUTED_VALUE"""),"Argentina")</f>
        <v>Argentina</v>
      </c>
      <c r="C474" s="6" t="str">
        <f>IFERROR(__xludf.DUMMYFUNCTION("""COMPUTED_VALUE"""),"E-commerce")</f>
        <v>E-commerce</v>
      </c>
    </row>
    <row r="475" hidden="1">
      <c r="A475" s="6" t="str">
        <f>IFERROR(__xludf.DUMMYFUNCTION("""COMPUTED_VALUE"""),"chedoc")</f>
        <v>chedoc</v>
      </c>
      <c r="B475" s="6" t="str">
        <f>IFERROR(__xludf.DUMMYFUNCTION("""COMPUTED_VALUE"""),"Argentina")</f>
        <v>Argentina</v>
      </c>
      <c r="C475" s="6" t="str">
        <f>IFERROR(__xludf.DUMMYFUNCTION("""COMPUTED_VALUE"""),"Health")</f>
        <v>Health</v>
      </c>
    </row>
    <row r="476" hidden="1">
      <c r="A476" s="6" t="str">
        <f>IFERROR(__xludf.DUMMYFUNCTION("""COMPUTED_VALUE"""),"sportcheck sas")</f>
        <v>sportcheck sas</v>
      </c>
      <c r="B476" s="6" t="str">
        <f>IFERROR(__xludf.DUMMYFUNCTION("""COMPUTED_VALUE"""),"Colombia")</f>
        <v>Colombia</v>
      </c>
      <c r="C476" s="6" t="str">
        <f>IFERROR(__xludf.DUMMYFUNCTION("""COMPUTED_VALUE"""),"E-commerce")</f>
        <v>E-commerce</v>
      </c>
    </row>
    <row r="477">
      <c r="A477" s="6" t="str">
        <f>IFERROR(__xludf.DUMMYFUNCTION("""COMPUTED_VALUE"""),"shaman development studio")</f>
        <v>shaman development studio</v>
      </c>
      <c r="B477" s="6" t="str">
        <f>IFERROR(__xludf.DUMMYFUNCTION("""COMPUTED_VALUE"""),"uruguay")</f>
        <v>uruguay</v>
      </c>
      <c r="C477" s="6" t="str">
        <f>IFERROR(__xludf.DUMMYFUNCTION("""COMPUTED_VALUE"""),"Software Factory / Staffing")</f>
        <v>Software Factory / Staffing</v>
      </c>
    </row>
    <row r="478" hidden="1">
      <c r="A478" s="6" t="str">
        <f>IFERROR(__xludf.DUMMYFUNCTION("""COMPUTED_VALUE"""),"hellobuild")</f>
        <v>hellobuild</v>
      </c>
      <c r="B478" s="6" t="str">
        <f>IFERROR(__xludf.DUMMYFUNCTION("""COMPUTED_VALUE"""),"Colombia")</f>
        <v>Colombia</v>
      </c>
      <c r="C478" s="6" t="str">
        <f>IFERROR(__xludf.DUMMYFUNCTION("""COMPUTED_VALUE"""),"Software Factory / Staffing")</f>
        <v>Software Factory / Staffing</v>
      </c>
    </row>
    <row r="479" hidden="1">
      <c r="A479" s="6" t="str">
        <f>IFERROR(__xludf.DUMMYFUNCTION("""COMPUTED_VALUE"""),"beti")</f>
        <v>beti</v>
      </c>
      <c r="B479" s="6" t="str">
        <f>IFERROR(__xludf.DUMMYFUNCTION("""COMPUTED_VALUE"""),"israel")</f>
        <v>israel</v>
      </c>
      <c r="C479" s="6" t="str">
        <f>IFERROR(__xludf.DUMMYFUNCTION("""COMPUTED_VALUE"""),"Construction")</f>
        <v>Construction</v>
      </c>
    </row>
    <row r="480" hidden="1">
      <c r="A480" s="6" t="str">
        <f>IFERROR(__xludf.DUMMYFUNCTION("""COMPUTED_VALUE"""),"terminal zarate")</f>
        <v>terminal zarate</v>
      </c>
      <c r="B480" s="6" t="str">
        <f>IFERROR(__xludf.DUMMYFUNCTION("""COMPUTED_VALUE"""),"Argentina")</f>
        <v>Argentina</v>
      </c>
      <c r="C480" s="6" t="str">
        <f>IFERROR(__xludf.DUMMYFUNCTION("""COMPUTED_VALUE"""),"Public Center")</f>
        <v>Public Center</v>
      </c>
    </row>
    <row r="481" hidden="1">
      <c r="A481" s="6" t="str">
        <f>IFERROR(__xludf.DUMMYFUNCTION("""COMPUTED_VALUE"""),"gloouds")</f>
        <v>gloouds</v>
      </c>
      <c r="B481" s="6" t="str">
        <f>IFERROR(__xludf.DUMMYFUNCTION("""COMPUTED_VALUE"""),"España")</f>
        <v>España</v>
      </c>
      <c r="C481" s="6" t="str">
        <f>IFERROR(__xludf.DUMMYFUNCTION("""COMPUTED_VALUE"""),"Management Consulting")</f>
        <v>Management Consulting</v>
      </c>
    </row>
    <row r="482" hidden="1">
      <c r="A482" s="6" t="str">
        <f>IFERROR(__xludf.DUMMYFUNCTION("""COMPUTED_VALUE"""),"on the fuze")</f>
        <v>on the fuze</v>
      </c>
      <c r="B482" s="6" t="str">
        <f>IFERROR(__xludf.DUMMYFUNCTION("""COMPUTED_VALUE"""),"Colombia")</f>
        <v>Colombia</v>
      </c>
      <c r="C482" s="6" t="str">
        <f>IFERROR(__xludf.DUMMYFUNCTION("""COMPUTED_VALUE"""),"Marketing &amp; Advertising")</f>
        <v>Marketing &amp; Advertising</v>
      </c>
    </row>
    <row r="483" hidden="1">
      <c r="A483" s="6" t="str">
        <f>IFERROR(__xludf.DUMMYFUNCTION("""COMPUTED_VALUE"""),"churrasco")</f>
        <v>churrasco</v>
      </c>
      <c r="B483" s="6" t="str">
        <f>IFERROR(__xludf.DUMMYFUNCTION("""COMPUTED_VALUE"""),"Argentina")</f>
        <v>Argentina</v>
      </c>
      <c r="C483" s="6" t="str">
        <f>IFERROR(__xludf.DUMMYFUNCTION("""COMPUTED_VALUE"""),"Marketing &amp; Advertising")</f>
        <v>Marketing &amp; Advertising</v>
      </c>
    </row>
    <row r="484" hidden="1">
      <c r="A484" s="6" t="str">
        <f>IFERROR(__xludf.DUMMYFUNCTION("""COMPUTED_VALUE"""),"enersinc")</f>
        <v>enersinc</v>
      </c>
      <c r="B484" s="6" t="str">
        <f>IFERROR(__xludf.DUMMYFUNCTION("""COMPUTED_VALUE"""),"Colombia")</f>
        <v>Colombia</v>
      </c>
      <c r="C484" s="6" t="str">
        <f>IFERROR(__xludf.DUMMYFUNCTION("""COMPUTED_VALUE"""),"Management Consulting")</f>
        <v>Management Consulting</v>
      </c>
    </row>
    <row r="485" hidden="1">
      <c r="A485" s="6" t="str">
        <f>IFERROR(__xludf.DUMMYFUNCTION("""COMPUTED_VALUE"""),"labsxd")</f>
        <v>labsxd</v>
      </c>
      <c r="B485" s="6" t="str">
        <f>IFERROR(__xludf.DUMMYFUNCTION("""COMPUTED_VALUE"""),"Argentina")</f>
        <v>Argentina</v>
      </c>
      <c r="C485" s="6" t="str">
        <f>IFERROR(__xludf.DUMMYFUNCTION("""COMPUTED_VALUE"""),"Software Factory / Staffing")</f>
        <v>Software Factory / Staffing</v>
      </c>
    </row>
    <row r="486" hidden="1">
      <c r="A486" s="6" t="str">
        <f>IFERROR(__xludf.DUMMYFUNCTION("""COMPUTED_VALUE"""),"luxury presence")</f>
        <v>luxury presence</v>
      </c>
      <c r="B486" s="6" t="str">
        <f>IFERROR(__xludf.DUMMYFUNCTION("""COMPUTED_VALUE"""),"Estados Unidos")</f>
        <v>Estados Unidos</v>
      </c>
      <c r="C486" s="6" t="str">
        <f>IFERROR(__xludf.DUMMYFUNCTION("""COMPUTED_VALUE"""),"Marketing &amp; Advertising")</f>
        <v>Marketing &amp; Advertising</v>
      </c>
    </row>
    <row r="487" hidden="1">
      <c r="A487" s="6" t="str">
        <f>IFERROR(__xludf.DUMMYFUNCTION("""COMPUTED_VALUE"""),"bb - business bureau")</f>
        <v>bb - business bureau</v>
      </c>
      <c r="B487" s="4"/>
      <c r="C487" s="4"/>
    </row>
    <row r="488" hidden="1">
      <c r="A488" s="6" t="str">
        <f>IFERROR(__xludf.DUMMYFUNCTION("""COMPUTED_VALUE"""),"agea s.a.")</f>
        <v>agea s.a.</v>
      </c>
      <c r="B488" s="6" t="str">
        <f>IFERROR(__xludf.DUMMYFUNCTION("""COMPUTED_VALUE"""),"Chile")</f>
        <v>Chile</v>
      </c>
      <c r="C488" s="6" t="str">
        <f>IFERROR(__xludf.DUMMYFUNCTION("""COMPUTED_VALUE"""),"Other")</f>
        <v>Other</v>
      </c>
    </row>
    <row r="489" hidden="1">
      <c r="A489" s="6" t="str">
        <f>IFERROR(__xludf.DUMMYFUNCTION("""COMPUTED_VALUE"""),"cn grupo")</f>
        <v>cn grupo</v>
      </c>
      <c r="B489" s="6" t="str">
        <f>IFERROR(__xludf.DUMMYFUNCTION("""COMPUTED_VALUE"""),"Argentina")</f>
        <v>Argentina</v>
      </c>
      <c r="C489" s="6" t="str">
        <f>IFERROR(__xludf.DUMMYFUNCTION("""COMPUTED_VALUE"""),"Other")</f>
        <v>Other</v>
      </c>
    </row>
    <row r="490" hidden="1">
      <c r="A490" s="6" t="str">
        <f>IFERROR(__xludf.DUMMYFUNCTION("""COMPUTED_VALUE"""),"fitback")</f>
        <v>fitback</v>
      </c>
      <c r="B490" s="6" t="str">
        <f>IFERROR(__xludf.DUMMYFUNCTION("""COMPUTED_VALUE"""),"Argentina")</f>
        <v>Argentina</v>
      </c>
      <c r="C490" s="6" t="str">
        <f>IFERROR(__xludf.DUMMYFUNCTION("""COMPUTED_VALUE"""),"Gaming")</f>
        <v>Gaming</v>
      </c>
    </row>
    <row r="491">
      <c r="A491" s="6" t="str">
        <f>IFERROR(__xludf.DUMMYFUNCTION("""COMPUTED_VALUE"""),"blue alba srl")</f>
        <v>blue alba srl</v>
      </c>
      <c r="B491" s="6" t="str">
        <f>IFERROR(__xludf.DUMMYFUNCTION("""COMPUTED_VALUE"""),"Estados Unidos")</f>
        <v>Estados Unidos</v>
      </c>
      <c r="C491" s="6" t="str">
        <f>IFERROR(__xludf.DUMMYFUNCTION("""COMPUTED_VALUE"""),"Software Factory / Staffing")</f>
        <v>Software Factory / Staffing</v>
      </c>
    </row>
    <row r="492" hidden="1">
      <c r="A492" s="6" t="str">
        <f>IFERROR(__xludf.DUMMYFUNCTION("""COMPUTED_VALUE"""),"wirall")</f>
        <v>wirall</v>
      </c>
      <c r="B492" s="6" t="str">
        <f>IFERROR(__xludf.DUMMYFUNCTION("""COMPUTED_VALUE"""),"Argentina")</f>
        <v>Argentina</v>
      </c>
      <c r="C492" s="6" t="str">
        <f>IFERROR(__xludf.DUMMYFUNCTION("""COMPUTED_VALUE"""),"Software Factory / Staffing")</f>
        <v>Software Factory / Staffing</v>
      </c>
    </row>
    <row r="493" hidden="1">
      <c r="A493" s="6" t="str">
        <f>IFERROR(__xludf.DUMMYFUNCTION("""COMPUTED_VALUE"""),"konabos")</f>
        <v>konabos</v>
      </c>
      <c r="B493" s="6" t="str">
        <f>IFERROR(__xludf.DUMMYFUNCTION("""COMPUTED_VALUE"""),"Estados Unidos")</f>
        <v>Estados Unidos</v>
      </c>
      <c r="C493" s="6" t="str">
        <f>IFERROR(__xludf.DUMMYFUNCTION("""COMPUTED_VALUE"""),"Software Factory / Staffing")</f>
        <v>Software Factory / Staffing</v>
      </c>
    </row>
    <row r="494" hidden="1">
      <c r="A494" s="6" t="str">
        <f>IFERROR(__xludf.DUMMYFUNCTION("""COMPUTED_VALUE"""),"noah energy")</f>
        <v>noah energy</v>
      </c>
      <c r="B494" s="6" t="str">
        <f>IFERROR(__xludf.DUMMYFUNCTION("""COMPUTED_VALUE"""),"España")</f>
        <v>España</v>
      </c>
      <c r="C494" s="6" t="str">
        <f>IFERROR(__xludf.DUMMYFUNCTION("""COMPUTED_VALUE"""),"Banking &amp; Financial Servicies")</f>
        <v>Banking &amp; Financial Servicies</v>
      </c>
    </row>
    <row r="495" hidden="1">
      <c r="A495" s="6" t="str">
        <f>IFERROR(__xludf.DUMMYFUNCTION("""COMPUTED_VALUE"""),"reservamos")</f>
        <v>reservamos</v>
      </c>
      <c r="B495" s="6" t="str">
        <f>IFERROR(__xludf.DUMMYFUNCTION("""COMPUTED_VALUE"""),"mexico")</f>
        <v>mexico</v>
      </c>
      <c r="C495" s="6" t="str">
        <f>IFERROR(__xludf.DUMMYFUNCTION("""COMPUTED_VALUE"""),"E-commerce")</f>
        <v>E-commerce</v>
      </c>
    </row>
    <row r="496" hidden="1">
      <c r="A496" s="6" t="str">
        <f>IFERROR(__xludf.DUMMYFUNCTION("""COMPUTED_VALUE"""),"riogrande")</f>
        <v>riogrande</v>
      </c>
      <c r="B496" s="6" t="str">
        <f>IFERROR(__xludf.DUMMYFUNCTION("""COMPUTED_VALUE"""),"Mexico")</f>
        <v>Mexico</v>
      </c>
      <c r="C496" s="6" t="str">
        <f>IFERROR(__xludf.DUMMYFUNCTION("""COMPUTED_VALUE"""),"E-commerce")</f>
        <v>E-commerce</v>
      </c>
    </row>
    <row r="497" hidden="1">
      <c r="A497" s="6" t="str">
        <f>IFERROR(__xludf.DUMMYFUNCTION("""COMPUTED_VALUE"""),"torre")</f>
        <v>torre</v>
      </c>
      <c r="B497" s="6" t="str">
        <f>IFERROR(__xludf.DUMMYFUNCTION("""COMPUTED_VALUE"""),"Estados Unidos")</f>
        <v>Estados Unidos</v>
      </c>
      <c r="C497" s="6" t="str">
        <f>IFERROR(__xludf.DUMMYFUNCTION("""COMPUTED_VALUE"""),"Human Resources")</f>
        <v>Human Resources</v>
      </c>
    </row>
    <row r="498" hidden="1">
      <c r="A498" s="6" t="str">
        <f>IFERROR(__xludf.DUMMYFUNCTION("""COMPUTED_VALUE"""),"proyecto e sas")</f>
        <v>proyecto e sas</v>
      </c>
      <c r="B498" s="6" t="str">
        <f>IFERROR(__xludf.DUMMYFUNCTION("""COMPUTED_VALUE"""),"Brasil")</f>
        <v>Brasil</v>
      </c>
      <c r="C498" s="6" t="str">
        <f>IFERROR(__xludf.DUMMYFUNCTION("""COMPUTED_VALUE"""),"Public Center")</f>
        <v>Public Center</v>
      </c>
    </row>
    <row r="499" hidden="1">
      <c r="A499" s="6" t="str">
        <f>IFERROR(__xludf.DUMMYFUNCTION("""COMPUTED_VALUE"""),"hogaru")</f>
        <v>hogaru</v>
      </c>
      <c r="B499" s="6" t="str">
        <f>IFERROR(__xludf.DUMMYFUNCTION("""COMPUTED_VALUE"""),"Colombia")</f>
        <v>Colombia</v>
      </c>
      <c r="C499" s="6" t="str">
        <f>IFERROR(__xludf.DUMMYFUNCTION("""COMPUTED_VALUE"""),"Other")</f>
        <v>Other</v>
      </c>
    </row>
    <row r="500" hidden="1">
      <c r="A500" s="6" t="str">
        <f>IFERROR(__xludf.DUMMYFUNCTION("""COMPUTED_VALUE"""),"bardo digital")</f>
        <v>bardo digital</v>
      </c>
      <c r="B500" s="6" t="str">
        <f>IFERROR(__xludf.DUMMYFUNCTION("""COMPUTED_VALUE"""),"España")</f>
        <v>España</v>
      </c>
      <c r="C500" s="6" t="str">
        <f>IFERROR(__xludf.DUMMYFUNCTION("""COMPUTED_VALUE"""),"Management Consulting")</f>
        <v>Management Consulting</v>
      </c>
    </row>
    <row r="501" hidden="1">
      <c r="A501" s="6" t="str">
        <f>IFERROR(__xludf.DUMMYFUNCTION("""COMPUTED_VALUE"""),"talenta")</f>
        <v>talenta</v>
      </c>
      <c r="B501" s="6" t="str">
        <f>IFERROR(__xludf.DUMMYFUNCTION("""COMPUTED_VALUE"""),"Colombia")</f>
        <v>Colombia</v>
      </c>
      <c r="C501" s="6" t="str">
        <f>IFERROR(__xludf.DUMMYFUNCTION("""COMPUTED_VALUE"""),"Human Resources")</f>
        <v>Human Resources</v>
      </c>
    </row>
    <row r="502" hidden="1">
      <c r="A502" s="6" t="str">
        <f>IFERROR(__xludf.DUMMYFUNCTION("""COMPUTED_VALUE"""),"datatools")</f>
        <v>datatools</v>
      </c>
      <c r="B502" s="6" t="str">
        <f>IFERROR(__xludf.DUMMYFUNCTION("""COMPUTED_VALUE"""),"Colombia")</f>
        <v>Colombia</v>
      </c>
      <c r="C502" s="6" t="str">
        <f>IFERROR(__xludf.DUMMYFUNCTION("""COMPUTED_VALUE"""),"Movility")</f>
        <v>Movility</v>
      </c>
    </row>
    <row r="503" hidden="1">
      <c r="A503" s="6" t="str">
        <f>IFERROR(__xludf.DUMMYFUNCTION("""COMPUTED_VALUE"""),"electro3")</f>
        <v>electro3</v>
      </c>
      <c r="B503" s="6" t="str">
        <f>IFERROR(__xludf.DUMMYFUNCTION("""COMPUTED_VALUE"""),"Argentina")</f>
        <v>Argentina</v>
      </c>
      <c r="C503" s="6" t="str">
        <f>IFERROR(__xludf.DUMMYFUNCTION("""COMPUTED_VALUE"""),"Software Factory / Staffing")</f>
        <v>Software Factory / Staffing</v>
      </c>
    </row>
    <row r="504">
      <c r="A504" s="6" t="str">
        <f>IFERROR(__xludf.DUMMYFUNCTION("""COMPUTED_VALUE"""),"cityhubs")</f>
        <v>cityhubs</v>
      </c>
      <c r="B504" s="4"/>
      <c r="C504" s="4"/>
    </row>
    <row r="505" hidden="1">
      <c r="A505" s="6" t="str">
        <f>IFERROR(__xludf.DUMMYFUNCTION("""COMPUTED_VALUE"""),"flux it")</f>
        <v>flux it</v>
      </c>
      <c r="B505" s="6" t="str">
        <f>IFERROR(__xludf.DUMMYFUNCTION("""COMPUTED_VALUE"""),"Argentina")</f>
        <v>Argentina</v>
      </c>
      <c r="C505" s="6" t="str">
        <f>IFERROR(__xludf.DUMMYFUNCTION("""COMPUTED_VALUE"""),"Software Factory / Staffing")</f>
        <v>Software Factory / Staffing</v>
      </c>
    </row>
    <row r="506" hidden="1">
      <c r="A506" s="6" t="str">
        <f>IFERROR(__xludf.DUMMYFUNCTION("""COMPUTED_VALUE"""),"leren")</f>
        <v>leren</v>
      </c>
      <c r="B506" s="6" t="str">
        <f>IFERROR(__xludf.DUMMYFUNCTION("""COMPUTED_VALUE"""),"Argentina")</f>
        <v>Argentina</v>
      </c>
      <c r="C506" s="6" t="str">
        <f>IFERROR(__xludf.DUMMYFUNCTION("""COMPUTED_VALUE"""),"Software Factory / Staffing")</f>
        <v>Software Factory / Staffing</v>
      </c>
    </row>
    <row r="507" hidden="1">
      <c r="A507" s="6" t="str">
        <f>IFERROR(__xludf.DUMMYFUNCTION("""COMPUTED_VALUE"""),"informatica &amp; tecnologia stefanini sa")</f>
        <v>informatica &amp; tecnologia stefanini sa</v>
      </c>
      <c r="B507" s="6" t="str">
        <f>IFERROR(__xludf.DUMMYFUNCTION("""COMPUTED_VALUE"""),"Colombia")</f>
        <v>Colombia</v>
      </c>
      <c r="C507" s="6" t="str">
        <f>IFERROR(__xludf.DUMMYFUNCTION("""COMPUTED_VALUE"""),"Software Factory / Staffing")</f>
        <v>Software Factory / Staffing</v>
      </c>
    </row>
    <row r="508">
      <c r="A508" s="6" t="str">
        <f>IFERROR(__xludf.DUMMYFUNCTION("""COMPUTED_VALUE"""),"zimmic")</f>
        <v>zimmic</v>
      </c>
      <c r="B508" s="6" t="str">
        <f>IFERROR(__xludf.DUMMYFUNCTION("""COMPUTED_VALUE"""),"Estados Unidos")</f>
        <v>Estados Unidos</v>
      </c>
      <c r="C508" s="6" t="str">
        <f>IFERROR(__xludf.DUMMYFUNCTION("""COMPUTED_VALUE"""),"SaaS")</f>
        <v>SaaS</v>
      </c>
    </row>
    <row r="509" hidden="1">
      <c r="A509" s="6" t="str">
        <f>IFERROR(__xludf.DUMMYFUNCTION("""COMPUTED_VALUE"""),"dacodes")</f>
        <v>dacodes</v>
      </c>
      <c r="B509" s="6" t="str">
        <f>IFERROR(__xludf.DUMMYFUNCTION("""COMPUTED_VALUE"""),"Mexico")</f>
        <v>Mexico</v>
      </c>
      <c r="C509" s="6" t="str">
        <f>IFERROR(__xludf.DUMMYFUNCTION("""COMPUTED_VALUE"""),"Software Factory / Staffing")</f>
        <v>Software Factory / Staffing</v>
      </c>
    </row>
    <row r="510" hidden="1">
      <c r="A510" s="6" t="str">
        <f>IFERROR(__xludf.DUMMYFUNCTION("""COMPUTED_VALUE"""),"ucropit")</f>
        <v>ucropit</v>
      </c>
      <c r="B510" s="6" t="str">
        <f>IFERROR(__xludf.DUMMYFUNCTION("""COMPUTED_VALUE"""),"Argentina")</f>
        <v>Argentina</v>
      </c>
      <c r="C510" s="6" t="str">
        <f>IFERROR(__xludf.DUMMYFUNCTION("""COMPUTED_VALUE"""),"Agtech / Agro")</f>
        <v>Agtech / Agro</v>
      </c>
    </row>
    <row r="511">
      <c r="A511" s="6" t="str">
        <f>IFERROR(__xludf.DUMMYFUNCTION("""COMPUTED_VALUE"""),"southworks")</f>
        <v>southworks</v>
      </c>
      <c r="B511" s="6" t="str">
        <f>IFERROR(__xludf.DUMMYFUNCTION("""COMPUTED_VALUE"""),"Reino Unido")</f>
        <v>Reino Unido</v>
      </c>
      <c r="C511" s="6" t="str">
        <f>IFERROR(__xludf.DUMMYFUNCTION("""COMPUTED_VALUE"""),"Management Consulting")</f>
        <v>Management Consulting</v>
      </c>
    </row>
    <row r="512" hidden="1">
      <c r="A512" s="6" t="str">
        <f>IFERROR(__xludf.DUMMYFUNCTION("""COMPUTED_VALUE"""),"adalove")</f>
        <v>adalove</v>
      </c>
      <c r="B512" s="6" t="str">
        <f>IFERROR(__xludf.DUMMYFUNCTION("""COMPUTED_VALUE"""),"Argentina")</f>
        <v>Argentina</v>
      </c>
      <c r="C512" s="6" t="str">
        <f>IFERROR(__xludf.DUMMYFUNCTION("""COMPUTED_VALUE"""),"Software Factory / Staffing")</f>
        <v>Software Factory / Staffing</v>
      </c>
    </row>
    <row r="513" hidden="1">
      <c r="A513" s="6" t="str">
        <f>IFERROR(__xludf.DUMMYFUNCTION("""COMPUTED_VALUE"""),"lemontech")</f>
        <v>lemontech</v>
      </c>
      <c r="B513" s="6" t="str">
        <f>IFERROR(__xludf.DUMMYFUNCTION("""COMPUTED_VALUE"""),"Chile")</f>
        <v>Chile</v>
      </c>
      <c r="C513" s="6" t="str">
        <f>IFERROR(__xludf.DUMMYFUNCTION("""COMPUTED_VALUE"""),"Law/Legal Services")</f>
        <v>Law/Legal Services</v>
      </c>
    </row>
    <row r="514" hidden="1">
      <c r="A514" s="6" t="str">
        <f>IFERROR(__xludf.DUMMYFUNCTION("""COMPUTED_VALUE"""),"seis s.a")</f>
        <v>seis s.a</v>
      </c>
      <c r="B514" s="6" t="str">
        <f>IFERROR(__xludf.DUMMYFUNCTION("""COMPUTED_VALUE"""),"Chile")</f>
        <v>Chile</v>
      </c>
      <c r="C514" s="6" t="str">
        <f>IFERROR(__xludf.DUMMYFUNCTION("""COMPUTED_VALUE"""),"Software Factory / Staffing")</f>
        <v>Software Factory / Staffing</v>
      </c>
    </row>
    <row r="515" hidden="1">
      <c r="A515" s="6" t="str">
        <f>IFERROR(__xludf.DUMMYFUNCTION("""COMPUTED_VALUE"""),"no")</f>
        <v>no</v>
      </c>
      <c r="B515" s="6" t="str">
        <f>IFERROR(__xludf.DUMMYFUNCTION("""COMPUTED_VALUE"""),"Noruega")</f>
        <v>Noruega</v>
      </c>
      <c r="C515" s="6" t="str">
        <f>IFERROR(__xludf.DUMMYFUNCTION("""COMPUTED_VALUE"""),"Banking &amp; Financial Servicies")</f>
        <v>Banking &amp; Financial Servicies</v>
      </c>
    </row>
    <row r="516" hidden="1">
      <c r="A516" s="6" t="str">
        <f>IFERROR(__xludf.DUMMYFUNCTION("""COMPUTED_VALUE"""),"untangl")</f>
        <v>untangl</v>
      </c>
      <c r="B516" s="6" t="str">
        <f>IFERROR(__xludf.DUMMYFUNCTION("""COMPUTED_VALUE"""),"Estados Unidos")</f>
        <v>Estados Unidos</v>
      </c>
      <c r="C516" s="6" t="str">
        <f>IFERROR(__xludf.DUMMYFUNCTION("""COMPUTED_VALUE"""),"Software Factory / Staffing")</f>
        <v>Software Factory / Staffing</v>
      </c>
    </row>
    <row r="517" hidden="1">
      <c r="A517" s="6" t="str">
        <f>IFERROR(__xludf.DUMMYFUNCTION("""COMPUTED_VALUE"""),"bbva")</f>
        <v>bbva</v>
      </c>
      <c r="B517" s="6" t="str">
        <f>IFERROR(__xludf.DUMMYFUNCTION("""COMPUTED_VALUE"""),"Argentina")</f>
        <v>Argentina</v>
      </c>
      <c r="C517" s="6" t="str">
        <f>IFERROR(__xludf.DUMMYFUNCTION("""COMPUTED_VALUE"""),"Banking &amp; Financial Servicies")</f>
        <v>Banking &amp; Financial Servicies</v>
      </c>
    </row>
    <row r="518" hidden="1">
      <c r="A518" s="6" t="str">
        <f>IFERROR(__xludf.DUMMYFUNCTION("""COMPUTED_VALUE"""),"wos")</f>
        <v>wos</v>
      </c>
      <c r="B518" s="4"/>
      <c r="C518" s="6" t="str">
        <f>IFERROR(__xludf.DUMMYFUNCTION("""COMPUTED_VALUE"""),"Health")</f>
        <v>Health</v>
      </c>
    </row>
    <row r="519" hidden="1">
      <c r="A519" s="6" t="str">
        <f>IFERROR(__xludf.DUMMYFUNCTION("""COMPUTED_VALUE"""),"toptal")</f>
        <v>toptal</v>
      </c>
      <c r="B519" s="6" t="str">
        <f>IFERROR(__xludf.DUMMYFUNCTION("""COMPUTED_VALUE"""),"Estados Unidos")</f>
        <v>Estados Unidos</v>
      </c>
      <c r="C519" s="6" t="str">
        <f>IFERROR(__xludf.DUMMYFUNCTION("""COMPUTED_VALUE"""),"Human Resources")</f>
        <v>Human Resources</v>
      </c>
    </row>
    <row r="520" hidden="1">
      <c r="A520" s="6" t="str">
        <f>IFERROR(__xludf.DUMMYFUNCTION("""COMPUTED_VALUE"""),"siw cargo")</f>
        <v>siw cargo</v>
      </c>
      <c r="B520" s="6" t="str">
        <f>IFERROR(__xludf.DUMMYFUNCTION("""COMPUTED_VALUE"""),"Mexico")</f>
        <v>Mexico</v>
      </c>
      <c r="C520" s="6" t="str">
        <f>IFERROR(__xludf.DUMMYFUNCTION("""COMPUTED_VALUE"""),"Logistics")</f>
        <v>Logistics</v>
      </c>
    </row>
    <row r="521">
      <c r="A521" s="6" t="str">
        <f>IFERROR(__xludf.DUMMYFUNCTION("""COMPUTED_VALUE"""),"dualboot partners")</f>
        <v>dualboot partners</v>
      </c>
      <c r="B521" s="6" t="str">
        <f>IFERROR(__xludf.DUMMYFUNCTION("""COMPUTED_VALUE"""),"Estados Unidos")</f>
        <v>Estados Unidos</v>
      </c>
      <c r="C521" s="6" t="str">
        <f>IFERROR(__xludf.DUMMYFUNCTION("""COMPUTED_VALUE"""),"Software Factory / Staffing")</f>
        <v>Software Factory / Staffing</v>
      </c>
    </row>
    <row r="522" hidden="1">
      <c r="A522" s="6" t="str">
        <f>IFERROR(__xludf.DUMMYFUNCTION("""COMPUTED_VALUE"""),"amalgama")</f>
        <v>amalgama</v>
      </c>
      <c r="B522" s="6" t="str">
        <f>IFERROR(__xludf.DUMMYFUNCTION("""COMPUTED_VALUE"""),"Estados Unidos")</f>
        <v>Estados Unidos</v>
      </c>
      <c r="C522" s="6" t="str">
        <f>IFERROR(__xludf.DUMMYFUNCTION("""COMPUTED_VALUE"""),"Other")</f>
        <v>Other</v>
      </c>
    </row>
    <row r="523" hidden="1">
      <c r="A523" s="6" t="str">
        <f>IFERROR(__xludf.DUMMYFUNCTION("""COMPUTED_VALUE"""),"customerscoops")</f>
        <v>customerscoops</v>
      </c>
      <c r="B523" s="6" t="str">
        <f>IFERROR(__xludf.DUMMYFUNCTION("""COMPUTED_VALUE"""),"Chile")</f>
        <v>Chile</v>
      </c>
      <c r="C523" s="6" t="str">
        <f>IFERROR(__xludf.DUMMYFUNCTION("""COMPUTED_VALUE"""),"Software Factory / Staffing")</f>
        <v>Software Factory / Staffing</v>
      </c>
    </row>
    <row r="524" hidden="1">
      <c r="A524" s="6" t="str">
        <f>IFERROR(__xludf.DUMMYFUNCTION("""COMPUTED_VALUE"""),"grupo ds mexico")</f>
        <v>grupo ds mexico</v>
      </c>
      <c r="B524" s="6" t="str">
        <f>IFERROR(__xludf.DUMMYFUNCTION("""COMPUTED_VALUE"""),"Mexico")</f>
        <v>Mexico</v>
      </c>
      <c r="C524" s="6" t="str">
        <f>IFERROR(__xludf.DUMMYFUNCTION("""COMPUTED_VALUE"""),"Management Consulting")</f>
        <v>Management Consulting</v>
      </c>
    </row>
    <row r="525" hidden="1">
      <c r="A525" s="6" t="str">
        <f>IFERROR(__xludf.DUMMYFUNCTION("""COMPUTED_VALUE"""),"bego")</f>
        <v>bego</v>
      </c>
      <c r="B525" s="6" t="str">
        <f>IFERROR(__xludf.DUMMYFUNCTION("""COMPUTED_VALUE"""),"Mexico")</f>
        <v>Mexico</v>
      </c>
      <c r="C525" s="6" t="str">
        <f>IFERROR(__xludf.DUMMYFUNCTION("""COMPUTED_VALUE"""),"Travel and Tourism")</f>
        <v>Travel and Tourism</v>
      </c>
    </row>
    <row r="526">
      <c r="A526" s="6" t="str">
        <f>IFERROR(__xludf.DUMMYFUNCTION("""COMPUTED_VALUE"""),"siigo")</f>
        <v>siigo</v>
      </c>
      <c r="B526" s="6" t="str">
        <f>IFERROR(__xludf.DUMMYFUNCTION("""COMPUTED_VALUE"""),"Colombia")</f>
        <v>Colombia</v>
      </c>
      <c r="C526" s="6" t="str">
        <f>IFERROR(__xludf.DUMMYFUNCTION("""COMPUTED_VALUE"""),"Accounting")</f>
        <v>Accounting</v>
      </c>
    </row>
    <row r="527" hidden="1">
      <c r="A527" s="6" t="str">
        <f>IFERROR(__xludf.DUMMYFUNCTION("""COMPUTED_VALUE"""),"nimble giant")</f>
        <v>nimble giant</v>
      </c>
      <c r="B527" s="6" t="str">
        <f>IFERROR(__xludf.DUMMYFUNCTION("""COMPUTED_VALUE"""),"Argentina")</f>
        <v>Argentina</v>
      </c>
      <c r="C527" s="6" t="str">
        <f>IFERROR(__xludf.DUMMYFUNCTION("""COMPUTED_VALUE"""),"Gaming")</f>
        <v>Gaming</v>
      </c>
    </row>
    <row r="528" hidden="1">
      <c r="A528" s="6" t="str">
        <f>IFERROR(__xludf.DUMMYFUNCTION("""COMPUTED_VALUE"""),"san juan tec")</f>
        <v>san juan tec</v>
      </c>
      <c r="B528" s="6" t="str">
        <f>IFERROR(__xludf.DUMMYFUNCTION("""COMPUTED_VALUE"""),"Argentina")</f>
        <v>Argentina</v>
      </c>
      <c r="C528" s="6" t="str">
        <f>IFERROR(__xludf.DUMMYFUNCTION("""COMPUTED_VALUE"""),"Public Center")</f>
        <v>Public Center</v>
      </c>
    </row>
    <row r="529" hidden="1">
      <c r="A529" s="6" t="str">
        <f>IFERROR(__xludf.DUMMYFUNCTION("""COMPUTED_VALUE"""),"bloomjoy")</f>
        <v>bloomjoy</v>
      </c>
      <c r="B529" s="6" t="str">
        <f>IFERROR(__xludf.DUMMYFUNCTION("""COMPUTED_VALUE"""),"Estados Unidos")</f>
        <v>Estados Unidos</v>
      </c>
      <c r="C529" s="6" t="str">
        <f>IFERROR(__xludf.DUMMYFUNCTION("""COMPUTED_VALUE"""),"Marketing &amp; Advertising")</f>
        <v>Marketing &amp; Advertising</v>
      </c>
    </row>
    <row r="530" hidden="1">
      <c r="A530" s="6" t="str">
        <f>IFERROR(__xludf.DUMMYFUNCTION("""COMPUTED_VALUE"""),"america virtual sa")</f>
        <v>america virtual sa</v>
      </c>
      <c r="B530" s="6" t="str">
        <f>IFERROR(__xludf.DUMMYFUNCTION("""COMPUTED_VALUE"""),"Argentina")</f>
        <v>Argentina</v>
      </c>
      <c r="C530" s="6" t="str">
        <f>IFERROR(__xludf.DUMMYFUNCTION("""COMPUTED_VALUE"""),"Software Factory / Staffing")</f>
        <v>Software Factory / Staffing</v>
      </c>
    </row>
    <row r="531" hidden="1">
      <c r="A531" s="6" t="str">
        <f>IFERROR(__xludf.DUMMYFUNCTION("""COMPUTED_VALUE"""),"hiberus")</f>
        <v>hiberus</v>
      </c>
      <c r="B531" s="6" t="str">
        <f>IFERROR(__xludf.DUMMYFUNCTION("""COMPUTED_VALUE"""),"España")</f>
        <v>España</v>
      </c>
      <c r="C531" s="6" t="str">
        <f>IFERROR(__xludf.DUMMYFUNCTION("""COMPUTED_VALUE"""),"Software Factory / Staffing")</f>
        <v>Software Factory / Staffing</v>
      </c>
    </row>
    <row r="532">
      <c r="A532" s="6" t="str">
        <f>IFERROR(__xludf.DUMMYFUNCTION("""COMPUTED_VALUE"""),"ctl information technology")</f>
        <v>ctl information technology</v>
      </c>
      <c r="B532" s="6" t="str">
        <f>IFERROR(__xludf.DUMMYFUNCTION("""COMPUTED_VALUE"""),"Argentina")</f>
        <v>Argentina</v>
      </c>
      <c r="C532" s="6" t="str">
        <f>IFERROR(__xludf.DUMMYFUNCTION("""COMPUTED_VALUE"""),"Software Factory / Staffing")</f>
        <v>Software Factory / Staffing</v>
      </c>
    </row>
    <row r="533" hidden="1">
      <c r="A533" s="6" t="str">
        <f>IFERROR(__xludf.DUMMYFUNCTION("""COMPUTED_VALUE"""),"tenkui")</f>
        <v>tenkui</v>
      </c>
      <c r="B533" s="6" t="str">
        <f>IFERROR(__xludf.DUMMYFUNCTION("""COMPUTED_VALUE"""),"mexico")</f>
        <v>mexico</v>
      </c>
      <c r="C533" s="6" t="str">
        <f>IFERROR(__xludf.DUMMYFUNCTION("""COMPUTED_VALUE"""),"Education &amp; Edtech")</f>
        <v>Education &amp; Edtech</v>
      </c>
    </row>
    <row r="534" hidden="1">
      <c r="A534" s="6" t="str">
        <f>IFERROR(__xludf.DUMMYFUNCTION("""COMPUTED_VALUE"""),"fonax")</f>
        <v>fonax</v>
      </c>
      <c r="B534" s="6" t="str">
        <f>IFERROR(__xludf.DUMMYFUNCTION("""COMPUTED_VALUE"""),"Kenia")</f>
        <v>Kenia</v>
      </c>
      <c r="C534" s="6" t="str">
        <f>IFERROR(__xludf.DUMMYFUNCTION("""COMPUTED_VALUE"""),"Marketing &amp; Advertising")</f>
        <v>Marketing &amp; Advertising</v>
      </c>
    </row>
    <row r="535" hidden="1">
      <c r="A535" s="6" t="str">
        <f>IFERROR(__xludf.DUMMYFUNCTION("""COMPUTED_VALUE"""),"cooperativa cofaral ltda")</f>
        <v>cooperativa cofaral ltda</v>
      </c>
      <c r="B535" s="6" t="str">
        <f>IFERROR(__xludf.DUMMYFUNCTION("""COMPUTED_VALUE"""),"Argentina")</f>
        <v>Argentina</v>
      </c>
      <c r="C535" s="6" t="str">
        <f>IFERROR(__xludf.DUMMYFUNCTION("""COMPUTED_VALUE"""),"Health")</f>
        <v>Health</v>
      </c>
    </row>
    <row r="536" hidden="1">
      <c r="A536" s="6" t="str">
        <f>IFERROR(__xludf.DUMMYFUNCTION("""COMPUTED_VALUE"""),"valienta")</f>
        <v>valienta</v>
      </c>
      <c r="B536" s="6" t="str">
        <f>IFERROR(__xludf.DUMMYFUNCTION("""COMPUTED_VALUE"""),"Colombia")</f>
        <v>Colombia</v>
      </c>
      <c r="C536" s="6" t="str">
        <f>IFERROR(__xludf.DUMMYFUNCTION("""COMPUTED_VALUE"""),"Fintech")</f>
        <v>Fintech</v>
      </c>
    </row>
    <row r="537" hidden="1">
      <c r="A537" s="6" t="str">
        <f>IFERROR(__xludf.DUMMYFUNCTION("""COMPUTED_VALUE"""),"valtech")</f>
        <v>valtech</v>
      </c>
      <c r="B537" s="6" t="str">
        <f>IFERROR(__xludf.DUMMYFUNCTION("""COMPUTED_VALUE"""),"Argentina")</f>
        <v>Argentina</v>
      </c>
      <c r="C537" s="6" t="str">
        <f>IFERROR(__xludf.DUMMYFUNCTION("""COMPUTED_VALUE"""),"Software Factory / Staffing")</f>
        <v>Software Factory / Staffing</v>
      </c>
    </row>
    <row r="538" hidden="1">
      <c r="A538" s="6" t="str">
        <f>IFERROR(__xludf.DUMMYFUNCTION("""COMPUTED_VALUE"""),"hexagon")</f>
        <v>hexagon</v>
      </c>
      <c r="B538" s="6" t="str">
        <f>IFERROR(__xludf.DUMMYFUNCTION("""COMPUTED_VALUE"""),"Argentina")</f>
        <v>Argentina</v>
      </c>
      <c r="C538" s="6" t="str">
        <f>IFERROR(__xludf.DUMMYFUNCTION("""COMPUTED_VALUE"""),"Software Factory / Staffing")</f>
        <v>Software Factory / Staffing</v>
      </c>
    </row>
    <row r="539" hidden="1">
      <c r="A539" s="6" t="str">
        <f>IFERROR(__xludf.DUMMYFUNCTION("""COMPUTED_VALUE"""),"coder holding corporation")</f>
        <v>coder holding corporation</v>
      </c>
      <c r="B539" s="4"/>
      <c r="C539" s="4"/>
    </row>
    <row r="540" hidden="1">
      <c r="A540" s="6" t="str">
        <f>IFERROR(__xludf.DUMMYFUNCTION("""COMPUTED_VALUE"""),"moonray pbc")</f>
        <v>moonray pbc</v>
      </c>
      <c r="B540" s="6" t="str">
        <f>IFERROR(__xludf.DUMMYFUNCTION("""COMPUTED_VALUE"""),"Estados Unidos")</f>
        <v>Estados Unidos</v>
      </c>
      <c r="C540" s="6" t="str">
        <f>IFERROR(__xludf.DUMMYFUNCTION("""COMPUTED_VALUE"""),"Gaming")</f>
        <v>Gaming</v>
      </c>
    </row>
    <row r="541" hidden="1">
      <c r="A541" s="6" t="str">
        <f>IFERROR(__xludf.DUMMYFUNCTION("""COMPUTED_VALUE"""),"celta technology")</f>
        <v>celta technology</v>
      </c>
      <c r="B541" s="6" t="str">
        <f>IFERROR(__xludf.DUMMYFUNCTION("""COMPUTED_VALUE"""),"Argentina")</f>
        <v>Argentina</v>
      </c>
      <c r="C541" s="6" t="str">
        <f>IFERROR(__xludf.DUMMYFUNCTION("""COMPUTED_VALUE"""),"Software Factory / Staffing")</f>
        <v>Software Factory / Staffing</v>
      </c>
    </row>
    <row r="542" hidden="1">
      <c r="A542" s="6" t="str">
        <f>IFERROR(__xludf.DUMMYFUNCTION("""COMPUTED_VALUE"""),"applica mobile")</f>
        <v>applica mobile</v>
      </c>
      <c r="B542" s="6" t="str">
        <f>IFERROR(__xludf.DUMMYFUNCTION("""COMPUTED_VALUE"""),"Argentina")</f>
        <v>Argentina</v>
      </c>
      <c r="C542" s="6" t="str">
        <f>IFERROR(__xludf.DUMMYFUNCTION("""COMPUTED_VALUE"""),"Software Factory / Staffing")</f>
        <v>Software Factory / Staffing</v>
      </c>
    </row>
    <row r="543" hidden="1">
      <c r="A543" s="6" t="str">
        <f>IFERROR(__xludf.DUMMYFUNCTION("""COMPUTED_VALUE"""),"pixart srl")</f>
        <v>pixart srl</v>
      </c>
      <c r="B543" s="6" t="str">
        <f>IFERROR(__xludf.DUMMYFUNCTION("""COMPUTED_VALUE"""),"Argentina")</f>
        <v>Argentina</v>
      </c>
      <c r="C543" s="6" t="str">
        <f>IFERROR(__xludf.DUMMYFUNCTION("""COMPUTED_VALUE"""),"Software Factory / Staffing")</f>
        <v>Software Factory / Staffing</v>
      </c>
    </row>
    <row r="544" hidden="1">
      <c r="A544" s="6" t="str">
        <f>IFERROR(__xludf.DUMMYFUNCTION("""COMPUTED_VALUE"""),"aplicacions inteligentes soluciones digitals (aisd)")</f>
        <v>aplicacions inteligentes soluciones digitals (aisd)</v>
      </c>
      <c r="B544" s="6" t="str">
        <f>IFERROR(__xludf.DUMMYFUNCTION("""COMPUTED_VALUE"""),"Mexico")</f>
        <v>Mexico</v>
      </c>
      <c r="C544" s="6" t="str">
        <f>IFERROR(__xludf.DUMMYFUNCTION("""COMPUTED_VALUE"""),"Software Factory / Staffing")</f>
        <v>Software Factory / Staffing</v>
      </c>
    </row>
    <row r="545">
      <c r="A545" s="6" t="str">
        <f>IFERROR(__xludf.DUMMYFUNCTION("""COMPUTED_VALUE"""),"grain chain")</f>
        <v>grain chain</v>
      </c>
      <c r="B545" s="6" t="str">
        <f>IFERROR(__xludf.DUMMYFUNCTION("""COMPUTED_VALUE"""),"Estados Unidos")</f>
        <v>Estados Unidos</v>
      </c>
      <c r="C545" s="6" t="str">
        <f>IFERROR(__xludf.DUMMYFUNCTION("""COMPUTED_VALUE"""),"Agtech / Agro")</f>
        <v>Agtech / Agro</v>
      </c>
    </row>
    <row r="546" hidden="1">
      <c r="A546" s="6" t="str">
        <f>IFERROR(__xludf.DUMMYFUNCTION("""COMPUTED_VALUE"""),"laika")</f>
        <v>laika</v>
      </c>
      <c r="B546" s="6" t="str">
        <f>IFERROR(__xludf.DUMMYFUNCTION("""COMPUTED_VALUE"""),"Estados Unidos")</f>
        <v>Estados Unidos</v>
      </c>
      <c r="C546" s="6" t="str">
        <f>IFERROR(__xludf.DUMMYFUNCTION("""COMPUTED_VALUE"""),"Other")</f>
        <v>Other</v>
      </c>
    </row>
    <row r="547" hidden="1">
      <c r="A547" s="6" t="str">
        <f>IFERROR(__xludf.DUMMYFUNCTION("""COMPUTED_VALUE"""),"nodos sas")</f>
        <v>nodos sas</v>
      </c>
      <c r="B547" s="4"/>
      <c r="C547" s="4"/>
    </row>
    <row r="548" hidden="1">
      <c r="A548" s="6" t="str">
        <f>IFERROR(__xludf.DUMMYFUNCTION("""COMPUTED_VALUE"""),"studio hakuna")</f>
        <v>studio hakuna</v>
      </c>
      <c r="B548" s="6" t="str">
        <f>IFERROR(__xludf.DUMMYFUNCTION("""COMPUTED_VALUE"""),"Francia")</f>
        <v>Francia</v>
      </c>
      <c r="C548" s="6" t="str">
        <f>IFERROR(__xludf.DUMMYFUNCTION("""COMPUTED_VALUE"""),"Other")</f>
        <v>Other</v>
      </c>
    </row>
    <row r="549" hidden="1">
      <c r="A549" s="6" t="str">
        <f>IFERROR(__xludf.DUMMYFUNCTION("""COMPUTED_VALUE"""),"udt")</f>
        <v>udt</v>
      </c>
      <c r="B549" s="6" t="str">
        <f>IFERROR(__xludf.DUMMYFUNCTION("""COMPUTED_VALUE"""),"Estados Unidos")</f>
        <v>Estados Unidos</v>
      </c>
      <c r="C549" s="6" t="str">
        <f>IFERROR(__xludf.DUMMYFUNCTION("""COMPUTED_VALUE"""),"Software Factory / Staffing")</f>
        <v>Software Factory / Staffing</v>
      </c>
    </row>
    <row r="550" hidden="1">
      <c r="A550" s="7" t="str">
        <f>IFERROR(__xludf.DUMMYFUNCTION("""COMPUTED_VALUE"""),"cexar.io")</f>
        <v>cexar.io</v>
      </c>
      <c r="B550" s="6" t="str">
        <f>IFERROR(__xludf.DUMMYFUNCTION("""COMPUTED_VALUE"""),"Argentina")</f>
        <v>Argentina</v>
      </c>
      <c r="C550" s="6" t="str">
        <f>IFERROR(__xludf.DUMMYFUNCTION("""COMPUTED_VALUE"""),"Blockchain, Crypto &amp; NFT")</f>
        <v>Blockchain, Crypto &amp; NFT</v>
      </c>
    </row>
    <row r="551" hidden="1">
      <c r="A551" s="6" t="str">
        <f>IFERROR(__xludf.DUMMYFUNCTION("""COMPUTED_VALUE"""),"neuraltech")</f>
        <v>neuraltech</v>
      </c>
      <c r="B551" s="6" t="str">
        <f>IFERROR(__xludf.DUMMYFUNCTION("""COMPUTED_VALUE"""),"Argentina")</f>
        <v>Argentina</v>
      </c>
      <c r="C551" s="6" t="str">
        <f>IFERROR(__xludf.DUMMYFUNCTION("""COMPUTED_VALUE"""),"Software Factory / Staffing")</f>
        <v>Software Factory / Staffing</v>
      </c>
    </row>
    <row r="552" hidden="1">
      <c r="A552" s="6" t="str">
        <f>IFERROR(__xludf.DUMMYFUNCTION("""COMPUTED_VALUE"""),"byteer llc")</f>
        <v>byteer llc</v>
      </c>
      <c r="B552" s="6" t="str">
        <f>IFERROR(__xludf.DUMMYFUNCTION("""COMPUTED_VALUE"""),"Estados Unidos")</f>
        <v>Estados Unidos</v>
      </c>
      <c r="C552" s="6" t="str">
        <f>IFERROR(__xludf.DUMMYFUNCTION("""COMPUTED_VALUE"""),"Software Factory / Staffing")</f>
        <v>Software Factory / Staffing</v>
      </c>
    </row>
    <row r="553" hidden="1">
      <c r="A553" s="6" t="str">
        <f>IFERROR(__xludf.DUMMYFUNCTION("""COMPUTED_VALUE"""),"imajine studio")</f>
        <v>imajine studio</v>
      </c>
      <c r="B553" s="6" t="str">
        <f>IFERROR(__xludf.DUMMYFUNCTION("""COMPUTED_VALUE"""),"Estados Unidos")</f>
        <v>Estados Unidos</v>
      </c>
      <c r="C553" s="6" t="str">
        <f>IFERROR(__xludf.DUMMYFUNCTION("""COMPUTED_VALUE"""),"Software Factory / Staffing")</f>
        <v>Software Factory / Staffing</v>
      </c>
    </row>
    <row r="554" hidden="1">
      <c r="A554" s="6" t="str">
        <f>IFERROR(__xludf.DUMMYFUNCTION("""COMPUTED_VALUE"""),"nubceo")</f>
        <v>nubceo</v>
      </c>
      <c r="B554" s="6" t="str">
        <f>IFERROR(__xludf.DUMMYFUNCTION("""COMPUTED_VALUE"""),"Argentina")</f>
        <v>Argentina</v>
      </c>
      <c r="C554" s="6" t="str">
        <f>IFERROR(__xludf.DUMMYFUNCTION("""COMPUTED_VALUE"""),"Management Consulting")</f>
        <v>Management Consulting</v>
      </c>
    </row>
    <row r="555" hidden="1">
      <c r="A555" s="6" t="str">
        <f>IFERROR(__xludf.DUMMYFUNCTION("""COMPUTED_VALUE"""),"42i")</f>
        <v>42i</v>
      </c>
      <c r="B555" s="6" t="str">
        <f>IFERROR(__xludf.DUMMYFUNCTION("""COMPUTED_VALUE"""),"Estados Unidos")</f>
        <v>Estados Unidos</v>
      </c>
      <c r="C555" s="6" t="str">
        <f>IFERROR(__xludf.DUMMYFUNCTION("""COMPUTED_VALUE"""),"E-commerce")</f>
        <v>E-commerce</v>
      </c>
    </row>
    <row r="556" hidden="1">
      <c r="A556" s="6" t="str">
        <f>IFERROR(__xludf.DUMMYFUNCTION("""COMPUTED_VALUE"""),"debmedia")</f>
        <v>debmedia</v>
      </c>
      <c r="B556" s="6" t="str">
        <f>IFERROR(__xludf.DUMMYFUNCTION("""COMPUTED_VALUE"""),"Argentina")</f>
        <v>Argentina</v>
      </c>
      <c r="C556" s="6" t="str">
        <f>IFERROR(__xludf.DUMMYFUNCTION("""COMPUTED_VALUE"""),"SaaS")</f>
        <v>SaaS</v>
      </c>
    </row>
    <row r="557" hidden="1">
      <c r="A557" s="6" t="str">
        <f>IFERROR(__xludf.DUMMYFUNCTION("""COMPUTED_VALUE"""),"prodeman s.a.")</f>
        <v>prodeman s.a.</v>
      </c>
      <c r="B557" s="6" t="str">
        <f>IFERROR(__xludf.DUMMYFUNCTION("""COMPUTED_VALUE"""),"Argentina")</f>
        <v>Argentina</v>
      </c>
      <c r="C557" s="6" t="str">
        <f>IFERROR(__xludf.DUMMYFUNCTION("""COMPUTED_VALUE"""),"FMCG / Consumo masivo")</f>
        <v>FMCG / Consumo masivo</v>
      </c>
    </row>
    <row r="558" hidden="1">
      <c r="A558" s="6" t="str">
        <f>IFERROR(__xludf.DUMMYFUNCTION("""COMPUTED_VALUE"""),"valkimia")</f>
        <v>valkimia</v>
      </c>
      <c r="B558" s="6" t="str">
        <f>IFERROR(__xludf.DUMMYFUNCTION("""COMPUTED_VALUE"""),"Argentina")</f>
        <v>Argentina</v>
      </c>
      <c r="C558" s="6" t="str">
        <f>IFERROR(__xludf.DUMMYFUNCTION("""COMPUTED_VALUE"""),"Management Consulting")</f>
        <v>Management Consulting</v>
      </c>
    </row>
    <row r="559" hidden="1">
      <c r="A559" s="6" t="str">
        <f>IFERROR(__xludf.DUMMYFUNCTION("""COMPUTED_VALUE"""),"unosystems s.a.(iuvity)")</f>
        <v>unosystems s.a.(iuvity)</v>
      </c>
      <c r="B559" s="6" t="str">
        <f>IFERROR(__xludf.DUMMYFUNCTION("""COMPUTED_VALUE"""),"Estados Unidos")</f>
        <v>Estados Unidos</v>
      </c>
      <c r="C559" s="6" t="str">
        <f>IFERROR(__xludf.DUMMYFUNCTION("""COMPUTED_VALUE"""),"Management Consulting")</f>
        <v>Management Consulting</v>
      </c>
    </row>
    <row r="560" hidden="1">
      <c r="A560" s="6" t="str">
        <f>IFERROR(__xludf.DUMMYFUNCTION("""COMPUTED_VALUE"""),"alliansys")</f>
        <v>alliansys</v>
      </c>
      <c r="B560" s="6" t="str">
        <f>IFERROR(__xludf.DUMMYFUNCTION("""COMPUTED_VALUE"""),"Argentina")</f>
        <v>Argentina</v>
      </c>
      <c r="C560" s="6" t="str">
        <f>IFERROR(__xludf.DUMMYFUNCTION("""COMPUTED_VALUE"""),"Marketing &amp; Advertising")</f>
        <v>Marketing &amp; Advertising</v>
      </c>
    </row>
    <row r="561" hidden="1">
      <c r="A561" s="6" t="str">
        <f>IFERROR(__xludf.DUMMYFUNCTION("""COMPUTED_VALUE"""),"top legal")</f>
        <v>top legal</v>
      </c>
      <c r="B561" s="6" t="str">
        <f>IFERROR(__xludf.DUMMYFUNCTION("""COMPUTED_VALUE"""),"Alemania")</f>
        <v>Alemania</v>
      </c>
      <c r="C561" s="6" t="str">
        <f>IFERROR(__xludf.DUMMYFUNCTION("""COMPUTED_VALUE"""),"Software Factory / Staffing")</f>
        <v>Software Factory / Staffing</v>
      </c>
    </row>
    <row r="562" hidden="1">
      <c r="A562" s="6" t="str">
        <f>IFERROR(__xludf.DUMMYFUNCTION("""COMPUTED_VALUE"""),"independiente")</f>
        <v>independiente</v>
      </c>
      <c r="B562" s="6" t="str">
        <f>IFERROR(__xludf.DUMMYFUNCTION("""COMPUTED_VALUE"""),"España")</f>
        <v>España</v>
      </c>
      <c r="C562" s="6" t="str">
        <f>IFERROR(__xludf.DUMMYFUNCTION("""COMPUTED_VALUE"""),"Management Consulting")</f>
        <v>Management Consulting</v>
      </c>
    </row>
    <row r="563" hidden="1">
      <c r="A563" s="6" t="str">
        <f>IFERROR(__xludf.DUMMYFUNCTION("""COMPUTED_VALUE"""),"anclap")</f>
        <v>anclap</v>
      </c>
      <c r="B563" s="6" t="str">
        <f>IFERROR(__xludf.DUMMYFUNCTION("""COMPUTED_VALUE"""),"Argentina")</f>
        <v>Argentina</v>
      </c>
      <c r="C563" s="6" t="str">
        <f>IFERROR(__xludf.DUMMYFUNCTION("""COMPUTED_VALUE"""),"Fintech")</f>
        <v>Fintech</v>
      </c>
    </row>
    <row r="564">
      <c r="A564" s="6" t="str">
        <f>IFERROR(__xludf.DUMMYFUNCTION("""COMPUTED_VALUE"""),"selucom srl")</f>
        <v>selucom srl</v>
      </c>
      <c r="B564" s="6" t="str">
        <f>IFERROR(__xludf.DUMMYFUNCTION("""COMPUTED_VALUE"""),"Argentina")</f>
        <v>Argentina</v>
      </c>
      <c r="C564" s="6" t="str">
        <f>IFERROR(__xludf.DUMMYFUNCTION("""COMPUTED_VALUE"""),"Other")</f>
        <v>Other</v>
      </c>
    </row>
    <row r="565" hidden="1">
      <c r="A565" s="6" t="str">
        <f>IFERROR(__xludf.DUMMYFUNCTION("""COMPUTED_VALUE"""),"eclass")</f>
        <v>eclass</v>
      </c>
      <c r="B565" s="6" t="str">
        <f>IFERROR(__xludf.DUMMYFUNCTION("""COMPUTED_VALUE"""),"Chile")</f>
        <v>Chile</v>
      </c>
      <c r="C565" s="6" t="str">
        <f>IFERROR(__xludf.DUMMYFUNCTION("""COMPUTED_VALUE"""),"Education &amp; Edtech")</f>
        <v>Education &amp; Edtech</v>
      </c>
    </row>
    <row r="566" hidden="1">
      <c r="A566" s="6" t="str">
        <f>IFERROR(__xludf.DUMMYFUNCTION("""COMPUTED_VALUE"""),"paginar")</f>
        <v>paginar</v>
      </c>
      <c r="B566" s="6" t="str">
        <f>IFERROR(__xludf.DUMMYFUNCTION("""COMPUTED_VALUE"""),"Argentina")</f>
        <v>Argentina</v>
      </c>
      <c r="C566" s="6" t="str">
        <f>IFERROR(__xludf.DUMMYFUNCTION("""COMPUTED_VALUE"""),"Software Factory / Staffing")</f>
        <v>Software Factory / Staffing</v>
      </c>
    </row>
    <row r="567" hidden="1">
      <c r="A567" s="6" t="str">
        <f>IFERROR(__xludf.DUMMYFUNCTION("""COMPUTED_VALUE"""),"informium")</f>
        <v>informium</v>
      </c>
      <c r="B567" s="6" t="str">
        <f>IFERROR(__xludf.DUMMYFUNCTION("""COMPUTED_VALUE"""),"Argentina")</f>
        <v>Argentina</v>
      </c>
      <c r="C567" s="6" t="str">
        <f>IFERROR(__xludf.DUMMYFUNCTION("""COMPUTED_VALUE"""),"Software Factory / Staffing")</f>
        <v>Software Factory / Staffing</v>
      </c>
    </row>
    <row r="568">
      <c r="A568" s="6" t="str">
        <f>IFERROR(__xludf.DUMMYFUNCTION("""COMPUTED_VALUE"""),"global think technology")</f>
        <v>global think technology</v>
      </c>
      <c r="B568" s="6" t="str">
        <f>IFERROR(__xludf.DUMMYFUNCTION("""COMPUTED_VALUE"""),"Argentina")</f>
        <v>Argentina</v>
      </c>
      <c r="C568" s="6" t="str">
        <f>IFERROR(__xludf.DUMMYFUNCTION("""COMPUTED_VALUE"""),"Management Consulting")</f>
        <v>Management Consulting</v>
      </c>
    </row>
    <row r="569" hidden="1">
      <c r="A569" s="6" t="str">
        <f>IFERROR(__xludf.DUMMYFUNCTION("""COMPUTED_VALUE"""),"capgemini")</f>
        <v>capgemini</v>
      </c>
      <c r="B569" s="6" t="str">
        <f>IFERROR(__xludf.DUMMYFUNCTION("""COMPUTED_VALUE"""),"Francia")</f>
        <v>Francia</v>
      </c>
      <c r="C569" s="6" t="str">
        <f>IFERROR(__xludf.DUMMYFUNCTION("""COMPUTED_VALUE"""),"Software Factory / Staffing")</f>
        <v>Software Factory / Staffing</v>
      </c>
    </row>
    <row r="570" hidden="1">
      <c r="A570" s="6" t="str">
        <f>IFERROR(__xludf.DUMMYFUNCTION("""COMPUTED_VALUE"""),"bit2bit americas")</f>
        <v>bit2bit americas</v>
      </c>
      <c r="B570" s="6" t="str">
        <f>IFERROR(__xludf.DUMMYFUNCTION("""COMPUTED_VALUE"""),"Peru")</f>
        <v>Peru</v>
      </c>
      <c r="C570" s="6" t="str">
        <f>IFERROR(__xludf.DUMMYFUNCTION("""COMPUTED_VALUE"""),"Management Consulting")</f>
        <v>Management Consulting</v>
      </c>
    </row>
    <row r="571" hidden="1">
      <c r="A571" s="6" t="str">
        <f>IFERROR(__xludf.DUMMYFUNCTION("""COMPUTED_VALUE"""),"hristov development")</f>
        <v>hristov development</v>
      </c>
      <c r="B571" s="6" t="str">
        <f>IFERROR(__xludf.DUMMYFUNCTION("""COMPUTED_VALUE"""),"Estados Unidos")</f>
        <v>Estados Unidos</v>
      </c>
      <c r="C571" s="6" t="str">
        <f>IFERROR(__xludf.DUMMYFUNCTION("""COMPUTED_VALUE"""),"Software Factory / Staffing")</f>
        <v>Software Factory / Staffing</v>
      </c>
    </row>
    <row r="572" hidden="1">
      <c r="A572" s="6" t="str">
        <f>IFERROR(__xludf.DUMMYFUNCTION("""COMPUTED_VALUE"""),"parco app")</f>
        <v>parco app</v>
      </c>
      <c r="B572" s="6" t="str">
        <f>IFERROR(__xludf.DUMMYFUNCTION("""COMPUTED_VALUE"""),"Mexico")</f>
        <v>Mexico</v>
      </c>
      <c r="C572" s="6" t="str">
        <f>IFERROR(__xludf.DUMMYFUNCTION("""COMPUTED_VALUE"""),"Fintech")</f>
        <v>Fintech</v>
      </c>
    </row>
    <row r="573" hidden="1">
      <c r="A573" s="6" t="str">
        <f>IFERROR(__xludf.DUMMYFUNCTION("""COMPUTED_VALUE"""),"interdata")</f>
        <v>interdata</v>
      </c>
      <c r="B573" s="6" t="str">
        <f>IFERROR(__xludf.DUMMYFUNCTION("""COMPUTED_VALUE"""),"Argentina")</f>
        <v>Argentina</v>
      </c>
      <c r="C573" s="6" t="str">
        <f>IFERROR(__xludf.DUMMYFUNCTION("""COMPUTED_VALUE"""),"Logistics")</f>
        <v>Logistics</v>
      </c>
    </row>
    <row r="574" hidden="1">
      <c r="A574" s="6" t="str">
        <f>IFERROR(__xludf.DUMMYFUNCTION("""COMPUTED_VALUE"""),"grupo gft")</f>
        <v>grupo gft</v>
      </c>
      <c r="B574" s="6" t="str">
        <f>IFERROR(__xludf.DUMMYFUNCTION("""COMPUTED_VALUE"""),"Alemania")</f>
        <v>Alemania</v>
      </c>
      <c r="C574" s="6" t="str">
        <f>IFERROR(__xludf.DUMMYFUNCTION("""COMPUTED_VALUE"""),"Management Consulting")</f>
        <v>Management Consulting</v>
      </c>
    </row>
    <row r="575" hidden="1">
      <c r="A575" s="6" t="str">
        <f>IFERROR(__xludf.DUMMYFUNCTION("""COMPUTED_VALUE"""),"treble")</f>
        <v>treble</v>
      </c>
      <c r="B575" s="6" t="str">
        <f>IFERROR(__xludf.DUMMYFUNCTION("""COMPUTED_VALUE"""),"Estados Unidos")</f>
        <v>Estados Unidos</v>
      </c>
      <c r="C575" s="6" t="str">
        <f>IFERROR(__xludf.DUMMYFUNCTION("""COMPUTED_VALUE"""),"Other")</f>
        <v>Other</v>
      </c>
    </row>
    <row r="576" hidden="1">
      <c r="A576" s="6" t="str">
        <f>IFERROR(__xludf.DUMMYFUNCTION("""COMPUTED_VALUE"""),"videsk spa")</f>
        <v>videsk spa</v>
      </c>
      <c r="B576" s="6" t="str">
        <f>IFERROR(__xludf.DUMMYFUNCTION("""COMPUTED_VALUE"""),"Chile")</f>
        <v>Chile</v>
      </c>
      <c r="C576" s="6" t="str">
        <f>IFERROR(__xludf.DUMMYFUNCTION("""COMPUTED_VALUE"""),"Software Factory / Staffing")</f>
        <v>Software Factory / Staffing</v>
      </c>
    </row>
    <row r="577" hidden="1">
      <c r="A577" s="7" t="str">
        <f>IFERROR(__xludf.DUMMYFUNCTION("""COMPUTED_VALUE"""),"booz.cl")</f>
        <v>booz.cl</v>
      </c>
      <c r="B577" s="6" t="str">
        <f>IFERROR(__xludf.DUMMYFUNCTION("""COMPUTED_VALUE"""),"Chile")</f>
        <v>Chile</v>
      </c>
      <c r="C577" s="6" t="str">
        <f>IFERROR(__xludf.DUMMYFUNCTION("""COMPUTED_VALUE"""),"E-commerce")</f>
        <v>E-commerce</v>
      </c>
    </row>
    <row r="578" hidden="1">
      <c r="A578" s="6" t="str">
        <f>IFERROR(__xludf.DUMMYFUNCTION("""COMPUTED_VALUE"""),"hogarth worldwide")</f>
        <v>hogarth worldwide</v>
      </c>
      <c r="B578" s="6" t="str">
        <f>IFERROR(__xludf.DUMMYFUNCTION("""COMPUTED_VALUE"""),"Reino Unido")</f>
        <v>Reino Unido</v>
      </c>
      <c r="C578" s="6" t="str">
        <f>IFERROR(__xludf.DUMMYFUNCTION("""COMPUTED_VALUE"""),"Marketing &amp; Advertising")</f>
        <v>Marketing &amp; Advertising</v>
      </c>
    </row>
    <row r="579" hidden="1">
      <c r="A579" s="6" t="str">
        <f>IFERROR(__xludf.DUMMYFUNCTION("""COMPUTED_VALUE"""),"devsu")</f>
        <v>devsu</v>
      </c>
      <c r="B579" s="6" t="str">
        <f>IFERROR(__xludf.DUMMYFUNCTION("""COMPUTED_VALUE"""),"Ecuador")</f>
        <v>Ecuador</v>
      </c>
      <c r="C579" s="6" t="str">
        <f>IFERROR(__xludf.DUMMYFUNCTION("""COMPUTED_VALUE"""),"Software Factory / Staffing")</f>
        <v>Software Factory / Staffing</v>
      </c>
    </row>
    <row r="580" hidden="1">
      <c r="A580" s="6" t="str">
        <f>IFERROR(__xludf.DUMMYFUNCTION("""COMPUTED_VALUE"""),"ecloud agency")</f>
        <v>ecloud agency</v>
      </c>
      <c r="B580" s="6" t="str">
        <f>IFERROR(__xludf.DUMMYFUNCTION("""COMPUTED_VALUE"""),"Argentina")</f>
        <v>Argentina</v>
      </c>
      <c r="C580" s="6" t="str">
        <f>IFERROR(__xludf.DUMMYFUNCTION("""COMPUTED_VALUE"""),"Management Consulting")</f>
        <v>Management Consulting</v>
      </c>
    </row>
    <row r="581" hidden="1">
      <c r="A581" s="6" t="str">
        <f>IFERROR(__xludf.DUMMYFUNCTION("""COMPUTED_VALUE"""),"muni tienda")</f>
        <v>muni tienda</v>
      </c>
      <c r="B581" s="6" t="str">
        <f>IFERROR(__xludf.DUMMYFUNCTION("""COMPUTED_VALUE"""),"Colombia")</f>
        <v>Colombia</v>
      </c>
      <c r="C581" s="6" t="str">
        <f>IFERROR(__xludf.DUMMYFUNCTION("""COMPUTED_VALUE"""),"E-commerce")</f>
        <v>E-commerce</v>
      </c>
    </row>
    <row r="582" hidden="1">
      <c r="A582" s="6" t="str">
        <f>IFERROR(__xludf.DUMMYFUNCTION("""COMPUTED_VALUE"""),"poincenot technology studio")</f>
        <v>poincenot technology studio</v>
      </c>
      <c r="B582" s="6" t="str">
        <f>IFERROR(__xludf.DUMMYFUNCTION("""COMPUTED_VALUE"""),"Argentina")</f>
        <v>Argentina</v>
      </c>
      <c r="C582" s="6" t="str">
        <f>IFERROR(__xludf.DUMMYFUNCTION("""COMPUTED_VALUE"""),"Management Consulting")</f>
        <v>Management Consulting</v>
      </c>
    </row>
    <row r="583" hidden="1">
      <c r="A583" s="6" t="str">
        <f>IFERROR(__xludf.DUMMYFUNCTION("""COMPUTED_VALUE"""),"kigui")</f>
        <v>kigui</v>
      </c>
      <c r="B583" s="6" t="str">
        <f>IFERROR(__xludf.DUMMYFUNCTION("""COMPUTED_VALUE"""),"Mexico")</f>
        <v>Mexico</v>
      </c>
      <c r="C583" s="6" t="str">
        <f>IFERROR(__xludf.DUMMYFUNCTION("""COMPUTED_VALUE"""),"Other")</f>
        <v>Other</v>
      </c>
    </row>
    <row r="584" hidden="1">
      <c r="A584" s="6" t="str">
        <f>IFERROR(__xludf.DUMMYFUNCTION("""COMPUTED_VALUE"""),"municipalidad de berazategui")</f>
        <v>municipalidad de berazategui</v>
      </c>
      <c r="B584" s="6" t="str">
        <f>IFERROR(__xludf.DUMMYFUNCTION("""COMPUTED_VALUE"""),"Argentina")</f>
        <v>Argentina</v>
      </c>
      <c r="C584" s="6" t="str">
        <f>IFERROR(__xludf.DUMMYFUNCTION("""COMPUTED_VALUE"""),"Public Center")</f>
        <v>Public Center</v>
      </c>
    </row>
    <row r="585" hidden="1">
      <c r="A585" s="6" t="str">
        <f>IFERROR(__xludf.DUMMYFUNCTION("""COMPUTED_VALUE"""),"techgenies")</f>
        <v>techgenies</v>
      </c>
      <c r="B585" s="6" t="str">
        <f>IFERROR(__xludf.DUMMYFUNCTION("""COMPUTED_VALUE"""),"Estados Unidos")</f>
        <v>Estados Unidos</v>
      </c>
      <c r="C585" s="6" t="str">
        <f>IFERROR(__xludf.DUMMYFUNCTION("""COMPUTED_VALUE"""),"Software Factory / Staffing")</f>
        <v>Software Factory / Staffing</v>
      </c>
    </row>
    <row r="586" hidden="1">
      <c r="A586" s="6" t="str">
        <f>IFERROR(__xludf.DUMMYFUNCTION("""COMPUTED_VALUE"""),"get in motion")</f>
        <v>get in motion</v>
      </c>
      <c r="B586" s="6" t="str">
        <f>IFERROR(__xludf.DUMMYFUNCTION("""COMPUTED_VALUE"""),"Mexico")</f>
        <v>Mexico</v>
      </c>
      <c r="C586" s="6" t="str">
        <f>IFERROR(__xludf.DUMMYFUNCTION("""COMPUTED_VALUE"""),"Management Consulting")</f>
        <v>Management Consulting</v>
      </c>
    </row>
    <row r="587" hidden="1">
      <c r="A587" s="6" t="str">
        <f>IFERROR(__xludf.DUMMYFUNCTION("""COMPUTED_VALUE"""),"uils")</f>
        <v>uils</v>
      </c>
      <c r="B587" s="6" t="str">
        <f>IFERROR(__xludf.DUMMYFUNCTION("""COMPUTED_VALUE"""),"Argentina")</f>
        <v>Argentina</v>
      </c>
      <c r="C587" s="6" t="str">
        <f>IFERROR(__xludf.DUMMYFUNCTION("""COMPUTED_VALUE"""),"Banking &amp; Financial Servicies")</f>
        <v>Banking &amp; Financial Servicies</v>
      </c>
    </row>
    <row r="588" hidden="1">
      <c r="A588" s="6" t="str">
        <f>IFERROR(__xludf.DUMMYFUNCTION("""COMPUTED_VALUE"""),"errepar")</f>
        <v>errepar</v>
      </c>
      <c r="B588" s="6" t="str">
        <f>IFERROR(__xludf.DUMMYFUNCTION("""COMPUTED_VALUE"""),"Argentina")</f>
        <v>Argentina</v>
      </c>
      <c r="C588" s="6" t="str">
        <f>IFERROR(__xludf.DUMMYFUNCTION("""COMPUTED_VALUE"""),"Software Factory / Staffing")</f>
        <v>Software Factory / Staffing</v>
      </c>
    </row>
    <row r="589" hidden="1">
      <c r="A589" s="6" t="str">
        <f>IFERROR(__xludf.DUMMYFUNCTION("""COMPUTED_VALUE"""),"banco de bogotá")</f>
        <v>banco de bogotá</v>
      </c>
      <c r="B589" s="6" t="str">
        <f>IFERROR(__xludf.DUMMYFUNCTION("""COMPUTED_VALUE"""),"Colombia")</f>
        <v>Colombia</v>
      </c>
      <c r="C589" s="6" t="str">
        <f>IFERROR(__xludf.DUMMYFUNCTION("""COMPUTED_VALUE"""),"Banking &amp; Financial Servicies")</f>
        <v>Banking &amp; Financial Servicies</v>
      </c>
    </row>
    <row r="590" hidden="1">
      <c r="A590" s="6" t="str">
        <f>IFERROR(__xludf.DUMMYFUNCTION("""COMPUTED_VALUE"""),"fk{tech}")</f>
        <v>fk{tech}</v>
      </c>
      <c r="B590" s="6" t="str">
        <f>IFERROR(__xludf.DUMMYFUNCTION("""COMPUTED_VALUE"""),"Argentina")</f>
        <v>Argentina</v>
      </c>
      <c r="C590" s="6" t="str">
        <f>IFERROR(__xludf.DUMMYFUNCTION("""COMPUTED_VALUE"""),"Software Factory / Staffing")</f>
        <v>Software Factory / Staffing</v>
      </c>
    </row>
    <row r="591" hidden="1">
      <c r="A591" s="6" t="str">
        <f>IFERROR(__xludf.DUMMYFUNCTION("""COMPUTED_VALUE"""),"develone")</f>
        <v>develone</v>
      </c>
      <c r="B591" s="6" t="str">
        <f>IFERROR(__xludf.DUMMYFUNCTION("""COMPUTED_VALUE"""),"Argentina")</f>
        <v>Argentina</v>
      </c>
      <c r="C591" s="6" t="str">
        <f>IFERROR(__xludf.DUMMYFUNCTION("""COMPUTED_VALUE"""),"Management Consulting")</f>
        <v>Management Consulting</v>
      </c>
    </row>
    <row r="592" hidden="1">
      <c r="A592" s="6" t="str">
        <f>IFERROR(__xludf.DUMMYFUNCTION("""COMPUTED_VALUE"""),"radio mitre sa")</f>
        <v>radio mitre sa</v>
      </c>
      <c r="B592" s="6" t="str">
        <f>IFERROR(__xludf.DUMMYFUNCTION("""COMPUTED_VALUE"""),"Argentina")</f>
        <v>Argentina</v>
      </c>
      <c r="C592" s="6" t="str">
        <f>IFERROR(__xludf.DUMMYFUNCTION("""COMPUTED_VALUE"""),"Media &amp; Communication")</f>
        <v>Media &amp; Communication</v>
      </c>
    </row>
    <row r="593" hidden="1">
      <c r="A593" s="6" t="str">
        <f>IFERROR(__xludf.DUMMYFUNCTION("""COMPUTED_VALUE"""),"acceleanation")</f>
        <v>acceleanation</v>
      </c>
      <c r="B593" s="6" t="str">
        <f>IFERROR(__xludf.DUMMYFUNCTION("""COMPUTED_VALUE"""),"Uruguay")</f>
        <v>Uruguay</v>
      </c>
      <c r="C593" s="6" t="str">
        <f>IFERROR(__xludf.DUMMYFUNCTION("""COMPUTED_VALUE"""),"Software Factory / Staffing")</f>
        <v>Software Factory / Staffing</v>
      </c>
    </row>
    <row r="594" hidden="1">
      <c r="A594" s="6" t="str">
        <f>IFERROR(__xludf.DUMMYFUNCTION("""COMPUTED_VALUE"""),"t4tpartners")</f>
        <v>t4tpartners</v>
      </c>
      <c r="B594" s="6" t="str">
        <f>IFERROR(__xludf.DUMMYFUNCTION("""COMPUTED_VALUE"""),"Argentina")</f>
        <v>Argentina</v>
      </c>
      <c r="C594" s="6" t="str">
        <f>IFERROR(__xludf.DUMMYFUNCTION("""COMPUTED_VALUE"""),"Software Factory / Staffing")</f>
        <v>Software Factory / Staffing</v>
      </c>
    </row>
    <row r="595">
      <c r="A595" s="6" t="str">
        <f>IFERROR(__xludf.DUMMYFUNCTION("""COMPUTED_VALUE"""),"sonar health inc")</f>
        <v>sonar health inc</v>
      </c>
      <c r="B595" s="6" t="str">
        <f>IFERROR(__xludf.DUMMYFUNCTION("""COMPUTED_VALUE"""),"Estados Unidos")</f>
        <v>Estados Unidos</v>
      </c>
      <c r="C595" s="6" t="str">
        <f>IFERROR(__xludf.DUMMYFUNCTION("""COMPUTED_VALUE"""),"Health")</f>
        <v>Health</v>
      </c>
    </row>
    <row r="596" hidden="1">
      <c r="A596" s="6" t="str">
        <f>IFERROR(__xludf.DUMMYFUNCTION("""COMPUTED_VALUE"""),"ravn")</f>
        <v>ravn</v>
      </c>
      <c r="B596" s="6" t="str">
        <f>IFERROR(__xludf.DUMMYFUNCTION("""COMPUTED_VALUE"""),"Estados Unidos")</f>
        <v>Estados Unidos</v>
      </c>
      <c r="C596" s="6" t="str">
        <f>IFERROR(__xludf.DUMMYFUNCTION("""COMPUTED_VALUE"""),"Software Factory / Staffing")</f>
        <v>Software Factory / Staffing</v>
      </c>
    </row>
    <row r="597" hidden="1">
      <c r="A597" s="6" t="str">
        <f>IFERROR(__xludf.DUMMYFUNCTION("""COMPUTED_VALUE"""),"importainer")</f>
        <v>importainer</v>
      </c>
      <c r="B597" s="6" t="str">
        <f>IFERROR(__xludf.DUMMYFUNCTION("""COMPUTED_VALUE"""),"Argentina")</f>
        <v>Argentina</v>
      </c>
      <c r="C597" s="6" t="str">
        <f>IFERROR(__xludf.DUMMYFUNCTION("""COMPUTED_VALUE"""),"Construction")</f>
        <v>Construction</v>
      </c>
    </row>
    <row r="598" hidden="1">
      <c r="A598" s="6" t="str">
        <f>IFERROR(__xludf.DUMMYFUNCTION("""COMPUTED_VALUE"""),"glubits")</f>
        <v>glubits</v>
      </c>
      <c r="B598" s="6" t="str">
        <f>IFERROR(__xludf.DUMMYFUNCTION("""COMPUTED_VALUE"""),"Argentina")</f>
        <v>Argentina</v>
      </c>
      <c r="C598" s="6" t="str">
        <f>IFERROR(__xludf.DUMMYFUNCTION("""COMPUTED_VALUE"""),"Management Consulting")</f>
        <v>Management Consulting</v>
      </c>
    </row>
    <row r="599" hidden="1">
      <c r="A599" s="6" t="str">
        <f>IFERROR(__xludf.DUMMYFUNCTION("""COMPUTED_VALUE"""),"frontini y asociados")</f>
        <v>frontini y asociados</v>
      </c>
      <c r="B599" s="4"/>
      <c r="C599" s="4"/>
    </row>
    <row r="600" hidden="1">
      <c r="A600" s="6" t="str">
        <f>IFERROR(__xludf.DUMMYFUNCTION("""COMPUTED_VALUE"""),"drubbit")</f>
        <v>drubbit</v>
      </c>
      <c r="B600" s="6" t="str">
        <f>IFERROR(__xludf.DUMMYFUNCTION("""COMPUTED_VALUE"""),"Argentina")</f>
        <v>Argentina</v>
      </c>
      <c r="C600" s="6" t="str">
        <f>IFERROR(__xludf.DUMMYFUNCTION("""COMPUTED_VALUE"""),"E-commerce")</f>
        <v>E-commerce</v>
      </c>
    </row>
    <row r="601" hidden="1">
      <c r="A601" s="6" t="str">
        <f>IFERROR(__xludf.DUMMYFUNCTION("""COMPUTED_VALUE"""),"aerolab s.r.l")</f>
        <v>aerolab s.r.l</v>
      </c>
      <c r="B601" s="6" t="str">
        <f>IFERROR(__xludf.DUMMYFUNCTION("""COMPUTED_VALUE"""),"Argentina")</f>
        <v>Argentina</v>
      </c>
      <c r="C601" s="6" t="str">
        <f>IFERROR(__xludf.DUMMYFUNCTION("""COMPUTED_VALUE"""),"Software Factory / Staffing")</f>
        <v>Software Factory / Staffing</v>
      </c>
    </row>
    <row r="602" hidden="1">
      <c r="A602" s="6" t="str">
        <f>IFERROR(__xludf.DUMMYFUNCTION("""COMPUTED_VALUE"""),"dualbootpartners")</f>
        <v>dualbootpartners</v>
      </c>
      <c r="B602" s="6" t="str">
        <f>IFERROR(__xludf.DUMMYFUNCTION("""COMPUTED_VALUE"""),"Estados Unidos")</f>
        <v>Estados Unidos</v>
      </c>
      <c r="C602" s="6" t="str">
        <f>IFERROR(__xludf.DUMMYFUNCTION("""COMPUTED_VALUE"""),"Management Consulting")</f>
        <v>Management Consulting</v>
      </c>
    </row>
    <row r="603" hidden="1">
      <c r="A603" s="6" t="str">
        <f>IFERROR(__xludf.DUMMYFUNCTION("""COMPUTED_VALUE"""),"legazy spa")</f>
        <v>legazy spa</v>
      </c>
      <c r="B603" s="4"/>
      <c r="C603" s="4"/>
    </row>
    <row r="604" hidden="1">
      <c r="A604" s="6" t="str">
        <f>IFERROR(__xludf.DUMMYFUNCTION("""COMPUTED_VALUE"""),"pwc")</f>
        <v>pwc</v>
      </c>
      <c r="B604" s="6" t="str">
        <f>IFERROR(__xludf.DUMMYFUNCTION("""COMPUTED_VALUE"""),"Argentina")</f>
        <v>Argentina</v>
      </c>
      <c r="C604" s="6" t="str">
        <f>IFERROR(__xludf.DUMMYFUNCTION("""COMPUTED_VALUE"""),"Accounting")</f>
        <v>Accounting</v>
      </c>
    </row>
    <row r="605" hidden="1">
      <c r="A605" s="6" t="str">
        <f>IFERROR(__xludf.DUMMYFUNCTION("""COMPUTED_VALUE"""),"tucar.app")</f>
        <v>tucar.app</v>
      </c>
      <c r="B605" s="6" t="str">
        <f>IFERROR(__xludf.DUMMYFUNCTION("""COMPUTED_VALUE"""),"Chile")</f>
        <v>Chile</v>
      </c>
      <c r="C605" s="6" t="str">
        <f>IFERROR(__xludf.DUMMYFUNCTION("""COMPUTED_VALUE"""),"Movility")</f>
        <v>Movility</v>
      </c>
    </row>
    <row r="606" hidden="1">
      <c r="A606" s="6" t="str">
        <f>IFERROR(__xludf.DUMMYFUNCTION("""COMPUTED_VALUE"""),"fusiontech")</f>
        <v>fusiontech</v>
      </c>
      <c r="B606" s="6" t="str">
        <f>IFERROR(__xludf.DUMMYFUNCTION("""COMPUTED_VALUE"""),"Estados Unidos")</f>
        <v>Estados Unidos</v>
      </c>
      <c r="C606" s="6" t="str">
        <f>IFERROR(__xludf.DUMMYFUNCTION("""COMPUTED_VALUE"""),"Management Consulting")</f>
        <v>Management Consulting</v>
      </c>
    </row>
    <row r="607" hidden="1">
      <c r="A607" s="6" t="str">
        <f>IFERROR(__xludf.DUMMYFUNCTION("""COMPUTED_VALUE"""),"starappx")</f>
        <v>starappx</v>
      </c>
      <c r="B607" s="6" t="str">
        <f>IFERROR(__xludf.DUMMYFUNCTION("""COMPUTED_VALUE"""),"Argentina")</f>
        <v>Argentina</v>
      </c>
      <c r="C607" s="6" t="str">
        <f>IFERROR(__xludf.DUMMYFUNCTION("""COMPUTED_VALUE"""),"Software Factory / Staffing")</f>
        <v>Software Factory / Staffing</v>
      </c>
    </row>
    <row r="608" hidden="1">
      <c r="A608" s="6" t="str">
        <f>IFERROR(__xludf.DUMMYFUNCTION("""COMPUTED_VALUE"""),"dominion")</f>
        <v>dominion</v>
      </c>
      <c r="B608" s="6" t="str">
        <f>IFERROR(__xludf.DUMMYFUNCTION("""COMPUTED_VALUE"""),"España")</f>
        <v>España</v>
      </c>
      <c r="C608" s="6" t="str">
        <f>IFERROR(__xludf.DUMMYFUNCTION("""COMPUTED_VALUE"""),"Management Consulting")</f>
        <v>Management Consulting</v>
      </c>
    </row>
    <row r="609" hidden="1">
      <c r="A609" s="6" t="str">
        <f>IFERROR(__xludf.DUMMYFUNCTION("""COMPUTED_VALUE"""),"vipealo")</f>
        <v>vipealo</v>
      </c>
      <c r="B609" s="6" t="str">
        <f>IFERROR(__xludf.DUMMYFUNCTION("""COMPUTED_VALUE"""),"España")</f>
        <v>España</v>
      </c>
      <c r="C609" s="6" t="str">
        <f>IFERROR(__xludf.DUMMYFUNCTION("""COMPUTED_VALUE"""),"Travel and Tourism")</f>
        <v>Travel and Tourism</v>
      </c>
    </row>
    <row r="610" hidden="1">
      <c r="A610" s="6" t="str">
        <f>IFERROR(__xludf.DUMMYFUNCTION("""COMPUTED_VALUE"""),"faniot")</f>
        <v>faniot</v>
      </c>
      <c r="B610" s="6" t="str">
        <f>IFERROR(__xludf.DUMMYFUNCTION("""COMPUTED_VALUE"""),"Argentina")</f>
        <v>Argentina</v>
      </c>
      <c r="C610" s="6" t="str">
        <f>IFERROR(__xludf.DUMMYFUNCTION("""COMPUTED_VALUE"""),"Mechanical/Industrial Engineering")</f>
        <v>Mechanical/Industrial Engineering</v>
      </c>
    </row>
    <row r="611">
      <c r="A611" s="6" t="str">
        <f>IFERROR(__xludf.DUMMYFUNCTION("""COMPUTED_VALUE"""),"porthos tech")</f>
        <v>porthos tech</v>
      </c>
      <c r="B611" s="6" t="str">
        <f>IFERROR(__xludf.DUMMYFUNCTION("""COMPUTED_VALUE"""),"Paises Bajos")</f>
        <v>Paises Bajos</v>
      </c>
      <c r="C611" s="6" t="str">
        <f>IFERROR(__xludf.DUMMYFUNCTION("""COMPUTED_VALUE"""),"FMCG / Consumo masivo")</f>
        <v>FMCG / Consumo masivo</v>
      </c>
    </row>
    <row r="612" hidden="1">
      <c r="A612" s="6" t="str">
        <f>IFERROR(__xludf.DUMMYFUNCTION("""COMPUTED_VALUE"""),"banregio")</f>
        <v>banregio</v>
      </c>
      <c r="B612" s="6" t="str">
        <f>IFERROR(__xludf.DUMMYFUNCTION("""COMPUTED_VALUE"""),"Mexico")</f>
        <v>Mexico</v>
      </c>
      <c r="C612" s="6" t="str">
        <f>IFERROR(__xludf.DUMMYFUNCTION("""COMPUTED_VALUE"""),"Banking &amp; Financial Servicies")</f>
        <v>Banking &amp; Financial Servicies</v>
      </c>
    </row>
    <row r="613" hidden="1">
      <c r="A613" s="6" t="str">
        <f>IFERROR(__xludf.DUMMYFUNCTION("""COMPUTED_VALUE"""),"alejandro pestchanker")</f>
        <v>alejandro pestchanker</v>
      </c>
      <c r="B613" s="4"/>
      <c r="C613" s="4"/>
    </row>
    <row r="614" hidden="1">
      <c r="A614" s="6" t="str">
        <f>IFERROR(__xludf.DUMMYFUNCTION("""COMPUTED_VALUE"""),"periferia it")</f>
        <v>periferia it</v>
      </c>
      <c r="B614" s="6" t="str">
        <f>IFERROR(__xludf.DUMMYFUNCTION("""COMPUTED_VALUE"""),"Colombia")</f>
        <v>Colombia</v>
      </c>
      <c r="C614" s="6" t="str">
        <f>IFERROR(__xludf.DUMMYFUNCTION("""COMPUTED_VALUE"""),"Management Consulting")</f>
        <v>Management Consulting</v>
      </c>
    </row>
    <row r="615" hidden="1">
      <c r="A615" s="6" t="str">
        <f>IFERROR(__xludf.DUMMYFUNCTION("""COMPUTED_VALUE"""),"praxisemr")</f>
        <v>praxisemr</v>
      </c>
      <c r="B615" s="6" t="str">
        <f>IFERROR(__xludf.DUMMYFUNCTION("""COMPUTED_VALUE"""),"Estados Unidos")</f>
        <v>Estados Unidos</v>
      </c>
      <c r="C615" s="6" t="str">
        <f>IFERROR(__xludf.DUMMYFUNCTION("""COMPUTED_VALUE"""),"Health")</f>
        <v>Health</v>
      </c>
    </row>
    <row r="616" hidden="1">
      <c r="A616" s="6" t="str">
        <f>IFERROR(__xludf.DUMMYFUNCTION("""COMPUTED_VALUE"""),"lenox maynar srl")</f>
        <v>lenox maynar srl</v>
      </c>
      <c r="B616" s="6" t="str">
        <f>IFERROR(__xludf.DUMMYFUNCTION("""COMPUTED_VALUE"""),"Argentina")</f>
        <v>Argentina</v>
      </c>
      <c r="C616" s="6" t="str">
        <f>IFERROR(__xludf.DUMMYFUNCTION("""COMPUTED_VALUE"""),"Software Factory / Staffing")</f>
        <v>Software Factory / Staffing</v>
      </c>
    </row>
    <row r="617" hidden="1">
      <c r="A617" s="6" t="str">
        <f>IFERROR(__xludf.DUMMYFUNCTION("""COMPUTED_VALUE"""),"innova bussines company")</f>
        <v>innova bussines company</v>
      </c>
      <c r="B617" s="4"/>
      <c r="C617" s="4"/>
    </row>
    <row r="618" hidden="1">
      <c r="A618" s="6" t="str">
        <f>IFERROR(__xludf.DUMMYFUNCTION("""COMPUTED_VALUE"""),"forcus mind")</f>
        <v>forcus mind</v>
      </c>
      <c r="B618" s="6" t="str">
        <f>IFERROR(__xludf.DUMMYFUNCTION("""COMPUTED_VALUE"""),"Argentina")</f>
        <v>Argentina</v>
      </c>
      <c r="C618" s="6" t="str">
        <f>IFERROR(__xludf.DUMMYFUNCTION("""COMPUTED_VALUE"""),"Marketing &amp; Advertising")</f>
        <v>Marketing &amp; Advertising</v>
      </c>
    </row>
    <row r="619" hidden="1">
      <c r="A619" s="6" t="str">
        <f>IFERROR(__xludf.DUMMYFUNCTION("""COMPUTED_VALUE"""),"municipalidad de rafaela")</f>
        <v>municipalidad de rafaela</v>
      </c>
      <c r="B619" s="6" t="str">
        <f>IFERROR(__xludf.DUMMYFUNCTION("""COMPUTED_VALUE"""),"Argentina")</f>
        <v>Argentina</v>
      </c>
      <c r="C619" s="6" t="str">
        <f>IFERROR(__xludf.DUMMYFUNCTION("""COMPUTED_VALUE"""),"Public Center")</f>
        <v>Public Center</v>
      </c>
    </row>
    <row r="620" hidden="1">
      <c r="A620" s="6" t="str">
        <f>IFERROR(__xludf.DUMMYFUNCTION("""COMPUTED_VALUE"""),"corpico")</f>
        <v>corpico</v>
      </c>
      <c r="B620" s="6" t="str">
        <f>IFERROR(__xludf.DUMMYFUNCTION("""COMPUTED_VALUE"""),"Argentina")</f>
        <v>Argentina</v>
      </c>
      <c r="C620" s="6" t="str">
        <f>IFERROR(__xludf.DUMMYFUNCTION("""COMPUTED_VALUE"""),"Other")</f>
        <v>Other</v>
      </c>
    </row>
    <row r="621" hidden="1">
      <c r="A621" s="6" t="str">
        <f>IFERROR(__xludf.DUMMYFUNCTION("""COMPUTED_VALUE"""),"wodeva")</f>
        <v>wodeva</v>
      </c>
      <c r="B621" s="6" t="str">
        <f>IFERROR(__xludf.DUMMYFUNCTION("""COMPUTED_VALUE"""),"Argentina")</f>
        <v>Argentina</v>
      </c>
      <c r="C621" s="6" t="str">
        <f>IFERROR(__xludf.DUMMYFUNCTION("""COMPUTED_VALUE"""),"Software Factory / Staffing")</f>
        <v>Software Factory / Staffing</v>
      </c>
    </row>
    <row r="622" hidden="1">
      <c r="A622" s="6" t="str">
        <f>IFERROR(__xludf.DUMMYFUNCTION("""COMPUTED_VALUE"""),"moony")</f>
        <v>moony</v>
      </c>
      <c r="B622" s="6" t="str">
        <f>IFERROR(__xludf.DUMMYFUNCTION("""COMPUTED_VALUE"""),"Argentina")</f>
        <v>Argentina</v>
      </c>
      <c r="C622" s="6" t="str">
        <f>IFERROR(__xludf.DUMMYFUNCTION("""COMPUTED_VALUE"""),"Banking &amp; Financial Servicies")</f>
        <v>Banking &amp; Financial Servicies</v>
      </c>
    </row>
    <row r="623" hidden="1">
      <c r="A623" s="6" t="str">
        <f>IFERROR(__xludf.DUMMYFUNCTION("""COMPUTED_VALUE"""),"intangent")</f>
        <v>intangent</v>
      </c>
      <c r="B623" s="6" t="str">
        <f>IFERROR(__xludf.DUMMYFUNCTION("""COMPUTED_VALUE"""),"Canada")</f>
        <v>Canada</v>
      </c>
      <c r="C623" s="6" t="str">
        <f>IFERROR(__xludf.DUMMYFUNCTION("""COMPUTED_VALUE"""),"Management Consulting")</f>
        <v>Management Consulting</v>
      </c>
    </row>
    <row r="624" hidden="1">
      <c r="A624" s="6" t="str">
        <f>IFERROR(__xludf.DUMMYFUNCTION("""COMPUTED_VALUE"""),"99 minutos")</f>
        <v>99 minutos</v>
      </c>
      <c r="B624" s="6" t="str">
        <f>IFERROR(__xludf.DUMMYFUNCTION("""COMPUTED_VALUE"""),"Mexico")</f>
        <v>Mexico</v>
      </c>
      <c r="C624" s="6" t="str">
        <f>IFERROR(__xludf.DUMMYFUNCTION("""COMPUTED_VALUE"""),"Logistics")</f>
        <v>Logistics</v>
      </c>
    </row>
    <row r="625" hidden="1">
      <c r="A625" s="6" t="str">
        <f>IFERROR(__xludf.DUMMYFUNCTION("""COMPUTED_VALUE"""),"magoya")</f>
        <v>magoya</v>
      </c>
      <c r="B625" s="6" t="str">
        <f>IFERROR(__xludf.DUMMYFUNCTION("""COMPUTED_VALUE"""),"Argentina")</f>
        <v>Argentina</v>
      </c>
      <c r="C625" s="6" t="str">
        <f>IFERROR(__xludf.DUMMYFUNCTION("""COMPUTED_VALUE"""),"Software Factory / Staffing")</f>
        <v>Software Factory / Staffing</v>
      </c>
    </row>
    <row r="626">
      <c r="A626" s="6" t="str">
        <f>IFERROR(__xludf.DUMMYFUNCTION("""COMPUTED_VALUE"""),"h+trace")</f>
        <v>h+trace</v>
      </c>
      <c r="B626" s="6" t="str">
        <f>IFERROR(__xludf.DUMMYFUNCTION("""COMPUTED_VALUE"""),"Argentina")</f>
        <v>Argentina</v>
      </c>
      <c r="C626" s="6" t="str">
        <f>IFERROR(__xludf.DUMMYFUNCTION("""COMPUTED_VALUE"""),"Software Factory / Staffing")</f>
        <v>Software Factory / Staffing</v>
      </c>
    </row>
    <row r="627">
      <c r="A627" s="6" t="str">
        <f>IFERROR(__xludf.DUMMYFUNCTION("""COMPUTED_VALUE"""),"verifiably")</f>
        <v>verifiably</v>
      </c>
      <c r="B627" s="6" t="str">
        <f>IFERROR(__xludf.DUMMYFUNCTION("""COMPUTED_VALUE"""),"Estados Unidos")</f>
        <v>Estados Unidos</v>
      </c>
      <c r="C627" s="6" t="str">
        <f>IFERROR(__xludf.DUMMYFUNCTION("""COMPUTED_VALUE"""),"Software Factory / Staffing")</f>
        <v>Software Factory / Staffing</v>
      </c>
    </row>
    <row r="628" hidden="1">
      <c r="A628" s="6" t="str">
        <f>IFERROR(__xludf.DUMMYFUNCTION("""COMPUTED_VALUE"""),"sondeos")</f>
        <v>sondeos</v>
      </c>
      <c r="B628" s="6" t="str">
        <f>IFERROR(__xludf.DUMMYFUNCTION("""COMPUTED_VALUE"""),"Argentina")</f>
        <v>Argentina</v>
      </c>
      <c r="C628" s="6" t="str">
        <f>IFERROR(__xludf.DUMMYFUNCTION("""COMPUTED_VALUE"""),"Management Consulting")</f>
        <v>Management Consulting</v>
      </c>
    </row>
    <row r="629" hidden="1">
      <c r="A629" s="6" t="str">
        <f>IFERROR(__xludf.DUMMYFUNCTION("""COMPUTED_VALUE"""),"wunderman thompson")</f>
        <v>wunderman thompson</v>
      </c>
      <c r="B629" s="6" t="str">
        <f>IFERROR(__xludf.DUMMYFUNCTION("""COMPUTED_VALUE"""),"Estados Unidos")</f>
        <v>Estados Unidos</v>
      </c>
      <c r="C629" s="6" t="str">
        <f>IFERROR(__xludf.DUMMYFUNCTION("""COMPUTED_VALUE"""),"Marketing &amp; Advertising")</f>
        <v>Marketing &amp; Advertising</v>
      </c>
    </row>
    <row r="630" hidden="1">
      <c r="A630" s="6" t="str">
        <f>IFERROR(__xludf.DUMMYFUNCTION("""COMPUTED_VALUE"""),"s2g energy")</f>
        <v>s2g energy</v>
      </c>
      <c r="B630" s="6" t="str">
        <f>IFERROR(__xludf.DUMMYFUNCTION("""COMPUTED_VALUE"""),"Mexico")</f>
        <v>Mexico</v>
      </c>
      <c r="C630" s="6" t="str">
        <f>IFERROR(__xludf.DUMMYFUNCTION("""COMPUTED_VALUE"""),"SaaS")</f>
        <v>SaaS</v>
      </c>
    </row>
    <row r="631" hidden="1">
      <c r="A631" s="6" t="str">
        <f>IFERROR(__xludf.DUMMYFUNCTION("""COMPUTED_VALUE"""),"ctic")</f>
        <v>ctic</v>
      </c>
      <c r="B631" s="6" t="str">
        <f>IFERROR(__xludf.DUMMYFUNCTION("""COMPUTED_VALUE"""),"Peru")</f>
        <v>Peru</v>
      </c>
      <c r="C631" s="6" t="str">
        <f>IFERROR(__xludf.DUMMYFUNCTION("""COMPUTED_VALUE"""),"Management Consulting")</f>
        <v>Management Consulting</v>
      </c>
    </row>
    <row r="632" hidden="1">
      <c r="A632" s="6" t="str">
        <f>IFERROR(__xludf.DUMMYFUNCTION("""COMPUTED_VALUE"""),"nanoapps")</f>
        <v>nanoapps</v>
      </c>
      <c r="B632" s="6" t="str">
        <f>IFERROR(__xludf.DUMMYFUNCTION("""COMPUTED_VALUE"""),"Argentina")</f>
        <v>Argentina</v>
      </c>
      <c r="C632" s="6" t="str">
        <f>IFERROR(__xludf.DUMMYFUNCTION("""COMPUTED_VALUE"""),"Software Factory / Staffing")</f>
        <v>Software Factory / Staffing</v>
      </c>
    </row>
    <row r="633" hidden="1">
      <c r="A633" s="6" t="str">
        <f>IFERROR(__xludf.DUMMYFUNCTION("""COMPUTED_VALUE"""),"houlak")</f>
        <v>houlak</v>
      </c>
      <c r="B633" s="6" t="str">
        <f>IFERROR(__xludf.DUMMYFUNCTION("""COMPUTED_VALUE"""),"Uruguay")</f>
        <v>Uruguay</v>
      </c>
      <c r="C633" s="6" t="str">
        <f>IFERROR(__xludf.DUMMYFUNCTION("""COMPUTED_VALUE"""),"Software Factory / Staffing")</f>
        <v>Software Factory / Staffing</v>
      </c>
    </row>
    <row r="634" hidden="1">
      <c r="A634" s="6" t="str">
        <f>IFERROR(__xludf.DUMMYFUNCTION("""COMPUTED_VALUE"""),"bromussas")</f>
        <v>bromussas</v>
      </c>
      <c r="B634" s="4"/>
      <c r="C634" s="4"/>
    </row>
    <row r="635" hidden="1">
      <c r="A635" s="6" t="str">
        <f>IFERROR(__xludf.DUMMYFUNCTION("""COMPUTED_VALUE"""),"raffles argentina")</f>
        <v>raffles argentina</v>
      </c>
      <c r="B635" s="6" t="str">
        <f>IFERROR(__xludf.DUMMYFUNCTION("""COMPUTED_VALUE"""),"Argentina")</f>
        <v>Argentina</v>
      </c>
      <c r="C635" s="6" t="str">
        <f>IFERROR(__xludf.DUMMYFUNCTION("""COMPUTED_VALUE"""),"Software Factory / Staffing")</f>
        <v>Software Factory / Staffing</v>
      </c>
    </row>
    <row r="636">
      <c r="A636" s="6" t="str">
        <f>IFERROR(__xludf.DUMMYFUNCTION("""COMPUTED_VALUE"""),"ortex")</f>
        <v>ortex</v>
      </c>
      <c r="B636" s="6" t="str">
        <f>IFERROR(__xludf.DUMMYFUNCTION("""COMPUTED_VALUE"""),"Reino Unido")</f>
        <v>Reino Unido</v>
      </c>
      <c r="C636" s="6" t="str">
        <f>IFERROR(__xludf.DUMMYFUNCTION("""COMPUTED_VALUE"""),"Banking &amp; Financial Servicies")</f>
        <v>Banking &amp; Financial Servicies</v>
      </c>
    </row>
    <row r="637">
      <c r="A637" s="6" t="str">
        <f>IFERROR(__xludf.DUMMYFUNCTION("""COMPUTED_VALUE"""),"sit digital")</f>
        <v>sit digital</v>
      </c>
      <c r="B637" s="6" t="str">
        <f>IFERROR(__xludf.DUMMYFUNCTION("""COMPUTED_VALUE"""),"Mexico")</f>
        <v>Mexico</v>
      </c>
      <c r="C637" s="6" t="str">
        <f>IFERROR(__xludf.DUMMYFUNCTION("""COMPUTED_VALUE"""),"Hardware")</f>
        <v>Hardware</v>
      </c>
    </row>
    <row r="638" hidden="1">
      <c r="A638" s="6" t="str">
        <f>IFERROR(__xludf.DUMMYFUNCTION("""COMPUTED_VALUE"""),"rootstrap")</f>
        <v>rootstrap</v>
      </c>
      <c r="B638" s="6" t="str">
        <f>IFERROR(__xludf.DUMMYFUNCTION("""COMPUTED_VALUE"""),"Estados Unidos")</f>
        <v>Estados Unidos</v>
      </c>
      <c r="C638" s="6" t="str">
        <f>IFERROR(__xludf.DUMMYFUNCTION("""COMPUTED_VALUE"""),"Software Factory / Staffing")</f>
        <v>Software Factory / Staffing</v>
      </c>
    </row>
    <row r="639" hidden="1">
      <c r="A639" s="6" t="str">
        <f>IFERROR(__xludf.DUMMYFUNCTION("""COMPUTED_VALUE"""),"nueva mutual de seguros nu.mu.se")</f>
        <v>nueva mutual de seguros nu.mu.se</v>
      </c>
      <c r="B639" s="6" t="str">
        <f>IFERROR(__xludf.DUMMYFUNCTION("""COMPUTED_VALUE"""),"Argentina")</f>
        <v>Argentina</v>
      </c>
      <c r="C639" s="6" t="str">
        <f>IFERROR(__xludf.DUMMYFUNCTION("""COMPUTED_VALUE"""),"Insurance")</f>
        <v>Insurance</v>
      </c>
    </row>
    <row r="640" hidden="1">
      <c r="A640" s="6" t="str">
        <f>IFERROR(__xludf.DUMMYFUNCTION("""COMPUTED_VALUE"""),"rrn consulting")</f>
        <v>rrn consulting</v>
      </c>
      <c r="B640" s="6" t="str">
        <f>IFERROR(__xludf.DUMMYFUNCTION("""COMPUTED_VALUE"""),"Peru")</f>
        <v>Peru</v>
      </c>
      <c r="C640" s="6" t="str">
        <f>IFERROR(__xludf.DUMMYFUNCTION("""COMPUTED_VALUE"""),"Management Consulting")</f>
        <v>Management Consulting</v>
      </c>
    </row>
    <row r="641" hidden="1">
      <c r="A641" s="6" t="str">
        <f>IFERROR(__xludf.DUMMYFUNCTION("""COMPUTED_VALUE"""),"arvolution")</f>
        <v>arvolution</v>
      </c>
      <c r="B641" s="6" t="str">
        <f>IFERROR(__xludf.DUMMYFUNCTION("""COMPUTED_VALUE"""),"Mexico")</f>
        <v>Mexico</v>
      </c>
      <c r="C641" s="6" t="str">
        <f>IFERROR(__xludf.DUMMYFUNCTION("""COMPUTED_VALUE"""),"Software Factory / Staffing")</f>
        <v>Software Factory / Staffing</v>
      </c>
    </row>
    <row r="642">
      <c r="A642" s="6" t="str">
        <f>IFERROR(__xludf.DUMMYFUNCTION("""COMPUTED_VALUE"""),"imachinary")</f>
        <v>imachinary</v>
      </c>
      <c r="B642" s="6" t="str">
        <f>IFERROR(__xludf.DUMMYFUNCTION("""COMPUTED_VALUE"""),"Estados Unidos")</f>
        <v>Estados Unidos</v>
      </c>
      <c r="C642" s="6" t="str">
        <f>IFERROR(__xludf.DUMMYFUNCTION("""COMPUTED_VALUE"""),"Other")</f>
        <v>Other</v>
      </c>
    </row>
    <row r="643" hidden="1">
      <c r="A643" s="6" t="str">
        <f>IFERROR(__xludf.DUMMYFUNCTION("""COMPUTED_VALUE"""),"bluecorner")</f>
        <v>bluecorner</v>
      </c>
      <c r="B643" s="6" t="str">
        <f>IFERROR(__xludf.DUMMYFUNCTION("""COMPUTED_VALUE"""),"Peru")</f>
        <v>Peru</v>
      </c>
      <c r="C643" s="6" t="str">
        <f>IFERROR(__xludf.DUMMYFUNCTION("""COMPUTED_VALUE"""),"Management Consulting")</f>
        <v>Management Consulting</v>
      </c>
    </row>
    <row r="644" hidden="1">
      <c r="A644" s="6" t="str">
        <f>IFERROR(__xludf.DUMMYFUNCTION("""COMPUTED_VALUE"""),"powtoon")</f>
        <v>powtoon</v>
      </c>
      <c r="B644" s="6" t="str">
        <f>IFERROR(__xludf.DUMMYFUNCTION("""COMPUTED_VALUE"""),"Reino Unido")</f>
        <v>Reino Unido</v>
      </c>
      <c r="C644" s="6" t="str">
        <f>IFERROR(__xludf.DUMMYFUNCTION("""COMPUTED_VALUE"""),"Media &amp; Communication")</f>
        <v>Media &amp; Communication</v>
      </c>
    </row>
    <row r="645" hidden="1">
      <c r="A645" s="6" t="str">
        <f>IFERROR(__xludf.DUMMYFUNCTION("""COMPUTED_VALUE"""),"e-volution")</f>
        <v>e-volution</v>
      </c>
      <c r="B645" s="6" t="str">
        <f>IFERROR(__xludf.DUMMYFUNCTION("""COMPUTED_VALUE"""),"Colombia")</f>
        <v>Colombia</v>
      </c>
      <c r="C645" s="6" t="str">
        <f>IFERROR(__xludf.DUMMYFUNCTION("""COMPUTED_VALUE"""),"Management Consulting")</f>
        <v>Management Consulting</v>
      </c>
    </row>
    <row r="646" hidden="1">
      <c r="A646" s="6" t="str">
        <f>IFERROR(__xludf.DUMMYFUNCTION("""COMPUTED_VALUE"""),"mpsoft spa")</f>
        <v>mpsoft spa</v>
      </c>
      <c r="B646" s="6" t="str">
        <f>IFERROR(__xludf.DUMMYFUNCTION("""COMPUTED_VALUE"""),"Chile")</f>
        <v>Chile</v>
      </c>
      <c r="C646" s="6" t="str">
        <f>IFERROR(__xludf.DUMMYFUNCTION("""COMPUTED_VALUE"""),"Software Factory / Staffing")</f>
        <v>Software Factory / Staffing</v>
      </c>
    </row>
    <row r="647" hidden="1">
      <c r="A647" s="6" t="str">
        <f>IFERROR(__xludf.DUMMYFUNCTION("""COMPUTED_VALUE"""),"dvs360")</f>
        <v>dvs360</v>
      </c>
      <c r="B647" s="6" t="str">
        <f>IFERROR(__xludf.DUMMYFUNCTION("""COMPUTED_VALUE"""),"Argentina")</f>
        <v>Argentina</v>
      </c>
      <c r="C647" s="6" t="str">
        <f>IFERROR(__xludf.DUMMYFUNCTION("""COMPUTED_VALUE"""),"Software Factory / Staffing")</f>
        <v>Software Factory / Staffing</v>
      </c>
    </row>
    <row r="648" hidden="1">
      <c r="A648" s="6" t="str">
        <f>IFERROR(__xludf.DUMMYFUNCTION("""COMPUTED_VALUE"""),"bentex trading s.a")</f>
        <v>bentex trading s.a</v>
      </c>
      <c r="B648" s="6" t="str">
        <f>IFERROR(__xludf.DUMMYFUNCTION("""COMPUTED_VALUE"""),"Colombia")</f>
        <v>Colombia</v>
      </c>
      <c r="C648" s="6" t="str">
        <f>IFERROR(__xludf.DUMMYFUNCTION("""COMPUTED_VALUE"""),"Other")</f>
        <v>Other</v>
      </c>
    </row>
    <row r="649" hidden="1">
      <c r="A649" s="6" t="str">
        <f>IFERROR(__xludf.DUMMYFUNCTION("""COMPUTED_VALUE"""),"tipieapp")</f>
        <v>tipieapp</v>
      </c>
      <c r="B649" s="4"/>
      <c r="C649" s="4"/>
    </row>
    <row r="650" hidden="1">
      <c r="A650" s="6" t="str">
        <f>IFERROR(__xludf.DUMMYFUNCTION("""COMPUTED_VALUE"""),"algolica")</f>
        <v>algolica</v>
      </c>
      <c r="B650" s="6" t="str">
        <f>IFERROR(__xludf.DUMMYFUNCTION("""COMPUTED_VALUE"""),"Argentina")</f>
        <v>Argentina</v>
      </c>
      <c r="C650" s="6" t="str">
        <f>IFERROR(__xludf.DUMMYFUNCTION("""COMPUTED_VALUE"""),"E-commerce")</f>
        <v>E-commerce</v>
      </c>
    </row>
    <row r="651" hidden="1">
      <c r="A651" s="6" t="str">
        <f>IFERROR(__xludf.DUMMYFUNCTION("""COMPUTED_VALUE"""),"creditu")</f>
        <v>creditu</v>
      </c>
      <c r="B651" s="6" t="str">
        <f>IFERROR(__xludf.DUMMYFUNCTION("""COMPUTED_VALUE"""),"Chile")</f>
        <v>Chile</v>
      </c>
      <c r="C651" s="6" t="str">
        <f>IFERROR(__xludf.DUMMYFUNCTION("""COMPUTED_VALUE"""),"Banking &amp; Financial Servicies")</f>
        <v>Banking &amp; Financial Servicies</v>
      </c>
    </row>
    <row r="652" hidden="1">
      <c r="A652" s="6" t="str">
        <f>IFERROR(__xludf.DUMMYFUNCTION("""COMPUTED_VALUE"""),"docmovi")</f>
        <v>docmovi</v>
      </c>
      <c r="B652" s="6" t="str">
        <f>IFERROR(__xludf.DUMMYFUNCTION("""COMPUTED_VALUE"""),"Chile")</f>
        <v>Chile</v>
      </c>
      <c r="C652" s="6" t="str">
        <f>IFERROR(__xludf.DUMMYFUNCTION("""COMPUTED_VALUE"""),"Health")</f>
        <v>Health</v>
      </c>
    </row>
    <row r="653" hidden="1">
      <c r="A653" s="6" t="str">
        <f>IFERROR(__xludf.DUMMYFUNCTION("""COMPUTED_VALUE"""),"grupo murchison")</f>
        <v>grupo murchison</v>
      </c>
      <c r="B653" s="6" t="str">
        <f>IFERROR(__xludf.DUMMYFUNCTION("""COMPUTED_VALUE"""),"Argentina")</f>
        <v>Argentina</v>
      </c>
      <c r="C653" s="6" t="str">
        <f>IFERROR(__xludf.DUMMYFUNCTION("""COMPUTED_VALUE"""),"Logistics")</f>
        <v>Logistics</v>
      </c>
    </row>
    <row r="654" hidden="1">
      <c r="A654" s="6" t="str">
        <f>IFERROR(__xludf.DUMMYFUNCTION("""COMPUTED_VALUE"""),"banco guayaquil")</f>
        <v>banco guayaquil</v>
      </c>
      <c r="B654" s="6" t="str">
        <f>IFERROR(__xludf.DUMMYFUNCTION("""COMPUTED_VALUE"""),"Ecuador")</f>
        <v>Ecuador</v>
      </c>
      <c r="C654" s="6" t="str">
        <f>IFERROR(__xludf.DUMMYFUNCTION("""COMPUTED_VALUE"""),"Banking &amp; Financial Servicies")</f>
        <v>Banking &amp; Financial Servicies</v>
      </c>
    </row>
    <row r="655" hidden="1">
      <c r="A655" s="6" t="str">
        <f>IFERROR(__xludf.DUMMYFUNCTION("""COMPUTED_VALUE"""),"zerviz")</f>
        <v>zerviz</v>
      </c>
      <c r="B655" s="6" t="str">
        <f>IFERROR(__xludf.DUMMYFUNCTION("""COMPUTED_VALUE"""),"Chile")</f>
        <v>Chile</v>
      </c>
      <c r="C655" s="6" t="str">
        <f>IFERROR(__xludf.DUMMYFUNCTION("""COMPUTED_VALUE"""),"Software Factory / Staffing")</f>
        <v>Software Factory / Staffing</v>
      </c>
    </row>
    <row r="656" hidden="1">
      <c r="A656" s="6" t="str">
        <f>IFERROR(__xludf.DUMMYFUNCTION("""COMPUTED_VALUE"""),"ola technologies")</f>
        <v>ola technologies</v>
      </c>
      <c r="B656" s="6" t="str">
        <f>IFERROR(__xludf.DUMMYFUNCTION("""COMPUTED_VALUE"""),"Estados Unidos")</f>
        <v>Estados Unidos</v>
      </c>
      <c r="C656" s="6" t="str">
        <f>IFERROR(__xludf.DUMMYFUNCTION("""COMPUTED_VALUE"""),"Management Consulting")</f>
        <v>Management Consulting</v>
      </c>
    </row>
    <row r="657" hidden="1">
      <c r="A657" s="6" t="str">
        <f>IFERROR(__xludf.DUMMYFUNCTION("""COMPUTED_VALUE"""),"yana")</f>
        <v>yana</v>
      </c>
      <c r="B657" s="6" t="str">
        <f>IFERROR(__xludf.DUMMYFUNCTION("""COMPUTED_VALUE"""),"Mexico")</f>
        <v>Mexico</v>
      </c>
      <c r="C657" s="6" t="str">
        <f>IFERROR(__xludf.DUMMYFUNCTION("""COMPUTED_VALUE"""),"Health")</f>
        <v>Health</v>
      </c>
    </row>
    <row r="658" hidden="1">
      <c r="A658" s="6" t="str">
        <f>IFERROR(__xludf.DUMMYFUNCTION("""COMPUTED_VALUE"""),"spider investments")</f>
        <v>spider investments</v>
      </c>
      <c r="B658" s="6" t="str">
        <f>IFERROR(__xludf.DUMMYFUNCTION("""COMPUTED_VALUE"""),"Estados Unidos")</f>
        <v>Estados Unidos</v>
      </c>
      <c r="C658" s="6" t="str">
        <f>IFERROR(__xludf.DUMMYFUNCTION("""COMPUTED_VALUE"""),"Banking &amp; Financial Servicies")</f>
        <v>Banking &amp; Financial Servicies</v>
      </c>
    </row>
    <row r="659">
      <c r="A659" s="6" t="str">
        <f>IFERROR(__xludf.DUMMYFUNCTION("""COMPUTED_VALUE"""),"brounie")</f>
        <v>brounie</v>
      </c>
      <c r="B659" s="6" t="str">
        <f>IFERROR(__xludf.DUMMYFUNCTION("""COMPUTED_VALUE"""),"Mexico")</f>
        <v>Mexico</v>
      </c>
      <c r="C659" s="6" t="str">
        <f>IFERROR(__xludf.DUMMYFUNCTION("""COMPUTED_VALUE"""),"Software Factory / Staffing")</f>
        <v>Software Factory / Staffing</v>
      </c>
    </row>
    <row r="660" hidden="1">
      <c r="A660" s="6" t="str">
        <f>IFERROR(__xludf.DUMMYFUNCTION("""COMPUTED_VALUE"""),"vemo")</f>
        <v>vemo</v>
      </c>
      <c r="B660" s="6" t="str">
        <f>IFERROR(__xludf.DUMMYFUNCTION("""COMPUTED_VALUE"""),"Mexico")</f>
        <v>Mexico</v>
      </c>
      <c r="C660" s="6" t="str">
        <f>IFERROR(__xludf.DUMMYFUNCTION("""COMPUTED_VALUE"""),"Movility")</f>
        <v>Movility</v>
      </c>
    </row>
    <row r="661" hidden="1">
      <c r="A661" s="6" t="str">
        <f>IFERROR(__xludf.DUMMYFUNCTION("""COMPUTED_VALUE"""),"42mate")</f>
        <v>42mate</v>
      </c>
      <c r="B661" s="6" t="str">
        <f>IFERROR(__xludf.DUMMYFUNCTION("""COMPUTED_VALUE"""),"Argentina")</f>
        <v>Argentina</v>
      </c>
      <c r="C661" s="6" t="str">
        <f>IFERROR(__xludf.DUMMYFUNCTION("""COMPUTED_VALUE"""),"Software Factory / Staffing")</f>
        <v>Software Factory / Staffing</v>
      </c>
    </row>
    <row r="662" hidden="1">
      <c r="A662" s="6" t="str">
        <f>IFERROR(__xludf.DUMMYFUNCTION("""COMPUTED_VALUE"""),"inti")</f>
        <v>inti</v>
      </c>
      <c r="B662" s="6" t="str">
        <f>IFERROR(__xludf.DUMMYFUNCTION("""COMPUTED_VALUE"""),"Argentina")</f>
        <v>Argentina</v>
      </c>
      <c r="C662" s="6" t="str">
        <f>IFERROR(__xludf.DUMMYFUNCTION("""COMPUTED_VALUE"""),"Public Center")</f>
        <v>Public Center</v>
      </c>
    </row>
    <row r="663" hidden="1">
      <c r="A663" s="6" t="str">
        <f>IFERROR(__xludf.DUMMYFUNCTION("""COMPUTED_VALUE"""),"sinapsis")</f>
        <v>sinapsis</v>
      </c>
      <c r="B663" s="6" t="str">
        <f>IFERROR(__xludf.DUMMYFUNCTION("""COMPUTED_VALUE"""),"Argentina")</f>
        <v>Argentina</v>
      </c>
      <c r="C663" s="6" t="str">
        <f>IFERROR(__xludf.DUMMYFUNCTION("""COMPUTED_VALUE"""),"Other")</f>
        <v>Other</v>
      </c>
    </row>
    <row r="664" hidden="1">
      <c r="A664" s="6" t="str">
        <f>IFERROR(__xludf.DUMMYFUNCTION("""COMPUTED_VALUE"""),"addin technologies")</f>
        <v>addin technologies</v>
      </c>
      <c r="B664" s="6" t="str">
        <f>IFERROR(__xludf.DUMMYFUNCTION("""COMPUTED_VALUE"""),"Colombia")</f>
        <v>Colombia</v>
      </c>
      <c r="C664" s="6" t="str">
        <f>IFERROR(__xludf.DUMMYFUNCTION("""COMPUTED_VALUE"""),"Other")</f>
        <v>Other</v>
      </c>
    </row>
    <row r="665" hidden="1">
      <c r="A665" s="6" t="str">
        <f>IFERROR(__xludf.DUMMYFUNCTION("""COMPUTED_VALUE"""),"san pancho lab sa de cv")</f>
        <v>san pancho lab sa de cv</v>
      </c>
      <c r="B665" s="6" t="str">
        <f>IFERROR(__xludf.DUMMYFUNCTION("""COMPUTED_VALUE"""),"Mexico")</f>
        <v>Mexico</v>
      </c>
      <c r="C665" s="6" t="str">
        <f>IFERROR(__xludf.DUMMYFUNCTION("""COMPUTED_VALUE"""),"Marketing &amp; Advertising")</f>
        <v>Marketing &amp; Advertising</v>
      </c>
    </row>
    <row r="666" hidden="1">
      <c r="A666" s="6" t="str">
        <f>IFERROR(__xludf.DUMMYFUNCTION("""COMPUTED_VALUE"""),"centro de salud dim")</f>
        <v>centro de salud dim</v>
      </c>
      <c r="B666" s="6" t="str">
        <f>IFERROR(__xludf.DUMMYFUNCTION("""COMPUTED_VALUE"""),"Argentina")</f>
        <v>Argentina</v>
      </c>
      <c r="C666" s="6" t="str">
        <f>IFERROR(__xludf.DUMMYFUNCTION("""COMPUTED_VALUE"""),"Health")</f>
        <v>Health</v>
      </c>
    </row>
    <row r="667" hidden="1">
      <c r="A667" s="6" t="str">
        <f>IFERROR(__xludf.DUMMYFUNCTION("""COMPUTED_VALUE"""),"teleperformance")</f>
        <v>teleperformance</v>
      </c>
      <c r="B667" s="6" t="str">
        <f>IFERROR(__xludf.DUMMYFUNCTION("""COMPUTED_VALUE"""),"Francia")</f>
        <v>Francia</v>
      </c>
      <c r="C667" s="6" t="str">
        <f>IFERROR(__xludf.DUMMYFUNCTION("""COMPUTED_VALUE"""),"Messaging and Telecommunications")</f>
        <v>Messaging and Telecommunications</v>
      </c>
    </row>
    <row r="668" hidden="1">
      <c r="A668" s="6" t="str">
        <f>IFERROR(__xludf.DUMMYFUNCTION("""COMPUTED_VALUE"""),"servicios urbanos")</f>
        <v>servicios urbanos</v>
      </c>
      <c r="B668" s="6" t="str">
        <f>IFERROR(__xludf.DUMMYFUNCTION("""COMPUTED_VALUE"""),"Argentina")</f>
        <v>Argentina</v>
      </c>
      <c r="C668" s="6" t="str">
        <f>IFERROR(__xludf.DUMMYFUNCTION("""COMPUTED_VALUE"""),"Messaging and Telecommunications")</f>
        <v>Messaging and Telecommunications</v>
      </c>
    </row>
    <row r="669" hidden="1">
      <c r="A669" s="6" t="str">
        <f>IFERROR(__xludf.DUMMYFUNCTION("""COMPUTED_VALUE"""),"ey")</f>
        <v>ey</v>
      </c>
      <c r="B669" s="6" t="str">
        <f>IFERROR(__xludf.DUMMYFUNCTION("""COMPUTED_VALUE"""),"Argentina")</f>
        <v>Argentina</v>
      </c>
      <c r="C669" s="6" t="str">
        <f>IFERROR(__xludf.DUMMYFUNCTION("""COMPUTED_VALUE"""),"Software Factory / Staffing")</f>
        <v>Software Factory / Staffing</v>
      </c>
    </row>
    <row r="670" hidden="1">
      <c r="A670" s="6" t="str">
        <f>IFERROR(__xludf.DUMMYFUNCTION("""COMPUTED_VALUE"""),"prexto")</f>
        <v>prexto</v>
      </c>
      <c r="B670" s="6" t="str">
        <f>IFERROR(__xludf.DUMMYFUNCTION("""COMPUTED_VALUE"""),"Mexico")</f>
        <v>Mexico</v>
      </c>
      <c r="C670" s="6" t="str">
        <f>IFERROR(__xludf.DUMMYFUNCTION("""COMPUTED_VALUE"""),"Fintech")</f>
        <v>Fintech</v>
      </c>
    </row>
    <row r="671" hidden="1">
      <c r="A671" s="6" t="str">
        <f>IFERROR(__xludf.DUMMYFUNCTION("""COMPUTED_VALUE"""),"4iplatform")</f>
        <v>4iplatform</v>
      </c>
      <c r="B671" s="6" t="str">
        <f>IFERROR(__xludf.DUMMYFUNCTION("""COMPUTED_VALUE"""),"Estados Unidos")</f>
        <v>Estados Unidos</v>
      </c>
      <c r="C671" s="6" t="str">
        <f>IFERROR(__xludf.DUMMYFUNCTION("""COMPUTED_VALUE"""),"Automation")</f>
        <v>Automation</v>
      </c>
    </row>
    <row r="672">
      <c r="A672" s="6" t="str">
        <f>IFERROR(__xludf.DUMMYFUNCTION("""COMPUTED_VALUE"""),"quilmes")</f>
        <v>quilmes</v>
      </c>
      <c r="B672" s="6" t="str">
        <f>IFERROR(__xludf.DUMMYFUNCTION("""COMPUTED_VALUE"""),"Argentina")</f>
        <v>Argentina</v>
      </c>
      <c r="C672" s="6" t="str">
        <f>IFERROR(__xludf.DUMMYFUNCTION("""COMPUTED_VALUE"""),"FMCG / Consumo masivo")</f>
        <v>FMCG / Consumo masivo</v>
      </c>
    </row>
    <row r="673" hidden="1">
      <c r="A673" s="6" t="str">
        <f>IFERROR(__xludf.DUMMYFUNCTION("""COMPUTED_VALUE"""),"keytek")</f>
        <v>keytek</v>
      </c>
      <c r="B673" s="6" t="str">
        <f>IFERROR(__xludf.DUMMYFUNCTION("""COMPUTED_VALUE"""),"Colombia")</f>
        <v>Colombia</v>
      </c>
      <c r="C673" s="6" t="str">
        <f>IFERROR(__xludf.DUMMYFUNCTION("""COMPUTED_VALUE"""),"E-commerce")</f>
        <v>E-commerce</v>
      </c>
    </row>
    <row r="674">
      <c r="A674" s="6" t="str">
        <f>IFERROR(__xludf.DUMMYFUNCTION("""COMPUTED_VALUE"""),"extrimian")</f>
        <v>extrimian</v>
      </c>
      <c r="B674" s="6" t="str">
        <f>IFERROR(__xludf.DUMMYFUNCTION("""COMPUTED_VALUE"""),"Argentina")</f>
        <v>Argentina</v>
      </c>
      <c r="C674" s="6" t="str">
        <f>IFERROR(__xludf.DUMMYFUNCTION("""COMPUTED_VALUE"""),"Software Factory / Staffing")</f>
        <v>Software Factory / Staffing</v>
      </c>
    </row>
    <row r="675" hidden="1">
      <c r="A675" s="6" t="str">
        <f>IFERROR(__xludf.DUMMYFUNCTION("""COMPUTED_VALUE"""),"imperio digital")</f>
        <v>imperio digital</v>
      </c>
      <c r="B675" s="6" t="str">
        <f>IFERROR(__xludf.DUMMYFUNCTION("""COMPUTED_VALUE"""),"Peru")</f>
        <v>Peru</v>
      </c>
      <c r="C675" s="6" t="str">
        <f>IFERROR(__xludf.DUMMYFUNCTION("""COMPUTED_VALUE"""),"Marketing &amp; Advertising")</f>
        <v>Marketing &amp; Advertising</v>
      </c>
    </row>
    <row r="676" hidden="1">
      <c r="A676" s="6" t="str">
        <f>IFERROR(__xludf.DUMMYFUNCTION("""COMPUTED_VALUE"""),"luca pagano")</f>
        <v>luca pagano</v>
      </c>
      <c r="B676" s="4"/>
      <c r="C676" s="4"/>
    </row>
    <row r="677" hidden="1">
      <c r="A677" s="6" t="str">
        <f>IFERROR(__xludf.DUMMYFUNCTION("""COMPUTED_VALUE"""),"b21")</f>
        <v>b21</v>
      </c>
      <c r="B677" s="6" t="str">
        <f>IFERROR(__xludf.DUMMYFUNCTION("""COMPUTED_VALUE"""),"Chile")</f>
        <v>Chile</v>
      </c>
      <c r="C677" s="6" t="str">
        <f>IFERROR(__xludf.DUMMYFUNCTION("""COMPUTED_VALUE"""),"Banking &amp; Financial Servicies")</f>
        <v>Banking &amp; Financial Servicies</v>
      </c>
    </row>
    <row r="678">
      <c r="A678" s="6" t="str">
        <f>IFERROR(__xludf.DUMMYFUNCTION("""COMPUTED_VALUE"""),"wibson(illow)")</f>
        <v>wibson(illow)</v>
      </c>
      <c r="B678" s="6" t="str">
        <f>IFERROR(__xludf.DUMMYFUNCTION("""COMPUTED_VALUE"""),"Estados Unidos")</f>
        <v>Estados Unidos</v>
      </c>
      <c r="C678" s="6" t="str">
        <f>IFERROR(__xludf.DUMMYFUNCTION("""COMPUTED_VALUE"""),"Software Factory / Staffing")</f>
        <v>Software Factory / Staffing</v>
      </c>
    </row>
    <row r="679" hidden="1">
      <c r="A679" s="6" t="str">
        <f>IFERROR(__xludf.DUMMYFUNCTION("""COMPUTED_VALUE"""),"leniolabs_llc")</f>
        <v>leniolabs_llc</v>
      </c>
      <c r="B679" s="6" t="str">
        <f>IFERROR(__xludf.DUMMYFUNCTION("""COMPUTED_VALUE"""),"Estados Unidos")</f>
        <v>Estados Unidos</v>
      </c>
      <c r="C679" s="6" t="str">
        <f>IFERROR(__xludf.DUMMYFUNCTION("""COMPUTED_VALUE"""),"Management Consulting")</f>
        <v>Management Consulting</v>
      </c>
    </row>
    <row r="680" hidden="1">
      <c r="A680" s="6" t="str">
        <f>IFERROR(__xludf.DUMMYFUNCTION("""COMPUTED_VALUE"""),"pragma")</f>
        <v>pragma</v>
      </c>
      <c r="B680" s="6" t="str">
        <f>IFERROR(__xludf.DUMMYFUNCTION("""COMPUTED_VALUE"""),"Colombia")</f>
        <v>Colombia</v>
      </c>
      <c r="C680" s="6" t="str">
        <f>IFERROR(__xludf.DUMMYFUNCTION("""COMPUTED_VALUE"""),"Software Factory / Staffing")</f>
        <v>Software Factory / Staffing</v>
      </c>
    </row>
    <row r="681" hidden="1">
      <c r="A681" s="6" t="str">
        <f>IFERROR(__xludf.DUMMYFUNCTION("""COMPUTED_VALUE"""),"suncoenergy")</f>
        <v>suncoenergy</v>
      </c>
      <c r="B681" s="6" t="str">
        <f>IFERROR(__xludf.DUMMYFUNCTION("""COMPUTED_VALUE"""),"Colombia")</f>
        <v>Colombia</v>
      </c>
      <c r="C681" s="6" t="str">
        <f>IFERROR(__xludf.DUMMYFUNCTION("""COMPUTED_VALUE"""),"Public Center")</f>
        <v>Public Center</v>
      </c>
    </row>
    <row r="682" hidden="1">
      <c r="A682" s="6" t="str">
        <f>IFERROR(__xludf.DUMMYFUNCTION("""COMPUTED_VALUE"""),"ifisa")</f>
        <v>ifisa</v>
      </c>
      <c r="B682" s="6" t="str">
        <f>IFERROR(__xludf.DUMMYFUNCTION("""COMPUTED_VALUE"""),"Argentina")</f>
        <v>Argentina</v>
      </c>
      <c r="C682" s="6" t="str">
        <f>IFERROR(__xludf.DUMMYFUNCTION("""COMPUTED_VALUE"""),"FMCG / Consumo masivo")</f>
        <v>FMCG / Consumo masivo</v>
      </c>
    </row>
    <row r="683" hidden="1">
      <c r="A683" s="6" t="str">
        <f>IFERROR(__xludf.DUMMYFUNCTION("""COMPUTED_VALUE"""),"finnerve")</f>
        <v>finnerve</v>
      </c>
      <c r="B683" s="6" t="str">
        <f>IFERROR(__xludf.DUMMYFUNCTION("""COMPUTED_VALUE"""),"Peru")</f>
        <v>Peru</v>
      </c>
      <c r="C683" s="6" t="str">
        <f>IFERROR(__xludf.DUMMYFUNCTION("""COMPUTED_VALUE"""),"Banking &amp; Financial Servicies")</f>
        <v>Banking &amp; Financial Servicies</v>
      </c>
    </row>
    <row r="684">
      <c r="A684" s="6" t="str">
        <f>IFERROR(__xludf.DUMMYFUNCTION("""COMPUTED_VALUE"""),"collins aerospace")</f>
        <v>collins aerospace</v>
      </c>
      <c r="B684" s="6" t="str">
        <f>IFERROR(__xludf.DUMMYFUNCTION("""COMPUTED_VALUE"""),"Estados Unidos")</f>
        <v>Estados Unidos</v>
      </c>
      <c r="C684" s="6" t="str">
        <f>IFERROR(__xludf.DUMMYFUNCTION("""COMPUTED_VALUE"""),"Other")</f>
        <v>Other</v>
      </c>
    </row>
    <row r="685" hidden="1">
      <c r="A685" s="6" t="str">
        <f>IFERROR(__xludf.DUMMYFUNCTION("""COMPUTED_VALUE"""),"bitlogic s.a.")</f>
        <v>bitlogic s.a.</v>
      </c>
      <c r="B685" s="6" t="str">
        <f>IFERROR(__xludf.DUMMYFUNCTION("""COMPUTED_VALUE"""),"Ecuador")</f>
        <v>Ecuador</v>
      </c>
      <c r="C685" s="6" t="str">
        <f>IFERROR(__xludf.DUMMYFUNCTION("""COMPUTED_VALUE"""),"Software Factory / Staffing")</f>
        <v>Software Factory / Staffing</v>
      </c>
    </row>
    <row r="686">
      <c r="A686" s="6" t="str">
        <f>IFERROR(__xludf.DUMMYFUNCTION("""COMPUTED_VALUE"""),"clarika group")</f>
        <v>clarika group</v>
      </c>
      <c r="B686" s="6" t="str">
        <f>IFERROR(__xludf.DUMMYFUNCTION("""COMPUTED_VALUE"""),"Estados Unidos")</f>
        <v>Estados Unidos</v>
      </c>
      <c r="C686" s="6" t="str">
        <f>IFERROR(__xludf.DUMMYFUNCTION("""COMPUTED_VALUE"""),"Software Factory / Staffing")</f>
        <v>Software Factory / Staffing</v>
      </c>
    </row>
    <row r="687" hidden="1">
      <c r="A687" s="6" t="str">
        <f>IFERROR(__xludf.DUMMYFUNCTION("""COMPUTED_VALUE"""),"loop media")</f>
        <v>loop media</v>
      </c>
      <c r="B687" s="6" t="str">
        <f>IFERROR(__xludf.DUMMYFUNCTION("""COMPUTED_VALUE"""),"España")</f>
        <v>España</v>
      </c>
      <c r="C687" s="6" t="str">
        <f>IFERROR(__xludf.DUMMYFUNCTION("""COMPUTED_VALUE"""),"FMCG / Consumo masivo")</f>
        <v>FMCG / Consumo masivo</v>
      </c>
    </row>
    <row r="688" hidden="1">
      <c r="A688" s="6" t="str">
        <f>IFERROR(__xludf.DUMMYFUNCTION("""COMPUTED_VALUE"""),"clipboard health")</f>
        <v>clipboard health</v>
      </c>
      <c r="B688" s="6" t="str">
        <f>IFERROR(__xludf.DUMMYFUNCTION("""COMPUTED_VALUE"""),"Estados Unidos")</f>
        <v>Estados Unidos</v>
      </c>
      <c r="C688" s="6" t="str">
        <f>IFERROR(__xludf.DUMMYFUNCTION("""COMPUTED_VALUE"""),"Health")</f>
        <v>Health</v>
      </c>
    </row>
    <row r="689" hidden="1">
      <c r="A689" s="6" t="str">
        <f>IFERROR(__xludf.DUMMYFUNCTION("""COMPUTED_VALUE"""),"netglobal solutions")</f>
        <v>netglobal solutions</v>
      </c>
      <c r="B689" s="6" t="str">
        <f>IFERROR(__xludf.DUMMYFUNCTION("""COMPUTED_VALUE"""),"Argentina")</f>
        <v>Argentina</v>
      </c>
      <c r="C689" s="6" t="str">
        <f>IFERROR(__xludf.DUMMYFUNCTION("""COMPUTED_VALUE"""),"Software Factory / Staffing")</f>
        <v>Software Factory / Staffing</v>
      </c>
    </row>
    <row r="690" hidden="1">
      <c r="A690" s="6" t="str">
        <f>IFERROR(__xludf.DUMMYFUNCTION("""COMPUTED_VALUE"""),"levo")</f>
        <v>levo</v>
      </c>
      <c r="B690" s="6" t="str">
        <f>IFERROR(__xludf.DUMMYFUNCTION("""COMPUTED_VALUE"""),"Mexico")</f>
        <v>Mexico</v>
      </c>
      <c r="C690" s="6" t="str">
        <f>IFERROR(__xludf.DUMMYFUNCTION("""COMPUTED_VALUE"""),"Banking &amp; Financial Servicies")</f>
        <v>Banking &amp; Financial Servicies</v>
      </c>
    </row>
    <row r="691" hidden="1">
      <c r="A691" s="6" t="str">
        <f>IFERROR(__xludf.DUMMYFUNCTION("""COMPUTED_VALUE"""),"nisum")</f>
        <v>nisum</v>
      </c>
      <c r="B691" s="6" t="str">
        <f>IFERROR(__xludf.DUMMYFUNCTION("""COMPUTED_VALUE"""),"Estados Unidos")</f>
        <v>Estados Unidos</v>
      </c>
      <c r="C691" s="6" t="str">
        <f>IFERROR(__xludf.DUMMYFUNCTION("""COMPUTED_VALUE"""),"Management Consulting")</f>
        <v>Management Consulting</v>
      </c>
    </row>
    <row r="692" hidden="1">
      <c r="A692" s="6" t="str">
        <f>IFERROR(__xludf.DUMMYFUNCTION("""COMPUTED_VALUE"""),"flyp")</f>
        <v>flyp</v>
      </c>
      <c r="B692" s="6" t="str">
        <f>IFERROR(__xludf.DUMMYFUNCTION("""COMPUTED_VALUE"""),"Reino Unido")</f>
        <v>Reino Unido</v>
      </c>
      <c r="C692" s="6" t="str">
        <f>IFERROR(__xludf.DUMMYFUNCTION("""COMPUTED_VALUE"""),"Other")</f>
        <v>Other</v>
      </c>
    </row>
    <row r="693" hidden="1">
      <c r="A693" s="6" t="str">
        <f>IFERROR(__xludf.DUMMYFUNCTION("""COMPUTED_VALUE"""),"settle network")</f>
        <v>settle network</v>
      </c>
      <c r="B693" s="4"/>
      <c r="C693" s="6" t="str">
        <f>IFERROR(__xludf.DUMMYFUNCTION("""COMPUTED_VALUE"""),"Banking &amp; Financial Servicies")</f>
        <v>Banking &amp; Financial Servicies</v>
      </c>
    </row>
    <row r="694" hidden="1">
      <c r="A694" s="6" t="str">
        <f>IFERROR(__xludf.DUMMYFUNCTION("""COMPUTED_VALUE"""),"grupo lpa")</f>
        <v>grupo lpa</v>
      </c>
      <c r="B694" s="6" t="str">
        <f>IFERROR(__xludf.DUMMYFUNCTION("""COMPUTED_VALUE"""),"Argentina")</f>
        <v>Argentina</v>
      </c>
      <c r="C694" s="6" t="str">
        <f>IFERROR(__xludf.DUMMYFUNCTION("""COMPUTED_VALUE"""),"Software Factory / Staffing")</f>
        <v>Software Factory / Staffing</v>
      </c>
    </row>
    <row r="695" hidden="1">
      <c r="A695" s="6" t="str">
        <f>IFERROR(__xludf.DUMMYFUNCTION("""COMPUTED_VALUE"""),"321 ignition")</f>
        <v>321 ignition</v>
      </c>
      <c r="B695" s="6" t="str">
        <f>IFERROR(__xludf.DUMMYFUNCTION("""COMPUTED_VALUE"""),"Estados Unidos")</f>
        <v>Estados Unidos</v>
      </c>
      <c r="C695" s="6" t="str">
        <f>IFERROR(__xludf.DUMMYFUNCTION("""COMPUTED_VALUE"""),"Other")</f>
        <v>Other</v>
      </c>
    </row>
    <row r="696" hidden="1">
      <c r="A696" s="6" t="str">
        <f>IFERROR(__xludf.DUMMYFUNCTION("""COMPUTED_VALUE"""),"applica")</f>
        <v>applica</v>
      </c>
      <c r="B696" s="4"/>
      <c r="C696" s="6" t="str">
        <f>IFERROR(__xludf.DUMMYFUNCTION("""COMPUTED_VALUE"""),"Software Factory / Staffing")</f>
        <v>Software Factory / Staffing</v>
      </c>
    </row>
    <row r="697" hidden="1">
      <c r="A697" s="6" t="str">
        <f>IFERROR(__xludf.DUMMYFUNCTION("""COMPUTED_VALUE"""),"agencia nacional digital")</f>
        <v>agencia nacional digital</v>
      </c>
      <c r="B697" s="6" t="str">
        <f>IFERROR(__xludf.DUMMYFUNCTION("""COMPUTED_VALUE"""),"Colombia")</f>
        <v>Colombia</v>
      </c>
      <c r="C697" s="6" t="str">
        <f>IFERROR(__xludf.DUMMYFUNCTION("""COMPUTED_VALUE"""),"Management Consulting")</f>
        <v>Management Consulting</v>
      </c>
    </row>
    <row r="698">
      <c r="A698" s="6" t="str">
        <f>IFERROR(__xludf.DUMMYFUNCTION("""COMPUTED_VALUE"""),"duollar")</f>
        <v>duollar</v>
      </c>
      <c r="B698" s="6" t="str">
        <f>IFERROR(__xludf.DUMMYFUNCTION("""COMPUTED_VALUE"""),"Argentina")</f>
        <v>Argentina</v>
      </c>
      <c r="C698" s="6" t="str">
        <f>IFERROR(__xludf.DUMMYFUNCTION("""COMPUTED_VALUE"""),"Banking &amp; Financial Servicies")</f>
        <v>Banking &amp; Financial Servicies</v>
      </c>
    </row>
    <row r="699" hidden="1">
      <c r="A699" s="6" t="str">
        <f>IFERROR(__xludf.DUMMYFUNCTION("""COMPUTED_VALUE"""),"speed business s.a.")</f>
        <v>speed business s.a.</v>
      </c>
      <c r="B699" s="6" t="str">
        <f>IFERROR(__xludf.DUMMYFUNCTION("""COMPUTED_VALUE"""),"Suecia")</f>
        <v>Suecia</v>
      </c>
      <c r="C699" s="6" t="str">
        <f>IFERROR(__xludf.DUMMYFUNCTION("""COMPUTED_VALUE"""),"Management Consulting")</f>
        <v>Management Consulting</v>
      </c>
    </row>
    <row r="700" hidden="1">
      <c r="A700" s="6" t="str">
        <f>IFERROR(__xludf.DUMMYFUNCTION("""COMPUTED_VALUE"""),"cardano project")</f>
        <v>cardano project</v>
      </c>
      <c r="B700" s="4"/>
      <c r="C700" s="4"/>
    </row>
    <row r="701">
      <c r="A701" s="6" t="str">
        <f>IFERROR(__xludf.DUMMYFUNCTION("""COMPUTED_VALUE"""),"aurrera")</f>
        <v>aurrera</v>
      </c>
      <c r="B701" s="6" t="str">
        <f>IFERROR(__xludf.DUMMYFUNCTION("""COMPUTED_VALUE"""),"España")</f>
        <v>España</v>
      </c>
      <c r="C701" s="6" t="str">
        <f>IFERROR(__xludf.DUMMYFUNCTION("""COMPUTED_VALUE"""),"Law/Legal Services")</f>
        <v>Law/Legal Services</v>
      </c>
    </row>
    <row r="702" hidden="1">
      <c r="A702" s="6" t="str">
        <f>IFERROR(__xludf.DUMMYFUNCTION("""COMPUTED_VALUE"""),"turismocity")</f>
        <v>turismocity</v>
      </c>
      <c r="B702" s="6" t="str">
        <f>IFERROR(__xludf.DUMMYFUNCTION("""COMPUTED_VALUE"""),"Argentina")</f>
        <v>Argentina</v>
      </c>
      <c r="C702" s="6" t="str">
        <f>IFERROR(__xludf.DUMMYFUNCTION("""COMPUTED_VALUE"""),"Travel and Tourism")</f>
        <v>Travel and Tourism</v>
      </c>
    </row>
    <row r="703" hidden="1">
      <c r="A703" s="6" t="str">
        <f>IFERROR(__xludf.DUMMYFUNCTION("""COMPUTED_VALUE"""),"deel")</f>
        <v>deel</v>
      </c>
      <c r="B703" s="6" t="str">
        <f>IFERROR(__xludf.DUMMYFUNCTION("""COMPUTED_VALUE"""),"Estados Unidos")</f>
        <v>Estados Unidos</v>
      </c>
      <c r="C703" s="6" t="str">
        <f>IFERROR(__xludf.DUMMYFUNCTION("""COMPUTED_VALUE"""),"Banking &amp; Financial Servicies")</f>
        <v>Banking &amp; Financial Servicies</v>
      </c>
    </row>
    <row r="704" hidden="1">
      <c r="A704" s="6" t="str">
        <f>IFERROR(__xludf.DUMMYFUNCTION("""COMPUTED_VALUE"""),"instapro")</f>
        <v>instapro</v>
      </c>
      <c r="B704" s="6" t="str">
        <f>IFERROR(__xludf.DUMMYFUNCTION("""COMPUTED_VALUE"""),"Paises Bajos")</f>
        <v>Paises Bajos</v>
      </c>
      <c r="C704" s="6" t="str">
        <f>IFERROR(__xludf.DUMMYFUNCTION("""COMPUTED_VALUE"""),"Construction")</f>
        <v>Construction</v>
      </c>
    </row>
    <row r="705" hidden="1">
      <c r="A705" s="6" t="str">
        <f>IFERROR(__xludf.DUMMYFUNCTION("""COMPUTED_VALUE"""),"drivendevs")</f>
        <v>drivendevs</v>
      </c>
      <c r="B705" s="6" t="str">
        <f>IFERROR(__xludf.DUMMYFUNCTION("""COMPUTED_VALUE"""),"Argentina")</f>
        <v>Argentina</v>
      </c>
      <c r="C705" s="6" t="str">
        <f>IFERROR(__xludf.DUMMYFUNCTION("""COMPUTED_VALUE"""),"Software Factory / Staffing")</f>
        <v>Software Factory / Staffing</v>
      </c>
    </row>
    <row r="706" hidden="1">
      <c r="A706" s="6" t="str">
        <f>IFERROR(__xludf.DUMMYFUNCTION("""COMPUTED_VALUE"""),"wip-it")</f>
        <v>wip-it</v>
      </c>
      <c r="B706" s="6" t="str">
        <f>IFERROR(__xludf.DUMMYFUNCTION("""COMPUTED_VALUE"""),"Estados Unidos")</f>
        <v>Estados Unidos</v>
      </c>
      <c r="C706" s="6" t="str">
        <f>IFERROR(__xludf.DUMMYFUNCTION("""COMPUTED_VALUE"""),"Software Factory / Staffing")</f>
        <v>Software Factory / Staffing</v>
      </c>
    </row>
    <row r="707" hidden="1">
      <c r="A707" s="6" t="str">
        <f>IFERROR(__xludf.DUMMYFUNCTION("""COMPUTED_VALUE"""),"finvero")</f>
        <v>finvero</v>
      </c>
      <c r="B707" s="6" t="str">
        <f>IFERROR(__xludf.DUMMYFUNCTION("""COMPUTED_VALUE"""),"Mexico")</f>
        <v>Mexico</v>
      </c>
      <c r="C707" s="6" t="str">
        <f>IFERROR(__xludf.DUMMYFUNCTION("""COMPUTED_VALUE"""),"Banking &amp; Financial Servicies")</f>
        <v>Banking &amp; Financial Servicies</v>
      </c>
    </row>
    <row r="708" hidden="1">
      <c r="A708" s="6" t="str">
        <f>IFERROR(__xludf.DUMMYFUNCTION("""COMPUTED_VALUE"""),"vestuá")</f>
        <v>vestuá</v>
      </c>
      <c r="B708" s="6" t="str">
        <f>IFERROR(__xludf.DUMMYFUNCTION("""COMPUTED_VALUE"""),"Chile")</f>
        <v>Chile</v>
      </c>
      <c r="C708" s="6" t="str">
        <f>IFERROR(__xludf.DUMMYFUNCTION("""COMPUTED_VALUE"""),"E-commerce")</f>
        <v>E-commerce</v>
      </c>
    </row>
    <row r="709" hidden="1">
      <c r="A709" s="6" t="str">
        <f>IFERROR(__xludf.DUMMYFUNCTION("""COMPUTED_VALUE"""),"lcni")</f>
        <v>lcni</v>
      </c>
      <c r="B709" s="6" t="str">
        <f>IFERROR(__xludf.DUMMYFUNCTION("""COMPUTED_VALUE"""),"Argentina")</f>
        <v>Argentina</v>
      </c>
      <c r="C709" s="4"/>
    </row>
    <row r="710" hidden="1">
      <c r="A710" s="6" t="str">
        <f>IFERROR(__xludf.DUMMYFUNCTION("""COMPUTED_VALUE"""),"hsm")</f>
        <v>hsm</v>
      </c>
      <c r="B710" s="6" t="str">
        <f>IFERROR(__xludf.DUMMYFUNCTION("""COMPUTED_VALUE"""),"Estados Unidos")</f>
        <v>Estados Unidos</v>
      </c>
      <c r="C710" s="6" t="str">
        <f>IFERROR(__xludf.DUMMYFUNCTION("""COMPUTED_VALUE"""),"Construction")</f>
        <v>Construction</v>
      </c>
    </row>
    <row r="711" hidden="1">
      <c r="A711" s="6" t="str">
        <f>IFERROR(__xludf.DUMMYFUNCTION("""COMPUTED_VALUE"""),"nudos")</f>
        <v>nudos</v>
      </c>
      <c r="B711" s="6" t="str">
        <f>IFERROR(__xludf.DUMMYFUNCTION("""COMPUTED_VALUE"""),"Mexico")</f>
        <v>Mexico</v>
      </c>
      <c r="C711" s="6" t="str">
        <f>IFERROR(__xludf.DUMMYFUNCTION("""COMPUTED_VALUE"""),"SaaS")</f>
        <v>SaaS</v>
      </c>
    </row>
    <row r="712" hidden="1">
      <c r="A712" s="6" t="str">
        <f>IFERROR(__xludf.DUMMYFUNCTION("""COMPUTED_VALUE"""),"pideaky")</f>
        <v>pideaky</v>
      </c>
      <c r="B712" s="6" t="str">
        <f>IFERROR(__xludf.DUMMYFUNCTION("""COMPUTED_VALUE"""),"Mexico")</f>
        <v>Mexico</v>
      </c>
      <c r="C712" s="6" t="str">
        <f>IFERROR(__xludf.DUMMYFUNCTION("""COMPUTED_VALUE"""),"Software Factory / Staffing")</f>
        <v>Software Factory / Staffing</v>
      </c>
    </row>
    <row r="713" hidden="1">
      <c r="A713" s="6" t="str">
        <f>IFERROR(__xludf.DUMMYFUNCTION("""COMPUTED_VALUE"""),"fridom")</f>
        <v>fridom</v>
      </c>
      <c r="B713" s="6" t="str">
        <f>IFERROR(__xludf.DUMMYFUNCTION("""COMPUTED_VALUE"""),"Brasil")</f>
        <v>Brasil</v>
      </c>
      <c r="C713" s="6" t="str">
        <f>IFERROR(__xludf.DUMMYFUNCTION("""COMPUTED_VALUE"""),"Marketing &amp; Advertising")</f>
        <v>Marketing &amp; Advertising</v>
      </c>
    </row>
    <row r="714" hidden="1">
      <c r="A714" s="6" t="str">
        <f>IFERROR(__xludf.DUMMYFUNCTION("""COMPUTED_VALUE"""),"trade ec")</f>
        <v>trade ec</v>
      </c>
      <c r="B714" s="6" t="str">
        <f>IFERROR(__xludf.DUMMYFUNCTION("""COMPUTED_VALUE"""),"Ecuador")</f>
        <v>Ecuador</v>
      </c>
      <c r="C714" s="6" t="str">
        <f>IFERROR(__xludf.DUMMYFUNCTION("""COMPUTED_VALUE"""),"E-commerce")</f>
        <v>E-commerce</v>
      </c>
    </row>
    <row r="715" hidden="1">
      <c r="A715" s="6" t="str">
        <f>IFERROR(__xludf.DUMMYFUNCTION("""COMPUTED_VALUE"""),"sindicato union obrera estac.servic")</f>
        <v>sindicato union obrera estac.servic</v>
      </c>
      <c r="B715" s="4"/>
      <c r="C715" s="4"/>
    </row>
    <row r="716" hidden="1">
      <c r="A716" s="6" t="str">
        <f>IFERROR(__xludf.DUMMYFUNCTION("""COMPUTED_VALUE"""),"itprovider s.r.l.")</f>
        <v>itprovider s.r.l.</v>
      </c>
      <c r="B716" s="6" t="str">
        <f>IFERROR(__xludf.DUMMYFUNCTION("""COMPUTED_VALUE"""),"Brasil")</f>
        <v>Brasil</v>
      </c>
      <c r="C716" s="6" t="str">
        <f>IFERROR(__xludf.DUMMYFUNCTION("""COMPUTED_VALUE"""),"Management Consulting")</f>
        <v>Management Consulting</v>
      </c>
    </row>
    <row r="717" hidden="1">
      <c r="A717" s="6" t="str">
        <f>IFERROR(__xludf.DUMMYFUNCTION("""COMPUTED_VALUE"""),"darwoft")</f>
        <v>darwoft</v>
      </c>
      <c r="B717" s="6" t="str">
        <f>IFERROR(__xludf.DUMMYFUNCTION("""COMPUTED_VALUE"""),"Argentina")</f>
        <v>Argentina</v>
      </c>
      <c r="C717" s="6" t="str">
        <f>IFERROR(__xludf.DUMMYFUNCTION("""COMPUTED_VALUE"""),"Software Factory / Staffing")</f>
        <v>Software Factory / Staffing</v>
      </c>
    </row>
    <row r="718" hidden="1">
      <c r="A718" s="6" t="str">
        <f>IFERROR(__xludf.DUMMYFUNCTION("""COMPUTED_VALUE"""),"portal salud s.a.")</f>
        <v>portal salud s.a.</v>
      </c>
      <c r="B718" s="4"/>
      <c r="C718" s="4"/>
    </row>
    <row r="719" hidden="1">
      <c r="A719" s="6" t="str">
        <f>IFERROR(__xludf.DUMMYFUNCTION("""COMPUTED_VALUE"""),"cepsi")</f>
        <v>cepsi</v>
      </c>
      <c r="B719" s="6" t="str">
        <f>IFERROR(__xludf.DUMMYFUNCTION("""COMPUTED_VALUE"""),"España")</f>
        <v>España</v>
      </c>
      <c r="C719" s="6" t="str">
        <f>IFERROR(__xludf.DUMMYFUNCTION("""COMPUTED_VALUE"""),"Health")</f>
        <v>Health</v>
      </c>
    </row>
    <row r="720" hidden="1">
      <c r="A720" s="6" t="str">
        <f>IFERROR(__xludf.DUMMYFUNCTION("""COMPUTED_VALUE"""),"iurco")</f>
        <v>iurco</v>
      </c>
      <c r="B720" s="6" t="str">
        <f>IFERROR(__xludf.DUMMYFUNCTION("""COMPUTED_VALUE"""),"Argentina")</f>
        <v>Argentina</v>
      </c>
      <c r="C720" s="6" t="str">
        <f>IFERROR(__xludf.DUMMYFUNCTION("""COMPUTED_VALUE"""),"E-commerce")</f>
        <v>E-commerce</v>
      </c>
    </row>
    <row r="721" hidden="1">
      <c r="A721" s="6" t="str">
        <f>IFERROR(__xludf.DUMMYFUNCTION("""COMPUTED_VALUE"""),"bsale perú")</f>
        <v>bsale perú</v>
      </c>
      <c r="B721" s="6" t="str">
        <f>IFERROR(__xludf.DUMMYFUNCTION("""COMPUTED_VALUE"""),"Peru")</f>
        <v>Peru</v>
      </c>
      <c r="C721" s="6" t="str">
        <f>IFERROR(__xludf.DUMMYFUNCTION("""COMPUTED_VALUE"""),"Software Factory / Staffing")</f>
        <v>Software Factory / Staffing</v>
      </c>
    </row>
    <row r="722" hidden="1">
      <c r="A722" s="6" t="str">
        <f>IFERROR(__xludf.DUMMYFUNCTION("""COMPUTED_VALUE"""),"telus international")</f>
        <v>telus international</v>
      </c>
      <c r="B722" s="6" t="str">
        <f>IFERROR(__xludf.DUMMYFUNCTION("""COMPUTED_VALUE"""),"Canada")</f>
        <v>Canada</v>
      </c>
      <c r="C722" s="6" t="str">
        <f>IFERROR(__xludf.DUMMYFUNCTION("""COMPUTED_VALUE"""),"Management Consulting")</f>
        <v>Management Consulting</v>
      </c>
    </row>
    <row r="723" hidden="1">
      <c r="A723" s="6" t="str">
        <f>IFERROR(__xludf.DUMMYFUNCTION("""COMPUTED_VALUE"""),"somos upa")</f>
        <v>somos upa</v>
      </c>
      <c r="B723" s="6" t="str">
        <f>IFERROR(__xludf.DUMMYFUNCTION("""COMPUTED_VALUE"""),"Estados Unidos")</f>
        <v>Estados Unidos</v>
      </c>
      <c r="C723" s="6" t="str">
        <f>IFERROR(__xludf.DUMMYFUNCTION("""COMPUTED_VALUE"""),"Software Factory / Staffing")</f>
        <v>Software Factory / Staffing</v>
      </c>
    </row>
    <row r="724" hidden="1">
      <c r="A724" s="6" t="str">
        <f>IFERROR(__xludf.DUMMYFUNCTION("""COMPUTED_VALUE"""),"magnetar srl")</f>
        <v>magnetar srl</v>
      </c>
      <c r="B724" s="6" t="str">
        <f>IFERROR(__xludf.DUMMYFUNCTION("""COMPUTED_VALUE"""),"Argentina")</f>
        <v>Argentina</v>
      </c>
      <c r="C724" s="6" t="str">
        <f>IFERROR(__xludf.DUMMYFUNCTION("""COMPUTED_VALUE"""),"Management Consulting")</f>
        <v>Management Consulting</v>
      </c>
    </row>
    <row r="725" hidden="1">
      <c r="A725" s="6" t="str">
        <f>IFERROR(__xludf.DUMMYFUNCTION("""COMPUTED_VALUE"""),"abs ti")</f>
        <v>abs ti</v>
      </c>
      <c r="B725" s="6" t="str">
        <f>IFERROR(__xludf.DUMMYFUNCTION("""COMPUTED_VALUE"""),"Argentina")</f>
        <v>Argentina</v>
      </c>
      <c r="C725" s="6" t="str">
        <f>IFERROR(__xludf.DUMMYFUNCTION("""COMPUTED_VALUE"""),"Management Consulting")</f>
        <v>Management Consulting</v>
      </c>
    </row>
    <row r="726" hidden="1">
      <c r="A726" s="6" t="str">
        <f>IFERROR(__xludf.DUMMYFUNCTION("""COMPUTED_VALUE"""),"geotap group")</f>
        <v>geotap group</v>
      </c>
      <c r="B726" s="6" t="str">
        <f>IFERROR(__xludf.DUMMYFUNCTION("""COMPUTED_VALUE"""),"España")</f>
        <v>España</v>
      </c>
      <c r="C726" s="6" t="str">
        <f>IFERROR(__xludf.DUMMYFUNCTION("""COMPUTED_VALUE"""),"Management Consulting")</f>
        <v>Management Consulting</v>
      </c>
    </row>
    <row r="727" hidden="1">
      <c r="A727" s="6" t="str">
        <f>IFERROR(__xludf.DUMMYFUNCTION("""COMPUTED_VALUE"""),"ministerio de educación de tierra del fuego")</f>
        <v>ministerio de educación de tierra del fuego</v>
      </c>
      <c r="B727" s="6" t="str">
        <f>IFERROR(__xludf.DUMMYFUNCTION("""COMPUTED_VALUE"""),"Argentina")</f>
        <v>Argentina</v>
      </c>
      <c r="C727" s="6" t="str">
        <f>IFERROR(__xludf.DUMMYFUNCTION("""COMPUTED_VALUE"""),"Public Center")</f>
        <v>Public Center</v>
      </c>
    </row>
    <row r="728" hidden="1">
      <c r="A728" s="6" t="str">
        <f>IFERROR(__xludf.DUMMYFUNCTION("""COMPUTED_VALUE"""),"job &amp; talent")</f>
        <v>job &amp; talent</v>
      </c>
      <c r="B728" s="6" t="str">
        <f>IFERROR(__xludf.DUMMYFUNCTION("""COMPUTED_VALUE"""),"Colombia")</f>
        <v>Colombia</v>
      </c>
      <c r="C728" s="6" t="str">
        <f>IFERROR(__xludf.DUMMYFUNCTION("""COMPUTED_VALUE"""),"Recruiting")</f>
        <v>Recruiting</v>
      </c>
    </row>
    <row r="729" hidden="1">
      <c r="A729" s="6" t="str">
        <f>IFERROR(__xludf.DUMMYFUNCTION("""COMPUTED_VALUE"""),"selia")</f>
        <v>selia</v>
      </c>
      <c r="B729" s="6" t="str">
        <f>IFERROR(__xludf.DUMMYFUNCTION("""COMPUTED_VALUE"""),"Colombia")</f>
        <v>Colombia</v>
      </c>
      <c r="C729" s="6" t="str">
        <f>IFERROR(__xludf.DUMMYFUNCTION("""COMPUTED_VALUE"""),"Other")</f>
        <v>Other</v>
      </c>
    </row>
    <row r="730" hidden="1">
      <c r="A730" s="6" t="str">
        <f>IFERROR(__xludf.DUMMYFUNCTION("""COMPUTED_VALUE"""),"nauty360")</f>
        <v>nauty360</v>
      </c>
      <c r="B730" s="6" t="str">
        <f>IFERROR(__xludf.DUMMYFUNCTION("""COMPUTED_VALUE"""),"Estados Unidos")</f>
        <v>Estados Unidos</v>
      </c>
      <c r="C730" s="6" t="str">
        <f>IFERROR(__xludf.DUMMYFUNCTION("""COMPUTED_VALUE"""),"Travel and Tourism")</f>
        <v>Travel and Tourism</v>
      </c>
    </row>
    <row r="731" hidden="1">
      <c r="A731" s="6" t="str">
        <f>IFERROR(__xludf.DUMMYFUNCTION("""COMPUTED_VALUE"""),"márquez y asociados")</f>
        <v>márquez y asociados</v>
      </c>
      <c r="B731" s="6" t="str">
        <f>IFERROR(__xludf.DUMMYFUNCTION("""COMPUTED_VALUE"""),"Argentina")</f>
        <v>Argentina</v>
      </c>
      <c r="C731" s="6" t="str">
        <f>IFERROR(__xludf.DUMMYFUNCTION("""COMPUTED_VALUE"""),"Construction")</f>
        <v>Construction</v>
      </c>
    </row>
    <row r="732" hidden="1">
      <c r="A732" s="6" t="str">
        <f>IFERROR(__xludf.DUMMYFUNCTION("""COMPUTED_VALUE"""),"dmi")</f>
        <v>dmi</v>
      </c>
      <c r="B732" s="6" t="str">
        <f>IFERROR(__xludf.DUMMYFUNCTION("""COMPUTED_VALUE"""),"Estados Unidos")</f>
        <v>Estados Unidos</v>
      </c>
      <c r="C732" s="6" t="str">
        <f>IFERROR(__xludf.DUMMYFUNCTION("""COMPUTED_VALUE"""),"Management Consulting")</f>
        <v>Management Consulting</v>
      </c>
    </row>
    <row r="733" hidden="1">
      <c r="A733" s="6" t="str">
        <f>IFERROR(__xludf.DUMMYFUNCTION("""COMPUTED_VALUE"""),"excelan automacion s.a")</f>
        <v>excelan automacion s.a</v>
      </c>
      <c r="B733" s="6" t="str">
        <f>IFERROR(__xludf.DUMMYFUNCTION("""COMPUTED_VALUE"""),"Argentina")</f>
        <v>Argentina</v>
      </c>
      <c r="C733" s="6" t="str">
        <f>IFERROR(__xludf.DUMMYFUNCTION("""COMPUTED_VALUE"""),"Software Factory / Staffing")</f>
        <v>Software Factory / Staffing</v>
      </c>
    </row>
    <row r="734" hidden="1">
      <c r="A734" s="6" t="str">
        <f>IFERROR(__xludf.DUMMYFUNCTION("""COMPUTED_VALUE"""),"sense digital")</f>
        <v>sense digital</v>
      </c>
      <c r="B734" s="6" t="str">
        <f>IFERROR(__xludf.DUMMYFUNCTION("""COMPUTED_VALUE"""),"Colombia")</f>
        <v>Colombia</v>
      </c>
      <c r="C734" s="6" t="str">
        <f>IFERROR(__xludf.DUMMYFUNCTION("""COMPUTED_VALUE"""),"Management Consulting")</f>
        <v>Management Consulting</v>
      </c>
    </row>
    <row r="735" hidden="1">
      <c r="A735" s="6" t="str">
        <f>IFERROR(__xludf.DUMMYFUNCTION("""COMPUTED_VALUE"""),"binkies 3d")</f>
        <v>binkies 3d</v>
      </c>
      <c r="B735" s="6" t="str">
        <f>IFERROR(__xludf.DUMMYFUNCTION("""COMPUTED_VALUE"""),"Paises Bajos")</f>
        <v>Paises Bajos</v>
      </c>
      <c r="C735" s="6" t="str">
        <f>IFERROR(__xludf.DUMMYFUNCTION("""COMPUTED_VALUE"""),"Other")</f>
        <v>Other</v>
      </c>
    </row>
    <row r="736" hidden="1">
      <c r="A736" s="6" t="str">
        <f>IFERROR(__xludf.DUMMYFUNCTION("""COMPUTED_VALUE"""),"tül")</f>
        <v>tül</v>
      </c>
      <c r="B736" s="6" t="str">
        <f>IFERROR(__xludf.DUMMYFUNCTION("""COMPUTED_VALUE"""),"Colombia")</f>
        <v>Colombia</v>
      </c>
      <c r="C736" s="6" t="str">
        <f>IFERROR(__xludf.DUMMYFUNCTION("""COMPUTED_VALUE"""),"E-commerce")</f>
        <v>E-commerce</v>
      </c>
    </row>
    <row r="737" hidden="1">
      <c r="A737" s="6" t="str">
        <f>IFERROR(__xludf.DUMMYFUNCTION("""COMPUTED_VALUE"""),"belo")</f>
        <v>belo</v>
      </c>
      <c r="B737" s="6" t="str">
        <f>IFERROR(__xludf.DUMMYFUNCTION("""COMPUTED_VALUE"""),"Argentina")</f>
        <v>Argentina</v>
      </c>
      <c r="C737" s="6" t="str">
        <f>IFERROR(__xludf.DUMMYFUNCTION("""COMPUTED_VALUE"""),"Banking &amp; Financial Servicies")</f>
        <v>Banking &amp; Financial Servicies</v>
      </c>
    </row>
    <row r="738" hidden="1">
      <c r="A738" s="6" t="str">
        <f>IFERROR(__xludf.DUMMYFUNCTION("""COMPUTED_VALUE"""),"seguros bolívar s.a.")</f>
        <v>seguros bolívar s.a.</v>
      </c>
      <c r="B738" s="6" t="str">
        <f>IFERROR(__xludf.DUMMYFUNCTION("""COMPUTED_VALUE"""),"Colombia")</f>
        <v>Colombia</v>
      </c>
      <c r="C738" s="6" t="str">
        <f>IFERROR(__xludf.DUMMYFUNCTION("""COMPUTED_VALUE"""),"Insurance")</f>
        <v>Insurance</v>
      </c>
    </row>
    <row r="739">
      <c r="A739" s="6" t="str">
        <f>IFERROR(__xludf.DUMMYFUNCTION("""COMPUTED_VALUE"""),"analytics town")</f>
        <v>analytics town</v>
      </c>
      <c r="B739" s="6" t="str">
        <f>IFERROR(__xludf.DUMMYFUNCTION("""COMPUTED_VALUE"""),"Argentina")</f>
        <v>Argentina</v>
      </c>
      <c r="C739" s="6" t="str">
        <f>IFERROR(__xludf.DUMMYFUNCTION("""COMPUTED_VALUE"""),"Management Consulting")</f>
        <v>Management Consulting</v>
      </c>
    </row>
    <row r="740" hidden="1">
      <c r="A740" s="6" t="str">
        <f>IFERROR(__xludf.DUMMYFUNCTION("""COMPUTED_VALUE"""),"crombie")</f>
        <v>crombie</v>
      </c>
      <c r="B740" s="6" t="str">
        <f>IFERROR(__xludf.DUMMYFUNCTION("""COMPUTED_VALUE"""),"Argentina")</f>
        <v>Argentina</v>
      </c>
      <c r="C740" s="6" t="str">
        <f>IFERROR(__xludf.DUMMYFUNCTION("""COMPUTED_VALUE"""),"Software Factory / Staffing")</f>
        <v>Software Factory / Staffing</v>
      </c>
    </row>
    <row r="741" hidden="1">
      <c r="A741" s="6" t="str">
        <f>IFERROR(__xludf.DUMMYFUNCTION("""COMPUTED_VALUE"""),"mozcalti")</f>
        <v>mozcalti</v>
      </c>
      <c r="B741" s="6" t="str">
        <f>IFERROR(__xludf.DUMMYFUNCTION("""COMPUTED_VALUE"""),"Mexico")</f>
        <v>Mexico</v>
      </c>
      <c r="C741" s="6" t="str">
        <f>IFERROR(__xludf.DUMMYFUNCTION("""COMPUTED_VALUE"""),"Management Consulting")</f>
        <v>Management Consulting</v>
      </c>
    </row>
    <row r="742" hidden="1">
      <c r="A742" s="6" t="str">
        <f>IFERROR(__xludf.DUMMYFUNCTION("""COMPUTED_VALUE"""),"metanoiia")</f>
        <v>metanoiia</v>
      </c>
      <c r="B742" s="6" t="str">
        <f>IFERROR(__xludf.DUMMYFUNCTION("""COMPUTED_VALUE"""),"Colombia")</f>
        <v>Colombia</v>
      </c>
      <c r="C742" s="6" t="str">
        <f>IFERROR(__xludf.DUMMYFUNCTION("""COMPUTED_VALUE"""),"Software Factory / Staffing")</f>
        <v>Software Factory / Staffing</v>
      </c>
    </row>
    <row r="743" hidden="1">
      <c r="A743" s="6" t="str">
        <f>IFERROR(__xludf.DUMMYFUNCTION("""COMPUTED_VALUE"""),"empowerment labs")</f>
        <v>empowerment labs</v>
      </c>
      <c r="B743" s="6" t="str">
        <f>IFERROR(__xludf.DUMMYFUNCTION("""COMPUTED_VALUE"""),"Estados Unidos")</f>
        <v>Estados Unidos</v>
      </c>
      <c r="C743" s="6" t="str">
        <f>IFERROR(__xludf.DUMMYFUNCTION("""COMPUTED_VALUE"""),"Software Factory / Staffing")</f>
        <v>Software Factory / Staffing</v>
      </c>
    </row>
    <row r="744" hidden="1">
      <c r="A744" s="6" t="str">
        <f>IFERROR(__xludf.DUMMYFUNCTION("""COMPUTED_VALUE"""),"etermax")</f>
        <v>etermax</v>
      </c>
      <c r="B744" s="6" t="str">
        <f>IFERROR(__xludf.DUMMYFUNCTION("""COMPUTED_VALUE"""),"Argentina")</f>
        <v>Argentina</v>
      </c>
      <c r="C744" s="6" t="str">
        <f>IFERROR(__xludf.DUMMYFUNCTION("""COMPUTED_VALUE"""),"Software Factory / Staffing")</f>
        <v>Software Factory / Staffing</v>
      </c>
    </row>
    <row r="745" hidden="1">
      <c r="A745" s="6" t="str">
        <f>IFERROR(__xludf.DUMMYFUNCTION("""COMPUTED_VALUE"""),"midas call center")</f>
        <v>midas call center</v>
      </c>
      <c r="B745" s="6" t="str">
        <f>IFERROR(__xludf.DUMMYFUNCTION("""COMPUTED_VALUE"""),"Argentina")</f>
        <v>Argentina</v>
      </c>
      <c r="C745" s="6" t="str">
        <f>IFERROR(__xludf.DUMMYFUNCTION("""COMPUTED_VALUE"""),"Messaging and Telecommunications")</f>
        <v>Messaging and Telecommunications</v>
      </c>
    </row>
    <row r="746" hidden="1">
      <c r="A746" s="6" t="str">
        <f>IFERROR(__xludf.DUMMYFUNCTION("""COMPUTED_VALUE"""),"nucba")</f>
        <v>nucba</v>
      </c>
      <c r="B746" s="6" t="str">
        <f>IFERROR(__xludf.DUMMYFUNCTION("""COMPUTED_VALUE"""),"Argentina")</f>
        <v>Argentina</v>
      </c>
      <c r="C746" s="6" t="str">
        <f>IFERROR(__xludf.DUMMYFUNCTION("""COMPUTED_VALUE"""),"Education &amp; Edtech")</f>
        <v>Education &amp; Edtech</v>
      </c>
    </row>
    <row r="747" hidden="1">
      <c r="A747" s="6" t="str">
        <f>IFERROR(__xludf.DUMMYFUNCTION("""COMPUTED_VALUE"""),"kubrik digital")</f>
        <v>kubrik digital</v>
      </c>
      <c r="B747" s="6" t="str">
        <f>IFERROR(__xludf.DUMMYFUNCTION("""COMPUTED_VALUE"""),"Canada")</f>
        <v>Canada</v>
      </c>
      <c r="C747" s="6" t="str">
        <f>IFERROR(__xludf.DUMMYFUNCTION("""COMPUTED_VALUE"""),"E-commerce")</f>
        <v>E-commerce</v>
      </c>
    </row>
    <row r="748" hidden="1">
      <c r="A748" s="6" t="str">
        <f>IFERROR(__xludf.DUMMYFUNCTION("""COMPUTED_VALUE"""),"it crowd")</f>
        <v>it crowd</v>
      </c>
      <c r="B748" s="6" t="str">
        <f>IFERROR(__xludf.DUMMYFUNCTION("""COMPUTED_VALUE"""),"Argentina")</f>
        <v>Argentina</v>
      </c>
      <c r="C748" s="6" t="str">
        <f>IFERROR(__xludf.DUMMYFUNCTION("""COMPUTED_VALUE"""),"Software Factory / Staffing")</f>
        <v>Software Factory / Staffing</v>
      </c>
    </row>
    <row r="749" hidden="1">
      <c r="A749" s="6" t="str">
        <f>IFERROR(__xludf.DUMMYFUNCTION("""COMPUTED_VALUE"""),"sm digital")</f>
        <v>sm digital</v>
      </c>
      <c r="B749" s="6" t="str">
        <f>IFERROR(__xludf.DUMMYFUNCTION("""COMPUTED_VALUE"""),"Colombia")</f>
        <v>Colombia</v>
      </c>
      <c r="C749" s="6" t="str">
        <f>IFERROR(__xludf.DUMMYFUNCTION("""COMPUTED_VALUE"""),"Marketing &amp; Advertising")</f>
        <v>Marketing &amp; Advertising</v>
      </c>
    </row>
    <row r="750" hidden="1">
      <c r="A750" s="6" t="str">
        <f>IFERROR(__xludf.DUMMYFUNCTION("""COMPUTED_VALUE"""),"think future technologies")</f>
        <v>think future technologies</v>
      </c>
      <c r="B750" s="6" t="str">
        <f>IFERROR(__xludf.DUMMYFUNCTION("""COMPUTED_VALUE"""),"Mexico")</f>
        <v>Mexico</v>
      </c>
      <c r="C750" s="6" t="str">
        <f>IFERROR(__xludf.DUMMYFUNCTION("""COMPUTED_VALUE"""),"Management Consulting")</f>
        <v>Management Consulting</v>
      </c>
    </row>
    <row r="751" hidden="1">
      <c r="A751" s="6" t="str">
        <f>IFERROR(__xludf.DUMMYFUNCTION("""COMPUTED_VALUE"""),"pmm")</f>
        <v>pmm</v>
      </c>
      <c r="B751" s="6" t="str">
        <f>IFERROR(__xludf.DUMMYFUNCTION("""COMPUTED_VALUE"""),"Argentina")</f>
        <v>Argentina</v>
      </c>
      <c r="C751" s="6" t="str">
        <f>IFERROR(__xludf.DUMMYFUNCTION("""COMPUTED_VALUE"""),"Gaming")</f>
        <v>Gaming</v>
      </c>
    </row>
    <row r="752" hidden="1">
      <c r="A752" s="6" t="str">
        <f>IFERROR(__xludf.DUMMYFUNCTION("""COMPUTED_VALUE"""),"calyaan colombia")</f>
        <v>calyaan colombia</v>
      </c>
      <c r="B752" s="6" t="str">
        <f>IFERROR(__xludf.DUMMYFUNCTION("""COMPUTED_VALUE"""),"Colombia")</f>
        <v>Colombia</v>
      </c>
      <c r="C752" s="6" t="str">
        <f>IFERROR(__xludf.DUMMYFUNCTION("""COMPUTED_VALUE"""),"Health")</f>
        <v>Health</v>
      </c>
    </row>
    <row r="753" hidden="1">
      <c r="A753" s="6" t="str">
        <f>IFERROR(__xludf.DUMMYFUNCTION("""COMPUTED_VALUE"""),"611 digital")</f>
        <v>611 digital</v>
      </c>
      <c r="B753" s="6" t="str">
        <f>IFERROR(__xludf.DUMMYFUNCTION("""COMPUTED_VALUE"""),"Costa Rica")</f>
        <v>Costa Rica</v>
      </c>
      <c r="C753" s="6" t="str">
        <f>IFERROR(__xludf.DUMMYFUNCTION("""COMPUTED_VALUE"""),"Software Factory / Staffing")</f>
        <v>Software Factory / Staffing</v>
      </c>
    </row>
    <row r="754" hidden="1">
      <c r="A754" s="6" t="str">
        <f>IFERROR(__xludf.DUMMYFUNCTION("""COMPUTED_VALUE"""),"el tiempo sac")</f>
        <v>el tiempo sac</v>
      </c>
      <c r="B754" s="6" t="str">
        <f>IFERROR(__xludf.DUMMYFUNCTION("""COMPUTED_VALUE"""),"Peru")</f>
        <v>Peru</v>
      </c>
      <c r="C754" s="6" t="str">
        <f>IFERROR(__xludf.DUMMYFUNCTION("""COMPUTED_VALUE"""),"Media &amp; Communication")</f>
        <v>Media &amp; Communication</v>
      </c>
    </row>
    <row r="755" hidden="1">
      <c r="A755" s="6" t="str">
        <f>IFERROR(__xludf.DUMMYFUNCTION("""COMPUTED_VALUE"""),"camonapp")</f>
        <v>camonapp</v>
      </c>
      <c r="B755" s="4"/>
      <c r="C755" s="4"/>
    </row>
    <row r="756">
      <c r="A756" s="6" t="str">
        <f>IFERROR(__xludf.DUMMYFUNCTION("""COMPUTED_VALUE"""),"remotebase")</f>
        <v>remotebase</v>
      </c>
      <c r="B756" s="6" t="str">
        <f>IFERROR(__xludf.DUMMYFUNCTION("""COMPUTED_VALUE"""),"Estados Unidos")</f>
        <v>Estados Unidos</v>
      </c>
      <c r="C756" s="6" t="str">
        <f>IFERROR(__xludf.DUMMYFUNCTION("""COMPUTED_VALUE"""),"Management Consulting")</f>
        <v>Management Consulting</v>
      </c>
    </row>
    <row r="757" hidden="1">
      <c r="A757" s="6" t="str">
        <f>IFERROR(__xludf.DUMMYFUNCTION("""COMPUTED_VALUE"""),"ake lab")</f>
        <v>ake lab</v>
      </c>
      <c r="B757" s="6" t="str">
        <f>IFERROR(__xludf.DUMMYFUNCTION("""COMPUTED_VALUE"""),"Colombia")</f>
        <v>Colombia</v>
      </c>
      <c r="C757" s="6" t="str">
        <f>IFERROR(__xludf.DUMMYFUNCTION("""COMPUTED_VALUE"""),"Management Consulting")</f>
        <v>Management Consulting</v>
      </c>
    </row>
    <row r="758">
      <c r="A758" s="6" t="str">
        <f>IFERROR(__xludf.DUMMYFUNCTION("""COMPUTED_VALUE"""),"data-ka")</f>
        <v>data-ka</v>
      </c>
      <c r="B758" s="6" t="str">
        <f>IFERROR(__xludf.DUMMYFUNCTION("""COMPUTED_VALUE"""),"España")</f>
        <v>España</v>
      </c>
      <c r="C758" s="6" t="str">
        <f>IFERROR(__xludf.DUMMYFUNCTION("""COMPUTED_VALUE"""),"Management Consulting")</f>
        <v>Management Consulting</v>
      </c>
    </row>
    <row r="759">
      <c r="A759" s="6" t="str">
        <f>IFERROR(__xludf.DUMMYFUNCTION("""COMPUTED_VALUE"""),"okboy")</f>
        <v>okboy</v>
      </c>
      <c r="B759" s="6" t="str">
        <f>IFERROR(__xludf.DUMMYFUNCTION("""COMPUTED_VALUE"""),"Mexico")</f>
        <v>Mexico</v>
      </c>
      <c r="C759" s="6" t="str">
        <f>IFERROR(__xludf.DUMMYFUNCTION("""COMPUTED_VALUE"""),"Other")</f>
        <v>Other</v>
      </c>
    </row>
    <row r="760" hidden="1">
      <c r="A760" s="6" t="str">
        <f>IFERROR(__xludf.DUMMYFUNCTION("""COMPUTED_VALUE"""),"interatica")</f>
        <v>interatica</v>
      </c>
      <c r="B760" s="6" t="str">
        <f>IFERROR(__xludf.DUMMYFUNCTION("""COMPUTED_VALUE"""),"Estados Unidos")</f>
        <v>Estados Unidos</v>
      </c>
      <c r="C760" s="6" t="str">
        <f>IFERROR(__xludf.DUMMYFUNCTION("""COMPUTED_VALUE"""),"Marketing &amp; Advertising")</f>
        <v>Marketing &amp; Advertising</v>
      </c>
    </row>
    <row r="761" hidden="1">
      <c r="A761" s="6" t="str">
        <f>IFERROR(__xludf.DUMMYFUNCTION("""COMPUTED_VALUE"""),"stackzone")</f>
        <v>stackzone</v>
      </c>
      <c r="B761" s="6" t="str">
        <f>IFERROR(__xludf.DUMMYFUNCTION("""COMPUTED_VALUE"""),"Reino Unido")</f>
        <v>Reino Unido</v>
      </c>
      <c r="C761" s="6" t="str">
        <f>IFERROR(__xludf.DUMMYFUNCTION("""COMPUTED_VALUE"""),"Cibersecurity")</f>
        <v>Cibersecurity</v>
      </c>
    </row>
    <row r="762" hidden="1">
      <c r="A762" s="6" t="str">
        <f>IFERROR(__xludf.DUMMYFUNCTION("""COMPUTED_VALUE"""),"software innova consultores s.a.c.")</f>
        <v>software innova consultores s.a.c.</v>
      </c>
      <c r="B762" s="6" t="str">
        <f>IFERROR(__xludf.DUMMYFUNCTION("""COMPUTED_VALUE"""),"Peru")</f>
        <v>Peru</v>
      </c>
      <c r="C762" s="6" t="str">
        <f>IFERROR(__xludf.DUMMYFUNCTION("""COMPUTED_VALUE"""),"Management Consulting")</f>
        <v>Management Consulting</v>
      </c>
    </row>
    <row r="763" hidden="1">
      <c r="A763" s="6" t="str">
        <f>IFERROR(__xludf.DUMMYFUNCTION("""COMPUTED_VALUE"""),"brivé soluciones")</f>
        <v>brivé soluciones</v>
      </c>
      <c r="B763" s="6" t="str">
        <f>IFERROR(__xludf.DUMMYFUNCTION("""COMPUTED_VALUE"""),"Argentina")</f>
        <v>Argentina</v>
      </c>
      <c r="C763" s="6" t="str">
        <f>IFERROR(__xludf.DUMMYFUNCTION("""COMPUTED_VALUE"""),"Human Resources")</f>
        <v>Human Resources</v>
      </c>
    </row>
    <row r="764" hidden="1">
      <c r="A764" s="6" t="str">
        <f>IFERROR(__xludf.DUMMYFUNCTION("""COMPUTED_VALUE"""),"btp aquaforjas")</f>
        <v>btp aquaforjas</v>
      </c>
      <c r="B764" s="6" t="str">
        <f>IFERROR(__xludf.DUMMYFUNCTION("""COMPUTED_VALUE"""),"Colombia")</f>
        <v>Colombia</v>
      </c>
      <c r="C764" s="6" t="str">
        <f>IFERROR(__xludf.DUMMYFUNCTION("""COMPUTED_VALUE"""),"E-commerce")</f>
        <v>E-commerce</v>
      </c>
    </row>
    <row r="765" hidden="1">
      <c r="A765" s="6" t="str">
        <f>IFERROR(__xludf.DUMMYFUNCTION("""COMPUTED_VALUE"""),"talentotools")</f>
        <v>talentotools</v>
      </c>
      <c r="B765" s="6" t="str">
        <f>IFERROR(__xludf.DUMMYFUNCTION("""COMPUTED_VALUE"""),"España")</f>
        <v>España</v>
      </c>
      <c r="C765" s="6" t="str">
        <f>IFERROR(__xludf.DUMMYFUNCTION("""COMPUTED_VALUE"""),"Human Resources")</f>
        <v>Human Resources</v>
      </c>
    </row>
    <row r="766" hidden="1">
      <c r="A766" s="6" t="str">
        <f>IFERROR(__xludf.DUMMYFUNCTION("""COMPUTED_VALUE"""),"creativedog agency")</f>
        <v>creativedog agency</v>
      </c>
      <c r="B766" s="6" t="str">
        <f>IFERROR(__xludf.DUMMYFUNCTION("""COMPUTED_VALUE"""),"Argentina")</f>
        <v>Argentina</v>
      </c>
      <c r="C766" s="6" t="str">
        <f>IFERROR(__xludf.DUMMYFUNCTION("""COMPUTED_VALUE"""),"Marketing &amp; Advertising")</f>
        <v>Marketing &amp; Advertising</v>
      </c>
    </row>
    <row r="767" hidden="1">
      <c r="A767" s="6" t="str">
        <f>IFERROR(__xludf.DUMMYFUNCTION("""COMPUTED_VALUE"""),"scriptme")</f>
        <v>scriptme</v>
      </c>
      <c r="B767" s="6" t="str">
        <f>IFERROR(__xludf.DUMMYFUNCTION("""COMPUTED_VALUE"""),"Uruguay")</f>
        <v>Uruguay</v>
      </c>
      <c r="C767" s="6" t="str">
        <f>IFERROR(__xludf.DUMMYFUNCTION("""COMPUTED_VALUE"""),"SaaS")</f>
        <v>SaaS</v>
      </c>
    </row>
    <row r="768" hidden="1">
      <c r="A768" s="6" t="str">
        <f>IFERROR(__xludf.DUMMYFUNCTION("""COMPUTED_VALUE"""),"milusos app")</f>
        <v>milusos app</v>
      </c>
      <c r="B768" s="6" t="str">
        <f>IFERROR(__xludf.DUMMYFUNCTION("""COMPUTED_VALUE"""),"Mexico")</f>
        <v>Mexico</v>
      </c>
      <c r="C768" s="6" t="str">
        <f>IFERROR(__xludf.DUMMYFUNCTION("""COMPUTED_VALUE"""),"PropTech / Real State")</f>
        <v>PropTech / Real State</v>
      </c>
    </row>
    <row r="769" hidden="1">
      <c r="A769" s="6" t="str">
        <f>IFERROR(__xludf.DUMMYFUNCTION("""COMPUTED_VALUE"""),"mercado abierto electrónico s.a.")</f>
        <v>mercado abierto electrónico s.a.</v>
      </c>
      <c r="B769" s="6" t="str">
        <f>IFERROR(__xludf.DUMMYFUNCTION("""COMPUTED_VALUE"""),"Argentina")</f>
        <v>Argentina</v>
      </c>
      <c r="C769" s="6" t="str">
        <f>IFERROR(__xludf.DUMMYFUNCTION("""COMPUTED_VALUE"""),"Fintech")</f>
        <v>Fintech</v>
      </c>
    </row>
    <row r="770" hidden="1">
      <c r="A770" s="6" t="str">
        <f>IFERROR(__xludf.DUMMYFUNCTION("""COMPUTED_VALUE"""),"rodmensoft")</f>
        <v>rodmensoft</v>
      </c>
      <c r="B770" s="6" t="str">
        <f>IFERROR(__xludf.DUMMYFUNCTION("""COMPUTED_VALUE"""),"Peru")</f>
        <v>Peru</v>
      </c>
      <c r="C770" s="6" t="str">
        <f>IFERROR(__xludf.DUMMYFUNCTION("""COMPUTED_VALUE"""),"Software Factory / Staffing")</f>
        <v>Software Factory / Staffing</v>
      </c>
    </row>
    <row r="771" hidden="1">
      <c r="A771" s="6" t="str">
        <f>IFERROR(__xludf.DUMMYFUNCTION("""COMPUTED_VALUE"""),"trainingset.a")</f>
        <v>trainingset.a</v>
      </c>
      <c r="B771" s="6" t="str">
        <f>IFERROR(__xludf.DUMMYFUNCTION("""COMPUTED_VALUE"""),"Uruguay")</f>
        <v>Uruguay</v>
      </c>
      <c r="C771" s="6" t="str">
        <f>IFERROR(__xludf.DUMMYFUNCTION("""COMPUTED_VALUE"""),"Software Factory / Staffing")</f>
        <v>Software Factory / Staffing</v>
      </c>
    </row>
    <row r="772" hidden="1">
      <c r="A772" s="6" t="str">
        <f>IFERROR(__xludf.DUMMYFUNCTION("""COMPUTED_VALUE"""),"optime")</f>
        <v>optime</v>
      </c>
      <c r="B772" s="6" t="str">
        <f>IFERROR(__xludf.DUMMYFUNCTION("""COMPUTED_VALUE"""),"Estados Unidos")</f>
        <v>Estados Unidos</v>
      </c>
      <c r="C772" s="6" t="str">
        <f>IFERROR(__xludf.DUMMYFUNCTION("""COMPUTED_VALUE"""),"Marketing &amp; Advertising")</f>
        <v>Marketing &amp; Advertising</v>
      </c>
    </row>
    <row r="773" hidden="1">
      <c r="A773" s="6" t="str">
        <f>IFERROR(__xludf.DUMMYFUNCTION("""COMPUTED_VALUE"""),"agileengine")</f>
        <v>agileengine</v>
      </c>
      <c r="B773" s="6" t="str">
        <f>IFERROR(__xludf.DUMMYFUNCTION("""COMPUTED_VALUE"""),"Estados Unidos")</f>
        <v>Estados Unidos</v>
      </c>
      <c r="C773" s="6" t="str">
        <f>IFERROR(__xludf.DUMMYFUNCTION("""COMPUTED_VALUE"""),"Software Factory / Staffing")</f>
        <v>Software Factory / Staffing</v>
      </c>
    </row>
    <row r="774" hidden="1">
      <c r="A774" s="6" t="str">
        <f>IFERROR(__xludf.DUMMYFUNCTION("""COMPUTED_VALUE"""),"unit 1")</f>
        <v>unit 1</v>
      </c>
      <c r="B774" s="6" t="str">
        <f>IFERROR(__xludf.DUMMYFUNCTION("""COMPUTED_VALUE"""),"Estados Unidos")</f>
        <v>Estados Unidos</v>
      </c>
      <c r="C774" s="6" t="str">
        <f>IFERROR(__xludf.DUMMYFUNCTION("""COMPUTED_VALUE"""),"Software Factory / Staffing")</f>
        <v>Software Factory / Staffing</v>
      </c>
    </row>
    <row r="775" hidden="1">
      <c r="A775" s="6" t="str">
        <f>IFERROR(__xludf.DUMMYFUNCTION("""COMPUTED_VALUE"""),"talenttools")</f>
        <v>talenttools</v>
      </c>
      <c r="B775" s="6" t="str">
        <f>IFERROR(__xludf.DUMMYFUNCTION("""COMPUTED_VALUE"""),"España")</f>
        <v>España</v>
      </c>
      <c r="C775" s="6" t="str">
        <f>IFERROR(__xludf.DUMMYFUNCTION("""COMPUTED_VALUE"""),"Human Resources")</f>
        <v>Human Resources</v>
      </c>
    </row>
    <row r="776" hidden="1">
      <c r="A776" s="6" t="str">
        <f>IFERROR(__xludf.DUMMYFUNCTION("""COMPUTED_VALUE"""),"gfrog")</f>
        <v>gfrog</v>
      </c>
      <c r="B776" s="4"/>
      <c r="C776" s="4"/>
    </row>
    <row r="777" hidden="1">
      <c r="A777" s="6" t="str">
        <f>IFERROR(__xludf.DUMMYFUNCTION("""COMPUTED_VALUE"""),"solusoft de colombia")</f>
        <v>solusoft de colombia</v>
      </c>
      <c r="B777" s="6" t="str">
        <f>IFERROR(__xludf.DUMMYFUNCTION("""COMPUTED_VALUE"""),"Colombia")</f>
        <v>Colombia</v>
      </c>
      <c r="C777" s="6" t="str">
        <f>IFERROR(__xludf.DUMMYFUNCTION("""COMPUTED_VALUE"""),"Software Factory / Staffing")</f>
        <v>Software Factory / Staffing</v>
      </c>
    </row>
    <row r="778" hidden="1">
      <c r="A778" s="6" t="str">
        <f>IFERROR(__xludf.DUMMYFUNCTION("""COMPUTED_VALUE"""),"iglu")</f>
        <v>iglu</v>
      </c>
      <c r="B778" s="6" t="str">
        <f>IFERROR(__xludf.DUMMYFUNCTION("""COMPUTED_VALUE"""),"Estados Unidos")</f>
        <v>Estados Unidos</v>
      </c>
      <c r="C778" s="6" t="str">
        <f>IFERROR(__xludf.DUMMYFUNCTION("""COMPUTED_VALUE"""),"Marketing &amp; Advertising")</f>
        <v>Marketing &amp; Advertising</v>
      </c>
    </row>
    <row r="779" hidden="1">
      <c r="A779" s="6" t="str">
        <f>IFERROR(__xludf.DUMMYFUNCTION("""COMPUTED_VALUE"""),"silentium apps")</f>
        <v>silentium apps</v>
      </c>
      <c r="B779" s="6" t="str">
        <f>IFERROR(__xludf.DUMMYFUNCTION("""COMPUTED_VALUE"""),"Argentina")</f>
        <v>Argentina</v>
      </c>
      <c r="C779" s="6" t="str">
        <f>IFERROR(__xludf.DUMMYFUNCTION("""COMPUTED_VALUE"""),"Software Factory / Staffing")</f>
        <v>Software Factory / Staffing</v>
      </c>
    </row>
    <row r="780" hidden="1">
      <c r="A780" s="6" t="str">
        <f>IFERROR(__xludf.DUMMYFUNCTION("""COMPUTED_VALUE"""),"lumation services llc")</f>
        <v>lumation services llc</v>
      </c>
      <c r="B780" s="6" t="str">
        <f>IFERROR(__xludf.DUMMYFUNCTION("""COMPUTED_VALUE"""),"Estados Unidos")</f>
        <v>Estados Unidos</v>
      </c>
      <c r="C780" s="6" t="str">
        <f>IFERROR(__xludf.DUMMYFUNCTION("""COMPUTED_VALUE"""),"Software Factory / Staffing")</f>
        <v>Software Factory / Staffing</v>
      </c>
    </row>
    <row r="781" hidden="1">
      <c r="A781" s="6" t="str">
        <f>IFERROR(__xludf.DUMMYFUNCTION("""COMPUTED_VALUE"""),"plerk")</f>
        <v>plerk</v>
      </c>
      <c r="B781" s="6" t="str">
        <f>IFERROR(__xludf.DUMMYFUNCTION("""COMPUTED_VALUE"""),"Mexico")</f>
        <v>Mexico</v>
      </c>
      <c r="C781" s="6" t="str">
        <f>IFERROR(__xludf.DUMMYFUNCTION("""COMPUTED_VALUE"""),"Fintech")</f>
        <v>Fintech</v>
      </c>
    </row>
    <row r="782" hidden="1">
      <c r="A782" s="6" t="str">
        <f>IFERROR(__xludf.DUMMYFUNCTION("""COMPUTED_VALUE"""),"fantommers")</f>
        <v>fantommers</v>
      </c>
      <c r="B782" s="6" t="str">
        <f>IFERROR(__xludf.DUMMYFUNCTION("""COMPUTED_VALUE"""),"Argentina")</f>
        <v>Argentina</v>
      </c>
      <c r="C782" s="6" t="str">
        <f>IFERROR(__xludf.DUMMYFUNCTION("""COMPUTED_VALUE"""),"Management Consulting")</f>
        <v>Management Consulting</v>
      </c>
    </row>
    <row r="783" hidden="1">
      <c r="A783" s="6" t="str">
        <f>IFERROR(__xludf.DUMMYFUNCTION("""COMPUTED_VALUE"""),"orderly")</f>
        <v>orderly</v>
      </c>
      <c r="B783" s="6" t="str">
        <f>IFERROR(__xludf.DUMMYFUNCTION("""COMPUTED_VALUE"""),"Reino Unido")</f>
        <v>Reino Unido</v>
      </c>
      <c r="C783" s="6" t="str">
        <f>IFERROR(__xludf.DUMMYFUNCTION("""COMPUTED_VALUE"""),"Software Factory / Staffing")</f>
        <v>Software Factory / Staffing</v>
      </c>
    </row>
    <row r="784" hidden="1">
      <c r="A784" s="6" t="str">
        <f>IFERROR(__xludf.DUMMYFUNCTION("""COMPUTED_VALUE"""),"smartledge")</f>
        <v>smartledge</v>
      </c>
      <c r="B784" s="6" t="str">
        <f>IFERROR(__xludf.DUMMYFUNCTION("""COMPUTED_VALUE"""),"Argentina")</f>
        <v>Argentina</v>
      </c>
      <c r="C784" s="6" t="str">
        <f>IFERROR(__xludf.DUMMYFUNCTION("""COMPUTED_VALUE"""),"Management Consulting")</f>
        <v>Management Consulting</v>
      </c>
    </row>
    <row r="785" hidden="1">
      <c r="A785" s="6" t="str">
        <f>IFERROR(__xludf.DUMMYFUNCTION("""COMPUTED_VALUE"""),"hikko")</f>
        <v>hikko</v>
      </c>
      <c r="B785" s="6" t="str">
        <f>IFERROR(__xludf.DUMMYFUNCTION("""COMPUTED_VALUE"""),"Estados Unidos")</f>
        <v>Estados Unidos</v>
      </c>
      <c r="C785" s="6" t="str">
        <f>IFERROR(__xludf.DUMMYFUNCTION("""COMPUTED_VALUE"""),"Software Factory / Staffing")</f>
        <v>Software Factory / Staffing</v>
      </c>
    </row>
    <row r="786" hidden="1">
      <c r="A786" s="6" t="str">
        <f>IFERROR(__xludf.DUMMYFUNCTION("""COMPUTED_VALUE"""),"econocom")</f>
        <v>econocom</v>
      </c>
      <c r="B786" s="6" t="str">
        <f>IFERROR(__xludf.DUMMYFUNCTION("""COMPUTED_VALUE"""),"Reino Unido")</f>
        <v>Reino Unido</v>
      </c>
      <c r="C786" s="6" t="str">
        <f>IFERROR(__xludf.DUMMYFUNCTION("""COMPUTED_VALUE"""),"Management Consulting")</f>
        <v>Management Consulting</v>
      </c>
    </row>
    <row r="787" hidden="1">
      <c r="A787" s="6" t="str">
        <f>IFERROR(__xludf.DUMMYFUNCTION("""COMPUTED_VALUE"""),"herramientas de mejora")</f>
        <v>herramientas de mejora</v>
      </c>
      <c r="B787" s="6" t="str">
        <f>IFERROR(__xludf.DUMMYFUNCTION("""COMPUTED_VALUE"""),"Mexico")</f>
        <v>Mexico</v>
      </c>
      <c r="C787" s="6" t="str">
        <f>IFERROR(__xludf.DUMMYFUNCTION("""COMPUTED_VALUE"""),"Human Resources")</f>
        <v>Human Resources</v>
      </c>
    </row>
    <row r="788" hidden="1">
      <c r="A788" s="6" t="str">
        <f>IFERROR(__xludf.DUMMYFUNCTION("""COMPUTED_VALUE"""),"alfred sas")</f>
        <v>alfred sas</v>
      </c>
      <c r="B788" s="6" t="str">
        <f>IFERROR(__xludf.DUMMYFUNCTION("""COMPUTED_VALUE"""),"Francia")</f>
        <v>Francia</v>
      </c>
      <c r="C788" s="6" t="str">
        <f>IFERROR(__xludf.DUMMYFUNCTION("""COMPUTED_VALUE"""),"Banking &amp; Financial Servicies")</f>
        <v>Banking &amp; Financial Servicies</v>
      </c>
    </row>
    <row r="789" hidden="1">
      <c r="A789" s="6" t="str">
        <f>IFERROR(__xludf.DUMMYFUNCTION("""COMPUTED_VALUE"""),"zemoga")</f>
        <v>zemoga</v>
      </c>
      <c r="B789" s="6" t="str">
        <f>IFERROR(__xludf.DUMMYFUNCTION("""COMPUTED_VALUE"""),"Estados Unidos")</f>
        <v>Estados Unidos</v>
      </c>
      <c r="C789" s="6" t="str">
        <f>IFERROR(__xludf.DUMMYFUNCTION("""COMPUTED_VALUE"""),"Management Consulting")</f>
        <v>Management Consulting</v>
      </c>
    </row>
    <row r="790" hidden="1">
      <c r="A790" s="6" t="str">
        <f>IFERROR(__xludf.DUMMYFUNCTION("""COMPUTED_VALUE"""),"jemersoft")</f>
        <v>jemersoft</v>
      </c>
      <c r="B790" s="6" t="str">
        <f>IFERROR(__xludf.DUMMYFUNCTION("""COMPUTED_VALUE"""),"Argentina")</f>
        <v>Argentina</v>
      </c>
      <c r="C790" s="6" t="str">
        <f>IFERROR(__xludf.DUMMYFUNCTION("""COMPUTED_VALUE"""),"Software Factory / Staffing")</f>
        <v>Software Factory / Staffing</v>
      </c>
    </row>
    <row r="791" hidden="1">
      <c r="A791" s="6" t="str">
        <f>IFERROR(__xludf.DUMMYFUNCTION("""COMPUTED_VALUE"""),"tu entrada")</f>
        <v>tu entrada</v>
      </c>
      <c r="B791" s="6" t="str">
        <f>IFERROR(__xludf.DUMMYFUNCTION("""COMPUTED_VALUE"""),"Argentina")</f>
        <v>Argentina</v>
      </c>
      <c r="C791" s="6" t="str">
        <f>IFERROR(__xludf.DUMMYFUNCTION("""COMPUTED_VALUE"""),"SaaS")</f>
        <v>SaaS</v>
      </c>
    </row>
    <row r="792" hidden="1">
      <c r="A792" s="6" t="str">
        <f>IFERROR(__xludf.DUMMYFUNCTION("""COMPUTED_VALUE"""),"trackin")</f>
        <v>trackin</v>
      </c>
      <c r="B792" s="6" t="str">
        <f>IFERROR(__xludf.DUMMYFUNCTION("""COMPUTED_VALUE"""),"Estados Unidos")</f>
        <v>Estados Unidos</v>
      </c>
      <c r="C792" s="6" t="str">
        <f>IFERROR(__xludf.DUMMYFUNCTION("""COMPUTED_VALUE"""),"SaaS")</f>
        <v>SaaS</v>
      </c>
    </row>
    <row r="793" hidden="1">
      <c r="A793" s="6" t="str">
        <f>IFERROR(__xludf.DUMMYFUNCTION("""COMPUTED_VALUE"""),"soluciones tecnológicas aplicadas de colombia s.a.s")</f>
        <v>soluciones tecnológicas aplicadas de colombia s.a.s</v>
      </c>
      <c r="B793" s="6" t="str">
        <f>IFERROR(__xludf.DUMMYFUNCTION("""COMPUTED_VALUE"""),"Colombia")</f>
        <v>Colombia</v>
      </c>
      <c r="C793" s="6" t="str">
        <f>IFERROR(__xludf.DUMMYFUNCTION("""COMPUTED_VALUE"""),"Hardware")</f>
        <v>Hardware</v>
      </c>
    </row>
    <row r="794" hidden="1">
      <c r="A794" s="6" t="str">
        <f>IFERROR(__xludf.DUMMYFUNCTION("""COMPUTED_VALUE"""),"dainamo it")</f>
        <v>dainamo it</v>
      </c>
      <c r="B794" s="4"/>
      <c r="C794" s="4"/>
    </row>
    <row r="795" hidden="1">
      <c r="A795" s="6" t="str">
        <f>IFERROR(__xludf.DUMMYFUNCTION("""COMPUTED_VALUE"""),"ioet")</f>
        <v>ioet</v>
      </c>
      <c r="B795" s="6" t="str">
        <f>IFERROR(__xludf.DUMMYFUNCTION("""COMPUTED_VALUE"""),"Ecuador")</f>
        <v>Ecuador</v>
      </c>
      <c r="C795" s="6" t="str">
        <f>IFERROR(__xludf.DUMMYFUNCTION("""COMPUTED_VALUE"""),"Software Factory / Staffing")</f>
        <v>Software Factory / Staffing</v>
      </c>
    </row>
    <row r="796" hidden="1">
      <c r="A796" s="6" t="str">
        <f>IFERROR(__xludf.DUMMYFUNCTION("""COMPUTED_VALUE"""),"ulter technologies")</f>
        <v>ulter technologies</v>
      </c>
      <c r="B796" s="6" t="str">
        <f>IFERROR(__xludf.DUMMYFUNCTION("""COMPUTED_VALUE"""),"Colombia")</f>
        <v>Colombia</v>
      </c>
      <c r="C796" s="6" t="str">
        <f>IFERROR(__xludf.DUMMYFUNCTION("""COMPUTED_VALUE"""),"Management Consulting")</f>
        <v>Management Consulting</v>
      </c>
    </row>
    <row r="797" hidden="1">
      <c r="A797" s="6" t="str">
        <f>IFERROR(__xludf.DUMMYFUNCTION("""COMPUTED_VALUE"""),"activos sa")</f>
        <v>activos sa</v>
      </c>
      <c r="B797" s="6" t="str">
        <f>IFERROR(__xludf.DUMMYFUNCTION("""COMPUTED_VALUE"""),"Argentina")</f>
        <v>Argentina</v>
      </c>
      <c r="C797" s="6" t="str">
        <f>IFERROR(__xludf.DUMMYFUNCTION("""COMPUTED_VALUE"""),"Other")</f>
        <v>Other</v>
      </c>
    </row>
    <row r="798" hidden="1">
      <c r="A798" s="6" t="str">
        <f>IFERROR(__xludf.DUMMYFUNCTION("""COMPUTED_VALUE"""),"aperience")</f>
        <v>aperience</v>
      </c>
      <c r="B798" s="6" t="str">
        <f>IFERROR(__xludf.DUMMYFUNCTION("""COMPUTED_VALUE"""),"Francia")</f>
        <v>Francia</v>
      </c>
      <c r="C798" s="6" t="str">
        <f>IFERROR(__xludf.DUMMYFUNCTION("""COMPUTED_VALUE"""),"Management Consulting")</f>
        <v>Management Consulting</v>
      </c>
    </row>
    <row r="799" hidden="1">
      <c r="A799" s="6" t="str">
        <f>IFERROR(__xludf.DUMMYFUNCTION("""COMPUTED_VALUE"""),"pancake live")</f>
        <v>pancake live</v>
      </c>
      <c r="B799" s="6" t="str">
        <f>IFERROR(__xludf.DUMMYFUNCTION("""COMPUTED_VALUE"""),"Estados Unidos")</f>
        <v>Estados Unidos</v>
      </c>
      <c r="C799" s="6" t="str">
        <f>IFERROR(__xludf.DUMMYFUNCTION("""COMPUTED_VALUE"""),"Other")</f>
        <v>Other</v>
      </c>
    </row>
    <row r="800" hidden="1">
      <c r="A800" s="6" t="str">
        <f>IFERROR(__xludf.DUMMYFUNCTION("""COMPUTED_VALUE"""),"munily sas")</f>
        <v>munily sas</v>
      </c>
      <c r="B800" s="6" t="str">
        <f>IFERROR(__xludf.DUMMYFUNCTION("""COMPUTED_VALUE"""),"Panama")</f>
        <v>Panama</v>
      </c>
      <c r="C800" s="6" t="str">
        <f>IFERROR(__xludf.DUMMYFUNCTION("""COMPUTED_VALUE"""),"Software Factory / Staffing")</f>
        <v>Software Factory / Staffing</v>
      </c>
    </row>
    <row r="801" hidden="1">
      <c r="A801" s="6" t="str">
        <f>IFERROR(__xludf.DUMMYFUNCTION("""COMPUTED_VALUE"""),"konecta")</f>
        <v>konecta</v>
      </c>
      <c r="B801" s="6" t="str">
        <f>IFERROR(__xludf.DUMMYFUNCTION("""COMPUTED_VALUE"""),"España")</f>
        <v>España</v>
      </c>
      <c r="C801" s="6" t="str">
        <f>IFERROR(__xludf.DUMMYFUNCTION("""COMPUTED_VALUE"""),"Management Consulting")</f>
        <v>Management Consulting</v>
      </c>
    </row>
    <row r="802" hidden="1">
      <c r="A802" s="6" t="str">
        <f>IFERROR(__xludf.DUMMYFUNCTION("""COMPUTED_VALUE"""),"puppis")</f>
        <v>puppis</v>
      </c>
      <c r="B802" s="6" t="str">
        <f>IFERROR(__xludf.DUMMYFUNCTION("""COMPUTED_VALUE"""),"Argentina")</f>
        <v>Argentina</v>
      </c>
      <c r="C802" s="6" t="str">
        <f>IFERROR(__xludf.DUMMYFUNCTION("""COMPUTED_VALUE"""),"E-commerce")</f>
        <v>E-commerce</v>
      </c>
    </row>
    <row r="803" hidden="1">
      <c r="A803" s="6" t="str">
        <f>IFERROR(__xludf.DUMMYFUNCTION("""COMPUTED_VALUE"""),"universae")</f>
        <v>universae</v>
      </c>
      <c r="B803" s="6" t="str">
        <f>IFERROR(__xludf.DUMMYFUNCTION("""COMPUTED_VALUE"""),"España")</f>
        <v>España</v>
      </c>
      <c r="C803" s="6" t="str">
        <f>IFERROR(__xludf.DUMMYFUNCTION("""COMPUTED_VALUE"""),"Education &amp; Edtech")</f>
        <v>Education &amp; Edtech</v>
      </c>
    </row>
    <row r="804" hidden="1">
      <c r="A804" s="6" t="str">
        <f>IFERROR(__xludf.DUMMYFUNCTION("""COMPUTED_VALUE"""),"it tech group")</f>
        <v>it tech group</v>
      </c>
      <c r="B804" s="6" t="str">
        <f>IFERROR(__xludf.DUMMYFUNCTION("""COMPUTED_VALUE"""),"Argentina")</f>
        <v>Argentina</v>
      </c>
      <c r="C804" s="6" t="str">
        <f>IFERROR(__xludf.DUMMYFUNCTION("""COMPUTED_VALUE"""),"Software Factory / Staffing")</f>
        <v>Software Factory / Staffing</v>
      </c>
    </row>
    <row r="805" hidden="1">
      <c r="A805" s="6" t="str">
        <f>IFERROR(__xludf.DUMMYFUNCTION("""COMPUTED_VALUE"""),"hubspot")</f>
        <v>hubspot</v>
      </c>
      <c r="B805" s="6" t="str">
        <f>IFERROR(__xludf.DUMMYFUNCTION("""COMPUTED_VALUE"""),"Estados Unidos")</f>
        <v>Estados Unidos</v>
      </c>
      <c r="C805" s="6" t="str">
        <f>IFERROR(__xludf.DUMMYFUNCTION("""COMPUTED_VALUE"""),"Data &amp; Analytics")</f>
        <v>Data &amp; Analytics</v>
      </c>
    </row>
    <row r="806" hidden="1">
      <c r="A806" s="6" t="str">
        <f>IFERROR(__xludf.DUMMYFUNCTION("""COMPUTED_VALUE"""),"grupo akaes")</f>
        <v>grupo akaes</v>
      </c>
      <c r="B806" s="6" t="str">
        <f>IFERROR(__xludf.DUMMYFUNCTION("""COMPUTED_VALUE"""),"Colombia")</f>
        <v>Colombia</v>
      </c>
      <c r="C806" s="6" t="str">
        <f>IFERROR(__xludf.DUMMYFUNCTION("""COMPUTED_VALUE"""),"E-commerce")</f>
        <v>E-commerce</v>
      </c>
    </row>
    <row r="807" hidden="1">
      <c r="A807" s="6" t="str">
        <f>IFERROR(__xludf.DUMMYFUNCTION("""COMPUTED_VALUE"""),"prenomics")</f>
        <v>prenomics</v>
      </c>
      <c r="B807" s="6" t="str">
        <f>IFERROR(__xludf.DUMMYFUNCTION("""COMPUTED_VALUE"""),"España")</f>
        <v>España</v>
      </c>
      <c r="C807" s="6" t="str">
        <f>IFERROR(__xludf.DUMMYFUNCTION("""COMPUTED_VALUE"""),"Data &amp; Analytics")</f>
        <v>Data &amp; Analytics</v>
      </c>
    </row>
    <row r="808" hidden="1">
      <c r="A808" s="6" t="str">
        <f>IFERROR(__xludf.DUMMYFUNCTION("""COMPUTED_VALUE"""),"prestalo")</f>
        <v>prestalo</v>
      </c>
      <c r="B808" s="6" t="str">
        <f>IFERROR(__xludf.DUMMYFUNCTION("""COMPUTED_VALUE"""),"España")</f>
        <v>España</v>
      </c>
      <c r="C808" s="6" t="str">
        <f>IFERROR(__xludf.DUMMYFUNCTION("""COMPUTED_VALUE"""),"Banking &amp; Financial Servicies")</f>
        <v>Banking &amp; Financial Servicies</v>
      </c>
    </row>
    <row r="809" hidden="1">
      <c r="A809" s="6" t="str">
        <f>IFERROR(__xludf.DUMMYFUNCTION("""COMPUTED_VALUE"""),"wigilabs")</f>
        <v>wigilabs</v>
      </c>
      <c r="B809" s="6" t="str">
        <f>IFERROR(__xludf.DUMMYFUNCTION("""COMPUTED_VALUE"""),"Colombia")</f>
        <v>Colombia</v>
      </c>
      <c r="C809" s="6" t="str">
        <f>IFERROR(__xludf.DUMMYFUNCTION("""COMPUTED_VALUE"""),"Marketing &amp; Advertising")</f>
        <v>Marketing &amp; Advertising</v>
      </c>
    </row>
    <row r="810" hidden="1">
      <c r="A810" s="6" t="str">
        <f>IFERROR(__xludf.DUMMYFUNCTION("""COMPUTED_VALUE"""),"dicsys. s.a.")</f>
        <v>dicsys. s.a.</v>
      </c>
      <c r="B810" s="6" t="str">
        <f>IFERROR(__xludf.DUMMYFUNCTION("""COMPUTED_VALUE"""),"Argentina")</f>
        <v>Argentina</v>
      </c>
      <c r="C810" s="6" t="str">
        <f>IFERROR(__xludf.DUMMYFUNCTION("""COMPUTED_VALUE"""),"Management Consulting")</f>
        <v>Management Consulting</v>
      </c>
    </row>
    <row r="811" hidden="1">
      <c r="A811" s="6" t="str">
        <f>IFERROR(__xludf.DUMMYFUNCTION("""COMPUTED_VALUE"""),"paragons nft")</f>
        <v>paragons nft</v>
      </c>
      <c r="B811" s="6" t="str">
        <f>IFERROR(__xludf.DUMMYFUNCTION("""COMPUTED_VALUE"""),"Estados Unidos")</f>
        <v>Estados Unidos</v>
      </c>
      <c r="C811" s="6" t="str">
        <f>IFERROR(__xludf.DUMMYFUNCTION("""COMPUTED_VALUE"""),"Blockchain, Crypto &amp; NFT")</f>
        <v>Blockchain, Crypto &amp; NFT</v>
      </c>
    </row>
    <row r="812" hidden="1">
      <c r="A812" s="6" t="str">
        <f>IFERROR(__xludf.DUMMYFUNCTION("""COMPUTED_VALUE"""),"new tech solutions multimedia sa")</f>
        <v>new tech solutions multimedia sa</v>
      </c>
      <c r="B812" s="6" t="str">
        <f>IFERROR(__xludf.DUMMYFUNCTION("""COMPUTED_VALUE"""),"Argentina")</f>
        <v>Argentina</v>
      </c>
      <c r="C812" s="6" t="str">
        <f>IFERROR(__xludf.DUMMYFUNCTION("""COMPUTED_VALUE"""),"Messaging and Telecommunications")</f>
        <v>Messaging and Telecommunications</v>
      </c>
    </row>
    <row r="813" hidden="1">
      <c r="A813" s="6" t="str">
        <f>IFERROR(__xludf.DUMMYFUNCTION("""COMPUTED_VALUE"""),"syloper")</f>
        <v>syloper</v>
      </c>
      <c r="B813" s="6" t="str">
        <f>IFERROR(__xludf.DUMMYFUNCTION("""COMPUTED_VALUE"""),"Argentina")</f>
        <v>Argentina</v>
      </c>
      <c r="C813" s="6" t="str">
        <f>IFERROR(__xludf.DUMMYFUNCTION("""COMPUTED_VALUE"""),"Software Factory / Staffing")</f>
        <v>Software Factory / Staffing</v>
      </c>
    </row>
    <row r="814" hidden="1">
      <c r="A814" s="6" t="str">
        <f>IFERROR(__xludf.DUMMYFUNCTION("""COMPUTED_VALUE"""),"grupo datco")</f>
        <v>grupo datco</v>
      </c>
      <c r="B814" s="6" t="str">
        <f>IFERROR(__xludf.DUMMYFUNCTION("""COMPUTED_VALUE"""),"Argentina")</f>
        <v>Argentina</v>
      </c>
      <c r="C814" s="6" t="str">
        <f>IFERROR(__xludf.DUMMYFUNCTION("""COMPUTED_VALUE"""),"Artificil Intelligence")</f>
        <v>Artificil Intelligence</v>
      </c>
    </row>
    <row r="815" hidden="1">
      <c r="A815" s="6" t="str">
        <f>IFERROR(__xludf.DUMMYFUNCTION("""COMPUTED_VALUE"""),"here &amp; there inc")</f>
        <v>here &amp; there inc</v>
      </c>
      <c r="B815" s="4"/>
      <c r="C815" s="6" t="str">
        <f>IFERROR(__xludf.DUMMYFUNCTION("""COMPUTED_VALUE"""),"Other")</f>
        <v>Other</v>
      </c>
    </row>
    <row r="816" hidden="1">
      <c r="A816" s="6" t="str">
        <f>IFERROR(__xludf.DUMMYFUNCTION("""COMPUTED_VALUE"""),"interintellect")</f>
        <v>interintellect</v>
      </c>
      <c r="B816" s="6" t="str">
        <f>IFERROR(__xludf.DUMMYFUNCTION("""COMPUTED_VALUE"""),"Estados Unidos")</f>
        <v>Estados Unidos</v>
      </c>
      <c r="C816" s="6" t="str">
        <f>IFERROR(__xludf.DUMMYFUNCTION("""COMPUTED_VALUE"""),"Other")</f>
        <v>Other</v>
      </c>
    </row>
    <row r="817">
      <c r="A817" s="6" t="str">
        <f>IFERROR(__xludf.DUMMYFUNCTION("""COMPUTED_VALUE"""),"sector aeronautico")</f>
        <v>sector aeronautico</v>
      </c>
      <c r="B817" s="6" t="str">
        <f>IFERROR(__xludf.DUMMYFUNCTION("""COMPUTED_VALUE"""),"Peru")</f>
        <v>Peru</v>
      </c>
      <c r="C817" s="6" t="str">
        <f>IFERROR(__xludf.DUMMYFUNCTION("""COMPUTED_VALUE"""),"Public Center")</f>
        <v>Public Center</v>
      </c>
    </row>
    <row r="818">
      <c r="A818" s="6" t="str">
        <f>IFERROR(__xludf.DUMMYFUNCTION("""COMPUTED_VALUE"""),"redfrog")</f>
        <v>redfrog</v>
      </c>
      <c r="B818" s="6" t="str">
        <f>IFERROR(__xludf.DUMMYFUNCTION("""COMPUTED_VALUE"""),"Austria")</f>
        <v>Austria</v>
      </c>
      <c r="C818" s="6" t="str">
        <f>IFERROR(__xludf.DUMMYFUNCTION("""COMPUTED_VALUE"""),"Software Factory / Staffing")</f>
        <v>Software Factory / Staffing</v>
      </c>
    </row>
    <row r="819" hidden="1">
      <c r="A819" s="6" t="str">
        <f>IFERROR(__xludf.DUMMYFUNCTION("""COMPUTED_VALUE"""),"vos srl")</f>
        <v>vos srl</v>
      </c>
      <c r="B819" s="6" t="str">
        <f>IFERROR(__xludf.DUMMYFUNCTION("""COMPUTED_VALUE"""),"Argentina")</f>
        <v>Argentina</v>
      </c>
      <c r="C819" s="6" t="str">
        <f>IFERROR(__xludf.DUMMYFUNCTION("""COMPUTED_VALUE"""),"Management Consulting")</f>
        <v>Management Consulting</v>
      </c>
    </row>
    <row r="820" hidden="1">
      <c r="A820" s="6" t="str">
        <f>IFERROR(__xludf.DUMMYFUNCTION("""COMPUTED_VALUE"""),"dynamia")</f>
        <v>dynamia</v>
      </c>
      <c r="B820" s="6" t="str">
        <f>IFERROR(__xludf.DUMMYFUNCTION("""COMPUTED_VALUE"""),"Argentina")</f>
        <v>Argentina</v>
      </c>
      <c r="C820" s="6" t="str">
        <f>IFERROR(__xludf.DUMMYFUNCTION("""COMPUTED_VALUE"""),"Construction")</f>
        <v>Construction</v>
      </c>
    </row>
    <row r="821" hidden="1">
      <c r="A821" s="6" t="str">
        <f>IFERROR(__xludf.DUMMYFUNCTION("""COMPUTED_VALUE"""),"shooza")</f>
        <v>shooza</v>
      </c>
      <c r="B821" s="6" t="str">
        <f>IFERROR(__xludf.DUMMYFUNCTION("""COMPUTED_VALUE"""),"Argentina")</f>
        <v>Argentina</v>
      </c>
      <c r="C821" s="6" t="str">
        <f>IFERROR(__xludf.DUMMYFUNCTION("""COMPUTED_VALUE"""),"Media &amp; Communication")</f>
        <v>Media &amp; Communication</v>
      </c>
    </row>
    <row r="822" hidden="1">
      <c r="A822" s="6" t="str">
        <f>IFERROR(__xludf.DUMMYFUNCTION("""COMPUTED_VALUE"""),"graficas druckerei")</f>
        <v>graficas druckerei</v>
      </c>
      <c r="B822" s="6" t="str">
        <f>IFERROR(__xludf.DUMMYFUNCTION("""COMPUTED_VALUE"""),"Colombia")</f>
        <v>Colombia</v>
      </c>
      <c r="C822" s="6" t="str">
        <f>IFERROR(__xludf.DUMMYFUNCTION("""COMPUTED_VALUE"""),"Marketing &amp; Advertising")</f>
        <v>Marketing &amp; Advertising</v>
      </c>
    </row>
    <row r="823" hidden="1">
      <c r="A823" s="6" t="str">
        <f>IFERROR(__xludf.DUMMYFUNCTION("""COMPUTED_VALUE"""),"folcode")</f>
        <v>folcode</v>
      </c>
      <c r="B823" s="6" t="str">
        <f>IFERROR(__xludf.DUMMYFUNCTION("""COMPUTED_VALUE"""),"Argentina")</f>
        <v>Argentina</v>
      </c>
      <c r="C823" s="6" t="str">
        <f>IFERROR(__xludf.DUMMYFUNCTION("""COMPUTED_VALUE"""),"Software Factory / Staffing")</f>
        <v>Software Factory / Staffing</v>
      </c>
    </row>
    <row r="824" hidden="1">
      <c r="A824" s="6" t="str">
        <f>IFERROR(__xludf.DUMMYFUNCTION("""COMPUTED_VALUE"""),"caux")</f>
        <v>caux</v>
      </c>
      <c r="B824" s="6" t="str">
        <f>IFERROR(__xludf.DUMMYFUNCTION("""COMPUTED_VALUE"""),"Argentina")</f>
        <v>Argentina</v>
      </c>
      <c r="C824" s="6" t="str">
        <f>IFERROR(__xludf.DUMMYFUNCTION("""COMPUTED_VALUE"""),"Other")</f>
        <v>Other</v>
      </c>
    </row>
    <row r="825" hidden="1">
      <c r="A825" s="6" t="str">
        <f>IFERROR(__xludf.DUMMYFUNCTION("""COMPUTED_VALUE"""),"creditos onix")</f>
        <v>creditos onix</v>
      </c>
      <c r="B825" s="6" t="str">
        <f>IFERROR(__xludf.DUMMYFUNCTION("""COMPUTED_VALUE"""),"Chile")</f>
        <v>Chile</v>
      </c>
      <c r="C825" s="6" t="str">
        <f>IFERROR(__xludf.DUMMYFUNCTION("""COMPUTED_VALUE"""),"Banking &amp; Financial Servicies")</f>
        <v>Banking &amp; Financial Servicies</v>
      </c>
    </row>
    <row r="826" hidden="1">
      <c r="A826" s="6" t="str">
        <f>IFERROR(__xludf.DUMMYFUNCTION("""COMPUTED_VALUE"""),"fapro")</f>
        <v>fapro</v>
      </c>
      <c r="B826" s="6" t="str">
        <f>IFERROR(__xludf.DUMMYFUNCTION("""COMPUTED_VALUE"""),"Chile")</f>
        <v>Chile</v>
      </c>
      <c r="C826" s="6" t="str">
        <f>IFERROR(__xludf.DUMMYFUNCTION("""COMPUTED_VALUE"""),"Banking &amp; Financial Servicies")</f>
        <v>Banking &amp; Financial Servicies</v>
      </c>
    </row>
    <row r="827" hidden="1">
      <c r="A827" s="6" t="str">
        <f>IFERROR(__xludf.DUMMYFUNCTION("""COMPUTED_VALUE"""),"vita solutions spa")</f>
        <v>vita solutions spa</v>
      </c>
      <c r="B827" s="6" t="str">
        <f>IFERROR(__xludf.DUMMYFUNCTION("""COMPUTED_VALUE"""),"Chile")</f>
        <v>Chile</v>
      </c>
      <c r="C827" s="6" t="str">
        <f>IFERROR(__xludf.DUMMYFUNCTION("""COMPUTED_VALUE"""),"Blockchain, Crypto &amp; NFT")</f>
        <v>Blockchain, Crypto &amp; NFT</v>
      </c>
    </row>
    <row r="828" hidden="1">
      <c r="A828" s="6" t="str">
        <f>IFERROR(__xludf.DUMMYFUNCTION("""COMPUTED_VALUE"""),"bright vessel")</f>
        <v>bright vessel</v>
      </c>
      <c r="B828" s="6" t="str">
        <f>IFERROR(__xludf.DUMMYFUNCTION("""COMPUTED_VALUE"""),"Estados Unidos")</f>
        <v>Estados Unidos</v>
      </c>
      <c r="C828" s="6" t="str">
        <f>IFERROR(__xludf.DUMMYFUNCTION("""COMPUTED_VALUE"""),"Marketing &amp; Advertising")</f>
        <v>Marketing &amp; Advertising</v>
      </c>
    </row>
    <row r="829" hidden="1">
      <c r="A829" s="6" t="str">
        <f>IFERROR(__xludf.DUMMYFUNCTION("""COMPUTED_VALUE"""),"crowd innovation lab s.a.s.")</f>
        <v>crowd innovation lab s.a.s.</v>
      </c>
      <c r="B829" s="4"/>
      <c r="C829" s="4"/>
    </row>
    <row r="830" hidden="1">
      <c r="A830" s="6" t="str">
        <f>IFERROR(__xludf.DUMMYFUNCTION("""COMPUTED_VALUE"""),"previnca san lorenzo")</f>
        <v>previnca san lorenzo</v>
      </c>
      <c r="B830" s="6" t="str">
        <f>IFERROR(__xludf.DUMMYFUNCTION("""COMPUTED_VALUE"""),"Argentina")</f>
        <v>Argentina</v>
      </c>
      <c r="C830" s="6" t="str">
        <f>IFERROR(__xludf.DUMMYFUNCTION("""COMPUTED_VALUE"""),"Health")</f>
        <v>Health</v>
      </c>
    </row>
    <row r="831">
      <c r="A831" s="6" t="str">
        <f>IFERROR(__xludf.DUMMYFUNCTION("""COMPUTED_VALUE"""),"bitsports")</f>
        <v>bitsports</v>
      </c>
      <c r="B831" s="6" t="str">
        <f>IFERROR(__xludf.DUMMYFUNCTION("""COMPUTED_VALUE"""),"Colombia")</f>
        <v>Colombia</v>
      </c>
      <c r="C831" s="6" t="str">
        <f>IFERROR(__xludf.DUMMYFUNCTION("""COMPUTED_VALUE"""),"Software Factory / Staffing")</f>
        <v>Software Factory / Staffing</v>
      </c>
    </row>
    <row r="832" hidden="1">
      <c r="A832" s="6" t="str">
        <f>IFERROR(__xludf.DUMMYFUNCTION("""COMPUTED_VALUE"""),"alt consultora")</f>
        <v>alt consultora</v>
      </c>
      <c r="B832" s="6" t="str">
        <f>IFERROR(__xludf.DUMMYFUNCTION("""COMPUTED_VALUE"""),"Argentina")</f>
        <v>Argentina</v>
      </c>
      <c r="C832" s="6" t="str">
        <f>IFERROR(__xludf.DUMMYFUNCTION("""COMPUTED_VALUE"""),"Software Factory / Staffing")</f>
        <v>Software Factory / Staffing</v>
      </c>
    </row>
    <row r="833" hidden="1">
      <c r="A833" s="6" t="str">
        <f>IFERROR(__xludf.DUMMYFUNCTION("""COMPUTED_VALUE"""),"limboteams")</f>
        <v>limboteams</v>
      </c>
      <c r="B833" s="6" t="str">
        <f>IFERROR(__xludf.DUMMYFUNCTION("""COMPUTED_VALUE"""),"Argentina")</f>
        <v>Argentina</v>
      </c>
      <c r="C833" s="6" t="str">
        <f>IFERROR(__xludf.DUMMYFUNCTION("""COMPUTED_VALUE"""),"Software Factory / Staffing")</f>
        <v>Software Factory / Staffing</v>
      </c>
    </row>
    <row r="834" hidden="1">
      <c r="A834" s="6" t="str">
        <f>IFERROR(__xludf.DUMMYFUNCTION("""COMPUTED_VALUE"""),"ionvo group")</f>
        <v>ionvo group</v>
      </c>
      <c r="B834" s="6" t="str">
        <f>IFERROR(__xludf.DUMMYFUNCTION("""COMPUTED_VALUE"""),"Uruguay")</f>
        <v>Uruguay</v>
      </c>
      <c r="C834" s="6" t="str">
        <f>IFERROR(__xludf.DUMMYFUNCTION("""COMPUTED_VALUE"""),"Marketing &amp; Advertising")</f>
        <v>Marketing &amp; Advertising</v>
      </c>
    </row>
    <row r="835" hidden="1">
      <c r="A835" s="6" t="str">
        <f>IFERROR(__xludf.DUMMYFUNCTION("""COMPUTED_VALUE"""),"it rock")</f>
        <v>it rock</v>
      </c>
      <c r="B835" s="6" t="str">
        <f>IFERROR(__xludf.DUMMYFUNCTION("""COMPUTED_VALUE"""),"Argentina")</f>
        <v>Argentina</v>
      </c>
      <c r="C835" s="6" t="str">
        <f>IFERROR(__xludf.DUMMYFUNCTION("""COMPUTED_VALUE"""),"Marketing &amp; Advertising")</f>
        <v>Marketing &amp; Advertising</v>
      </c>
    </row>
    <row r="836" hidden="1">
      <c r="A836" s="6" t="str">
        <f>IFERROR(__xludf.DUMMYFUNCTION("""COMPUTED_VALUE"""),"the fuzzy fish")</f>
        <v>the fuzzy fish</v>
      </c>
      <c r="B836" s="6" t="str">
        <f>IFERROR(__xludf.DUMMYFUNCTION("""COMPUTED_VALUE"""),"Estados Unidos")</f>
        <v>Estados Unidos</v>
      </c>
      <c r="C836" s="6" t="str">
        <f>IFERROR(__xludf.DUMMYFUNCTION("""COMPUTED_VALUE"""),"Software Factory / Staffing")</f>
        <v>Software Factory / Staffing</v>
      </c>
    </row>
    <row r="837" hidden="1">
      <c r="A837" s="6" t="str">
        <f>IFERROR(__xludf.DUMMYFUNCTION("""COMPUTED_VALUE"""),"palta")</f>
        <v>palta</v>
      </c>
      <c r="B837" s="6" t="str">
        <f>IFERROR(__xludf.DUMMYFUNCTION("""COMPUTED_VALUE"""),"Argentina")</f>
        <v>Argentina</v>
      </c>
      <c r="C837" s="6" t="str">
        <f>IFERROR(__xludf.DUMMYFUNCTION("""COMPUTED_VALUE"""),"Logistics")</f>
        <v>Logistics</v>
      </c>
    </row>
    <row r="838" hidden="1">
      <c r="A838" s="6" t="str">
        <f>IFERROR(__xludf.DUMMYFUNCTION("""COMPUTED_VALUE"""),"atos")</f>
        <v>atos</v>
      </c>
      <c r="B838" s="6" t="str">
        <f>IFERROR(__xludf.DUMMYFUNCTION("""COMPUTED_VALUE"""),"Argentina")</f>
        <v>Argentina</v>
      </c>
      <c r="C838" s="6" t="str">
        <f>IFERROR(__xludf.DUMMYFUNCTION("""COMPUTED_VALUE"""),"Software Factory / Staffing")</f>
        <v>Software Factory / Staffing</v>
      </c>
    </row>
    <row r="839" hidden="1">
      <c r="A839" s="6" t="str">
        <f>IFERROR(__xludf.DUMMYFUNCTION("""COMPUTED_VALUE"""),"clikalia")</f>
        <v>clikalia</v>
      </c>
      <c r="B839" s="6" t="str">
        <f>IFERROR(__xludf.DUMMYFUNCTION("""COMPUTED_VALUE"""),"España")</f>
        <v>España</v>
      </c>
      <c r="C839" s="6" t="str">
        <f>IFERROR(__xludf.DUMMYFUNCTION("""COMPUTED_VALUE"""),"Other")</f>
        <v>Other</v>
      </c>
    </row>
    <row r="840" hidden="1">
      <c r="A840" s="6" t="str">
        <f>IFERROR(__xludf.DUMMYFUNCTION("""COMPUTED_VALUE"""),"rezolve technology")</f>
        <v>rezolve technology</v>
      </c>
      <c r="B840" s="6" t="str">
        <f>IFERROR(__xludf.DUMMYFUNCTION("""COMPUTED_VALUE"""),"Reino Unido")</f>
        <v>Reino Unido</v>
      </c>
      <c r="C840" s="6" t="str">
        <f>IFERROR(__xludf.DUMMYFUNCTION("""COMPUTED_VALUE"""),"Management Consulting")</f>
        <v>Management Consulting</v>
      </c>
    </row>
    <row r="841" hidden="1">
      <c r="A841" s="6" t="str">
        <f>IFERROR(__xludf.DUMMYFUNCTION("""COMPUTED_VALUE"""),"treggo")</f>
        <v>treggo</v>
      </c>
      <c r="B841" s="6" t="str">
        <f>IFERROR(__xludf.DUMMYFUNCTION("""COMPUTED_VALUE"""),"Argentina")</f>
        <v>Argentina</v>
      </c>
      <c r="C841" s="6" t="str">
        <f>IFERROR(__xludf.DUMMYFUNCTION("""COMPUTED_VALUE"""),"E-commerce")</f>
        <v>E-commerce</v>
      </c>
    </row>
    <row r="842" hidden="1">
      <c r="A842" s="6" t="str">
        <f>IFERROR(__xludf.DUMMYFUNCTION("""COMPUTED_VALUE"""),"grupo mass asistencia")</f>
        <v>grupo mass asistencia</v>
      </c>
      <c r="B842" s="6" t="str">
        <f>IFERROR(__xludf.DUMMYFUNCTION("""COMPUTED_VALUE"""),"Argentina")</f>
        <v>Argentina</v>
      </c>
      <c r="C842" s="6" t="str">
        <f>IFERROR(__xludf.DUMMYFUNCTION("""COMPUTED_VALUE"""),"E-commerce")</f>
        <v>E-commerce</v>
      </c>
    </row>
    <row r="843" hidden="1">
      <c r="A843" s="6" t="str">
        <f>IFERROR(__xludf.DUMMYFUNCTION("""COMPUTED_VALUE"""),"tap")</f>
        <v>tap</v>
      </c>
      <c r="B843" s="6" t="str">
        <f>IFERROR(__xludf.DUMMYFUNCTION("""COMPUTED_VALUE"""),"Argentina")</f>
        <v>Argentina</v>
      </c>
      <c r="C843" s="6" t="str">
        <f>IFERROR(__xludf.DUMMYFUNCTION("""COMPUTED_VALUE"""),"Banking &amp; Financial Servicies")</f>
        <v>Banking &amp; Financial Servicies</v>
      </c>
    </row>
    <row r="844" hidden="1">
      <c r="A844" s="6" t="str">
        <f>IFERROR(__xludf.DUMMYFUNCTION("""COMPUTED_VALUE"""),"any2cloud")</f>
        <v>any2cloud</v>
      </c>
      <c r="B844" s="6" t="str">
        <f>IFERROR(__xludf.DUMMYFUNCTION("""COMPUTED_VALUE"""),"Costa Rica")</f>
        <v>Costa Rica</v>
      </c>
      <c r="C844" s="6" t="str">
        <f>IFERROR(__xludf.DUMMYFUNCTION("""COMPUTED_VALUE"""),"Management Consulting")</f>
        <v>Management Consulting</v>
      </c>
    </row>
    <row r="845" hidden="1">
      <c r="A845" s="6" t="str">
        <f>IFERROR(__xludf.DUMMYFUNCTION("""COMPUTED_VALUE"""),"bee seller")</f>
        <v>bee seller</v>
      </c>
      <c r="B845" s="6" t="str">
        <f>IFERROR(__xludf.DUMMYFUNCTION("""COMPUTED_VALUE"""),"Uruguay")</f>
        <v>Uruguay</v>
      </c>
      <c r="C845" s="6" t="str">
        <f>IFERROR(__xludf.DUMMYFUNCTION("""COMPUTED_VALUE"""),"Other")</f>
        <v>Other</v>
      </c>
    </row>
    <row r="846" hidden="1">
      <c r="A846" s="6" t="str">
        <f>IFERROR(__xludf.DUMMYFUNCTION("""COMPUTED_VALUE"""),"switch it")</f>
        <v>switch it</v>
      </c>
      <c r="B846" s="6" t="str">
        <f>IFERROR(__xludf.DUMMYFUNCTION("""COMPUTED_VALUE"""),"Argentina")</f>
        <v>Argentina</v>
      </c>
      <c r="C846" s="6" t="str">
        <f>IFERROR(__xludf.DUMMYFUNCTION("""COMPUTED_VALUE"""),"Management Consulting")</f>
        <v>Management Consulting</v>
      </c>
    </row>
    <row r="847" hidden="1">
      <c r="A847" s="6" t="str">
        <f>IFERROR(__xludf.DUMMYFUNCTION("""COMPUTED_VALUE"""),"aenima")</f>
        <v>aenima</v>
      </c>
      <c r="B847" s="6" t="str">
        <f>IFERROR(__xludf.DUMMYFUNCTION("""COMPUTED_VALUE"""),"Estados Unidos")</f>
        <v>Estados Unidos</v>
      </c>
      <c r="C847" s="6" t="str">
        <f>IFERROR(__xludf.DUMMYFUNCTION("""COMPUTED_VALUE"""),"Media &amp; Communication")</f>
        <v>Media &amp; Communication</v>
      </c>
    </row>
    <row r="848" hidden="1">
      <c r="A848" s="6" t="str">
        <f>IFERROR(__xludf.DUMMYFUNCTION("""COMPUTED_VALUE"""),"trescientosuno")</f>
        <v>trescientosuno</v>
      </c>
      <c r="B848" s="6" t="str">
        <f>IFERROR(__xludf.DUMMYFUNCTION("""COMPUTED_VALUE"""),"Argentina")</f>
        <v>Argentina</v>
      </c>
      <c r="C848" s="6" t="str">
        <f>IFERROR(__xludf.DUMMYFUNCTION("""COMPUTED_VALUE"""),"Software Factory / Staffing")</f>
        <v>Software Factory / Staffing</v>
      </c>
    </row>
    <row r="849" hidden="1">
      <c r="A849" s="6" t="str">
        <f>IFERROR(__xludf.DUMMYFUNCTION("""COMPUTED_VALUE"""),"gohub")</f>
        <v>gohub</v>
      </c>
      <c r="B849" s="6" t="str">
        <f>IFERROR(__xludf.DUMMYFUNCTION("""COMPUTED_VALUE"""),"Israel")</f>
        <v>Israel</v>
      </c>
      <c r="C849" s="6" t="str">
        <f>IFERROR(__xludf.DUMMYFUNCTION("""COMPUTED_VALUE"""),"E-commerce")</f>
        <v>E-commerce</v>
      </c>
    </row>
    <row r="850" hidden="1">
      <c r="A850" s="6" t="str">
        <f>IFERROR(__xludf.DUMMYFUNCTION("""COMPUTED_VALUE"""),"chattigo")</f>
        <v>chattigo</v>
      </c>
      <c r="B850" s="6" t="str">
        <f>IFERROR(__xludf.DUMMYFUNCTION("""COMPUTED_VALUE"""),"Chile")</f>
        <v>Chile</v>
      </c>
      <c r="C850" s="6" t="str">
        <f>IFERROR(__xludf.DUMMYFUNCTION("""COMPUTED_VALUE"""),"Management Consulting")</f>
        <v>Management Consulting</v>
      </c>
    </row>
    <row r="851" hidden="1">
      <c r="A851" s="6" t="str">
        <f>IFERROR(__xludf.DUMMYFUNCTION("""COMPUTED_VALUE"""),"kimche")</f>
        <v>kimche</v>
      </c>
      <c r="B851" s="6" t="str">
        <f>IFERROR(__xludf.DUMMYFUNCTION("""COMPUTED_VALUE"""),"Chile")</f>
        <v>Chile</v>
      </c>
      <c r="C851" s="6" t="str">
        <f>IFERROR(__xludf.DUMMYFUNCTION("""COMPUTED_VALUE"""),"Education &amp; Edtech")</f>
        <v>Education &amp; Edtech</v>
      </c>
    </row>
    <row r="852" hidden="1">
      <c r="A852" s="6" t="str">
        <f>IFERROR(__xludf.DUMMYFUNCTION("""COMPUTED_VALUE"""),"soho")</f>
        <v>soho</v>
      </c>
      <c r="B852" s="6" t="str">
        <f>IFERROR(__xludf.DUMMYFUNCTION("""COMPUTED_VALUE"""),"Chile")</f>
        <v>Chile</v>
      </c>
      <c r="C852" s="6" t="str">
        <f>IFERROR(__xludf.DUMMYFUNCTION("""COMPUTED_VALUE"""),"Software Factory / Staffing")</f>
        <v>Software Factory / Staffing</v>
      </c>
    </row>
    <row r="853" hidden="1">
      <c r="A853" s="6" t="str">
        <f>IFERROR(__xludf.DUMMYFUNCTION("""COMPUTED_VALUE"""),"luca")</f>
        <v>luca</v>
      </c>
      <c r="B853" s="6" t="str">
        <f>IFERROR(__xludf.DUMMYFUNCTION("""COMPUTED_VALUE"""),"Argentina")</f>
        <v>Argentina</v>
      </c>
      <c r="C853" s="6" t="str">
        <f>IFERROR(__xludf.DUMMYFUNCTION("""COMPUTED_VALUE"""),"Education &amp; Edtech")</f>
        <v>Education &amp; Edtech</v>
      </c>
    </row>
    <row r="854" hidden="1">
      <c r="A854" s="6" t="str">
        <f>IFERROR(__xludf.DUMMYFUNCTION("""COMPUTED_VALUE"""),"cooperativa farmaceutica de provision y consumo alberdi ltda")</f>
        <v>cooperativa farmaceutica de provision y consumo alberdi ltda</v>
      </c>
      <c r="B854" s="6" t="str">
        <f>IFERROR(__xludf.DUMMYFUNCTION("""COMPUTED_VALUE"""),"Argentina")</f>
        <v>Argentina</v>
      </c>
      <c r="C854" s="6" t="str">
        <f>IFERROR(__xludf.DUMMYFUNCTION("""COMPUTED_VALUE"""),"Health")</f>
        <v>Health</v>
      </c>
    </row>
    <row r="855" hidden="1">
      <c r="A855" s="6" t="str">
        <f>IFERROR(__xludf.DUMMYFUNCTION("""COMPUTED_VALUE"""),"kranio")</f>
        <v>kranio</v>
      </c>
      <c r="B855" s="6" t="str">
        <f>IFERROR(__xludf.DUMMYFUNCTION("""COMPUTED_VALUE"""),"Chile")</f>
        <v>Chile</v>
      </c>
      <c r="C855" s="6" t="str">
        <f>IFERROR(__xludf.DUMMYFUNCTION("""COMPUTED_VALUE"""),"Management Consulting")</f>
        <v>Management Consulting</v>
      </c>
    </row>
    <row r="856" hidden="1">
      <c r="A856" s="6" t="str">
        <f>IFERROR(__xludf.DUMMYFUNCTION("""COMPUTED_VALUE"""),"concentrix")</f>
        <v>concentrix</v>
      </c>
      <c r="B856" s="6" t="str">
        <f>IFERROR(__xludf.DUMMYFUNCTION("""COMPUTED_VALUE"""),"Estados Unidos")</f>
        <v>Estados Unidos</v>
      </c>
      <c r="C856" s="6" t="str">
        <f>IFERROR(__xludf.DUMMYFUNCTION("""COMPUTED_VALUE"""),"Software Factory / Staffing")</f>
        <v>Software Factory / Staffing</v>
      </c>
    </row>
    <row r="857" hidden="1">
      <c r="A857" s="6" t="str">
        <f>IFERROR(__xludf.DUMMYFUNCTION("""COMPUTED_VALUE"""),"mutual lds dating app")</f>
        <v>mutual lds dating app</v>
      </c>
      <c r="B857" s="6" t="str">
        <f>IFERROR(__xludf.DUMMYFUNCTION("""COMPUTED_VALUE"""),"Estados Unidos")</f>
        <v>Estados Unidos</v>
      </c>
      <c r="C857" s="6" t="str">
        <f>IFERROR(__xludf.DUMMYFUNCTION("""COMPUTED_VALUE"""),"Software Factory / Staffing")</f>
        <v>Software Factory / Staffing</v>
      </c>
    </row>
    <row r="858" hidden="1">
      <c r="A858" s="6" t="str">
        <f>IFERROR(__xludf.DUMMYFUNCTION("""COMPUTED_VALUE"""),"cruce ")</f>
        <v>cruce </v>
      </c>
      <c r="B858" s="6" t="str">
        <f>IFERROR(__xludf.DUMMYFUNCTION("""COMPUTED_VALUE"""),"Argentina")</f>
        <v>Argentina</v>
      </c>
      <c r="C858" s="6" t="str">
        <f>IFERROR(__xludf.DUMMYFUNCTION("""COMPUTED_VALUE"""),"Software Factory / Staffing")</f>
        <v>Software Factory / Staffing</v>
      </c>
    </row>
    <row r="859" hidden="1">
      <c r="A859" s="6" t="str">
        <f>IFERROR(__xludf.DUMMYFUNCTION("""COMPUTED_VALUE"""),"accefy")</f>
        <v>accefy</v>
      </c>
      <c r="B859" s="6" t="str">
        <f>IFERROR(__xludf.DUMMYFUNCTION("""COMPUTED_VALUE"""),"Argentina")</f>
        <v>Argentina</v>
      </c>
      <c r="C859" s="6" t="str">
        <f>IFERROR(__xludf.DUMMYFUNCTION("""COMPUTED_VALUE"""),"Cibersecurity")</f>
        <v>Cibersecurity</v>
      </c>
    </row>
    <row r="860" hidden="1">
      <c r="A860" s="6" t="str">
        <f>IFERROR(__xludf.DUMMYFUNCTION("""COMPUTED_VALUE"""),"virtual remote partner")</f>
        <v>virtual remote partner</v>
      </c>
      <c r="B860" s="6" t="str">
        <f>IFERROR(__xludf.DUMMYFUNCTION("""COMPUTED_VALUE"""),"Estados Unidos")</f>
        <v>Estados Unidos</v>
      </c>
      <c r="C860" s="6" t="str">
        <f>IFERROR(__xludf.DUMMYFUNCTION("""COMPUTED_VALUE"""),"Management Consulting")</f>
        <v>Management Consulting</v>
      </c>
    </row>
    <row r="861" hidden="1">
      <c r="A861" s="6" t="str">
        <f>IFERROR(__xludf.DUMMYFUNCTION("""COMPUTED_VALUE"""),"primary sa")</f>
        <v>primary sa</v>
      </c>
      <c r="B861" s="6" t="str">
        <f>IFERROR(__xludf.DUMMYFUNCTION("""COMPUTED_VALUE"""),"Argentina")</f>
        <v>Argentina</v>
      </c>
      <c r="C861" s="6" t="str">
        <f>IFERROR(__xludf.DUMMYFUNCTION("""COMPUTED_VALUE"""),"Management Consulting")</f>
        <v>Management Consulting</v>
      </c>
    </row>
    <row r="862" hidden="1">
      <c r="A862" s="6" t="str">
        <f>IFERROR(__xludf.DUMMYFUNCTION("""COMPUTED_VALUE"""),"the app master")</f>
        <v>the app master</v>
      </c>
      <c r="B862" s="6" t="str">
        <f>IFERROR(__xludf.DUMMYFUNCTION("""COMPUTED_VALUE"""),"Argentina")</f>
        <v>Argentina</v>
      </c>
      <c r="C862" s="6" t="str">
        <f>IFERROR(__xludf.DUMMYFUNCTION("""COMPUTED_VALUE"""),"Software Factory / Staffing")</f>
        <v>Software Factory / Staffing</v>
      </c>
    </row>
    <row r="863" hidden="1">
      <c r="A863" s="6" t="str">
        <f>IFERROR(__xludf.DUMMYFUNCTION("""COMPUTED_VALUE"""),"global hitss")</f>
        <v>global hitss</v>
      </c>
      <c r="B863" s="6" t="str">
        <f>IFERROR(__xludf.DUMMYFUNCTION("""COMPUTED_VALUE"""),"Mexico")</f>
        <v>Mexico</v>
      </c>
      <c r="C863" s="6" t="str">
        <f>IFERROR(__xludf.DUMMYFUNCTION("""COMPUTED_VALUE"""),"Software Factory / Staffing")</f>
        <v>Software Factory / Staffing</v>
      </c>
    </row>
    <row r="864" hidden="1">
      <c r="A864" s="6" t="str">
        <f>IFERROR(__xludf.DUMMYFUNCTION("""COMPUTED_VALUE"""),"grupo delsud")</f>
        <v>grupo delsud</v>
      </c>
      <c r="B864" s="6" t="str">
        <f>IFERROR(__xludf.DUMMYFUNCTION("""COMPUTED_VALUE"""),"Argentina")</f>
        <v>Argentina</v>
      </c>
      <c r="C864" s="6" t="str">
        <f>IFERROR(__xludf.DUMMYFUNCTION("""COMPUTED_VALUE"""),"Other")</f>
        <v>Other</v>
      </c>
    </row>
    <row r="865" hidden="1">
      <c r="A865" s="6" t="str">
        <f>IFERROR(__xludf.DUMMYFUNCTION("""COMPUTED_VALUE"""),"thoughtworks")</f>
        <v>thoughtworks</v>
      </c>
      <c r="B865" s="6" t="str">
        <f>IFERROR(__xludf.DUMMYFUNCTION("""COMPUTED_VALUE"""),"Estados Unidos")</f>
        <v>Estados Unidos</v>
      </c>
      <c r="C865" s="6" t="str">
        <f>IFERROR(__xludf.DUMMYFUNCTION("""COMPUTED_VALUE"""),"Management Consulting")</f>
        <v>Management Consulting</v>
      </c>
    </row>
    <row r="866" hidden="1">
      <c r="A866" s="6" t="str">
        <f>IFERROR(__xludf.DUMMYFUNCTION("""COMPUTED_VALUE"""),"foodstyles")</f>
        <v>foodstyles</v>
      </c>
      <c r="B866" s="6" t="str">
        <f>IFERROR(__xludf.DUMMYFUNCTION("""COMPUTED_VALUE"""),"Reino Unido")</f>
        <v>Reino Unido</v>
      </c>
      <c r="C866" s="6" t="str">
        <f>IFERROR(__xludf.DUMMYFUNCTION("""COMPUTED_VALUE"""),"Management Consulting")</f>
        <v>Management Consulting</v>
      </c>
    </row>
    <row r="867" hidden="1">
      <c r="A867" s="6" t="str">
        <f>IFERROR(__xludf.DUMMYFUNCTION("""COMPUTED_VALUE"""),"wake")</f>
        <v>wake</v>
      </c>
      <c r="B867" s="6" t="str">
        <f>IFERROR(__xludf.DUMMYFUNCTION("""COMPUTED_VALUE"""),"Estados Unidos")</f>
        <v>Estados Unidos</v>
      </c>
      <c r="C867" s="6" t="str">
        <f>IFERROR(__xludf.DUMMYFUNCTION("""COMPUTED_VALUE"""),"Other")</f>
        <v>Other</v>
      </c>
    </row>
    <row r="868" hidden="1">
      <c r="A868" s="6" t="str">
        <f>IFERROR(__xludf.DUMMYFUNCTION("""COMPUTED_VALUE"""),"cuatroi")</f>
        <v>cuatroi</v>
      </c>
      <c r="B868" s="6" t="str">
        <f>IFERROR(__xludf.DUMMYFUNCTION("""COMPUTED_VALUE"""),"Chile")</f>
        <v>Chile</v>
      </c>
      <c r="C868" s="6" t="str">
        <f>IFERROR(__xludf.DUMMYFUNCTION("""COMPUTED_VALUE"""),"Software Factory / Staffing")</f>
        <v>Software Factory / Staffing</v>
      </c>
    </row>
    <row r="869" hidden="1">
      <c r="A869" s="6" t="str">
        <f>IFERROR(__xludf.DUMMYFUNCTION("""COMPUTED_VALUE"""),"siptel")</f>
        <v>siptel</v>
      </c>
      <c r="B869" s="6" t="str">
        <f>IFERROR(__xludf.DUMMYFUNCTION("""COMPUTED_VALUE"""),"Reino Unido")</f>
        <v>Reino Unido</v>
      </c>
      <c r="C869" s="6" t="str">
        <f>IFERROR(__xludf.DUMMYFUNCTION("""COMPUTED_VALUE"""),"Other")</f>
        <v>Other</v>
      </c>
    </row>
    <row r="870" hidden="1">
      <c r="A870" s="6" t="str">
        <f>IFERROR(__xludf.DUMMYFUNCTION("""COMPUTED_VALUE"""),"ensolvers")</f>
        <v>ensolvers</v>
      </c>
      <c r="B870" s="6" t="str">
        <f>IFERROR(__xludf.DUMMYFUNCTION("""COMPUTED_VALUE"""),"Estados Unidos")</f>
        <v>Estados Unidos</v>
      </c>
      <c r="C870" s="6" t="str">
        <f>IFERROR(__xludf.DUMMYFUNCTION("""COMPUTED_VALUE"""),"Software Factory / Staffing")</f>
        <v>Software Factory / Staffing</v>
      </c>
    </row>
    <row r="871" hidden="1">
      <c r="A871" s="6" t="str">
        <f>IFERROR(__xludf.DUMMYFUNCTION("""COMPUTED_VALUE"""),"caja de retiros , jubilaciones y pensiones de la policia federal")</f>
        <v>caja de retiros , jubilaciones y pensiones de la policia federal</v>
      </c>
      <c r="B871" s="6" t="str">
        <f>IFERROR(__xludf.DUMMYFUNCTION("""COMPUTED_VALUE"""),"Argentina")</f>
        <v>Argentina</v>
      </c>
      <c r="C871" s="6" t="str">
        <f>IFERROR(__xludf.DUMMYFUNCTION("""COMPUTED_VALUE"""),"Public Center")</f>
        <v>Public Center</v>
      </c>
    </row>
    <row r="872" hidden="1">
      <c r="A872" s="6" t="str">
        <f>IFERROR(__xludf.DUMMYFUNCTION("""COMPUTED_VALUE"""),"keirón")</f>
        <v>keirón</v>
      </c>
      <c r="B872" s="6" t="str">
        <f>IFERROR(__xludf.DUMMYFUNCTION("""COMPUTED_VALUE"""),"Chile")</f>
        <v>Chile</v>
      </c>
      <c r="C872" s="6" t="str">
        <f>IFERROR(__xludf.DUMMYFUNCTION("""COMPUTED_VALUE"""),"Health")</f>
        <v>Health</v>
      </c>
    </row>
    <row r="873" hidden="1">
      <c r="A873" s="6" t="str">
        <f>IFERROR(__xludf.DUMMYFUNCTION("""COMPUTED_VALUE"""),"soluntech")</f>
        <v>soluntech</v>
      </c>
      <c r="B873" s="6" t="str">
        <f>IFERROR(__xludf.DUMMYFUNCTION("""COMPUTED_VALUE"""),"Estados Unidos")</f>
        <v>Estados Unidos</v>
      </c>
      <c r="C873" s="6" t="str">
        <f>IFERROR(__xludf.DUMMYFUNCTION("""COMPUTED_VALUE"""),"Software Factory / Staffing")</f>
        <v>Software Factory / Staffing</v>
      </c>
    </row>
    <row r="874" hidden="1">
      <c r="A874" s="6" t="str">
        <f>IFERROR(__xludf.DUMMYFUNCTION("""COMPUTED_VALUE"""),"crizz")</f>
        <v>crizz</v>
      </c>
      <c r="B874" s="6" t="str">
        <f>IFERROR(__xludf.DUMMYFUNCTION("""COMPUTED_VALUE"""),"Colombia")</f>
        <v>Colombia</v>
      </c>
      <c r="C874" s="6" t="str">
        <f>IFERROR(__xludf.DUMMYFUNCTION("""COMPUTED_VALUE"""),"Software Factory / Staffing")</f>
        <v>Software Factory / Staffing</v>
      </c>
    </row>
    <row r="875" hidden="1">
      <c r="A875" s="6" t="str">
        <f>IFERROR(__xludf.DUMMYFUNCTION("""COMPUTED_VALUE"""),"walls team")</f>
        <v>walls team</v>
      </c>
      <c r="B875" s="6" t="str">
        <f>IFERROR(__xludf.DUMMYFUNCTION("""COMPUTED_VALUE"""),"Venezuela")</f>
        <v>Venezuela</v>
      </c>
      <c r="C875" s="6" t="str">
        <f>IFERROR(__xludf.DUMMYFUNCTION("""COMPUTED_VALUE"""),"Software Factory / Staffing")</f>
        <v>Software Factory / Staffing</v>
      </c>
    </row>
    <row r="876" hidden="1">
      <c r="A876" s="6" t="str">
        <f>IFERROR(__xludf.DUMMYFUNCTION("""COMPUTED_VALUE"""),"dparadig")</f>
        <v>dparadig</v>
      </c>
      <c r="B876" s="6" t="str">
        <f>IFERROR(__xludf.DUMMYFUNCTION("""COMPUTED_VALUE"""),"Chile")</f>
        <v>Chile</v>
      </c>
      <c r="C876" s="6" t="str">
        <f>IFERROR(__xludf.DUMMYFUNCTION("""COMPUTED_VALUE"""),"Software Factory / Staffing")</f>
        <v>Software Factory / Staffing</v>
      </c>
    </row>
    <row r="877" hidden="1">
      <c r="A877" s="6" t="str">
        <f>IFERROR(__xludf.DUMMYFUNCTION("""COMPUTED_VALUE"""),"sugsa")</f>
        <v>sugsa</v>
      </c>
      <c r="B877" s="4"/>
      <c r="C877" s="4"/>
    </row>
    <row r="878" hidden="1">
      <c r="A878" s="6" t="str">
        <f>IFERROR(__xludf.DUMMYFUNCTION("""COMPUTED_VALUE"""),"e training")</f>
        <v>e training</v>
      </c>
      <c r="B878" s="6" t="str">
        <f>IFERROR(__xludf.DUMMYFUNCTION("""COMPUTED_VALUE"""),"Colombia")</f>
        <v>Colombia</v>
      </c>
      <c r="C878" s="6" t="str">
        <f>IFERROR(__xludf.DUMMYFUNCTION("""COMPUTED_VALUE"""),"Management Consulting")</f>
        <v>Management Consulting</v>
      </c>
    </row>
    <row r="879" hidden="1">
      <c r="A879" s="6" t="str">
        <f>IFERROR(__xludf.DUMMYFUNCTION("""COMPUTED_VALUE"""),"curebase")</f>
        <v>curebase</v>
      </c>
      <c r="B879" s="6" t="str">
        <f>IFERROR(__xludf.DUMMYFUNCTION("""COMPUTED_VALUE"""),"Estados Unidos")</f>
        <v>Estados Unidos</v>
      </c>
      <c r="C879" s="6" t="str">
        <f>IFERROR(__xludf.DUMMYFUNCTION("""COMPUTED_VALUE"""),"Health")</f>
        <v>Health</v>
      </c>
    </row>
    <row r="880">
      <c r="A880" s="6" t="str">
        <f>IFERROR(__xludf.DUMMYFUNCTION("""COMPUTED_VALUE"""),"cardano-catalyst")</f>
        <v>cardano-catalyst</v>
      </c>
      <c r="B880" s="4"/>
      <c r="C880" s="4"/>
    </row>
    <row r="881" hidden="1">
      <c r="A881" s="6" t="str">
        <f>IFERROR(__xludf.DUMMYFUNCTION("""COMPUTED_VALUE"""),"masterbase")</f>
        <v>masterbase</v>
      </c>
      <c r="B881" s="6" t="str">
        <f>IFERROR(__xludf.DUMMYFUNCTION("""COMPUTED_VALUE"""),"Estonia")</f>
        <v>Estonia</v>
      </c>
      <c r="C881" s="6" t="str">
        <f>IFERROR(__xludf.DUMMYFUNCTION("""COMPUTED_VALUE"""),"Software Factory / Staffing")</f>
        <v>Software Factory / Staffing</v>
      </c>
    </row>
    <row r="882" hidden="1">
      <c r="A882" s="6" t="str">
        <f>IFERROR(__xludf.DUMMYFUNCTION("""COMPUTED_VALUE"""),"bettervet")</f>
        <v>bettervet</v>
      </c>
      <c r="B882" s="6" t="str">
        <f>IFERROR(__xludf.DUMMYFUNCTION("""COMPUTED_VALUE"""),"Estados Unidos")</f>
        <v>Estados Unidos</v>
      </c>
      <c r="C882" s="6" t="str">
        <f>IFERROR(__xludf.DUMMYFUNCTION("""COMPUTED_VALUE"""),"Health")</f>
        <v>Health</v>
      </c>
    </row>
    <row r="883" hidden="1">
      <c r="A883" s="6" t="str">
        <f>IFERROR(__xludf.DUMMYFUNCTION("""COMPUTED_VALUE"""),"twins music srl")</f>
        <v>twins music srl</v>
      </c>
      <c r="B883" s="6" t="str">
        <f>IFERROR(__xludf.DUMMYFUNCTION("""COMPUTED_VALUE"""),"Argentina")</f>
        <v>Argentina</v>
      </c>
      <c r="C883" s="6" t="str">
        <f>IFERROR(__xludf.DUMMYFUNCTION("""COMPUTED_VALUE"""),"Other")</f>
        <v>Other</v>
      </c>
    </row>
    <row r="884" hidden="1">
      <c r="A884" s="6" t="str">
        <f>IFERROR(__xludf.DUMMYFUNCTION("""COMPUTED_VALUE"""),"linetec s.a")</f>
        <v>linetec s.a</v>
      </c>
      <c r="B884" s="6" t="str">
        <f>IFERROR(__xludf.DUMMYFUNCTION("""COMPUTED_VALUE"""),"Argentina")</f>
        <v>Argentina</v>
      </c>
      <c r="C884" s="6" t="str">
        <f>IFERROR(__xludf.DUMMYFUNCTION("""COMPUTED_VALUE"""),"Hardware")</f>
        <v>Hardware</v>
      </c>
    </row>
    <row r="885" hidden="1">
      <c r="A885" s="6" t="str">
        <f>IFERROR(__xludf.DUMMYFUNCTION("""COMPUTED_VALUE"""),"minexus sas")</f>
        <v>minexus sas</v>
      </c>
      <c r="B885" s="6" t="str">
        <f>IFERROR(__xludf.DUMMYFUNCTION("""COMPUTED_VALUE"""),"Argentina")</f>
        <v>Argentina</v>
      </c>
      <c r="C885" s="6" t="str">
        <f>IFERROR(__xludf.DUMMYFUNCTION("""COMPUTED_VALUE"""),"Software Factory / Staffing")</f>
        <v>Software Factory / Staffing</v>
      </c>
    </row>
    <row r="886" hidden="1">
      <c r="A886" s="6" t="str">
        <f>IFERROR(__xludf.DUMMYFUNCTION("""COMPUTED_VALUE"""),"soyhabitue")</f>
        <v>soyhabitue</v>
      </c>
      <c r="B886" s="6" t="str">
        <f>IFERROR(__xludf.DUMMYFUNCTION("""COMPUTED_VALUE"""),"Uruguay")</f>
        <v>Uruguay</v>
      </c>
      <c r="C886" s="6" t="str">
        <f>IFERROR(__xludf.DUMMYFUNCTION("""COMPUTED_VALUE"""),"Management Consulting")</f>
        <v>Management Consulting</v>
      </c>
    </row>
    <row r="887" hidden="1">
      <c r="A887" s="6" t="str">
        <f>IFERROR(__xludf.DUMMYFUNCTION("""COMPUTED_VALUE"""),"radar")</f>
        <v>radar</v>
      </c>
      <c r="B887" s="6" t="str">
        <f>IFERROR(__xludf.DUMMYFUNCTION("""COMPUTED_VALUE"""),"Estados Unidos")</f>
        <v>Estados Unidos</v>
      </c>
      <c r="C887" s="6" t="str">
        <f>IFERROR(__xludf.DUMMYFUNCTION("""COMPUTED_VALUE"""),"Software Factory / Staffing")</f>
        <v>Software Factory / Staffing</v>
      </c>
    </row>
    <row r="888" hidden="1">
      <c r="A888" s="6" t="str">
        <f>IFERROR(__xludf.DUMMYFUNCTION("""COMPUTED_VALUE"""),"pdt agencia")</f>
        <v>pdt agencia</v>
      </c>
      <c r="B888" s="6" t="str">
        <f>IFERROR(__xludf.DUMMYFUNCTION("""COMPUTED_VALUE"""),"Colombia")</f>
        <v>Colombia</v>
      </c>
      <c r="C888" s="6" t="str">
        <f>IFERROR(__xludf.DUMMYFUNCTION("""COMPUTED_VALUE"""),"Media &amp; Communication")</f>
        <v>Media &amp; Communication</v>
      </c>
    </row>
    <row r="889" hidden="1">
      <c r="A889" s="6" t="str">
        <f>IFERROR(__xludf.DUMMYFUNCTION("""COMPUTED_VALUE"""),"getronics")</f>
        <v>getronics</v>
      </c>
      <c r="B889" s="6" t="str">
        <f>IFERROR(__xludf.DUMMYFUNCTION("""COMPUTED_VALUE"""),"Paises Bajos")</f>
        <v>Paises Bajos</v>
      </c>
      <c r="C889" s="6" t="str">
        <f>IFERROR(__xludf.DUMMYFUNCTION("""COMPUTED_VALUE"""),"Blockchain, Crypto &amp; NFT")</f>
        <v>Blockchain, Crypto &amp; NFT</v>
      </c>
    </row>
    <row r="890" hidden="1">
      <c r="A890" s="6" t="str">
        <f>IFERROR(__xludf.DUMMYFUNCTION("""COMPUTED_VALUE"""),"onex services")</f>
        <v>onex services</v>
      </c>
      <c r="B890" s="6" t="str">
        <f>IFERROR(__xludf.DUMMYFUNCTION("""COMPUTED_VALUE"""),"Canada")</f>
        <v>Canada</v>
      </c>
      <c r="C890" s="6" t="str">
        <f>IFERROR(__xludf.DUMMYFUNCTION("""COMPUTED_VALUE"""),"Banking &amp; Financial Servicies")</f>
        <v>Banking &amp; Financial Servicies</v>
      </c>
    </row>
    <row r="891" hidden="1">
      <c r="A891" s="6" t="str">
        <f>IFERROR(__xludf.DUMMYFUNCTION("""COMPUTED_VALUE"""),"mistr")</f>
        <v>mistr</v>
      </c>
      <c r="B891" s="6" t="str">
        <f>IFERROR(__xludf.DUMMYFUNCTION("""COMPUTED_VALUE"""),"Estados Unidos")</f>
        <v>Estados Unidos</v>
      </c>
      <c r="C891" s="6" t="str">
        <f>IFERROR(__xludf.DUMMYFUNCTION("""COMPUTED_VALUE"""),"Health")</f>
        <v>Health</v>
      </c>
    </row>
    <row r="892" hidden="1">
      <c r="A892" s="6" t="str">
        <f>IFERROR(__xludf.DUMMYFUNCTION("""COMPUTED_VALUE"""),"patricia lagomarsino")</f>
        <v>patricia lagomarsino</v>
      </c>
      <c r="B892" s="6" t="str">
        <f>IFERROR(__xludf.DUMMYFUNCTION("""COMPUTED_VALUE"""),"Argentina")</f>
        <v>Argentina</v>
      </c>
      <c r="C892" s="6" t="str">
        <f>IFERROR(__xludf.DUMMYFUNCTION("""COMPUTED_VALUE"""),"Other")</f>
        <v>Other</v>
      </c>
    </row>
    <row r="893" hidden="1">
      <c r="A893" s="6" t="str">
        <f>IFERROR(__xludf.DUMMYFUNCTION("""COMPUTED_VALUE"""),"proguide global services")</f>
        <v>proguide global services</v>
      </c>
      <c r="B893" s="6" t="str">
        <f>IFERROR(__xludf.DUMMYFUNCTION("""COMPUTED_VALUE"""),"Argentina")</f>
        <v>Argentina</v>
      </c>
      <c r="C893" s="6" t="str">
        <f>IFERROR(__xludf.DUMMYFUNCTION("""COMPUTED_VALUE"""),"Management Consulting")</f>
        <v>Management Consulting</v>
      </c>
    </row>
    <row r="894" hidden="1">
      <c r="A894" s="6" t="str">
        <f>IFERROR(__xludf.DUMMYFUNCTION("""COMPUTED_VALUE"""),"connect your knowledge")</f>
        <v>connect your knowledge</v>
      </c>
      <c r="B894" s="6" t="str">
        <f>IFERROR(__xludf.DUMMYFUNCTION("""COMPUTED_VALUE"""),"Colombia")</f>
        <v>Colombia</v>
      </c>
      <c r="C894" s="6" t="str">
        <f>IFERROR(__xludf.DUMMYFUNCTION("""COMPUTED_VALUE"""),"Education &amp; Edtech")</f>
        <v>Education &amp; Edtech</v>
      </c>
    </row>
    <row r="895" hidden="1">
      <c r="A895" s="6" t="str">
        <f>IFERROR(__xludf.DUMMYFUNCTION("""COMPUTED_VALUE"""),"pagos automáticos de colombia s.a.s")</f>
        <v>pagos automáticos de colombia s.a.s</v>
      </c>
      <c r="B895" s="6" t="str">
        <f>IFERROR(__xludf.DUMMYFUNCTION("""COMPUTED_VALUE"""),"Colombia")</f>
        <v>Colombia</v>
      </c>
      <c r="C895" s="6" t="str">
        <f>IFERROR(__xludf.DUMMYFUNCTION("""COMPUTED_VALUE"""),"Banking &amp; Financial Servicies")</f>
        <v>Banking &amp; Financial Servicies</v>
      </c>
    </row>
    <row r="896" hidden="1">
      <c r="A896" s="6" t="str">
        <f>IFERROR(__xludf.DUMMYFUNCTION("""COMPUTED_VALUE"""),"w-tech")</f>
        <v>w-tech</v>
      </c>
      <c r="B896" s="6" t="str">
        <f>IFERROR(__xludf.DUMMYFUNCTION("""COMPUTED_VALUE"""),"Colombia")</f>
        <v>Colombia</v>
      </c>
      <c r="C896" s="6" t="str">
        <f>IFERROR(__xludf.DUMMYFUNCTION("""COMPUTED_VALUE"""),"Management Consulting")</f>
        <v>Management Consulting</v>
      </c>
    </row>
    <row r="897" hidden="1">
      <c r="A897" s="6" t="str">
        <f>IFERROR(__xludf.DUMMYFUNCTION("""COMPUTED_VALUE"""),"gcf learning")</f>
        <v>gcf learning</v>
      </c>
      <c r="B897" s="6" t="str">
        <f>IFERROR(__xludf.DUMMYFUNCTION("""COMPUTED_VALUE"""),"Estados Unidos")</f>
        <v>Estados Unidos</v>
      </c>
      <c r="C897" s="6" t="str">
        <f>IFERROR(__xludf.DUMMYFUNCTION("""COMPUTED_VALUE"""),"Education &amp; Edtech")</f>
        <v>Education &amp; Edtech</v>
      </c>
    </row>
    <row r="898" hidden="1">
      <c r="A898" s="6" t="str">
        <f>IFERROR(__xludf.DUMMYFUNCTION("""COMPUTED_VALUE"""),"wakemedia")</f>
        <v>wakemedia</v>
      </c>
      <c r="B898" s="6" t="str">
        <f>IFERROR(__xludf.DUMMYFUNCTION("""COMPUTED_VALUE"""),"mexico")</f>
        <v>mexico</v>
      </c>
      <c r="C898" s="6" t="str">
        <f>IFERROR(__xludf.DUMMYFUNCTION("""COMPUTED_VALUE"""),"Media &amp; Communication")</f>
        <v>Media &amp; Communication</v>
      </c>
    </row>
    <row r="899" hidden="1">
      <c r="A899" s="6" t="str">
        <f>IFERROR(__xludf.DUMMYFUNCTION("""COMPUTED_VALUE"""),"paqsystems")</f>
        <v>paqsystems</v>
      </c>
      <c r="B899" s="6" t="str">
        <f>IFERROR(__xludf.DUMMYFUNCTION("""COMPUTED_VALUE"""),"Argentina")</f>
        <v>Argentina</v>
      </c>
      <c r="C899" s="6" t="str">
        <f>IFERROR(__xludf.DUMMYFUNCTION("""COMPUTED_VALUE"""),"Software Factory / Staffing")</f>
        <v>Software Factory / Staffing</v>
      </c>
    </row>
    <row r="900" hidden="1">
      <c r="A900" s="6" t="str">
        <f>IFERROR(__xludf.DUMMYFUNCTION("""COMPUTED_VALUE"""),"flashman general service s.a.c")</f>
        <v>flashman general service s.a.c</v>
      </c>
      <c r="B900" s="6" t="str">
        <f>IFERROR(__xludf.DUMMYFUNCTION("""COMPUTED_VALUE"""),"Peru")</f>
        <v>Peru</v>
      </c>
      <c r="C900" s="6" t="str">
        <f>IFERROR(__xludf.DUMMYFUNCTION("""COMPUTED_VALUE"""),"Management Consulting")</f>
        <v>Management Consulting</v>
      </c>
    </row>
    <row r="901" hidden="1">
      <c r="A901" s="6" t="str">
        <f>IFERROR(__xludf.DUMMYFUNCTION("""COMPUTED_VALUE"""),"kaminoittech")</f>
        <v>kaminoittech</v>
      </c>
      <c r="B901" s="4"/>
      <c r="C901" s="4"/>
    </row>
    <row r="902" hidden="1">
      <c r="A902" s="6" t="str">
        <f>IFERROR(__xludf.DUMMYFUNCTION("""COMPUTED_VALUE"""),"chat tonic")</f>
        <v>chat tonic</v>
      </c>
      <c r="B902" s="6" t="str">
        <f>IFERROR(__xludf.DUMMYFUNCTION("""COMPUTED_VALUE"""),"Argentina")</f>
        <v>Argentina</v>
      </c>
      <c r="C902" s="6" t="str">
        <f>IFERROR(__xludf.DUMMYFUNCTION("""COMPUTED_VALUE"""),"Software Factory / Staffing")</f>
        <v>Software Factory / Staffing</v>
      </c>
    </row>
    <row r="903" hidden="1">
      <c r="A903" s="6" t="str">
        <f>IFERROR(__xludf.DUMMYFUNCTION("""COMPUTED_VALUE"""),"matías zelarayán")</f>
        <v>matías zelarayán</v>
      </c>
      <c r="B903" s="6" t="str">
        <f>IFERROR(__xludf.DUMMYFUNCTION("""COMPUTED_VALUE"""),"Argentina")</f>
        <v>Argentina</v>
      </c>
      <c r="C903" s="6" t="str">
        <f>IFERROR(__xludf.DUMMYFUNCTION("""COMPUTED_VALUE"""),"Other")</f>
        <v>Other</v>
      </c>
    </row>
    <row r="904" hidden="1">
      <c r="A904" s="6" t="str">
        <f>IFERROR(__xludf.DUMMYFUNCTION("""COMPUTED_VALUE"""),"mystrengthbook")</f>
        <v>mystrengthbook</v>
      </c>
      <c r="B904" s="6" t="str">
        <f>IFERROR(__xludf.DUMMYFUNCTION("""COMPUTED_VALUE"""),"Canada")</f>
        <v>Canada</v>
      </c>
      <c r="C904" s="6" t="str">
        <f>IFERROR(__xludf.DUMMYFUNCTION("""COMPUTED_VALUE"""),"Health")</f>
        <v>Health</v>
      </c>
    </row>
    <row r="905" hidden="1">
      <c r="A905" s="6" t="str">
        <f>IFERROR(__xludf.DUMMYFUNCTION("""COMPUTED_VALUE"""),"softur sa")</f>
        <v>softur sa</v>
      </c>
      <c r="B905" s="6" t="str">
        <f>IFERROR(__xludf.DUMMYFUNCTION("""COMPUTED_VALUE"""),"Argentina")</f>
        <v>Argentina</v>
      </c>
      <c r="C905" s="6" t="str">
        <f>IFERROR(__xludf.DUMMYFUNCTION("""COMPUTED_VALUE"""),"Software Factory / Staffing")</f>
        <v>Software Factory / Staffing</v>
      </c>
    </row>
    <row r="906" hidden="1">
      <c r="A906" s="6" t="str">
        <f>IFERROR(__xludf.DUMMYFUNCTION("""COMPUTED_VALUE"""),"ucasal")</f>
        <v>ucasal</v>
      </c>
      <c r="B906" s="4"/>
      <c r="C906" s="6" t="str">
        <f>IFERROR(__xludf.DUMMYFUNCTION("""COMPUTED_VALUE"""),"Education &amp; Edtech")</f>
        <v>Education &amp; Edtech</v>
      </c>
    </row>
    <row r="907" hidden="1">
      <c r="A907" s="6" t="str">
        <f>IFERROR(__xludf.DUMMYFUNCTION("""COMPUTED_VALUE"""),"1910 genetics")</f>
        <v>1910 genetics</v>
      </c>
      <c r="B907" s="6" t="str">
        <f>IFERROR(__xludf.DUMMYFUNCTION("""COMPUTED_VALUE"""),"Estados Unidos")</f>
        <v>Estados Unidos</v>
      </c>
      <c r="C907" s="6" t="str">
        <f>IFERROR(__xludf.DUMMYFUNCTION("""COMPUTED_VALUE"""),"Biotechnology")</f>
        <v>Biotechnology</v>
      </c>
    </row>
    <row r="908" hidden="1">
      <c r="A908" s="6" t="str">
        <f>IFERROR(__xludf.DUMMYFUNCTION("""COMPUTED_VALUE"""),"gundo")</f>
        <v>gundo</v>
      </c>
      <c r="B908" s="6" t="str">
        <f>IFERROR(__xludf.DUMMYFUNCTION("""COMPUTED_VALUE"""),"España")</f>
        <v>España</v>
      </c>
      <c r="C908" s="6" t="str">
        <f>IFERROR(__xludf.DUMMYFUNCTION("""COMPUTED_VALUE"""),"Health")</f>
        <v>Health</v>
      </c>
    </row>
    <row r="909" hidden="1">
      <c r="A909" s="6" t="str">
        <f>IFERROR(__xludf.DUMMYFUNCTION("""COMPUTED_VALUE"""),"known online")</f>
        <v>known online</v>
      </c>
      <c r="B909" s="6" t="str">
        <f>IFERROR(__xludf.DUMMYFUNCTION("""COMPUTED_VALUE"""),"Chile")</f>
        <v>Chile</v>
      </c>
      <c r="C909" s="6" t="str">
        <f>IFERROR(__xludf.DUMMYFUNCTION("""COMPUTED_VALUE"""),"Software Factory / Staffing")</f>
        <v>Software Factory / Staffing</v>
      </c>
    </row>
    <row r="910" hidden="1">
      <c r="A910" s="6" t="str">
        <f>IFERROR(__xludf.DUMMYFUNCTION("""COMPUTED_VALUE"""),"demicenter srl")</f>
        <v>demicenter srl</v>
      </c>
      <c r="B910" s="4"/>
      <c r="C910" s="4"/>
    </row>
    <row r="911" hidden="1">
      <c r="A911" s="6" t="str">
        <f>IFERROR(__xludf.DUMMYFUNCTION("""COMPUTED_VALUE"""),"matrice consulting")</f>
        <v>matrice consulting</v>
      </c>
      <c r="B911" s="6" t="str">
        <f>IFERROR(__xludf.DUMMYFUNCTION("""COMPUTED_VALUE"""),"Argentina")</f>
        <v>Argentina</v>
      </c>
      <c r="C911" s="6" t="str">
        <f>IFERROR(__xludf.DUMMYFUNCTION("""COMPUTED_VALUE"""),"Management Consulting")</f>
        <v>Management Consulting</v>
      </c>
    </row>
    <row r="912" hidden="1">
      <c r="A912" s="6" t="str">
        <f>IFERROR(__xludf.DUMMYFUNCTION("""COMPUTED_VALUE"""),"arwebs")</f>
        <v>arwebs</v>
      </c>
      <c r="B912" s="6" t="str">
        <f>IFERROR(__xludf.DUMMYFUNCTION("""COMPUTED_VALUE"""),"Argentina")</f>
        <v>Argentina</v>
      </c>
      <c r="C912" s="6" t="str">
        <f>IFERROR(__xludf.DUMMYFUNCTION("""COMPUTED_VALUE"""),"Marketing &amp; Advertising")</f>
        <v>Marketing &amp; Advertising</v>
      </c>
    </row>
    <row r="913" hidden="1">
      <c r="A913" s="6" t="str">
        <f>IFERROR(__xludf.DUMMYFUNCTION("""COMPUTED_VALUE"""),"international media consulting group sa")</f>
        <v>international media consulting group sa</v>
      </c>
      <c r="B913" s="6" t="str">
        <f>IFERROR(__xludf.DUMMYFUNCTION("""COMPUTED_VALUE"""),"Argentina")</f>
        <v>Argentina</v>
      </c>
      <c r="C913" s="6" t="str">
        <f>IFERROR(__xludf.DUMMYFUNCTION("""COMPUTED_VALUE"""),"Media &amp; Communication")</f>
        <v>Media &amp; Communication</v>
      </c>
    </row>
    <row r="914" hidden="1">
      <c r="A914" s="6" t="str">
        <f>IFERROR(__xludf.DUMMYFUNCTION("""COMPUTED_VALUE"""),"necodex")</f>
        <v>necodex</v>
      </c>
      <c r="B914" s="6" t="str">
        <f>IFERROR(__xludf.DUMMYFUNCTION("""COMPUTED_VALUE"""),"Estados Unidos")</f>
        <v>Estados Unidos</v>
      </c>
      <c r="C914" s="6" t="str">
        <f>IFERROR(__xludf.DUMMYFUNCTION("""COMPUTED_VALUE"""),"Software Factory / Staffing")</f>
        <v>Software Factory / Staffing</v>
      </c>
    </row>
    <row r="915" hidden="1">
      <c r="A915" s="6" t="str">
        <f>IFERROR(__xludf.DUMMYFUNCTION("""COMPUTED_VALUE"""),"fourtune")</f>
        <v>fourtune</v>
      </c>
      <c r="B915" s="6" t="str">
        <f>IFERROR(__xludf.DUMMYFUNCTION("""COMPUTED_VALUE"""),"Colombia")</f>
        <v>Colombia</v>
      </c>
      <c r="C915" s="6" t="str">
        <f>IFERROR(__xludf.DUMMYFUNCTION("""COMPUTED_VALUE"""),"Banking &amp; Financial Servicies")</f>
        <v>Banking &amp; Financial Servicies</v>
      </c>
    </row>
    <row r="916" hidden="1">
      <c r="A916" s="6" t="str">
        <f>IFERROR(__xludf.DUMMYFUNCTION("""COMPUTED_VALUE"""),"odea s.r.l.")</f>
        <v>odea s.r.l.</v>
      </c>
      <c r="B916" s="6" t="str">
        <f>IFERROR(__xludf.DUMMYFUNCTION("""COMPUTED_VALUE"""),"Argentina")</f>
        <v>Argentina</v>
      </c>
      <c r="C916" s="6" t="str">
        <f>IFERROR(__xludf.DUMMYFUNCTION("""COMPUTED_VALUE"""),"Software Factory / Staffing")</f>
        <v>Software Factory / Staffing</v>
      </c>
    </row>
    <row r="917" hidden="1">
      <c r="A917" s="6" t="str">
        <f>IFERROR(__xludf.DUMMYFUNCTION("""COMPUTED_VALUE"""),"taligent")</f>
        <v>taligent</v>
      </c>
      <c r="B917" s="6" t="str">
        <f>IFERROR(__xludf.DUMMYFUNCTION("""COMPUTED_VALUE"""),"Argentina")</f>
        <v>Argentina</v>
      </c>
      <c r="C917" s="6" t="str">
        <f>IFERROR(__xludf.DUMMYFUNCTION("""COMPUTED_VALUE"""),"Management Consulting")</f>
        <v>Management Consulting</v>
      </c>
    </row>
    <row r="918" hidden="1">
      <c r="A918" s="6" t="str">
        <f>IFERROR(__xludf.DUMMYFUNCTION("""COMPUTED_VALUE"""),"access informatica srl")</f>
        <v>access informatica srl</v>
      </c>
      <c r="B918" s="6" t="str">
        <f>IFERROR(__xludf.DUMMYFUNCTION("""COMPUTED_VALUE"""),"Argentina")</f>
        <v>Argentina</v>
      </c>
      <c r="C918" s="6" t="str">
        <f>IFERROR(__xludf.DUMMYFUNCTION("""COMPUTED_VALUE"""),"Other")</f>
        <v>Other</v>
      </c>
    </row>
    <row r="919" hidden="1">
      <c r="A919" s="6" t="str">
        <f>IFERROR(__xludf.DUMMYFUNCTION("""COMPUTED_VALUE"""),"meltstudio")</f>
        <v>meltstudio</v>
      </c>
      <c r="B919" s="6" t="str">
        <f>IFERROR(__xludf.DUMMYFUNCTION("""COMPUTED_VALUE"""),"Colombia")</f>
        <v>Colombia</v>
      </c>
      <c r="C919" s="6" t="str">
        <f>IFERROR(__xludf.DUMMYFUNCTION("""COMPUTED_VALUE"""),"SaaS")</f>
        <v>SaaS</v>
      </c>
    </row>
    <row r="920" hidden="1">
      <c r="A920" s="6" t="str">
        <f>IFERROR(__xludf.DUMMYFUNCTION("""COMPUTED_VALUE"""),"agroconsultas")</f>
        <v>agroconsultas</v>
      </c>
      <c r="B920" s="6" t="str">
        <f>IFERROR(__xludf.DUMMYFUNCTION("""COMPUTED_VALUE"""),"Argentina")</f>
        <v>Argentina</v>
      </c>
      <c r="C920" s="6" t="str">
        <f>IFERROR(__xludf.DUMMYFUNCTION("""COMPUTED_VALUE"""),"Agtech / Agro")</f>
        <v>Agtech / Agro</v>
      </c>
    </row>
    <row r="921" hidden="1">
      <c r="A921" s="6" t="str">
        <f>IFERROR(__xludf.DUMMYFUNCTION("""COMPUTED_VALUE"""),"nerdo solutions")</f>
        <v>nerdo solutions</v>
      </c>
      <c r="B921" s="6" t="str">
        <f>IFERROR(__xludf.DUMMYFUNCTION("""COMPUTED_VALUE"""),"Argentina")</f>
        <v>Argentina</v>
      </c>
      <c r="C921" s="6" t="str">
        <f>IFERROR(__xludf.DUMMYFUNCTION("""COMPUTED_VALUE"""),"Software Factory / Staffing")</f>
        <v>Software Factory / Staffing</v>
      </c>
    </row>
    <row r="922" hidden="1">
      <c r="A922" s="6" t="str">
        <f>IFERROR(__xludf.DUMMYFUNCTION("""COMPUTED_VALUE"""),"pluggy")</f>
        <v>pluggy</v>
      </c>
      <c r="B922" s="6" t="str">
        <f>IFERROR(__xludf.DUMMYFUNCTION("""COMPUTED_VALUE"""),"Brasil")</f>
        <v>Brasil</v>
      </c>
      <c r="C922" s="6" t="str">
        <f>IFERROR(__xludf.DUMMYFUNCTION("""COMPUTED_VALUE"""),"Software Factory / Staffing")</f>
        <v>Software Factory / Staffing</v>
      </c>
    </row>
    <row r="923" hidden="1">
      <c r="A923" s="6" t="str">
        <f>IFERROR(__xludf.DUMMYFUNCTION("""COMPUTED_VALUE"""),"alten")</f>
        <v>alten</v>
      </c>
      <c r="B923" s="6" t="str">
        <f>IFERROR(__xludf.DUMMYFUNCTION("""COMPUTED_VALUE"""),"Francia")</f>
        <v>Francia</v>
      </c>
      <c r="C923" s="6" t="str">
        <f>IFERROR(__xludf.DUMMYFUNCTION("""COMPUTED_VALUE"""),"Software Factory / Staffing")</f>
        <v>Software Factory / Staffing</v>
      </c>
    </row>
    <row r="924" hidden="1">
      <c r="A924" s="6" t="str">
        <f>IFERROR(__xludf.DUMMYFUNCTION("""COMPUTED_VALUE"""),"telefónica de argentina")</f>
        <v>telefónica de argentina</v>
      </c>
      <c r="B924" s="6" t="str">
        <f>IFERROR(__xludf.DUMMYFUNCTION("""COMPUTED_VALUE"""),"Argentina")</f>
        <v>Argentina</v>
      </c>
      <c r="C924" s="6" t="str">
        <f>IFERROR(__xludf.DUMMYFUNCTION("""COMPUTED_VALUE"""),"Messaging and Telecommunications")</f>
        <v>Messaging and Telecommunications</v>
      </c>
    </row>
    <row r="925" hidden="1">
      <c r="A925" s="6" t="str">
        <f>IFERROR(__xludf.DUMMYFUNCTION("""COMPUTED_VALUE"""),"thinkup")</f>
        <v>thinkup</v>
      </c>
      <c r="B925" s="6" t="str">
        <f>IFERROR(__xludf.DUMMYFUNCTION("""COMPUTED_VALUE"""),"Uruguay")</f>
        <v>Uruguay</v>
      </c>
      <c r="C925" s="6" t="str">
        <f>IFERROR(__xludf.DUMMYFUNCTION("""COMPUTED_VALUE"""),"Software Factory / Staffing")</f>
        <v>Software Factory / Staffing</v>
      </c>
    </row>
    <row r="926" hidden="1">
      <c r="A926" s="6" t="str">
        <f>IFERROR(__xludf.DUMMYFUNCTION("""COMPUTED_VALUE"""),"notimation")</f>
        <v>notimation</v>
      </c>
      <c r="B926" s="6" t="str">
        <f>IFERROR(__xludf.DUMMYFUNCTION("""COMPUTED_VALUE"""),"Argentina")</f>
        <v>Argentina</v>
      </c>
      <c r="C926" s="6" t="str">
        <f>IFERROR(__xludf.DUMMYFUNCTION("""COMPUTED_VALUE"""),"Messaging and Telecommunications")</f>
        <v>Messaging and Telecommunications</v>
      </c>
    </row>
    <row r="927" hidden="1">
      <c r="A927" s="6" t="str">
        <f>IFERROR(__xludf.DUMMYFUNCTION("""COMPUTED_VALUE"""),"yalutec")</f>
        <v>yalutec</v>
      </c>
      <c r="B927" s="6" t="str">
        <f>IFERROR(__xludf.DUMMYFUNCTION("""COMPUTED_VALUE"""),"Argentina")</f>
        <v>Argentina</v>
      </c>
      <c r="C927" s="6" t="str">
        <f>IFERROR(__xludf.DUMMYFUNCTION("""COMPUTED_VALUE"""),"Management Consulting")</f>
        <v>Management Consulting</v>
      </c>
    </row>
    <row r="928" hidden="1">
      <c r="A928" s="6" t="str">
        <f>IFERROR(__xludf.DUMMYFUNCTION("""COMPUTED_VALUE"""),"app solutions inc")</f>
        <v>app solutions inc</v>
      </c>
      <c r="B928" s="6" t="str">
        <f>IFERROR(__xludf.DUMMYFUNCTION("""COMPUTED_VALUE"""),"El salvador")</f>
        <v>El salvador</v>
      </c>
      <c r="C928" s="6" t="str">
        <f>IFERROR(__xludf.DUMMYFUNCTION("""COMPUTED_VALUE"""),"Software Factory / Staffing")</f>
        <v>Software Factory / Staffing</v>
      </c>
    </row>
    <row r="929">
      <c r="A929" s="6" t="str">
        <f>IFERROR(__xludf.DUMMYFUNCTION("""COMPUTED_VALUE"""),"flunt")</f>
        <v>flunt</v>
      </c>
      <c r="B929" s="6" t="str">
        <f>IFERROR(__xludf.DUMMYFUNCTION("""COMPUTED_VALUE"""),"Colombia")</f>
        <v>Colombia</v>
      </c>
      <c r="C929" s="6" t="str">
        <f>IFERROR(__xludf.DUMMYFUNCTION("""COMPUTED_VALUE"""),"Software Factory / Staffing")</f>
        <v>Software Factory / Staffing</v>
      </c>
    </row>
    <row r="930" hidden="1">
      <c r="A930" s="6" t="str">
        <f>IFERROR(__xludf.DUMMYFUNCTION("""COMPUTED_VALUE"""),"long lost friends inc (llf)")</f>
        <v>long lost friends inc (llf)</v>
      </c>
      <c r="B930" s="6" t="str">
        <f>IFERROR(__xludf.DUMMYFUNCTION("""COMPUTED_VALUE"""),"Estados Unidos")</f>
        <v>Estados Unidos</v>
      </c>
      <c r="C930" s="6" t="str">
        <f>IFERROR(__xludf.DUMMYFUNCTION("""COMPUTED_VALUE"""),"Media &amp; Communication")</f>
        <v>Media &amp; Communication</v>
      </c>
    </row>
    <row r="931" hidden="1">
      <c r="A931" s="6" t="str">
        <f>IFERROR(__xludf.DUMMYFUNCTION("""COMPUTED_VALUE"""),"nacion servicios")</f>
        <v>nacion servicios</v>
      </c>
      <c r="B931" s="6" t="str">
        <f>IFERROR(__xludf.DUMMYFUNCTION("""COMPUTED_VALUE"""),"Argentina")</f>
        <v>Argentina</v>
      </c>
      <c r="C931" s="6" t="str">
        <f>IFERROR(__xludf.DUMMYFUNCTION("""COMPUTED_VALUE"""),"Fintech")</f>
        <v>Fintech</v>
      </c>
    </row>
    <row r="932" hidden="1">
      <c r="A932" s="6" t="str">
        <f>IFERROR(__xludf.DUMMYFUNCTION("""COMPUTED_VALUE"""),"teruya &amp; sterling")</f>
        <v>teruya &amp; sterling</v>
      </c>
      <c r="B932" s="6" t="str">
        <f>IFERROR(__xludf.DUMMYFUNCTION("""COMPUTED_VALUE"""),"Estados Unidos")</f>
        <v>Estados Unidos</v>
      </c>
      <c r="C932" s="6" t="str">
        <f>IFERROR(__xludf.DUMMYFUNCTION("""COMPUTED_VALUE"""),"Law/Legal Services")</f>
        <v>Law/Legal Services</v>
      </c>
    </row>
    <row r="933" hidden="1">
      <c r="A933" s="6" t="str">
        <f>IFERROR(__xludf.DUMMYFUNCTION("""COMPUTED_VALUE"""),"alegra")</f>
        <v>alegra</v>
      </c>
      <c r="B933" s="6" t="str">
        <f>IFERROR(__xludf.DUMMYFUNCTION("""COMPUTED_VALUE"""),"Colombia")</f>
        <v>Colombia</v>
      </c>
      <c r="C933" s="6" t="str">
        <f>IFERROR(__xludf.DUMMYFUNCTION("""COMPUTED_VALUE"""),"SaaS")</f>
        <v>SaaS</v>
      </c>
    </row>
    <row r="934" hidden="1">
      <c r="A934" s="6" t="str">
        <f>IFERROR(__xludf.DUMMYFUNCTION("""COMPUTED_VALUE"""),"better technologies")</f>
        <v>better technologies</v>
      </c>
      <c r="B934" s="6" t="str">
        <f>IFERROR(__xludf.DUMMYFUNCTION("""COMPUTED_VALUE"""),"Argentina")</f>
        <v>Argentina</v>
      </c>
      <c r="C934" s="6" t="str">
        <f>IFERROR(__xludf.DUMMYFUNCTION("""COMPUTED_VALUE"""),"Software Factory / Staffing")</f>
        <v>Software Factory / Staffing</v>
      </c>
    </row>
    <row r="935" hidden="1">
      <c r="A935" s="6" t="str">
        <f>IFERROR(__xludf.DUMMYFUNCTION("""COMPUTED_VALUE"""),"awer reviews")</f>
        <v>awer reviews</v>
      </c>
      <c r="B935" s="6" t="str">
        <f>IFERROR(__xludf.DUMMYFUNCTION("""COMPUTED_VALUE"""),"Argentina")</f>
        <v>Argentina</v>
      </c>
      <c r="C935" s="6" t="str">
        <f>IFERROR(__xludf.DUMMYFUNCTION("""COMPUTED_VALUE"""),"Marketing &amp; Advertising")</f>
        <v>Marketing &amp; Advertising</v>
      </c>
    </row>
    <row r="936" hidden="1">
      <c r="A936" s="6" t="str">
        <f>IFERROR(__xludf.DUMMYFUNCTION("""COMPUTED_VALUE"""),"seti s.a.s")</f>
        <v>seti s.a.s</v>
      </c>
      <c r="B936" s="6" t="str">
        <f>IFERROR(__xludf.DUMMYFUNCTION("""COMPUTED_VALUE"""),"Colombia")</f>
        <v>Colombia</v>
      </c>
      <c r="C936" s="6" t="str">
        <f>IFERROR(__xludf.DUMMYFUNCTION("""COMPUTED_VALUE"""),"Software Factory / Staffing")</f>
        <v>Software Factory / Staffing</v>
      </c>
    </row>
    <row r="937" hidden="1">
      <c r="A937" s="6" t="str">
        <f>IFERROR(__xludf.DUMMYFUNCTION("""COMPUTED_VALUE"""),"xoolix")</f>
        <v>xoolix</v>
      </c>
      <c r="B937" s="6" t="str">
        <f>IFERROR(__xludf.DUMMYFUNCTION("""COMPUTED_VALUE"""),"Argentina")</f>
        <v>Argentina</v>
      </c>
      <c r="C937" s="6" t="str">
        <f>IFERROR(__xludf.DUMMYFUNCTION("""COMPUTED_VALUE"""),"Software Factory / Staffing")</f>
        <v>Software Factory / Staffing</v>
      </c>
    </row>
    <row r="938" hidden="1">
      <c r="A938" s="6" t="str">
        <f>IFERROR(__xludf.DUMMYFUNCTION("""COMPUTED_VALUE"""),"fombox llc")</f>
        <v>fombox llc</v>
      </c>
      <c r="B938" s="6" t="str">
        <f>IFERROR(__xludf.DUMMYFUNCTION("""COMPUTED_VALUE"""),"Estados Unidos")</f>
        <v>Estados Unidos</v>
      </c>
      <c r="C938" s="6" t="str">
        <f>IFERROR(__xludf.DUMMYFUNCTION("""COMPUTED_VALUE"""),"Banking &amp; Financial Servicies")</f>
        <v>Banking &amp; Financial Servicies</v>
      </c>
    </row>
    <row r="939" hidden="1">
      <c r="A939" s="6" t="str">
        <f>IFERROR(__xludf.DUMMYFUNCTION("""COMPUTED_VALUE"""),"deconcesionarias")</f>
        <v>deconcesionarias</v>
      </c>
      <c r="B939" s="6" t="str">
        <f>IFERROR(__xludf.DUMMYFUNCTION("""COMPUTED_VALUE"""),"Argentina")</f>
        <v>Argentina</v>
      </c>
      <c r="C939" s="6" t="str">
        <f>IFERROR(__xludf.DUMMYFUNCTION("""COMPUTED_VALUE"""),"Software Factory / Staffing")</f>
        <v>Software Factory / Staffing</v>
      </c>
    </row>
    <row r="940" hidden="1">
      <c r="A940" s="6" t="str">
        <f>IFERROR(__xludf.DUMMYFUNCTION("""COMPUTED_VALUE"""),"grupo tagle")</f>
        <v>grupo tagle</v>
      </c>
      <c r="B940" s="6" t="str">
        <f>IFERROR(__xludf.DUMMYFUNCTION("""COMPUTED_VALUE"""),"Argentina")</f>
        <v>Argentina</v>
      </c>
      <c r="C940" s="6" t="str">
        <f>IFERROR(__xludf.DUMMYFUNCTION("""COMPUTED_VALUE"""),"E-commerce")</f>
        <v>E-commerce</v>
      </c>
    </row>
    <row r="941" hidden="1">
      <c r="A941" s="6" t="str">
        <f>IFERROR(__xludf.DUMMYFUNCTION("""COMPUTED_VALUE"""),"bemaster")</f>
        <v>bemaster</v>
      </c>
      <c r="B941" s="6" t="str">
        <f>IFERROR(__xludf.DUMMYFUNCTION("""COMPUTED_VALUE"""),"Colombia")</f>
        <v>Colombia</v>
      </c>
      <c r="C941" s="6" t="str">
        <f>IFERROR(__xludf.DUMMYFUNCTION("""COMPUTED_VALUE"""),"Education &amp; Edtech")</f>
        <v>Education &amp; Edtech</v>
      </c>
    </row>
    <row r="942" hidden="1">
      <c r="A942" s="6" t="str">
        <f>IFERROR(__xludf.DUMMYFUNCTION("""COMPUTED_VALUE"""),"arzion")</f>
        <v>arzion</v>
      </c>
      <c r="B942" s="6" t="str">
        <f>IFERROR(__xludf.DUMMYFUNCTION("""COMPUTED_VALUE"""),"Argentina")</f>
        <v>Argentina</v>
      </c>
      <c r="C942" s="6" t="str">
        <f>IFERROR(__xludf.DUMMYFUNCTION("""COMPUTED_VALUE"""),"Software Factory / Staffing")</f>
        <v>Software Factory / Staffing</v>
      </c>
    </row>
    <row r="943" hidden="1">
      <c r="A943" s="6" t="str">
        <f>IFERROR(__xludf.DUMMYFUNCTION("""COMPUTED_VALUE"""),"aimonkey")</f>
        <v>aimonkey</v>
      </c>
      <c r="B943" s="6" t="str">
        <f>IFERROR(__xludf.DUMMYFUNCTION("""COMPUTED_VALUE"""),"Estados Unidos")</f>
        <v>Estados Unidos</v>
      </c>
      <c r="C943" s="6" t="str">
        <f>IFERROR(__xludf.DUMMYFUNCTION("""COMPUTED_VALUE"""),"Software Factory / Staffing")</f>
        <v>Software Factory / Staffing</v>
      </c>
    </row>
    <row r="944" hidden="1">
      <c r="A944" s="6" t="str">
        <f>IFERROR(__xludf.DUMMYFUNCTION("""COMPUTED_VALUE"""),"beat ride app colombia sas")</f>
        <v>beat ride app colombia sas</v>
      </c>
      <c r="B944" s="4"/>
      <c r="C944" s="4"/>
    </row>
    <row r="945" hidden="1">
      <c r="A945" s="6" t="str">
        <f>IFERROR(__xludf.DUMMYFUNCTION("""COMPUTED_VALUE"""),"it patagonia")</f>
        <v>it patagonia</v>
      </c>
      <c r="B945" s="6" t="str">
        <f>IFERROR(__xludf.DUMMYFUNCTION("""COMPUTED_VALUE"""),"Argentina")</f>
        <v>Argentina</v>
      </c>
      <c r="C945" s="6" t="str">
        <f>IFERROR(__xludf.DUMMYFUNCTION("""COMPUTED_VALUE"""),"Software Factory / Staffing")</f>
        <v>Software Factory / Staffing</v>
      </c>
    </row>
    <row r="946" hidden="1">
      <c r="A946" s="6" t="str">
        <f>IFERROR(__xludf.DUMMYFUNCTION("""COMPUTED_VALUE"""),"mimusa")</f>
        <v>mimusa</v>
      </c>
      <c r="B946" s="6" t="str">
        <f>IFERROR(__xludf.DUMMYFUNCTION("""COMPUTED_VALUE"""),"España")</f>
        <v>España</v>
      </c>
      <c r="C946" s="6" t="str">
        <f>IFERROR(__xludf.DUMMYFUNCTION("""COMPUTED_VALUE"""),"Software Factory / Staffing")</f>
        <v>Software Factory / Staffing</v>
      </c>
    </row>
    <row r="947" hidden="1">
      <c r="A947" s="6" t="str">
        <f>IFERROR(__xludf.DUMMYFUNCTION("""COMPUTED_VALUE"""),"ediciones talar sociedad de responsabilidad limitada")</f>
        <v>ediciones talar sociedad de responsabilidad limitada</v>
      </c>
      <c r="B947" s="6" t="str">
        <f>IFERROR(__xludf.DUMMYFUNCTION("""COMPUTED_VALUE"""),"Argentina")</f>
        <v>Argentina</v>
      </c>
      <c r="C947" s="6" t="str">
        <f>IFERROR(__xludf.DUMMYFUNCTION("""COMPUTED_VALUE"""),"Messaging and Telecommunications")</f>
        <v>Messaging and Telecommunications</v>
      </c>
    </row>
    <row r="948" hidden="1">
      <c r="A948" s="6" t="str">
        <f>IFERROR(__xludf.DUMMYFUNCTION("""COMPUTED_VALUE"""),"argentek")</f>
        <v>argentek</v>
      </c>
      <c r="B948" s="6" t="str">
        <f>IFERROR(__xludf.DUMMYFUNCTION("""COMPUTED_VALUE"""),"Estados Unidos")</f>
        <v>Estados Unidos</v>
      </c>
      <c r="C948" s="6" t="str">
        <f>IFERROR(__xludf.DUMMYFUNCTION("""COMPUTED_VALUE"""),"Other")</f>
        <v>Other</v>
      </c>
    </row>
    <row r="949" hidden="1">
      <c r="A949" s="6" t="str">
        <f>IFERROR(__xludf.DUMMYFUNCTION("""COMPUTED_VALUE"""),"kingconf")</f>
        <v>kingconf</v>
      </c>
      <c r="B949" s="6" t="str">
        <f>IFERROR(__xludf.DUMMYFUNCTION("""COMPUTED_VALUE"""),"Argentina")</f>
        <v>Argentina</v>
      </c>
      <c r="C949" s="6" t="str">
        <f>IFERROR(__xludf.DUMMYFUNCTION("""COMPUTED_VALUE"""),"Logistics")</f>
        <v>Logistics</v>
      </c>
    </row>
    <row r="950" hidden="1">
      <c r="A950" s="6" t="str">
        <f>IFERROR(__xludf.DUMMYFUNCTION("""COMPUTED_VALUE"""),"appconecte")</f>
        <v>appconecte</v>
      </c>
      <c r="B950" s="6" t="str">
        <f>IFERROR(__xludf.DUMMYFUNCTION("""COMPUTED_VALUE"""),"Mexico")</f>
        <v>Mexico</v>
      </c>
      <c r="C950" s="6" t="str">
        <f>IFERROR(__xludf.DUMMYFUNCTION("""COMPUTED_VALUE"""),"Software Factory / Staffing")</f>
        <v>Software Factory / Staffing</v>
      </c>
    </row>
    <row r="951" hidden="1">
      <c r="A951" s="6" t="str">
        <f>IFERROR(__xludf.DUMMYFUNCTION("""COMPUTED_VALUE"""),"jrc studio")</f>
        <v>jrc studio</v>
      </c>
      <c r="B951" s="6" t="str">
        <f>IFERROR(__xludf.DUMMYFUNCTION("""COMPUTED_VALUE"""),"Argentina")</f>
        <v>Argentina</v>
      </c>
      <c r="C951" s="6" t="str">
        <f>IFERROR(__xludf.DUMMYFUNCTION("""COMPUTED_VALUE"""),"Blockchain, Crypto &amp; NFT")</f>
        <v>Blockchain, Crypto &amp; NFT</v>
      </c>
    </row>
    <row r="952" hidden="1">
      <c r="A952" s="6" t="str">
        <f>IFERROR(__xludf.DUMMYFUNCTION("""COMPUTED_VALUE"""),"3dves")</f>
        <v>3dves</v>
      </c>
      <c r="B952" s="6" t="str">
        <f>IFERROR(__xludf.DUMMYFUNCTION("""COMPUTED_VALUE"""),"Estados Unidos")</f>
        <v>Estados Unidos</v>
      </c>
      <c r="C952" s="6" t="str">
        <f>IFERROR(__xludf.DUMMYFUNCTION("""COMPUTED_VALUE"""),"Software Factory / Staffing")</f>
        <v>Software Factory / Staffing</v>
      </c>
    </row>
    <row r="953" hidden="1">
      <c r="A953" s="6" t="str">
        <f>IFERROR(__xludf.DUMMYFUNCTION("""COMPUTED_VALUE"""),"quuack sa")</f>
        <v>quuack sa</v>
      </c>
      <c r="B953" s="6" t="str">
        <f>IFERROR(__xludf.DUMMYFUNCTION("""COMPUTED_VALUE"""),"Argentina")</f>
        <v>Argentina</v>
      </c>
      <c r="C953" s="6" t="str">
        <f>IFERROR(__xludf.DUMMYFUNCTION("""COMPUTED_VALUE"""),"Software Factory / Staffing")</f>
        <v>Software Factory / Staffing</v>
      </c>
    </row>
    <row r="954" hidden="1">
      <c r="A954" s="6" t="str">
        <f>IFERROR(__xludf.DUMMYFUNCTION("""COMPUTED_VALUE"""),"bastó")</f>
        <v>bastó</v>
      </c>
      <c r="B954" s="6" t="str">
        <f>IFERROR(__xludf.DUMMYFUNCTION("""COMPUTED_VALUE"""),"Argentina")</f>
        <v>Argentina</v>
      </c>
      <c r="C954" s="6" t="str">
        <f>IFERROR(__xludf.DUMMYFUNCTION("""COMPUTED_VALUE"""),"Agtech / Agro")</f>
        <v>Agtech / Agro</v>
      </c>
    </row>
    <row r="955" hidden="1">
      <c r="A955" s="6" t="str">
        <f>IFERROR(__xludf.DUMMYFUNCTION("""COMPUTED_VALUE"""),"aid for aids ")</f>
        <v>aid for aids </v>
      </c>
      <c r="B955" s="6" t="str">
        <f>IFERROR(__xludf.DUMMYFUNCTION("""COMPUTED_VALUE"""),"Estados Unidos")</f>
        <v>Estados Unidos</v>
      </c>
      <c r="C955" s="6" t="str">
        <f>IFERROR(__xludf.DUMMYFUNCTION("""COMPUTED_VALUE"""),"Other")</f>
        <v>Other</v>
      </c>
    </row>
    <row r="956" hidden="1">
      <c r="A956" s="6" t="str">
        <f>IFERROR(__xludf.DUMMYFUNCTION("""COMPUTED_VALUE"""),"zignaly")</f>
        <v>zignaly</v>
      </c>
      <c r="B956" s="6" t="str">
        <f>IFERROR(__xludf.DUMMYFUNCTION("""COMPUTED_VALUE"""),"Singapur")</f>
        <v>Singapur</v>
      </c>
      <c r="C956" s="6" t="str">
        <f>IFERROR(__xludf.DUMMYFUNCTION("""COMPUTED_VALUE"""),"Blockchain, Crypto &amp; NFT")</f>
        <v>Blockchain, Crypto &amp; NFT</v>
      </c>
    </row>
    <row r="957" hidden="1">
      <c r="A957" s="6" t="str">
        <f>IFERROR(__xludf.DUMMYFUNCTION("""COMPUTED_VALUE"""),"top staff")</f>
        <v>top staff</v>
      </c>
      <c r="B957" s="6" t="str">
        <f>IFERROR(__xludf.DUMMYFUNCTION("""COMPUTED_VALUE"""),"Panama")</f>
        <v>Panama</v>
      </c>
      <c r="C957" s="6" t="str">
        <f>IFERROR(__xludf.DUMMYFUNCTION("""COMPUTED_VALUE"""),"Software Factory / Staffing")</f>
        <v>Software Factory / Staffing</v>
      </c>
    </row>
    <row r="958" hidden="1">
      <c r="A958" s="6" t="str">
        <f>IFERROR(__xludf.DUMMYFUNCTION("""COMPUTED_VALUE"""),"tyk")</f>
        <v>tyk</v>
      </c>
      <c r="B958" s="6" t="str">
        <f>IFERROR(__xludf.DUMMYFUNCTION("""COMPUTED_VALUE"""),"Inglaterra")</f>
        <v>Inglaterra</v>
      </c>
      <c r="C958" s="6" t="str">
        <f>IFERROR(__xludf.DUMMYFUNCTION("""COMPUTED_VALUE"""),"Software Factory / Staffing")</f>
        <v>Software Factory / Staffing</v>
      </c>
    </row>
    <row r="959" hidden="1">
      <c r="A959" s="6" t="str">
        <f>IFERROR(__xludf.DUMMYFUNCTION("""COMPUTED_VALUE"""),"sovos")</f>
        <v>sovos</v>
      </c>
      <c r="B959" s="6" t="str">
        <f>IFERROR(__xludf.DUMMYFUNCTION("""COMPUTED_VALUE"""),"Estados Unidos")</f>
        <v>Estados Unidos</v>
      </c>
      <c r="C959" s="6" t="str">
        <f>IFERROR(__xludf.DUMMYFUNCTION("""COMPUTED_VALUE"""),"Software Factory / Staffing")</f>
        <v>Software Factory / Staffing</v>
      </c>
    </row>
    <row r="960" hidden="1">
      <c r="A960" s="6" t="str">
        <f>IFERROR(__xludf.DUMMYFUNCTION("""COMPUTED_VALUE"""),"subtrama estudio srl")</f>
        <v>subtrama estudio srl</v>
      </c>
      <c r="B960" s="6" t="str">
        <f>IFERROR(__xludf.DUMMYFUNCTION("""COMPUTED_VALUE"""),"Argentina")</f>
        <v>Argentina</v>
      </c>
      <c r="C960" s="6" t="str">
        <f>IFERROR(__xludf.DUMMYFUNCTION("""COMPUTED_VALUE"""),"Media &amp; Communication")</f>
        <v>Media &amp; Communication</v>
      </c>
    </row>
    <row r="961" hidden="1">
      <c r="A961" s="6" t="str">
        <f>IFERROR(__xludf.DUMMYFUNCTION("""COMPUTED_VALUE"""),"teravision technologies")</f>
        <v>teravision technologies</v>
      </c>
      <c r="B961" s="6" t="str">
        <f>IFERROR(__xludf.DUMMYFUNCTION("""COMPUTED_VALUE"""),"Estados Unidos")</f>
        <v>Estados Unidos</v>
      </c>
      <c r="C961" s="6" t="str">
        <f>IFERROR(__xludf.DUMMYFUNCTION("""COMPUTED_VALUE"""),"Software Factory / Staffing")</f>
        <v>Software Factory / Staffing</v>
      </c>
    </row>
    <row r="962" hidden="1">
      <c r="A962" s="6" t="str">
        <f>IFERROR(__xludf.DUMMYFUNCTION("""COMPUTED_VALUE"""),"algoritmo taller creativo")</f>
        <v>algoritmo taller creativo</v>
      </c>
      <c r="B962" s="4"/>
      <c r="C962" s="4"/>
    </row>
    <row r="963" hidden="1">
      <c r="A963" s="6" t="str">
        <f>IFERROR(__xludf.DUMMYFUNCTION("""COMPUTED_VALUE"""),"rebill")</f>
        <v>rebill</v>
      </c>
      <c r="B963" s="6" t="str">
        <f>IFERROR(__xludf.DUMMYFUNCTION("""COMPUTED_VALUE"""),"Argentina")</f>
        <v>Argentina</v>
      </c>
      <c r="C963" s="6" t="str">
        <f>IFERROR(__xludf.DUMMYFUNCTION("""COMPUTED_VALUE"""),"Banking &amp; Financial Servicies")</f>
        <v>Banking &amp; Financial Servicies</v>
      </c>
    </row>
    <row r="964" hidden="1">
      <c r="A964" s="6" t="str">
        <f>IFERROR(__xludf.DUMMYFUNCTION("""COMPUTED_VALUE"""),"shokworks, inc.")</f>
        <v>shokworks, inc.</v>
      </c>
      <c r="B964" s="6" t="str">
        <f>IFERROR(__xludf.DUMMYFUNCTION("""COMPUTED_VALUE"""),"Estados Unidos")</f>
        <v>Estados Unidos</v>
      </c>
      <c r="C964" s="6" t="str">
        <f>IFERROR(__xludf.DUMMYFUNCTION("""COMPUTED_VALUE"""),"Software Factory / Staffing")</f>
        <v>Software Factory / Staffing</v>
      </c>
    </row>
    <row r="965" hidden="1">
      <c r="A965" s="6" t="str">
        <f>IFERROR(__xludf.DUMMYFUNCTION("""COMPUTED_VALUE"""),"kenjo")</f>
        <v>kenjo</v>
      </c>
      <c r="B965" s="6" t="str">
        <f>IFERROR(__xludf.DUMMYFUNCTION("""COMPUTED_VALUE"""),"Alemania")</f>
        <v>Alemania</v>
      </c>
      <c r="C965" s="6" t="str">
        <f>IFERROR(__xludf.DUMMYFUNCTION("""COMPUTED_VALUE"""),"Human Resources")</f>
        <v>Human Resources</v>
      </c>
    </row>
    <row r="966" hidden="1">
      <c r="A966" s="6" t="str">
        <f>IFERROR(__xludf.DUMMYFUNCTION("""COMPUTED_VALUE"""),"emilan")</f>
        <v>emilan</v>
      </c>
      <c r="B966" s="6" t="str">
        <f>IFERROR(__xludf.DUMMYFUNCTION("""COMPUTED_VALUE"""),"Estados Unidos")</f>
        <v>Estados Unidos</v>
      </c>
      <c r="C966" s="6" t="str">
        <f>IFERROR(__xludf.DUMMYFUNCTION("""COMPUTED_VALUE"""),"FMCG / Consumo masivo")</f>
        <v>FMCG / Consumo masivo</v>
      </c>
    </row>
    <row r="967" hidden="1">
      <c r="A967" s="6" t="str">
        <f>IFERROR(__xludf.DUMMYFUNCTION("""COMPUTED_VALUE"""),"eastman")</f>
        <v>eastman</v>
      </c>
      <c r="B967" s="6" t="str">
        <f>IFERROR(__xludf.DUMMYFUNCTION("""COMPUTED_VALUE"""),"Estados Unidos")</f>
        <v>Estados Unidos</v>
      </c>
      <c r="C967" s="6" t="str">
        <f>IFERROR(__xludf.DUMMYFUNCTION("""COMPUTED_VALUE"""),"Other")</f>
        <v>Other</v>
      </c>
    </row>
    <row r="968" hidden="1">
      <c r="A968" s="6" t="str">
        <f>IFERROR(__xludf.DUMMYFUNCTION("""COMPUTED_VALUE"""),"academia numen")</f>
        <v>academia numen</v>
      </c>
      <c r="B968" s="6" t="str">
        <f>IFERROR(__xludf.DUMMYFUNCTION("""COMPUTED_VALUE"""),"Argentina")</f>
        <v>Argentina</v>
      </c>
      <c r="C968" s="6" t="str">
        <f>IFERROR(__xludf.DUMMYFUNCTION("""COMPUTED_VALUE"""),"Education &amp; Edtech")</f>
        <v>Education &amp; Edtech</v>
      </c>
    </row>
    <row r="969" hidden="1">
      <c r="A969" s="6" t="str">
        <f>IFERROR(__xludf.DUMMYFUNCTION("""COMPUTED_VALUE"""),"valtech digital s.a.")</f>
        <v>valtech digital s.a.</v>
      </c>
      <c r="B969" s="6" t="str">
        <f>IFERROR(__xludf.DUMMYFUNCTION("""COMPUTED_VALUE"""),"Alemania")</f>
        <v>Alemania</v>
      </c>
      <c r="C969" s="6" t="str">
        <f>IFERROR(__xludf.DUMMYFUNCTION("""COMPUTED_VALUE"""),"Marketing &amp; Advertising")</f>
        <v>Marketing &amp; Advertising</v>
      </c>
    </row>
    <row r="970" hidden="1">
      <c r="A970" s="6" t="str">
        <f>IFERROR(__xludf.DUMMYFUNCTION("""COMPUTED_VALUE"""),"mexamerik")</f>
        <v>mexamerik</v>
      </c>
      <c r="B970" s="6" t="str">
        <f>IFERROR(__xludf.DUMMYFUNCTION("""COMPUTED_VALUE"""),"mexico")</f>
        <v>mexico</v>
      </c>
      <c r="C970" s="6" t="str">
        <f>IFERROR(__xludf.DUMMYFUNCTION("""COMPUTED_VALUE"""),"Other")</f>
        <v>Other</v>
      </c>
    </row>
    <row r="971" hidden="1">
      <c r="A971" s="6" t="str">
        <f>IFERROR(__xludf.DUMMYFUNCTION("""COMPUTED_VALUE"""),"value or waste")</f>
        <v>value or waste</v>
      </c>
      <c r="B971" s="6" t="str">
        <f>IFERROR(__xludf.DUMMYFUNCTION("""COMPUTED_VALUE"""),"Argentina")</f>
        <v>Argentina</v>
      </c>
      <c r="C971" s="6" t="str">
        <f>IFERROR(__xludf.DUMMYFUNCTION("""COMPUTED_VALUE"""),"Management Consulting")</f>
        <v>Management Consulting</v>
      </c>
    </row>
    <row r="972" hidden="1">
      <c r="A972" s="6" t="str">
        <f>IFERROR(__xludf.DUMMYFUNCTION("""COMPUTED_VALUE"""),"motivy s.a.s")</f>
        <v>motivy s.a.s</v>
      </c>
      <c r="B972" s="6" t="str">
        <f>IFERROR(__xludf.DUMMYFUNCTION("""COMPUTED_VALUE"""),"Estados Unidos")</f>
        <v>Estados Unidos</v>
      </c>
      <c r="C972" s="6" t="str">
        <f>IFERROR(__xludf.DUMMYFUNCTION("""COMPUTED_VALUE"""),"Software Factory / Staffing")</f>
        <v>Software Factory / Staffing</v>
      </c>
    </row>
    <row r="973" hidden="1">
      <c r="A973" s="6" t="str">
        <f>IFERROR(__xludf.DUMMYFUNCTION("""COMPUTED_VALUE"""),"ministerio de salud publica de corrientes")</f>
        <v>ministerio de salud publica de corrientes</v>
      </c>
      <c r="B973" s="6" t="str">
        <f>IFERROR(__xludf.DUMMYFUNCTION("""COMPUTED_VALUE"""),"Argentina")</f>
        <v>Argentina</v>
      </c>
      <c r="C973" s="6" t="str">
        <f>IFERROR(__xludf.DUMMYFUNCTION("""COMPUTED_VALUE"""),"Public Center")</f>
        <v>Public Center</v>
      </c>
    </row>
    <row r="974" hidden="1">
      <c r="A974" s="6" t="str">
        <f>IFERROR(__xludf.DUMMYFUNCTION("""COMPUTED_VALUE"""),"medical minds")</f>
        <v>medical minds</v>
      </c>
      <c r="B974" s="6" t="str">
        <f>IFERROR(__xludf.DUMMYFUNCTION("""COMPUTED_VALUE"""),"Suiza")</f>
        <v>Suiza</v>
      </c>
      <c r="C974" s="6" t="str">
        <f>IFERROR(__xludf.DUMMYFUNCTION("""COMPUTED_VALUE"""),"Health")</f>
        <v>Health</v>
      </c>
    </row>
    <row r="975" hidden="1">
      <c r="A975" s="6" t="str">
        <f>IFERROR(__xludf.DUMMYFUNCTION("""COMPUTED_VALUE"""),"loveat")</f>
        <v>loveat</v>
      </c>
      <c r="B975" s="6" t="str">
        <f>IFERROR(__xludf.DUMMYFUNCTION("""COMPUTED_VALUE"""),"Argentina")</f>
        <v>Argentina</v>
      </c>
      <c r="C975" s="6" t="str">
        <f>IFERROR(__xludf.DUMMYFUNCTION("""COMPUTED_VALUE"""),"Software Factory / Staffing")</f>
        <v>Software Factory / Staffing</v>
      </c>
    </row>
    <row r="976" hidden="1">
      <c r="A976" s="7" t="str">
        <f>IFERROR(__xludf.DUMMYFUNCTION("""COMPUTED_VALUE"""),"habits.ai")</f>
        <v>habits.ai</v>
      </c>
      <c r="B976" s="6" t="str">
        <f>IFERROR(__xludf.DUMMYFUNCTION("""COMPUTED_VALUE"""),"Mexico")</f>
        <v>Mexico</v>
      </c>
      <c r="C976" s="6" t="str">
        <f>IFERROR(__xludf.DUMMYFUNCTION("""COMPUTED_VALUE"""),"Health")</f>
        <v>Health</v>
      </c>
    </row>
    <row r="977" hidden="1">
      <c r="A977" s="6" t="str">
        <f>IFERROR(__xludf.DUMMYFUNCTION("""COMPUTED_VALUE"""),"vow")</f>
        <v>vow</v>
      </c>
      <c r="B977" s="6" t="str">
        <f>IFERROR(__xludf.DUMMYFUNCTION("""COMPUTED_VALUE"""),"Australia")</f>
        <v>Australia</v>
      </c>
      <c r="C977" s="6" t="str">
        <f>IFERROR(__xludf.DUMMYFUNCTION("""COMPUTED_VALUE"""),"Biotechnology")</f>
        <v>Biotechnology</v>
      </c>
    </row>
    <row r="978" hidden="1">
      <c r="A978" s="6" t="str">
        <f>IFERROR(__xludf.DUMMYFUNCTION("""COMPUTED_VALUE"""),"ngo")</f>
        <v>ngo</v>
      </c>
      <c r="B978" s="6" t="str">
        <f>IFERROR(__xludf.DUMMYFUNCTION("""COMPUTED_VALUE"""),"India")</f>
        <v>India</v>
      </c>
      <c r="C978" s="6" t="str">
        <f>IFERROR(__xludf.DUMMYFUNCTION("""COMPUTED_VALUE"""),"Other")</f>
        <v>Other</v>
      </c>
    </row>
    <row r="979" hidden="1">
      <c r="A979" s="6" t="str">
        <f>IFERROR(__xludf.DUMMYFUNCTION("""COMPUTED_VALUE"""),"quarks alchemist")</f>
        <v>quarks alchemist</v>
      </c>
      <c r="B979" s="6" t="str">
        <f>IFERROR(__xludf.DUMMYFUNCTION("""COMPUTED_VALUE"""),"Argentina")</f>
        <v>Argentina</v>
      </c>
      <c r="C979" s="6" t="str">
        <f>IFERROR(__xludf.DUMMYFUNCTION("""COMPUTED_VALUE"""),"Management Consulting")</f>
        <v>Management Consulting</v>
      </c>
    </row>
    <row r="980" hidden="1">
      <c r="A980" s="6" t="str">
        <f>IFERROR(__xludf.DUMMYFUNCTION("""COMPUTED_VALUE"""),"afa colombia")</f>
        <v>afa colombia</v>
      </c>
      <c r="B980" s="6" t="str">
        <f>IFERROR(__xludf.DUMMYFUNCTION("""COMPUTED_VALUE"""),"España")</f>
        <v>España</v>
      </c>
      <c r="C980" s="6" t="str">
        <f>IFERROR(__xludf.DUMMYFUNCTION("""COMPUTED_VALUE"""),"Education &amp; Edtech")</f>
        <v>Education &amp; Edtech</v>
      </c>
    </row>
    <row r="981" hidden="1">
      <c r="A981" s="6" t="str">
        <f>IFERROR(__xludf.DUMMYFUNCTION("""COMPUTED_VALUE"""),"intelli next")</f>
        <v>intelli next</v>
      </c>
      <c r="B981" s="6" t="str">
        <f>IFERROR(__xludf.DUMMYFUNCTION("""COMPUTED_VALUE"""),"Estados Unidos")</f>
        <v>Estados Unidos</v>
      </c>
      <c r="C981" s="6" t="str">
        <f>IFERROR(__xludf.DUMMYFUNCTION("""COMPUTED_VALUE"""),"Software Factory / Staffing")</f>
        <v>Software Factory / Staffing</v>
      </c>
    </row>
    <row r="982" hidden="1">
      <c r="A982" s="6" t="str">
        <f>IFERROR(__xludf.DUMMYFUNCTION("""COMPUTED_VALUE"""),"instituto zaldivar")</f>
        <v>instituto zaldivar</v>
      </c>
      <c r="B982" s="6" t="str">
        <f>IFERROR(__xludf.DUMMYFUNCTION("""COMPUTED_VALUE"""),"Argentina")</f>
        <v>Argentina</v>
      </c>
      <c r="C982" s="6" t="str">
        <f>IFERROR(__xludf.DUMMYFUNCTION("""COMPUTED_VALUE"""),"Health")</f>
        <v>Health</v>
      </c>
    </row>
    <row r="983">
      <c r="A983" s="6" t="str">
        <f>IFERROR(__xludf.DUMMYFUNCTION("""COMPUTED_VALUE"""),"top group")</f>
        <v>top group</v>
      </c>
      <c r="B983" s="6" t="str">
        <f>IFERROR(__xludf.DUMMYFUNCTION("""COMPUTED_VALUE"""),"Colombia")</f>
        <v>Colombia</v>
      </c>
      <c r="C983" s="6" t="str">
        <f>IFERROR(__xludf.DUMMYFUNCTION("""COMPUTED_VALUE"""),"Management Consulting")</f>
        <v>Management Consulting</v>
      </c>
    </row>
    <row r="984" hidden="1">
      <c r="A984" s="6" t="str">
        <f>IFERROR(__xludf.DUMMYFUNCTION("""COMPUTED_VALUE"""),"ministerio de hacienda y finanzas de la provincia de buenos aires")</f>
        <v>ministerio de hacienda y finanzas de la provincia de buenos aires</v>
      </c>
      <c r="B984" s="6" t="str">
        <f>IFERROR(__xludf.DUMMYFUNCTION("""COMPUTED_VALUE"""),"Argentina")</f>
        <v>Argentina</v>
      </c>
      <c r="C984" s="6" t="str">
        <f>IFERROR(__xludf.DUMMYFUNCTION("""COMPUTED_VALUE"""),"Public Center")</f>
        <v>Public Center</v>
      </c>
    </row>
    <row r="985" hidden="1">
      <c r="A985" s="6" t="str">
        <f>IFERROR(__xludf.DUMMYFUNCTION("""COMPUTED_VALUE"""),"beclever")</f>
        <v>beclever</v>
      </c>
      <c r="B985" s="6" t="str">
        <f>IFERROR(__xludf.DUMMYFUNCTION("""COMPUTED_VALUE"""),"Argentina")</f>
        <v>Argentina</v>
      </c>
      <c r="C985" s="6" t="str">
        <f>IFERROR(__xludf.DUMMYFUNCTION("""COMPUTED_VALUE"""),"Software Factory / Staffing")</f>
        <v>Software Factory / Staffing</v>
      </c>
    </row>
    <row r="986" hidden="1">
      <c r="A986" s="6" t="str">
        <f>IFERROR(__xludf.DUMMYFUNCTION("""COMPUTED_VALUE"""),"newbit crew")</f>
        <v>newbit crew</v>
      </c>
      <c r="B986" s="6" t="str">
        <f>IFERROR(__xludf.DUMMYFUNCTION("""COMPUTED_VALUE"""),"Argentina")</f>
        <v>Argentina</v>
      </c>
      <c r="C986" s="6" t="str">
        <f>IFERROR(__xludf.DUMMYFUNCTION("""COMPUTED_VALUE"""),"Software Factory / Staffing")</f>
        <v>Software Factory / Staffing</v>
      </c>
    </row>
    <row r="987" hidden="1">
      <c r="A987" s="6" t="str">
        <f>IFERROR(__xludf.DUMMYFUNCTION("""COMPUTED_VALUE"""),"wadiah capital")</f>
        <v>wadiah capital</v>
      </c>
      <c r="B987" s="6" t="str">
        <f>IFERROR(__xludf.DUMMYFUNCTION("""COMPUTED_VALUE"""),"Suiza")</f>
        <v>Suiza</v>
      </c>
      <c r="C987" s="6" t="str">
        <f>IFERROR(__xludf.DUMMYFUNCTION("""COMPUTED_VALUE"""),"Banking &amp; Financial Servicies")</f>
        <v>Banking &amp; Financial Servicies</v>
      </c>
    </row>
    <row r="988" hidden="1">
      <c r="A988" s="6" t="str">
        <f>IFERROR(__xludf.DUMMYFUNCTION("""COMPUTED_VALUE"""),"innevo")</f>
        <v>innevo</v>
      </c>
      <c r="B988" s="6" t="str">
        <f>IFERROR(__xludf.DUMMYFUNCTION("""COMPUTED_VALUE"""),"Chile")</f>
        <v>Chile</v>
      </c>
      <c r="C988" s="6" t="str">
        <f>IFERROR(__xludf.DUMMYFUNCTION("""COMPUTED_VALUE"""),"Management Consulting")</f>
        <v>Management Consulting</v>
      </c>
    </row>
    <row r="989" hidden="1">
      <c r="A989" s="6" t="str">
        <f>IFERROR(__xludf.DUMMYFUNCTION("""COMPUTED_VALUE"""),"spot health")</f>
        <v>spot health</v>
      </c>
      <c r="B989" s="6" t="str">
        <f>IFERROR(__xludf.DUMMYFUNCTION("""COMPUTED_VALUE"""),"Estados Unidos")</f>
        <v>Estados Unidos</v>
      </c>
      <c r="C989" s="6" t="str">
        <f>IFERROR(__xludf.DUMMYFUNCTION("""COMPUTED_VALUE"""),"Health")</f>
        <v>Health</v>
      </c>
    </row>
    <row r="990" hidden="1">
      <c r="A990" s="6" t="str">
        <f>IFERROR(__xludf.DUMMYFUNCTION("""COMPUTED_VALUE"""),"otro")</f>
        <v>otro</v>
      </c>
      <c r="B990" s="6" t="str">
        <f>IFERROR(__xludf.DUMMYFUNCTION("""COMPUTED_VALUE"""),"Inglaterra")</f>
        <v>Inglaterra</v>
      </c>
      <c r="C990" s="6" t="str">
        <f>IFERROR(__xludf.DUMMYFUNCTION("""COMPUTED_VALUE"""),"Media &amp; Communication")</f>
        <v>Media &amp; Communication</v>
      </c>
    </row>
    <row r="991" hidden="1">
      <c r="A991" s="6" t="str">
        <f>IFERROR(__xludf.DUMMYFUNCTION("""COMPUTED_VALUE"""),"ahijuna")</f>
        <v>ahijuna</v>
      </c>
      <c r="B991" s="6" t="str">
        <f>IFERROR(__xludf.DUMMYFUNCTION("""COMPUTED_VALUE"""),"Bolivia")</f>
        <v>Bolivia</v>
      </c>
      <c r="C991" s="6" t="str">
        <f>IFERROR(__xludf.DUMMYFUNCTION("""COMPUTED_VALUE"""),"Management Consulting")</f>
        <v>Management Consulting</v>
      </c>
    </row>
    <row r="992" hidden="1">
      <c r="A992" s="6" t="str">
        <f>IFERROR(__xludf.DUMMYFUNCTION("""COMPUTED_VALUE"""),"maxion montich sa")</f>
        <v>maxion montich sa</v>
      </c>
      <c r="B992" s="6" t="str">
        <f>IFERROR(__xludf.DUMMYFUNCTION("""COMPUTED_VALUE"""),"Argentina")</f>
        <v>Argentina</v>
      </c>
      <c r="C992" s="6" t="str">
        <f>IFERROR(__xludf.DUMMYFUNCTION("""COMPUTED_VALUE"""),"Mechanical/Industrial Engineering")</f>
        <v>Mechanical/Industrial Engineering</v>
      </c>
    </row>
    <row r="993" hidden="1">
      <c r="A993" s="6" t="str">
        <f>IFERROR(__xludf.DUMMYFUNCTION("""COMPUTED_VALUE"""),"bigsur")</f>
        <v>bigsur</v>
      </c>
      <c r="B993" s="6" t="str">
        <f>IFERROR(__xludf.DUMMYFUNCTION("""COMPUTED_VALUE"""),"Argentina")</f>
        <v>Argentina</v>
      </c>
      <c r="C993" s="6" t="str">
        <f>IFERROR(__xludf.DUMMYFUNCTION("""COMPUTED_VALUE"""),"Media &amp; Communication")</f>
        <v>Media &amp; Communication</v>
      </c>
    </row>
    <row r="994" hidden="1">
      <c r="A994" s="6" t="str">
        <f>IFERROR(__xludf.DUMMYFUNCTION("""COMPUTED_VALUE"""),"sistemas computables")</f>
        <v>sistemas computables</v>
      </c>
      <c r="B994" s="6" t="str">
        <f>IFERROR(__xludf.DUMMYFUNCTION("""COMPUTED_VALUE"""),"Argentina")</f>
        <v>Argentina</v>
      </c>
      <c r="C994" s="6" t="str">
        <f>IFERROR(__xludf.DUMMYFUNCTION("""COMPUTED_VALUE"""),"Software Factory / Staffing")</f>
        <v>Software Factory / Staffing</v>
      </c>
    </row>
    <row r="995" hidden="1">
      <c r="A995" s="6" t="str">
        <f>IFERROR(__xludf.DUMMYFUNCTION("""COMPUTED_VALUE"""),"mikro")</f>
        <v>mikro</v>
      </c>
      <c r="B995" s="6" t="str">
        <f>IFERROR(__xludf.DUMMYFUNCTION("""COMPUTED_VALUE"""),"Argentina")</f>
        <v>Argentina</v>
      </c>
      <c r="C995" s="6" t="str">
        <f>IFERROR(__xludf.DUMMYFUNCTION("""COMPUTED_VALUE"""),"Management Consulting")</f>
        <v>Management Consulting</v>
      </c>
    </row>
    <row r="996" hidden="1">
      <c r="A996" s="6" t="str">
        <f>IFERROR(__xludf.DUMMYFUNCTION("""COMPUTED_VALUE"""),"entelgy")</f>
        <v>entelgy</v>
      </c>
      <c r="B996" s="6" t="str">
        <f>IFERROR(__xludf.DUMMYFUNCTION("""COMPUTED_VALUE"""),"España")</f>
        <v>España</v>
      </c>
      <c r="C996" s="6" t="str">
        <f>IFERROR(__xludf.DUMMYFUNCTION("""COMPUTED_VALUE"""),"Management Consulting")</f>
        <v>Management Consulting</v>
      </c>
    </row>
    <row r="997" hidden="1">
      <c r="A997" s="6" t="str">
        <f>IFERROR(__xludf.DUMMYFUNCTION("""COMPUTED_VALUE"""),"volt motors")</f>
        <v>volt motors</v>
      </c>
      <c r="B997" s="6" t="str">
        <f>IFERROR(__xludf.DUMMYFUNCTION("""COMPUTED_VALUE"""),"Argentina")</f>
        <v>Argentina</v>
      </c>
      <c r="C997" s="6" t="str">
        <f>IFERROR(__xludf.DUMMYFUNCTION("""COMPUTED_VALUE"""),"FMCG / Consumo masivo")</f>
        <v>FMCG / Consumo masivo</v>
      </c>
    </row>
    <row r="998">
      <c r="A998" s="6" t="str">
        <f>IFERROR(__xludf.DUMMYFUNCTION("""COMPUTED_VALUE"""),"dba inc")</f>
        <v>dba inc</v>
      </c>
      <c r="B998" s="6" t="str">
        <f>IFERROR(__xludf.DUMMYFUNCTION("""COMPUTED_VALUE"""),"Brasil")</f>
        <v>Brasil</v>
      </c>
      <c r="C998" s="6" t="str">
        <f>IFERROR(__xludf.DUMMYFUNCTION("""COMPUTED_VALUE"""),"Software Factory / Staffing")</f>
        <v>Software Factory / Staffing</v>
      </c>
    </row>
    <row r="999" hidden="1">
      <c r="A999" s="6" t="str">
        <f>IFERROR(__xludf.DUMMYFUNCTION("""COMPUTED_VALUE"""),"telecentro")</f>
        <v>telecentro</v>
      </c>
      <c r="B999" s="6" t="str">
        <f>IFERROR(__xludf.DUMMYFUNCTION("""COMPUTED_VALUE"""),"Argentina")</f>
        <v>Argentina</v>
      </c>
      <c r="C999" s="6" t="str">
        <f>IFERROR(__xludf.DUMMYFUNCTION("""COMPUTED_VALUE"""),"Messaging and Telecommunications")</f>
        <v>Messaging and Telecommunications</v>
      </c>
    </row>
    <row r="1000" hidden="1">
      <c r="A1000" s="6" t="str">
        <f>IFERROR(__xludf.DUMMYFUNCTION("""COMPUTED_VALUE"""),"optec llc")</f>
        <v>optec llc</v>
      </c>
      <c r="B1000" s="6" t="str">
        <f>IFERROR(__xludf.DUMMYFUNCTION("""COMPUTED_VALUE"""),"Estados Unidos")</f>
        <v>Estados Unidos</v>
      </c>
      <c r="C1000" s="6" t="str">
        <f>IFERROR(__xludf.DUMMYFUNCTION("""COMPUTED_VALUE"""),"Software Factory / Staffing")</f>
        <v>Software Factory / Staffing</v>
      </c>
    </row>
    <row r="1001" hidden="1">
      <c r="A1001" s="6" t="str">
        <f>IFERROR(__xludf.DUMMYFUNCTION("""COMPUTED_VALUE"""),"sales &amp; marketing global s.a.s.")</f>
        <v>sales &amp; marketing global s.a.s.</v>
      </c>
      <c r="B1001" s="6" t="str">
        <f>IFERROR(__xludf.DUMMYFUNCTION("""COMPUTED_VALUE"""),"Estados Unidos")</f>
        <v>Estados Unidos</v>
      </c>
      <c r="C1001" s="6" t="str">
        <f>IFERROR(__xludf.DUMMYFUNCTION("""COMPUTED_VALUE"""),"Marketing &amp; Advertising")</f>
        <v>Marketing &amp; Advertising</v>
      </c>
    </row>
    <row r="1002" hidden="1">
      <c r="A1002" s="6" t="str">
        <f>IFERROR(__xludf.DUMMYFUNCTION("""COMPUTED_VALUE"""),"3it")</f>
        <v>3it</v>
      </c>
      <c r="B1002" s="6" t="str">
        <f>IFERROR(__xludf.DUMMYFUNCTION("""COMPUTED_VALUE"""),"Chile")</f>
        <v>Chile</v>
      </c>
      <c r="C1002" s="6" t="str">
        <f>IFERROR(__xludf.DUMMYFUNCTION("""COMPUTED_VALUE"""),"Logistics")</f>
        <v>Logistics</v>
      </c>
    </row>
    <row r="1003" hidden="1">
      <c r="A1003" s="6" t="str">
        <f>IFERROR(__xludf.DUMMYFUNCTION("""COMPUTED_VALUE"""),"exolgan s.a.")</f>
        <v>exolgan s.a.</v>
      </c>
      <c r="B1003" s="6" t="str">
        <f>IFERROR(__xludf.DUMMYFUNCTION("""COMPUTED_VALUE"""),"Argentina")</f>
        <v>Argentina</v>
      </c>
      <c r="C1003" s="6" t="str">
        <f>IFERROR(__xludf.DUMMYFUNCTION("""COMPUTED_VALUE"""),"Logistics")</f>
        <v>Logistics</v>
      </c>
    </row>
    <row r="1004" hidden="1">
      <c r="A1004" s="6" t="str">
        <f>IFERROR(__xludf.DUMMYFUNCTION("""COMPUTED_VALUE"""),"mop")</f>
        <v>mop</v>
      </c>
      <c r="B1004" s="6" t="str">
        <f>IFERROR(__xludf.DUMMYFUNCTION("""COMPUTED_VALUE"""),"Francia")</f>
        <v>Francia</v>
      </c>
      <c r="C1004" s="6" t="str">
        <f>IFERROR(__xludf.DUMMYFUNCTION("""COMPUTED_VALUE"""),"Other")</f>
        <v>Other</v>
      </c>
    </row>
    <row r="1005" hidden="1">
      <c r="A1005" s="6" t="str">
        <f>IFERROR(__xludf.DUMMYFUNCTION("""COMPUTED_VALUE"""),"doorvel")</f>
        <v>doorvel</v>
      </c>
      <c r="B1005" s="6" t="str">
        <f>IFERROR(__xludf.DUMMYFUNCTION("""COMPUTED_VALUE"""),"Mexico")</f>
        <v>Mexico</v>
      </c>
      <c r="C1005" s="6" t="str">
        <f>IFERROR(__xludf.DUMMYFUNCTION("""COMPUTED_VALUE"""),"Software Factory / Staffing")</f>
        <v>Software Factory / Staffing</v>
      </c>
    </row>
    <row r="1006" hidden="1">
      <c r="A1006" s="6" t="str">
        <f>IFERROR(__xludf.DUMMYFUNCTION("""COMPUTED_VALUE"""),"decentraland")</f>
        <v>decentraland</v>
      </c>
      <c r="B1006" s="6" t="str">
        <f>IFERROR(__xludf.DUMMYFUNCTION("""COMPUTED_VALUE"""),"Estados Unidos")</f>
        <v>Estados Unidos</v>
      </c>
      <c r="C1006" s="6" t="str">
        <f>IFERROR(__xludf.DUMMYFUNCTION("""COMPUTED_VALUE"""),"Software Factory / Staffing")</f>
        <v>Software Factory / Staffing</v>
      </c>
    </row>
    <row r="1007" hidden="1">
      <c r="A1007" s="6" t="str">
        <f>IFERROR(__xludf.DUMMYFUNCTION("""COMPUTED_VALUE"""),"continuumhq")</f>
        <v>continuumhq</v>
      </c>
      <c r="B1007" s="6" t="str">
        <f>IFERROR(__xludf.DUMMYFUNCTION("""COMPUTED_VALUE"""),"Chile")</f>
        <v>Chile</v>
      </c>
      <c r="C1007" s="6" t="str">
        <f>IFERROR(__xludf.DUMMYFUNCTION("""COMPUTED_VALUE"""),"Management Consulting")</f>
        <v>Management Consulting</v>
      </c>
    </row>
    <row r="1008" hidden="1">
      <c r="A1008" s="6" t="str">
        <f>IFERROR(__xludf.DUMMYFUNCTION("""COMPUTED_VALUE"""),"open technologies s.a")</f>
        <v>open technologies s.a</v>
      </c>
      <c r="B1008" s="6" t="str">
        <f>IFERROR(__xludf.DUMMYFUNCTION("""COMPUTED_VALUE"""),"Argentina")</f>
        <v>Argentina</v>
      </c>
      <c r="C1008" s="6" t="str">
        <f>IFERROR(__xludf.DUMMYFUNCTION("""COMPUTED_VALUE"""),"Management Consulting")</f>
        <v>Management Consulting</v>
      </c>
    </row>
    <row r="1009" hidden="1">
      <c r="A1009" s="6" t="str">
        <f>IFERROR(__xludf.DUMMYFUNCTION("""COMPUTED_VALUE"""),"dooper")</f>
        <v>dooper</v>
      </c>
      <c r="B1009" s="6" t="str">
        <f>IFERROR(__xludf.DUMMYFUNCTION("""COMPUTED_VALUE"""),"Mexico")</f>
        <v>Mexico</v>
      </c>
      <c r="C1009" s="6" t="str">
        <f>IFERROR(__xludf.DUMMYFUNCTION("""COMPUTED_VALUE"""),"Software Factory / Staffing")</f>
        <v>Software Factory / Staffing</v>
      </c>
    </row>
    <row r="1010" hidden="1">
      <c r="A1010" s="6" t="str">
        <f>IFERROR(__xludf.DUMMYFUNCTION("""COMPUTED_VALUE"""),"easytechgreen")</f>
        <v>easytechgreen</v>
      </c>
      <c r="B1010" s="6" t="str">
        <f>IFERROR(__xludf.DUMMYFUNCTION("""COMPUTED_VALUE"""),"Argentina")</f>
        <v>Argentina</v>
      </c>
      <c r="C1010" s="6" t="str">
        <f>IFERROR(__xludf.DUMMYFUNCTION("""COMPUTED_VALUE"""),"Management Consulting")</f>
        <v>Management Consulting</v>
      </c>
    </row>
    <row r="1011" hidden="1">
      <c r="A1011" s="6" t="str">
        <f>IFERROR(__xludf.DUMMYFUNCTION("""COMPUTED_VALUE"""),"gen it")</f>
        <v>gen it</v>
      </c>
      <c r="B1011" s="6" t="str">
        <f>IFERROR(__xludf.DUMMYFUNCTION("""COMPUTED_VALUE"""),"Argentina")</f>
        <v>Argentina</v>
      </c>
      <c r="C1011" s="6" t="str">
        <f>IFERROR(__xludf.DUMMYFUNCTION("""COMPUTED_VALUE"""),"Management Consulting")</f>
        <v>Management Consulting</v>
      </c>
    </row>
    <row r="1012" hidden="1">
      <c r="A1012" s="6" t="str">
        <f>IFERROR(__xludf.DUMMYFUNCTION("""COMPUTED_VALUE"""),"sngular")</f>
        <v>sngular</v>
      </c>
      <c r="B1012" s="6" t="str">
        <f>IFERROR(__xludf.DUMMYFUNCTION("""COMPUTED_VALUE"""),"Estados Unidos")</f>
        <v>Estados Unidos</v>
      </c>
      <c r="C1012" s="6" t="str">
        <f>IFERROR(__xludf.DUMMYFUNCTION("""COMPUTED_VALUE"""),"Software Factory / Staffing")</f>
        <v>Software Factory / Staffing</v>
      </c>
    </row>
    <row r="1013" hidden="1">
      <c r="A1013" s="6" t="str">
        <f>IFERROR(__xludf.DUMMYFUNCTION("""COMPUTED_VALUE"""),"qwork")</f>
        <v>qwork</v>
      </c>
      <c r="B1013" s="6" t="str">
        <f>IFERROR(__xludf.DUMMYFUNCTION("""COMPUTED_VALUE"""),"Argentina")</f>
        <v>Argentina</v>
      </c>
      <c r="C1013" s="6" t="str">
        <f>IFERROR(__xludf.DUMMYFUNCTION("""COMPUTED_VALUE"""),"Marketing &amp; Advertising")</f>
        <v>Marketing &amp; Advertising</v>
      </c>
    </row>
    <row r="1014" hidden="1">
      <c r="A1014" s="6" t="str">
        <f>IFERROR(__xludf.DUMMYFUNCTION("""COMPUTED_VALUE"""),"4geeks academy")</f>
        <v>4geeks academy</v>
      </c>
      <c r="B1014" s="6" t="str">
        <f>IFERROR(__xludf.DUMMYFUNCTION("""COMPUTED_VALUE"""),"Estados Unidos")</f>
        <v>Estados Unidos</v>
      </c>
      <c r="C1014" s="6" t="str">
        <f>IFERROR(__xludf.DUMMYFUNCTION("""COMPUTED_VALUE"""),"Education &amp; Edtech")</f>
        <v>Education &amp; Edtech</v>
      </c>
    </row>
    <row r="1015" hidden="1">
      <c r="A1015" s="6" t="str">
        <f>IFERROR(__xludf.DUMMYFUNCTION("""COMPUTED_VALUE"""),"the rocket code")</f>
        <v>the rocket code</v>
      </c>
      <c r="B1015" s="6" t="str">
        <f>IFERROR(__xludf.DUMMYFUNCTION("""COMPUTED_VALUE"""),"Mexico")</f>
        <v>Mexico</v>
      </c>
      <c r="C1015" s="6" t="str">
        <f>IFERROR(__xludf.DUMMYFUNCTION("""COMPUTED_VALUE"""),"Software Factory / Staffing")</f>
        <v>Software Factory / Staffing</v>
      </c>
    </row>
    <row r="1016">
      <c r="A1016" s="6" t="str">
        <f>IFERROR(__xludf.DUMMYFUNCTION("""COMPUTED_VALUE"""),"efiempresa")</f>
        <v>efiempresa</v>
      </c>
      <c r="B1016" s="6" t="str">
        <f>IFERROR(__xludf.DUMMYFUNCTION("""COMPUTED_VALUE"""),"España")</f>
        <v>España</v>
      </c>
      <c r="C1016" s="6" t="str">
        <f>IFERROR(__xludf.DUMMYFUNCTION("""COMPUTED_VALUE"""),"Software Factory / Staffing")</f>
        <v>Software Factory / Staffing</v>
      </c>
    </row>
    <row r="1017" hidden="1">
      <c r="A1017" s="6" t="str">
        <f>IFERROR(__xludf.DUMMYFUNCTION("""COMPUTED_VALUE"""),"codetria")</f>
        <v>codetria</v>
      </c>
      <c r="B1017" s="6" t="str">
        <f>IFERROR(__xludf.DUMMYFUNCTION("""COMPUTED_VALUE"""),"Argentina")</f>
        <v>Argentina</v>
      </c>
      <c r="C1017" s="6" t="str">
        <f>IFERROR(__xludf.DUMMYFUNCTION("""COMPUTED_VALUE"""),"Management Consulting")</f>
        <v>Management Consulting</v>
      </c>
    </row>
    <row r="1018" hidden="1">
      <c r="A1018" s="6" t="str">
        <f>IFERROR(__xludf.DUMMYFUNCTION("""COMPUTED_VALUE"""),"givex")</f>
        <v>givex</v>
      </c>
      <c r="B1018" s="6" t="str">
        <f>IFERROR(__xludf.DUMMYFUNCTION("""COMPUTED_VALUE"""),"Canada")</f>
        <v>Canada</v>
      </c>
      <c r="C1018" s="6" t="str">
        <f>IFERROR(__xludf.DUMMYFUNCTION("""COMPUTED_VALUE"""),"Management Consulting")</f>
        <v>Management Consulting</v>
      </c>
    </row>
    <row r="1019" hidden="1">
      <c r="A1019" s="6" t="str">
        <f>IFERROR(__xludf.DUMMYFUNCTION("""COMPUTED_VALUE"""),"fundación solidaridad latinoamericana")</f>
        <v>fundación solidaridad latinoamericana</v>
      </c>
      <c r="B1019" s="6" t="str">
        <f>IFERROR(__xludf.DUMMYFUNCTION("""COMPUTED_VALUE"""),"Colombia")</f>
        <v>Colombia</v>
      </c>
      <c r="C1019" s="6" t="str">
        <f>IFERROR(__xludf.DUMMYFUNCTION("""COMPUTED_VALUE"""),"Management Consulting")</f>
        <v>Management Consulting</v>
      </c>
    </row>
    <row r="1020">
      <c r="A1020" s="6" t="str">
        <f>IFERROR(__xludf.DUMMYFUNCTION("""COMPUTED_VALUE"""),"flex")</f>
        <v>flex</v>
      </c>
      <c r="B1020" s="6" t="str">
        <f>IFERROR(__xludf.DUMMYFUNCTION("""COMPUTED_VALUE"""),"Estados Unidos")</f>
        <v>Estados Unidos</v>
      </c>
      <c r="C1020" s="6" t="str">
        <f>IFERROR(__xludf.DUMMYFUNCTION("""COMPUTED_VALUE"""),"Banking &amp; Financial Servicies")</f>
        <v>Banking &amp; Financial Servicies</v>
      </c>
    </row>
    <row r="1021" hidden="1">
      <c r="A1021" s="6" t="str">
        <f>IFERROR(__xludf.DUMMYFUNCTION("""COMPUTED_VALUE"""),"kloustr labs")</f>
        <v>kloustr labs</v>
      </c>
      <c r="B1021" s="6" t="str">
        <f>IFERROR(__xludf.DUMMYFUNCTION("""COMPUTED_VALUE"""),"Colombia")</f>
        <v>Colombia</v>
      </c>
      <c r="C1021" s="6" t="str">
        <f>IFERROR(__xludf.DUMMYFUNCTION("""COMPUTED_VALUE"""),"Software Factory / Staffing")</f>
        <v>Software Factory / Staffing</v>
      </c>
    </row>
    <row r="1022" hidden="1">
      <c r="A1022" s="6" t="str">
        <f>IFERROR(__xludf.DUMMYFUNCTION("""COMPUTED_VALUE"""),"flame factory")</f>
        <v>flame factory</v>
      </c>
      <c r="B1022" s="6" t="str">
        <f>IFERROR(__xludf.DUMMYFUNCTION("""COMPUTED_VALUE"""),"Argentina")</f>
        <v>Argentina</v>
      </c>
      <c r="C1022" s="6" t="str">
        <f>IFERROR(__xludf.DUMMYFUNCTION("""COMPUTED_VALUE"""),"Software Factory / Staffing")</f>
        <v>Software Factory / Staffing</v>
      </c>
    </row>
    <row r="1023" hidden="1">
      <c r="A1023" s="6" t="str">
        <f>IFERROR(__xludf.DUMMYFUNCTION("""COMPUTED_VALUE"""),"teknaria")</f>
        <v>teknaria</v>
      </c>
      <c r="B1023" s="6" t="str">
        <f>IFERROR(__xludf.DUMMYFUNCTION("""COMPUTED_VALUE"""),"Argentina")</f>
        <v>Argentina</v>
      </c>
      <c r="C1023" s="6" t="str">
        <f>IFERROR(__xludf.DUMMYFUNCTION("""COMPUTED_VALUE"""),"Management Consulting")</f>
        <v>Management Consulting</v>
      </c>
    </row>
    <row r="1024" hidden="1">
      <c r="A1024" s="6" t="str">
        <f>IFERROR(__xludf.DUMMYFUNCTION("""COMPUTED_VALUE"""),"none")</f>
        <v>none</v>
      </c>
      <c r="B1024" s="6" t="str">
        <f>IFERROR(__xludf.DUMMYFUNCTION("""COMPUTED_VALUE"""),"Estados Unidos")</f>
        <v>Estados Unidos</v>
      </c>
      <c r="C1024" s="6" t="str">
        <f>IFERROR(__xludf.DUMMYFUNCTION("""COMPUTED_VALUE"""),"Health")</f>
        <v>Health</v>
      </c>
    </row>
    <row r="1025" hidden="1">
      <c r="A1025" s="6" t="str">
        <f>IFERROR(__xludf.DUMMYFUNCTION("""COMPUTED_VALUE"""),"izipay")</f>
        <v>izipay</v>
      </c>
      <c r="B1025" s="6" t="str">
        <f>IFERROR(__xludf.DUMMYFUNCTION("""COMPUTED_VALUE"""),"Peru")</f>
        <v>Peru</v>
      </c>
      <c r="C1025" s="6" t="str">
        <f>IFERROR(__xludf.DUMMYFUNCTION("""COMPUTED_VALUE"""),"Fintech")</f>
        <v>Fintech</v>
      </c>
    </row>
    <row r="1026" hidden="1">
      <c r="A1026" s="6" t="str">
        <f>IFERROR(__xludf.DUMMYFUNCTION("""COMPUTED_VALUE"""),"qualabs")</f>
        <v>qualabs</v>
      </c>
      <c r="B1026" s="6" t="str">
        <f>IFERROR(__xludf.DUMMYFUNCTION("""COMPUTED_VALUE"""),"Uruguay")</f>
        <v>Uruguay</v>
      </c>
      <c r="C1026" s="6" t="str">
        <f>IFERROR(__xludf.DUMMYFUNCTION("""COMPUTED_VALUE"""),"Software Factory / Staffing")</f>
        <v>Software Factory / Staffing</v>
      </c>
    </row>
    <row r="1027" hidden="1">
      <c r="A1027" s="6" t="str">
        <f>IFERROR(__xludf.DUMMYFUNCTION("""COMPUTED_VALUE"""),"wenty")</f>
        <v>wenty</v>
      </c>
      <c r="B1027" s="6" t="str">
        <f>IFERROR(__xludf.DUMMYFUNCTION("""COMPUTED_VALUE"""),"Argentina")</f>
        <v>Argentina</v>
      </c>
      <c r="C1027" s="6" t="str">
        <f>IFERROR(__xludf.DUMMYFUNCTION("""COMPUTED_VALUE"""),"Management Consulting")</f>
        <v>Management Consulting</v>
      </c>
    </row>
    <row r="1028" hidden="1">
      <c r="A1028" s="6" t="str">
        <f>IFERROR(__xludf.DUMMYFUNCTION("""COMPUTED_VALUE"""),"mg intelligence")</f>
        <v>mg intelligence</v>
      </c>
      <c r="B1028" s="6" t="str">
        <f>IFERROR(__xludf.DUMMYFUNCTION("""COMPUTED_VALUE"""),"Argentina")</f>
        <v>Argentina</v>
      </c>
      <c r="C1028" s="6" t="str">
        <f>IFERROR(__xludf.DUMMYFUNCTION("""COMPUTED_VALUE"""),"Management Consulting")</f>
        <v>Management Consulting</v>
      </c>
    </row>
    <row r="1029" hidden="1">
      <c r="A1029" s="6" t="str">
        <f>IFERROR(__xludf.DUMMYFUNCTION("""COMPUTED_VALUE"""),"fga")</f>
        <v>fga</v>
      </c>
      <c r="B1029" s="6" t="str">
        <f>IFERROR(__xludf.DUMMYFUNCTION("""COMPUTED_VALUE"""),"Colombia")</f>
        <v>Colombia</v>
      </c>
      <c r="C1029" s="6" t="str">
        <f>IFERROR(__xludf.DUMMYFUNCTION("""COMPUTED_VALUE"""),"Banking &amp; Financial Servicies")</f>
        <v>Banking &amp; Financial Servicies</v>
      </c>
    </row>
    <row r="1030" hidden="1">
      <c r="A1030" s="6" t="str">
        <f>IFERROR(__xludf.DUMMYFUNCTION("""COMPUTED_VALUE"""),"densitylabs")</f>
        <v>densitylabs</v>
      </c>
      <c r="B1030" s="6" t="str">
        <f>IFERROR(__xludf.DUMMYFUNCTION("""COMPUTED_VALUE"""),"mexico")</f>
        <v>mexico</v>
      </c>
      <c r="C1030" s="6" t="str">
        <f>IFERROR(__xludf.DUMMYFUNCTION("""COMPUTED_VALUE"""),"Software Factory / Staffing")</f>
        <v>Software Factory / Staffing</v>
      </c>
    </row>
    <row r="1031" hidden="1">
      <c r="A1031" s="6" t="str">
        <f>IFERROR(__xludf.DUMMYFUNCTION("""COMPUTED_VALUE"""),"mawoo pets")</f>
        <v>mawoo pets</v>
      </c>
      <c r="B1031" s="6" t="str">
        <f>IFERROR(__xludf.DUMMYFUNCTION("""COMPUTED_VALUE"""),"Estados Unidos")</f>
        <v>Estados Unidos</v>
      </c>
      <c r="C1031" s="6" t="str">
        <f>IFERROR(__xludf.DUMMYFUNCTION("""COMPUTED_VALUE"""),"Other")</f>
        <v>Other</v>
      </c>
    </row>
    <row r="1032">
      <c r="A1032" s="6" t="str">
        <f>IFERROR(__xludf.DUMMYFUNCTION("""COMPUTED_VALUE"""),"leapteams")</f>
        <v>leapteams</v>
      </c>
      <c r="B1032" s="6" t="str">
        <f>IFERROR(__xludf.DUMMYFUNCTION("""COMPUTED_VALUE"""),"Estados Unidos")</f>
        <v>Estados Unidos</v>
      </c>
      <c r="C1032" s="6" t="str">
        <f>IFERROR(__xludf.DUMMYFUNCTION("""COMPUTED_VALUE"""),"Recruiting")</f>
        <v>Recruiting</v>
      </c>
    </row>
    <row r="1033" hidden="1">
      <c r="A1033" s="6" t="str">
        <f>IFERROR(__xludf.DUMMYFUNCTION("""COMPUTED_VALUE"""),"win and winnow")</f>
        <v>win and winnow</v>
      </c>
      <c r="B1033" s="6" t="str">
        <f>IFERROR(__xludf.DUMMYFUNCTION("""COMPUTED_VALUE"""),"Argentina")</f>
        <v>Argentina</v>
      </c>
      <c r="C1033" s="6" t="str">
        <f>IFERROR(__xludf.DUMMYFUNCTION("""COMPUTED_VALUE"""),"Software Factory / Staffing")</f>
        <v>Software Factory / Staffing</v>
      </c>
    </row>
    <row r="1034" hidden="1">
      <c r="A1034" s="6" t="str">
        <f>IFERROR(__xludf.DUMMYFUNCTION("""COMPUTED_VALUE"""),"avvy recruiting")</f>
        <v>avvy recruiting</v>
      </c>
      <c r="B1034" s="4"/>
      <c r="C1034" s="4"/>
    </row>
    <row r="1035" hidden="1">
      <c r="A1035" s="6" t="str">
        <f>IFERROR(__xludf.DUMMYFUNCTION("""COMPUTED_VALUE"""),"adecoagro")</f>
        <v>adecoagro</v>
      </c>
      <c r="B1035" s="6" t="str">
        <f>IFERROR(__xludf.DUMMYFUNCTION("""COMPUTED_VALUE"""),"Argentina")</f>
        <v>Argentina</v>
      </c>
      <c r="C1035" s="6" t="str">
        <f>IFERROR(__xludf.DUMMYFUNCTION("""COMPUTED_VALUE"""),"Other")</f>
        <v>Other</v>
      </c>
    </row>
    <row r="1036" hidden="1">
      <c r="A1036" s="6" t="str">
        <f>IFERROR(__xludf.DUMMYFUNCTION("""COMPUTED_VALUE"""),"inauco")</f>
        <v>inauco</v>
      </c>
      <c r="B1036" s="6" t="str">
        <f>IFERROR(__xludf.DUMMYFUNCTION("""COMPUTED_VALUE"""),"Argentina")</f>
        <v>Argentina</v>
      </c>
      <c r="C1036" s="6" t="str">
        <f>IFERROR(__xludf.DUMMYFUNCTION("""COMPUTED_VALUE"""),"Software Factory / Staffing")</f>
        <v>Software Factory / Staffing</v>
      </c>
    </row>
    <row r="1037">
      <c r="A1037" s="6" t="str">
        <f>IFERROR(__xludf.DUMMYFUNCTION("""COMPUTED_VALUE"""),"ataway")</f>
        <v>ataway</v>
      </c>
      <c r="B1037" s="6" t="str">
        <f>IFERROR(__xludf.DUMMYFUNCTION("""COMPUTED_VALUE"""),"Francia")</f>
        <v>Francia</v>
      </c>
      <c r="C1037" s="6" t="str">
        <f>IFERROR(__xludf.DUMMYFUNCTION("""COMPUTED_VALUE"""),"Software Factory / Staffing")</f>
        <v>Software Factory / Staffing</v>
      </c>
    </row>
    <row r="1038" hidden="1">
      <c r="A1038" s="6" t="str">
        <f>IFERROR(__xludf.DUMMYFUNCTION("""COMPUTED_VALUE"""),"horus smart control")</f>
        <v>horus smart control</v>
      </c>
      <c r="B1038" s="6" t="str">
        <f>IFERROR(__xludf.DUMMYFUNCTION("""COMPUTED_VALUE"""),"Colombia")</f>
        <v>Colombia</v>
      </c>
      <c r="C1038" s="6" t="str">
        <f>IFERROR(__xludf.DUMMYFUNCTION("""COMPUTED_VALUE"""),"Management Consulting")</f>
        <v>Management Consulting</v>
      </c>
    </row>
    <row r="1039" hidden="1">
      <c r="A1039" s="6" t="str">
        <f>IFERROR(__xludf.DUMMYFUNCTION("""COMPUTED_VALUE"""),"krowdy")</f>
        <v>krowdy</v>
      </c>
      <c r="B1039" s="6" t="str">
        <f>IFERROR(__xludf.DUMMYFUNCTION("""COMPUTED_VALUE"""),"Peru")</f>
        <v>Peru</v>
      </c>
      <c r="C1039" s="6" t="str">
        <f>IFERROR(__xludf.DUMMYFUNCTION("""COMPUTED_VALUE"""),"Human Resources")</f>
        <v>Human Resources</v>
      </c>
    </row>
    <row r="1040" hidden="1">
      <c r="A1040" s="6" t="str">
        <f>IFERROR(__xludf.DUMMYFUNCTION("""COMPUTED_VALUE"""),"qanlex")</f>
        <v>qanlex</v>
      </c>
      <c r="B1040" s="6" t="str">
        <f>IFERROR(__xludf.DUMMYFUNCTION("""COMPUTED_VALUE"""),"Estados Unidos")</f>
        <v>Estados Unidos</v>
      </c>
      <c r="C1040" s="6" t="str">
        <f>IFERROR(__xludf.DUMMYFUNCTION("""COMPUTED_VALUE"""),"Fintech")</f>
        <v>Fintech</v>
      </c>
    </row>
    <row r="1041" hidden="1">
      <c r="A1041" s="6" t="str">
        <f>IFERROR(__xludf.DUMMYFUNCTION("""COMPUTED_VALUE"""),"mundo cloud")</f>
        <v>mundo cloud</v>
      </c>
      <c r="B1041" s="6" t="str">
        <f>IFERROR(__xludf.DUMMYFUNCTION("""COMPUTED_VALUE"""),"Colombia")</f>
        <v>Colombia</v>
      </c>
      <c r="C1041" s="6" t="str">
        <f>IFERROR(__xludf.DUMMYFUNCTION("""COMPUTED_VALUE"""),"Software Factory / Staffing")</f>
        <v>Software Factory / Staffing</v>
      </c>
    </row>
    <row r="1042" hidden="1">
      <c r="A1042" s="6" t="str">
        <f>IFERROR(__xludf.DUMMYFUNCTION("""COMPUTED_VALUE"""),"lakeba")</f>
        <v>lakeba</v>
      </c>
      <c r="B1042" s="6" t="str">
        <f>IFERROR(__xludf.DUMMYFUNCTION("""COMPUTED_VALUE"""),"Australia")</f>
        <v>Australia</v>
      </c>
      <c r="C1042" s="6" t="str">
        <f>IFERROR(__xludf.DUMMYFUNCTION("""COMPUTED_VALUE"""),"Management Consulting")</f>
        <v>Management Consulting</v>
      </c>
    </row>
    <row r="1043" hidden="1">
      <c r="A1043" s="6" t="str">
        <f>IFERROR(__xludf.DUMMYFUNCTION("""COMPUTED_VALUE"""),"youniq")</f>
        <v>youniq</v>
      </c>
      <c r="B1043" s="6" t="str">
        <f>IFERROR(__xludf.DUMMYFUNCTION("""COMPUTED_VALUE"""),"Alemania")</f>
        <v>Alemania</v>
      </c>
      <c r="C1043" s="6" t="str">
        <f>IFERROR(__xludf.DUMMYFUNCTION("""COMPUTED_VALUE"""),"PropTech / Real State")</f>
        <v>PropTech / Real State</v>
      </c>
    </row>
    <row r="1044" hidden="1">
      <c r="A1044" s="6" t="str">
        <f>IFERROR(__xludf.DUMMYFUNCTION("""COMPUTED_VALUE"""),"botgenes")</f>
        <v>botgenes</v>
      </c>
      <c r="B1044" s="6" t="str">
        <f>IFERROR(__xludf.DUMMYFUNCTION("""COMPUTED_VALUE"""),"Argentina")</f>
        <v>Argentina</v>
      </c>
      <c r="C1044" s="6" t="str">
        <f>IFERROR(__xludf.DUMMYFUNCTION("""COMPUTED_VALUE"""),"Management Consulting")</f>
        <v>Management Consulting</v>
      </c>
    </row>
    <row r="1045" hidden="1">
      <c r="A1045" s="6" t="str">
        <f>IFERROR(__xludf.DUMMYFUNCTION("""COMPUTED_VALUE"""),"mathison projects")</f>
        <v>mathison projects</v>
      </c>
      <c r="B1045" s="6" t="str">
        <f>IFERROR(__xludf.DUMMYFUNCTION("""COMPUTED_VALUE"""),"Estados Unidos")</f>
        <v>Estados Unidos</v>
      </c>
      <c r="C1045" s="6" t="str">
        <f>IFERROR(__xludf.DUMMYFUNCTION("""COMPUTED_VALUE"""),"Software Factory / Staffing")</f>
        <v>Software Factory / Staffing</v>
      </c>
    </row>
    <row r="1046">
      <c r="A1046" s="6" t="str">
        <f>IFERROR(__xludf.DUMMYFUNCTION("""COMPUTED_VALUE"""),"hi-tech mechanics ltd")</f>
        <v>hi-tech mechanics ltd</v>
      </c>
      <c r="B1046" s="6" t="str">
        <f>IFERROR(__xludf.DUMMYFUNCTION("""COMPUTED_VALUE"""),"Israel")</f>
        <v>Israel</v>
      </c>
      <c r="C1046" s="6" t="str">
        <f>IFERROR(__xludf.DUMMYFUNCTION("""COMPUTED_VALUE"""),"Mechanical/Industrial Engineering")</f>
        <v>Mechanical/Industrial Engineering</v>
      </c>
    </row>
    <row r="1047" hidden="1">
      <c r="A1047" s="6" t="str">
        <f>IFERROR(__xludf.DUMMYFUNCTION("""COMPUTED_VALUE"""),"pócima digital")</f>
        <v>pócima digital</v>
      </c>
      <c r="B1047" s="6" t="str">
        <f>IFERROR(__xludf.DUMMYFUNCTION("""COMPUTED_VALUE"""),"Uruguay")</f>
        <v>Uruguay</v>
      </c>
      <c r="C1047" s="6" t="str">
        <f>IFERROR(__xludf.DUMMYFUNCTION("""COMPUTED_VALUE"""),"E-commerce")</f>
        <v>E-commerce</v>
      </c>
    </row>
    <row r="1048" hidden="1">
      <c r="A1048" s="6" t="str">
        <f>IFERROR(__xludf.DUMMYFUNCTION("""COMPUTED_VALUE"""),"linkup internet")</f>
        <v>linkup internet</v>
      </c>
      <c r="B1048" s="6" t="str">
        <f>IFERROR(__xludf.DUMMYFUNCTION("""COMPUTED_VALUE"""),"Argentina")</f>
        <v>Argentina</v>
      </c>
      <c r="C1048" s="6" t="str">
        <f>IFERROR(__xludf.DUMMYFUNCTION("""COMPUTED_VALUE"""),"Messaging and Telecommunications")</f>
        <v>Messaging and Telecommunications</v>
      </c>
    </row>
    <row r="1049" hidden="1">
      <c r="A1049" s="6" t="str">
        <f>IFERROR(__xludf.DUMMYFUNCTION("""COMPUTED_VALUE"""),"ardabytec")</f>
        <v>ardabytec</v>
      </c>
      <c r="B1049" s="6" t="str">
        <f>IFERROR(__xludf.DUMMYFUNCTION("""COMPUTED_VALUE"""),"Mexico")</f>
        <v>Mexico</v>
      </c>
      <c r="C1049" s="6" t="str">
        <f>IFERROR(__xludf.DUMMYFUNCTION("""COMPUTED_VALUE"""),"Management Consulting")</f>
        <v>Management Consulting</v>
      </c>
    </row>
    <row r="1050" hidden="1">
      <c r="A1050" s="6" t="str">
        <f>IFERROR(__xludf.DUMMYFUNCTION("""COMPUTED_VALUE"""),"tsgroup")</f>
        <v>tsgroup</v>
      </c>
      <c r="B1050" s="6" t="str">
        <f>IFERROR(__xludf.DUMMYFUNCTION("""COMPUTED_VALUE"""),"Colombia")</f>
        <v>Colombia</v>
      </c>
      <c r="C1050" s="6" t="str">
        <f>IFERROR(__xludf.DUMMYFUNCTION("""COMPUTED_VALUE"""),"Management Consulting")</f>
        <v>Management Consulting</v>
      </c>
    </row>
    <row r="1051" hidden="1">
      <c r="A1051" s="6" t="str">
        <f>IFERROR(__xludf.DUMMYFUNCTION("""COMPUTED_VALUE"""),"rebus technology")</f>
        <v>rebus technology</v>
      </c>
      <c r="B1051" s="6" t="str">
        <f>IFERROR(__xludf.DUMMYFUNCTION("""COMPUTED_VALUE"""),"Estados Unidos")</f>
        <v>Estados Unidos</v>
      </c>
      <c r="C1051" s="6" t="str">
        <f>IFERROR(__xludf.DUMMYFUNCTION("""COMPUTED_VALUE"""),"Artificil Intelligence")</f>
        <v>Artificil Intelligence</v>
      </c>
    </row>
    <row r="1052" hidden="1">
      <c r="A1052" s="6" t="str">
        <f>IFERROR(__xludf.DUMMYFUNCTION("""COMPUTED_VALUE"""),"inchcape digital colombia s.a.s")</f>
        <v>inchcape digital colombia s.a.s</v>
      </c>
      <c r="B1052" s="6" t="str">
        <f>IFERROR(__xludf.DUMMYFUNCTION("""COMPUTED_VALUE"""),"Filipina")</f>
        <v>Filipina</v>
      </c>
      <c r="C1052" s="6" t="str">
        <f>IFERROR(__xludf.DUMMYFUNCTION("""COMPUTED_VALUE"""),"E-commerce")</f>
        <v>E-commerce</v>
      </c>
    </row>
    <row r="1053" hidden="1">
      <c r="A1053" s="6" t="str">
        <f>IFERROR(__xludf.DUMMYFUNCTION("""COMPUTED_VALUE"""),"nuage systems s.a.(emblue latam)")</f>
        <v>nuage systems s.a.(emblue latam)</v>
      </c>
      <c r="B1053" s="6" t="str">
        <f>IFERROR(__xludf.DUMMYFUNCTION("""COMPUTED_VALUE"""),"Argentina")</f>
        <v>Argentina</v>
      </c>
      <c r="C1053" s="6" t="str">
        <f>IFERROR(__xludf.DUMMYFUNCTION("""COMPUTED_VALUE"""),"Marketing &amp; Advertising")</f>
        <v>Marketing &amp; Advertising</v>
      </c>
    </row>
    <row r="1054" hidden="1">
      <c r="A1054" s="6" t="str">
        <f>IFERROR(__xludf.DUMMYFUNCTION("""COMPUTED_VALUE"""),"gestión y servicios")</f>
        <v>gestión y servicios</v>
      </c>
      <c r="B1054" s="6" t="str">
        <f>IFERROR(__xludf.DUMMYFUNCTION("""COMPUTED_VALUE"""),"Argentina")</f>
        <v>Argentina</v>
      </c>
      <c r="C1054" s="6" t="str">
        <f>IFERROR(__xludf.DUMMYFUNCTION("""COMPUTED_VALUE"""),"Insurance")</f>
        <v>Insurance</v>
      </c>
    </row>
    <row r="1055">
      <c r="A1055" s="6" t="str">
        <f>IFERROR(__xludf.DUMMYFUNCTION("""COMPUTED_VALUE"""),"universidad nacional de colombia")</f>
        <v>universidad nacional de colombia</v>
      </c>
      <c r="B1055" s="6" t="str">
        <f>IFERROR(__xludf.DUMMYFUNCTION("""COMPUTED_VALUE"""),"Colombia")</f>
        <v>Colombia</v>
      </c>
      <c r="C1055" s="6" t="str">
        <f>IFERROR(__xludf.DUMMYFUNCTION("""COMPUTED_VALUE"""),"Education &amp; Edtech")</f>
        <v>Education &amp; Edtech</v>
      </c>
    </row>
    <row r="1056" hidden="1">
      <c r="A1056" s="6" t="str">
        <f>IFERROR(__xludf.DUMMYFUNCTION("""COMPUTED_VALUE"""),"magnetic cash")</f>
        <v>magnetic cash</v>
      </c>
      <c r="B1056" s="6" t="str">
        <f>IFERROR(__xludf.DUMMYFUNCTION("""COMPUTED_VALUE"""),"Argentina")</f>
        <v>Argentina</v>
      </c>
      <c r="C1056" s="6" t="str">
        <f>IFERROR(__xludf.DUMMYFUNCTION("""COMPUTED_VALUE"""),"Software Factory / Staffing")</f>
        <v>Software Factory / Staffing</v>
      </c>
    </row>
    <row r="1057" hidden="1">
      <c r="A1057" s="6" t="str">
        <f>IFERROR(__xludf.DUMMYFUNCTION("""COMPUTED_VALUE"""),"táctica web s.a.s")</f>
        <v>táctica web s.a.s</v>
      </c>
      <c r="B1057" s="6" t="str">
        <f>IFERROR(__xludf.DUMMYFUNCTION("""COMPUTED_VALUE"""),"Colombia")</f>
        <v>Colombia</v>
      </c>
      <c r="C1057" s="6" t="str">
        <f>IFERROR(__xludf.DUMMYFUNCTION("""COMPUTED_VALUE"""),"Management Consulting")</f>
        <v>Management Consulting</v>
      </c>
    </row>
    <row r="1058" hidden="1">
      <c r="A1058" s="6" t="str">
        <f>IFERROR(__xludf.DUMMYFUNCTION("""COMPUTED_VALUE"""),"pevaar")</f>
        <v>pevaar</v>
      </c>
      <c r="B1058" s="6" t="str">
        <f>IFERROR(__xludf.DUMMYFUNCTION("""COMPUTED_VALUE"""),"Estados Unidos")</f>
        <v>Estados Unidos</v>
      </c>
      <c r="C1058" s="6" t="str">
        <f>IFERROR(__xludf.DUMMYFUNCTION("""COMPUTED_VALUE"""),"Software Factory / Staffing")</f>
        <v>Software Factory / Staffing</v>
      </c>
    </row>
    <row r="1059" hidden="1">
      <c r="A1059" s="6" t="str">
        <f>IFERROR(__xludf.DUMMYFUNCTION("""COMPUTED_VALUE"""),"nexosmart it srl")</f>
        <v>nexosmart it srl</v>
      </c>
      <c r="B1059" s="6" t="str">
        <f>IFERROR(__xludf.DUMMYFUNCTION("""COMPUTED_VALUE"""),"Argentina")</f>
        <v>Argentina</v>
      </c>
      <c r="C1059" s="6" t="str">
        <f>IFERROR(__xludf.DUMMYFUNCTION("""COMPUTED_VALUE"""),"Software Factory / Staffing")</f>
        <v>Software Factory / Staffing</v>
      </c>
    </row>
    <row r="1060" hidden="1">
      <c r="A1060" s="6" t="str">
        <f>IFERROR(__xludf.DUMMYFUNCTION("""COMPUTED_VALUE"""),"vívet")</f>
        <v>vívet</v>
      </c>
      <c r="B1060" s="6" t="str">
        <f>IFERROR(__xludf.DUMMYFUNCTION("""COMPUTED_VALUE"""),"Argentina")</f>
        <v>Argentina</v>
      </c>
      <c r="C1060" s="6" t="str">
        <f>IFERROR(__xludf.DUMMYFUNCTION("""COMPUTED_VALUE"""),"FMCG / Consumo masivo")</f>
        <v>FMCG / Consumo masivo</v>
      </c>
    </row>
    <row r="1061" hidden="1">
      <c r="A1061" s="6" t="str">
        <f>IFERROR(__xludf.DUMMYFUNCTION("""COMPUTED_VALUE"""),"practia global")</f>
        <v>practia global</v>
      </c>
      <c r="B1061" s="6" t="str">
        <f>IFERROR(__xludf.DUMMYFUNCTION("""COMPUTED_VALUE"""),"Argentina")</f>
        <v>Argentina</v>
      </c>
      <c r="C1061" s="6" t="str">
        <f>IFERROR(__xludf.DUMMYFUNCTION("""COMPUTED_VALUE"""),"Management Consulting")</f>
        <v>Management Consulting</v>
      </c>
    </row>
    <row r="1062" hidden="1">
      <c r="A1062" s="6" t="str">
        <f>IFERROR(__xludf.DUMMYFUNCTION("""COMPUTED_VALUE"""),"eventbrite")</f>
        <v>eventbrite</v>
      </c>
      <c r="B1062" s="6" t="str">
        <f>IFERROR(__xludf.DUMMYFUNCTION("""COMPUTED_VALUE"""),"Argentina")</f>
        <v>Argentina</v>
      </c>
      <c r="C1062" s="6" t="str">
        <f>IFERROR(__xludf.DUMMYFUNCTION("""COMPUTED_VALUE"""),"SaaS")</f>
        <v>SaaS</v>
      </c>
    </row>
    <row r="1063" hidden="1">
      <c r="A1063" s="6" t="str">
        <f>IFERROR(__xludf.DUMMYFUNCTION("""COMPUTED_VALUE"""),"megatime")</f>
        <v>megatime</v>
      </c>
      <c r="B1063" s="6" t="str">
        <f>IFERROR(__xludf.DUMMYFUNCTION("""COMPUTED_VALUE"""),"Chile")</f>
        <v>Chile</v>
      </c>
      <c r="C1063" s="6" t="str">
        <f>IFERROR(__xludf.DUMMYFUNCTION("""COMPUTED_VALUE"""),"Software Factory / Staffing")</f>
        <v>Software Factory / Staffing</v>
      </c>
    </row>
    <row r="1064" hidden="1">
      <c r="A1064" s="6" t="str">
        <f>IFERROR(__xludf.DUMMYFUNCTION("""COMPUTED_VALUE"""),"paikea srl")</f>
        <v>paikea srl</v>
      </c>
      <c r="B1064" s="6" t="str">
        <f>IFERROR(__xludf.DUMMYFUNCTION("""COMPUTED_VALUE"""),"Argentina")</f>
        <v>Argentina</v>
      </c>
      <c r="C1064" s="6" t="str">
        <f>IFERROR(__xludf.DUMMYFUNCTION("""COMPUTED_VALUE"""),"Other")</f>
        <v>Other</v>
      </c>
    </row>
    <row r="1065" hidden="1">
      <c r="A1065" s="6" t="str">
        <f>IFERROR(__xludf.DUMMYFUNCTION("""COMPUTED_VALUE"""),"set&amp;forget")</f>
        <v>set&amp;forget</v>
      </c>
      <c r="B1065" s="6" t="str">
        <f>IFERROR(__xludf.DUMMYFUNCTION("""COMPUTED_VALUE"""),"Estados Unidos")</f>
        <v>Estados Unidos</v>
      </c>
      <c r="C1065" s="6" t="str">
        <f>IFERROR(__xludf.DUMMYFUNCTION("""COMPUTED_VALUE"""),"Software Factory / Staffing")</f>
        <v>Software Factory / Staffing</v>
      </c>
    </row>
    <row r="1066" hidden="1">
      <c r="A1066" s="6" t="str">
        <f>IFERROR(__xludf.DUMMYFUNCTION("""COMPUTED_VALUE"""),"hit start")</f>
        <v>hit start</v>
      </c>
      <c r="B1066" s="6" t="str">
        <f>IFERROR(__xludf.DUMMYFUNCTION("""COMPUTED_VALUE"""),"Estados Unidos")</f>
        <v>Estados Unidos</v>
      </c>
      <c r="C1066" s="6" t="str">
        <f>IFERROR(__xludf.DUMMYFUNCTION("""COMPUTED_VALUE"""),"Software Factory / Staffing")</f>
        <v>Software Factory / Staffing</v>
      </c>
    </row>
    <row r="1067" hidden="1">
      <c r="A1067" s="6" t="str">
        <f>IFERROR(__xludf.DUMMYFUNCTION("""COMPUTED_VALUE"""),"soluciones andinas")</f>
        <v>soluciones andinas</v>
      </c>
      <c r="B1067" s="6" t="str">
        <f>IFERROR(__xludf.DUMMYFUNCTION("""COMPUTED_VALUE"""),"Argentina")</f>
        <v>Argentina</v>
      </c>
      <c r="C1067" s="6" t="str">
        <f>IFERROR(__xludf.DUMMYFUNCTION("""COMPUTED_VALUE"""),"Software Factory / Staffing")</f>
        <v>Software Factory / Staffing</v>
      </c>
    </row>
    <row r="1068" hidden="1">
      <c r="A1068" s="6" t="str">
        <f>IFERROR(__xludf.DUMMYFUNCTION("""COMPUTED_VALUE"""),"livcare")</f>
        <v>livcare</v>
      </c>
      <c r="B1068" s="6" t="str">
        <f>IFERROR(__xludf.DUMMYFUNCTION("""COMPUTED_VALUE"""),"España")</f>
        <v>España</v>
      </c>
      <c r="C1068" s="6" t="str">
        <f>IFERROR(__xludf.DUMMYFUNCTION("""COMPUTED_VALUE"""),"Blockchain, Crypto &amp; NFT")</f>
        <v>Blockchain, Crypto &amp; NFT</v>
      </c>
    </row>
    <row r="1069">
      <c r="A1069" s="6" t="str">
        <f>IFERROR(__xludf.DUMMYFUNCTION("""COMPUTED_VALUE"""),"nostum technologies")</f>
        <v>nostum technologies</v>
      </c>
      <c r="B1069" s="6" t="str">
        <f>IFERROR(__xludf.DUMMYFUNCTION("""COMPUTED_VALUE"""),"Mexico")</f>
        <v>Mexico</v>
      </c>
      <c r="C1069" s="6" t="str">
        <f>IFERROR(__xludf.DUMMYFUNCTION("""COMPUTED_VALUE"""),"E-commerce")</f>
        <v>E-commerce</v>
      </c>
    </row>
    <row r="1070" hidden="1">
      <c r="A1070" s="6" t="str">
        <f>IFERROR(__xludf.DUMMYFUNCTION("""COMPUTED_VALUE"""),"gestion financiera s.a.")</f>
        <v>gestion financiera s.a.</v>
      </c>
      <c r="B1070" s="6" t="str">
        <f>IFERROR(__xludf.DUMMYFUNCTION("""COMPUTED_VALUE"""),"Argentina")</f>
        <v>Argentina</v>
      </c>
      <c r="C1070" s="6" t="str">
        <f>IFERROR(__xludf.DUMMYFUNCTION("""COMPUTED_VALUE"""),"Banking &amp; Financial Servicies")</f>
        <v>Banking &amp; Financial Servicies</v>
      </c>
    </row>
    <row r="1071" hidden="1">
      <c r="A1071" s="6" t="str">
        <f>IFERROR(__xludf.DUMMYFUNCTION("""COMPUTED_VALUE"""),"velaone")</f>
        <v>velaone</v>
      </c>
      <c r="B1071" s="6" t="str">
        <f>IFERROR(__xludf.DUMMYFUNCTION("""COMPUTED_VALUE"""),"Estados Unidos")</f>
        <v>Estados Unidos</v>
      </c>
      <c r="C1071" s="6" t="str">
        <f>IFERROR(__xludf.DUMMYFUNCTION("""COMPUTED_VALUE"""),"E-commerce")</f>
        <v>E-commerce</v>
      </c>
    </row>
    <row r="1072" hidden="1">
      <c r="A1072" s="6" t="str">
        <f>IFERROR(__xludf.DUMMYFUNCTION("""COMPUTED_VALUE"""),"viaxlab")</f>
        <v>viaxlab</v>
      </c>
      <c r="B1072" s="6" t="str">
        <f>IFERROR(__xludf.DUMMYFUNCTION("""COMPUTED_VALUE"""),"Uruguay")</f>
        <v>Uruguay</v>
      </c>
      <c r="C1072" s="6" t="str">
        <f>IFERROR(__xludf.DUMMYFUNCTION("""COMPUTED_VALUE"""),"Software Factory / Staffing")</f>
        <v>Software Factory / Staffing</v>
      </c>
    </row>
    <row r="1073">
      <c r="A1073" s="6" t="str">
        <f>IFERROR(__xludf.DUMMYFUNCTION("""COMPUTED_VALUE"""),"larnu")</f>
        <v>larnu</v>
      </c>
      <c r="B1073" s="6" t="str">
        <f>IFERROR(__xludf.DUMMYFUNCTION("""COMPUTED_VALUE"""),"Chile")</f>
        <v>Chile</v>
      </c>
      <c r="C1073" s="6" t="str">
        <f>IFERROR(__xludf.DUMMYFUNCTION("""COMPUTED_VALUE"""),"Education &amp; Edtech")</f>
        <v>Education &amp; Edtech</v>
      </c>
    </row>
    <row r="1074" hidden="1">
      <c r="A1074" s="6" t="str">
        <f>IFERROR(__xludf.DUMMYFUNCTION("""COMPUTED_VALUE"""),"sofá")</f>
        <v>sofá</v>
      </c>
      <c r="B1074" s="6" t="str">
        <f>IFERROR(__xludf.DUMMYFUNCTION("""COMPUTED_VALUE"""),"Argentina")</f>
        <v>Argentina</v>
      </c>
      <c r="C1074" s="6" t="str">
        <f>IFERROR(__xludf.DUMMYFUNCTION("""COMPUTED_VALUE"""),"Software Factory / Staffing")</f>
        <v>Software Factory / Staffing</v>
      </c>
    </row>
    <row r="1075" hidden="1">
      <c r="A1075" s="6" t="str">
        <f>IFERROR(__xludf.DUMMYFUNCTION("""COMPUTED_VALUE"""),"openloop")</f>
        <v>openloop</v>
      </c>
      <c r="B1075" s="6" t="str">
        <f>IFERROR(__xludf.DUMMYFUNCTION("""COMPUTED_VALUE"""),"Estados Unidos")</f>
        <v>Estados Unidos</v>
      </c>
      <c r="C1075" s="6" t="str">
        <f>IFERROR(__xludf.DUMMYFUNCTION("""COMPUTED_VALUE"""),"Health")</f>
        <v>Health</v>
      </c>
    </row>
    <row r="1076" hidden="1">
      <c r="A1076" s="6" t="str">
        <f>IFERROR(__xludf.DUMMYFUNCTION("""COMPUTED_VALUE"""),"beetransfer")</f>
        <v>beetransfer</v>
      </c>
      <c r="B1076" s="6" t="str">
        <f>IFERROR(__xludf.DUMMYFUNCTION("""COMPUTED_VALUE"""),"Argentina")</f>
        <v>Argentina</v>
      </c>
      <c r="C1076" s="6" t="str">
        <f>IFERROR(__xludf.DUMMYFUNCTION("""COMPUTED_VALUE"""),"Blockchain, Crypto &amp; NFT")</f>
        <v>Blockchain, Crypto &amp; NFT</v>
      </c>
    </row>
    <row r="1077" hidden="1">
      <c r="A1077" s="6" t="str">
        <f>IFERROR(__xludf.DUMMYFUNCTION("""COMPUTED_VALUE"""),"glajumedia sac")</f>
        <v>glajumedia sac</v>
      </c>
      <c r="B1077" s="6" t="str">
        <f>IFERROR(__xludf.DUMMYFUNCTION("""COMPUTED_VALUE"""),"Peru")</f>
        <v>Peru</v>
      </c>
      <c r="C1077" s="6" t="str">
        <f>IFERROR(__xludf.DUMMYFUNCTION("""COMPUTED_VALUE"""),"Management Consulting")</f>
        <v>Management Consulting</v>
      </c>
    </row>
    <row r="1078" hidden="1">
      <c r="A1078" s="6" t="str">
        <f>IFERROR(__xludf.DUMMYFUNCTION("""COMPUTED_VALUE"""),"appxcale, llc")</f>
        <v>appxcale, llc</v>
      </c>
      <c r="B1078" s="6" t="str">
        <f>IFERROR(__xludf.DUMMYFUNCTION("""COMPUTED_VALUE"""),"Colombia")</f>
        <v>Colombia</v>
      </c>
      <c r="C1078" s="6" t="str">
        <f>IFERROR(__xludf.DUMMYFUNCTION("""COMPUTED_VALUE"""),"Software Factory / Staffing")</f>
        <v>Software Factory / Staffing</v>
      </c>
    </row>
    <row r="1079" hidden="1">
      <c r="A1079" s="6" t="str">
        <f>IFERROR(__xludf.DUMMYFUNCTION("""COMPUTED_VALUE"""),"we go greenr")</f>
        <v>we go greenr</v>
      </c>
      <c r="B1079" s="6" t="str">
        <f>IFERROR(__xludf.DUMMYFUNCTION("""COMPUTED_VALUE"""),"Francia")</f>
        <v>Francia</v>
      </c>
      <c r="C1079" s="6" t="str">
        <f>IFERROR(__xludf.DUMMYFUNCTION("""COMPUTED_VALUE"""),"Other")</f>
        <v>Other</v>
      </c>
    </row>
    <row r="1080" hidden="1">
      <c r="A1080" s="6" t="str">
        <f>IFERROR(__xludf.DUMMYFUNCTION("""COMPUTED_VALUE"""),"cristalzoom")</f>
        <v>cristalzoom</v>
      </c>
      <c r="B1080" s="6" t="str">
        <f>IFERROR(__xludf.DUMMYFUNCTION("""COMPUTED_VALUE"""),"Argentina")</f>
        <v>Argentina</v>
      </c>
      <c r="C1080" s="6" t="str">
        <f>IFERROR(__xludf.DUMMYFUNCTION("""COMPUTED_VALUE"""),"Marketing &amp; Advertising")</f>
        <v>Marketing &amp; Advertising</v>
      </c>
    </row>
    <row r="1081" hidden="1">
      <c r="A1081" s="6" t="str">
        <f>IFERROR(__xludf.DUMMYFUNCTION("""COMPUTED_VALUE"""),"sirius")</f>
        <v>sirius</v>
      </c>
      <c r="B1081" s="6" t="str">
        <f>IFERROR(__xludf.DUMMYFUNCTION("""COMPUTED_VALUE"""),"Argentina")</f>
        <v>Argentina</v>
      </c>
      <c r="C1081" s="6" t="str">
        <f>IFERROR(__xludf.DUMMYFUNCTION("""COMPUTED_VALUE"""),"Software Factory / Staffing")</f>
        <v>Software Factory / Staffing</v>
      </c>
    </row>
    <row r="1082" hidden="1">
      <c r="A1082" s="6" t="str">
        <f>IFERROR(__xludf.DUMMYFUNCTION("""COMPUTED_VALUE"""),"mediabyte sac")</f>
        <v>mediabyte sac</v>
      </c>
      <c r="B1082" s="6" t="str">
        <f>IFERROR(__xludf.DUMMYFUNCTION("""COMPUTED_VALUE"""),"Peru")</f>
        <v>Peru</v>
      </c>
      <c r="C1082" s="6" t="str">
        <f>IFERROR(__xludf.DUMMYFUNCTION("""COMPUTED_VALUE"""),"Software Factory / Staffing")</f>
        <v>Software Factory / Staffing</v>
      </c>
    </row>
    <row r="1083" hidden="1">
      <c r="A1083" s="6" t="str">
        <f>IFERROR(__xludf.DUMMYFUNCTION("""COMPUTED_VALUE"""),"kibernum s.a.")</f>
        <v>kibernum s.a.</v>
      </c>
      <c r="B1083" s="6" t="str">
        <f>IFERROR(__xludf.DUMMYFUNCTION("""COMPUTED_VALUE"""),"Chile")</f>
        <v>Chile</v>
      </c>
      <c r="C1083" s="6" t="str">
        <f>IFERROR(__xludf.DUMMYFUNCTION("""COMPUTED_VALUE"""),"Software Factory / Staffing")</f>
        <v>Software Factory / Staffing</v>
      </c>
    </row>
    <row r="1084" hidden="1">
      <c r="A1084" s="6" t="str">
        <f>IFERROR(__xludf.DUMMYFUNCTION("""COMPUTED_VALUE"""),"coally")</f>
        <v>coally</v>
      </c>
      <c r="B1084" s="6" t="str">
        <f>IFERROR(__xludf.DUMMYFUNCTION("""COMPUTED_VALUE"""),"Colombia")</f>
        <v>Colombia</v>
      </c>
      <c r="C1084" s="6" t="str">
        <f>IFERROR(__xludf.DUMMYFUNCTION("""COMPUTED_VALUE"""),"Human Resources")</f>
        <v>Human Resources</v>
      </c>
    </row>
    <row r="1085" hidden="1">
      <c r="A1085" s="6" t="str">
        <f>IFERROR(__xludf.DUMMYFUNCTION("""COMPUTED_VALUE"""),"myfuture-ai")</f>
        <v>myfuture-ai</v>
      </c>
      <c r="B1085" s="6" t="str">
        <f>IFERROR(__xludf.DUMMYFUNCTION("""COMPUTED_VALUE"""),"Chile")</f>
        <v>Chile</v>
      </c>
      <c r="C1085" s="6" t="str">
        <f>IFERROR(__xludf.DUMMYFUNCTION("""COMPUTED_VALUE"""),"Artificil Intelligence")</f>
        <v>Artificil Intelligence</v>
      </c>
    </row>
    <row r="1086" hidden="1">
      <c r="A1086" s="6" t="str">
        <f>IFERROR(__xludf.DUMMYFUNCTION("""COMPUTED_VALUE"""),"neuron health")</f>
        <v>neuron health</v>
      </c>
      <c r="B1086" s="6" t="str">
        <f>IFERROR(__xludf.DUMMYFUNCTION("""COMPUTED_VALUE"""),"Mexico")</f>
        <v>Mexico</v>
      </c>
      <c r="C1086" s="6" t="str">
        <f>IFERROR(__xludf.DUMMYFUNCTION("""COMPUTED_VALUE"""),"Health")</f>
        <v>Health</v>
      </c>
    </row>
    <row r="1087" hidden="1">
      <c r="A1087" s="6" t="str">
        <f>IFERROR(__xludf.DUMMYFUNCTION("""COMPUTED_VALUE"""),"facture s.a.s")</f>
        <v>facture s.a.s</v>
      </c>
      <c r="B1087" s="6" t="str">
        <f>IFERROR(__xludf.DUMMYFUNCTION("""COMPUTED_VALUE"""),"Colombia")</f>
        <v>Colombia</v>
      </c>
      <c r="C1087" s="6" t="str">
        <f>IFERROR(__xludf.DUMMYFUNCTION("""COMPUTED_VALUE"""),"Software Factory / Staffing")</f>
        <v>Software Factory / Staffing</v>
      </c>
    </row>
    <row r="1088" hidden="1">
      <c r="A1088" s="6" t="str">
        <f>IFERROR(__xludf.DUMMYFUNCTION("""COMPUTED_VALUE"""),"adcap securitires argentina s.a")</f>
        <v>adcap securitires argentina s.a</v>
      </c>
      <c r="B1088" s="6" t="str">
        <f>IFERROR(__xludf.DUMMYFUNCTION("""COMPUTED_VALUE"""),"Argentina")</f>
        <v>Argentina</v>
      </c>
      <c r="C1088" s="6" t="str">
        <f>IFERROR(__xludf.DUMMYFUNCTION("""COMPUTED_VALUE"""),"Banking &amp; Financial Servicies")</f>
        <v>Banking &amp; Financial Servicies</v>
      </c>
    </row>
    <row r="1089" hidden="1">
      <c r="A1089" s="6" t="str">
        <f>IFERROR(__xludf.DUMMYFUNCTION("""COMPUTED_VALUE"""),"entel")</f>
        <v>entel</v>
      </c>
      <c r="B1089" s="6" t="str">
        <f>IFERROR(__xludf.DUMMYFUNCTION("""COMPUTED_VALUE"""),"Chile")</f>
        <v>Chile</v>
      </c>
      <c r="C1089" s="6" t="str">
        <f>IFERROR(__xludf.DUMMYFUNCTION("""COMPUTED_VALUE"""),"FMCG / Consumo masivo")</f>
        <v>FMCG / Consumo masivo</v>
      </c>
    </row>
    <row r="1090" hidden="1">
      <c r="A1090" s="6" t="str">
        <f>IFERROR(__xludf.DUMMYFUNCTION("""COMPUTED_VALUE"""),"getwonder")</f>
        <v>getwonder</v>
      </c>
      <c r="B1090" s="4"/>
      <c r="C1090" s="6" t="str">
        <f>IFERROR(__xludf.DUMMYFUNCTION("""COMPUTED_VALUE"""),"Marketing &amp; Advertising")</f>
        <v>Marketing &amp; Advertising</v>
      </c>
    </row>
    <row r="1091" hidden="1">
      <c r="A1091" s="6" t="str">
        <f>IFERROR(__xludf.DUMMYFUNCTION("""COMPUTED_VALUE"""),"tugerente")</f>
        <v>tugerente</v>
      </c>
      <c r="B1091" s="6" t="str">
        <f>IFERROR(__xludf.DUMMYFUNCTION("""COMPUTED_VALUE"""),"Argentina")</f>
        <v>Argentina</v>
      </c>
      <c r="C1091" s="6" t="str">
        <f>IFERROR(__xludf.DUMMYFUNCTION("""COMPUTED_VALUE"""),"Software Factory / Staffing")</f>
        <v>Software Factory / Staffing</v>
      </c>
    </row>
    <row r="1092" hidden="1">
      <c r="A1092" s="6" t="str">
        <f>IFERROR(__xludf.DUMMYFUNCTION("""COMPUTED_VALUE"""),"food in the box")</f>
        <v>food in the box</v>
      </c>
      <c r="B1092" s="6" t="str">
        <f>IFERROR(__xludf.DUMMYFUNCTION("""COMPUTED_VALUE"""),"España")</f>
        <v>España</v>
      </c>
      <c r="C1092" s="6" t="str">
        <f>IFERROR(__xludf.DUMMYFUNCTION("""COMPUTED_VALUE"""),"E-commerce")</f>
        <v>E-commerce</v>
      </c>
    </row>
    <row r="1093" hidden="1">
      <c r="A1093" s="6" t="str">
        <f>IFERROR(__xludf.DUMMYFUNCTION("""COMPUTED_VALUE"""),"netmx")</f>
        <v>netmx</v>
      </c>
      <c r="B1093" s="6" t="str">
        <f>IFERROR(__xludf.DUMMYFUNCTION("""COMPUTED_VALUE"""),"Mexico")</f>
        <v>Mexico</v>
      </c>
      <c r="C1093" s="6" t="str">
        <f>IFERROR(__xludf.DUMMYFUNCTION("""COMPUTED_VALUE"""),"Management Consulting")</f>
        <v>Management Consulting</v>
      </c>
    </row>
    <row r="1094" hidden="1">
      <c r="A1094" s="6" t="str">
        <f>IFERROR(__xludf.DUMMYFUNCTION("""COMPUTED_VALUE"""),"operador red gasolinera s.a de c.v")</f>
        <v>operador red gasolinera s.a de c.v</v>
      </c>
      <c r="B1094" s="6" t="str">
        <f>IFERROR(__xludf.DUMMYFUNCTION("""COMPUTED_VALUE"""),"Mexico")</f>
        <v>Mexico</v>
      </c>
      <c r="C1094" s="6" t="str">
        <f>IFERROR(__xludf.DUMMYFUNCTION("""COMPUTED_VALUE"""),"FMCG / Consumo masivo")</f>
        <v>FMCG / Consumo masivo</v>
      </c>
    </row>
    <row r="1095" hidden="1">
      <c r="A1095" s="6" t="str">
        <f>IFERROR(__xludf.DUMMYFUNCTION("""COMPUTED_VALUE"""),"approach tech")</f>
        <v>approach tech</v>
      </c>
      <c r="B1095" s="6" t="str">
        <f>IFERROR(__xludf.DUMMYFUNCTION("""COMPUTED_VALUE"""),"Estados Unidos")</f>
        <v>Estados Unidos</v>
      </c>
      <c r="C1095" s="6" t="str">
        <f>IFERROR(__xludf.DUMMYFUNCTION("""COMPUTED_VALUE"""),"Software Factory / Staffing")</f>
        <v>Software Factory / Staffing</v>
      </c>
    </row>
    <row r="1096" hidden="1">
      <c r="A1096" s="6" t="str">
        <f>IFERROR(__xludf.DUMMYFUNCTION("""COMPUTED_VALUE"""),"aidonic")</f>
        <v>aidonic</v>
      </c>
      <c r="B1096" s="6" t="str">
        <f>IFERROR(__xludf.DUMMYFUNCTION("""COMPUTED_VALUE"""),"Suiza")</f>
        <v>Suiza</v>
      </c>
      <c r="C1096" s="6" t="str">
        <f>IFERROR(__xludf.DUMMYFUNCTION("""COMPUTED_VALUE"""),"Software Factory / Staffing")</f>
        <v>Software Factory / Staffing</v>
      </c>
    </row>
    <row r="1097" hidden="1">
      <c r="A1097" s="6" t="str">
        <f>IFERROR(__xludf.DUMMYFUNCTION("""COMPUTED_VALUE"""),"newe")</f>
        <v>newe</v>
      </c>
      <c r="B1097" s="6" t="str">
        <f>IFERROR(__xludf.DUMMYFUNCTION("""COMPUTED_VALUE"""),"España")</f>
        <v>España</v>
      </c>
      <c r="C1097" s="6" t="str">
        <f>IFERROR(__xludf.DUMMYFUNCTION("""COMPUTED_VALUE"""),"SaaS")</f>
        <v>SaaS</v>
      </c>
    </row>
    <row r="1098">
      <c r="A1098" s="6" t="str">
        <f>IFERROR(__xludf.DUMMYFUNCTION("""COMPUTED_VALUE"""),"grupo guitxan")</f>
        <v>grupo guitxan</v>
      </c>
      <c r="B1098" s="4"/>
      <c r="C1098" s="4"/>
    </row>
    <row r="1099" hidden="1">
      <c r="A1099" s="6" t="str">
        <f>IFERROR(__xludf.DUMMYFUNCTION("""COMPUTED_VALUE"""),"kunan s.a.")</f>
        <v>kunan s.a.</v>
      </c>
      <c r="B1099" s="6" t="str">
        <f>IFERROR(__xludf.DUMMYFUNCTION("""COMPUTED_VALUE"""),"Argentina")</f>
        <v>Argentina</v>
      </c>
      <c r="C1099" s="6" t="str">
        <f>IFERROR(__xludf.DUMMYFUNCTION("""COMPUTED_VALUE"""),"Management Consulting")</f>
        <v>Management Consulting</v>
      </c>
    </row>
    <row r="1100" hidden="1">
      <c r="A1100" s="6" t="str">
        <f>IFERROR(__xludf.DUMMYFUNCTION("""COMPUTED_VALUE"""),"retail compass")</f>
        <v>retail compass</v>
      </c>
      <c r="B1100" s="6" t="str">
        <f>IFERROR(__xludf.DUMMYFUNCTION("""COMPUTED_VALUE"""),"Chile")</f>
        <v>Chile</v>
      </c>
      <c r="C1100" s="6" t="str">
        <f>IFERROR(__xludf.DUMMYFUNCTION("""COMPUTED_VALUE"""),"E-commerce")</f>
        <v>E-commerce</v>
      </c>
    </row>
    <row r="1101" hidden="1">
      <c r="A1101" s="6" t="str">
        <f>IFERROR(__xludf.DUMMYFUNCTION("""COMPUTED_VALUE"""),"alluxi")</f>
        <v>alluxi</v>
      </c>
      <c r="B1101" s="6" t="str">
        <f>IFERROR(__xludf.DUMMYFUNCTION("""COMPUTED_VALUE"""),"Estados Unidos")</f>
        <v>Estados Unidos</v>
      </c>
      <c r="C1101" s="6" t="str">
        <f>IFERROR(__xludf.DUMMYFUNCTION("""COMPUTED_VALUE"""),"Management Consulting")</f>
        <v>Management Consulting</v>
      </c>
    </row>
    <row r="1102" hidden="1">
      <c r="A1102" s="6" t="str">
        <f>IFERROR(__xludf.DUMMYFUNCTION("""COMPUTED_VALUE"""),"enerbit")</f>
        <v>enerbit</v>
      </c>
      <c r="B1102" s="6" t="str">
        <f>IFERROR(__xludf.DUMMYFUNCTION("""COMPUTED_VALUE"""),"Colombia")</f>
        <v>Colombia</v>
      </c>
      <c r="C1102" s="6" t="str">
        <f>IFERROR(__xludf.DUMMYFUNCTION("""COMPUTED_VALUE"""),"FMCG / Consumo masivo")</f>
        <v>FMCG / Consumo masivo</v>
      </c>
    </row>
    <row r="1103" hidden="1">
      <c r="A1103" s="6" t="str">
        <f>IFERROR(__xludf.DUMMYFUNCTION("""COMPUTED_VALUE"""),"active marketing inc")</f>
        <v>active marketing inc</v>
      </c>
      <c r="B1103" s="6" t="str">
        <f>IFERROR(__xludf.DUMMYFUNCTION("""COMPUTED_VALUE"""),"Estados Unidos")</f>
        <v>Estados Unidos</v>
      </c>
      <c r="C1103" s="6" t="str">
        <f>IFERROR(__xludf.DUMMYFUNCTION("""COMPUTED_VALUE"""),"Marketing &amp; Advertising")</f>
        <v>Marketing &amp; Advertising</v>
      </c>
    </row>
    <row r="1104" hidden="1">
      <c r="A1104" s="6" t="str">
        <f>IFERROR(__xludf.DUMMYFUNCTION("""COMPUTED_VALUE"""),"latblock")</f>
        <v>latblock</v>
      </c>
      <c r="B1104" s="6" t="str">
        <f>IFERROR(__xludf.DUMMYFUNCTION("""COMPUTED_VALUE"""),"Colombia")</f>
        <v>Colombia</v>
      </c>
      <c r="C1104" s="6" t="str">
        <f>IFERROR(__xludf.DUMMYFUNCTION("""COMPUTED_VALUE"""),"Software Factory / Staffing")</f>
        <v>Software Factory / Staffing</v>
      </c>
    </row>
    <row r="1105" hidden="1">
      <c r="A1105" s="6" t="str">
        <f>IFERROR(__xludf.DUMMYFUNCTION("""COMPUTED_VALUE"""),"auxo consulting ")</f>
        <v>auxo consulting </v>
      </c>
      <c r="B1105" s="6" t="str">
        <f>IFERROR(__xludf.DUMMYFUNCTION("""COMPUTED_VALUE"""),"Colombia")</f>
        <v>Colombia</v>
      </c>
      <c r="C1105" s="6" t="str">
        <f>IFERROR(__xludf.DUMMYFUNCTION("""COMPUTED_VALUE"""),"Blockchain, Crypto &amp; NFT")</f>
        <v>Blockchain, Crypto &amp; NFT</v>
      </c>
    </row>
    <row r="1106" hidden="1">
      <c r="A1106" s="6" t="str">
        <f>IFERROR(__xludf.DUMMYFUNCTION("""COMPUTED_VALUE"""),"findasense")</f>
        <v>findasense</v>
      </c>
      <c r="B1106" s="6" t="str">
        <f>IFERROR(__xludf.DUMMYFUNCTION("""COMPUTED_VALUE"""),"España")</f>
        <v>España</v>
      </c>
      <c r="C1106" s="6" t="str">
        <f>IFERROR(__xludf.DUMMYFUNCTION("""COMPUTED_VALUE"""),"Other")</f>
        <v>Other</v>
      </c>
    </row>
    <row r="1107" hidden="1">
      <c r="A1107" s="6" t="str">
        <f>IFERROR(__xludf.DUMMYFUNCTION("""COMPUTED_VALUE"""),"appstract")</f>
        <v>appstract</v>
      </c>
      <c r="B1107" s="6" t="str">
        <f>IFERROR(__xludf.DUMMYFUNCTION("""COMPUTED_VALUE"""),"Argentina")</f>
        <v>Argentina</v>
      </c>
      <c r="C1107" s="6" t="str">
        <f>IFERROR(__xludf.DUMMYFUNCTION("""COMPUTED_VALUE"""),"Marketing &amp; Advertising")</f>
        <v>Marketing &amp; Advertising</v>
      </c>
    </row>
    <row r="1108" hidden="1">
      <c r="A1108" s="6" t="str">
        <f>IFERROR(__xludf.DUMMYFUNCTION("""COMPUTED_VALUE"""),"invisible technologies")</f>
        <v>invisible technologies</v>
      </c>
      <c r="B1108" s="6" t="str">
        <f>IFERROR(__xludf.DUMMYFUNCTION("""COMPUTED_VALUE"""),"Estados Unidos")</f>
        <v>Estados Unidos</v>
      </c>
      <c r="C1108" s="6" t="str">
        <f>IFERROR(__xludf.DUMMYFUNCTION("""COMPUTED_VALUE"""),"Other")</f>
        <v>Other</v>
      </c>
    </row>
    <row r="1109" hidden="1">
      <c r="A1109" s="6" t="str">
        <f>IFERROR(__xludf.DUMMYFUNCTION("""COMPUTED_VALUE"""),"impronta it s.a.")</f>
        <v>impronta it s.a.</v>
      </c>
      <c r="B1109" s="6" t="str">
        <f>IFERROR(__xludf.DUMMYFUNCTION("""COMPUTED_VALUE"""),"Argentina")</f>
        <v>Argentina</v>
      </c>
      <c r="C1109" s="6" t="str">
        <f>IFERROR(__xludf.DUMMYFUNCTION("""COMPUTED_VALUE"""),"Management Consulting")</f>
        <v>Management Consulting</v>
      </c>
    </row>
    <row r="1110" hidden="1">
      <c r="A1110" s="6" t="str">
        <f>IFERROR(__xludf.DUMMYFUNCTION("""COMPUTED_VALUE"""),"grupo salinas")</f>
        <v>grupo salinas</v>
      </c>
      <c r="B1110" s="4"/>
      <c r="C1110" s="6" t="str">
        <f>IFERROR(__xludf.DUMMYFUNCTION("""COMPUTED_VALUE"""),"Banking &amp; Financial Servicies")</f>
        <v>Banking &amp; Financial Servicies</v>
      </c>
    </row>
    <row r="1111" hidden="1">
      <c r="A1111" s="6" t="str">
        <f>IFERROR(__xludf.DUMMYFUNCTION("""COMPUTED_VALUE"""),"trememote")</f>
        <v>trememote</v>
      </c>
      <c r="B1111" s="6" t="str">
        <f>IFERROR(__xludf.DUMMYFUNCTION("""COMPUTED_VALUE"""),"Argentina")</f>
        <v>Argentina</v>
      </c>
      <c r="C1111" s="6" t="str">
        <f>IFERROR(__xludf.DUMMYFUNCTION("""COMPUTED_VALUE"""),"Management Consulting")</f>
        <v>Management Consulting</v>
      </c>
    </row>
    <row r="1112" hidden="1">
      <c r="A1112" s="6" t="str">
        <f>IFERROR(__xludf.DUMMYFUNCTION("""COMPUTED_VALUE"""),"telecentro s.a.")</f>
        <v>telecentro s.a.</v>
      </c>
      <c r="B1112" s="6" t="str">
        <f>IFERROR(__xludf.DUMMYFUNCTION("""COMPUTED_VALUE"""),"Argentina")</f>
        <v>Argentina</v>
      </c>
      <c r="C1112" s="6" t="str">
        <f>IFERROR(__xludf.DUMMYFUNCTION("""COMPUTED_VALUE"""),"Media &amp; Communication")</f>
        <v>Media &amp; Communication</v>
      </c>
    </row>
    <row r="1113">
      <c r="A1113" s="6" t="str">
        <f>IFERROR(__xludf.DUMMYFUNCTION("""COMPUTED_VALUE"""),"mxmart")</f>
        <v>mxmart</v>
      </c>
      <c r="B1113" s="6" t="str">
        <f>IFERROR(__xludf.DUMMYFUNCTION("""COMPUTED_VALUE"""),"Mexico")</f>
        <v>Mexico</v>
      </c>
      <c r="C1113" s="6" t="str">
        <f>IFERROR(__xludf.DUMMYFUNCTION("""COMPUTED_VALUE"""),"Management Consulting")</f>
        <v>Management Consulting</v>
      </c>
    </row>
    <row r="1114">
      <c r="A1114" s="6" t="str">
        <f>IFERROR(__xludf.DUMMYFUNCTION("""COMPUTED_VALUE"""),"aplaz")</f>
        <v>aplaz</v>
      </c>
      <c r="B1114" s="6" t="str">
        <f>IFERROR(__xludf.DUMMYFUNCTION("""COMPUTED_VALUE"""),"Estados Unidos")</f>
        <v>Estados Unidos</v>
      </c>
      <c r="C1114" s="6" t="str">
        <f>IFERROR(__xludf.DUMMYFUNCTION("""COMPUTED_VALUE"""),"Human Resources")</f>
        <v>Human Resources</v>
      </c>
    </row>
    <row r="1115" hidden="1">
      <c r="A1115" s="6" t="str">
        <f>IFERROR(__xludf.DUMMYFUNCTION("""COMPUTED_VALUE"""),"adecco")</f>
        <v>adecco</v>
      </c>
      <c r="B1115" s="6" t="str">
        <f>IFERROR(__xludf.DUMMYFUNCTION("""COMPUTED_VALUE"""),"Argentina")</f>
        <v>Argentina</v>
      </c>
      <c r="C1115" s="6" t="str">
        <f>IFERROR(__xludf.DUMMYFUNCTION("""COMPUTED_VALUE"""),"Recruiting")</f>
        <v>Recruiting</v>
      </c>
    </row>
    <row r="1116" hidden="1">
      <c r="A1116" s="6" t="str">
        <f>IFERROR(__xludf.DUMMYFUNCTION("""COMPUTED_VALUE"""),"trully")</f>
        <v>trully</v>
      </c>
      <c r="B1116" s="6" t="str">
        <f>IFERROR(__xludf.DUMMYFUNCTION("""COMPUTED_VALUE"""),"mexico")</f>
        <v>mexico</v>
      </c>
      <c r="C1116" s="6" t="str">
        <f>IFERROR(__xludf.DUMMYFUNCTION("""COMPUTED_VALUE"""),"Cibersecurity")</f>
        <v>Cibersecurity</v>
      </c>
    </row>
    <row r="1117" hidden="1">
      <c r="A1117" s="6" t="str">
        <f>IFERROR(__xludf.DUMMYFUNCTION("""COMPUTED_VALUE"""),"tline")</f>
        <v>tline</v>
      </c>
      <c r="B1117" s="6" t="str">
        <f>IFERROR(__xludf.DUMMYFUNCTION("""COMPUTED_VALUE"""),"Argentina")</f>
        <v>Argentina</v>
      </c>
      <c r="C1117" s="6" t="str">
        <f>IFERROR(__xludf.DUMMYFUNCTION("""COMPUTED_VALUE"""),"Management Consulting")</f>
        <v>Management Consulting</v>
      </c>
    </row>
    <row r="1118" hidden="1">
      <c r="A1118" s="6" t="str">
        <f>IFERROR(__xludf.DUMMYFUNCTION("""COMPUTED_VALUE"""),"request s.a.")</f>
        <v>request s.a.</v>
      </c>
      <c r="B1118" s="6" t="str">
        <f>IFERROR(__xludf.DUMMYFUNCTION("""COMPUTED_VALUE"""),"Argentina")</f>
        <v>Argentina</v>
      </c>
      <c r="C1118" s="6" t="str">
        <f>IFERROR(__xludf.DUMMYFUNCTION("""COMPUTED_VALUE"""),"Software Factory / Staffing")</f>
        <v>Software Factory / Staffing</v>
      </c>
    </row>
    <row r="1119" hidden="1">
      <c r="A1119" s="6" t="str">
        <f>IFERROR(__xludf.DUMMYFUNCTION("""COMPUTED_VALUE"""),"evoluciona chile")</f>
        <v>evoluciona chile</v>
      </c>
      <c r="B1119" s="6" t="str">
        <f>IFERROR(__xludf.DUMMYFUNCTION("""COMPUTED_VALUE"""),"Chile")</f>
        <v>Chile</v>
      </c>
      <c r="C1119" s="6" t="str">
        <f>IFERROR(__xludf.DUMMYFUNCTION("""COMPUTED_VALUE"""),"Management Consulting")</f>
        <v>Management Consulting</v>
      </c>
    </row>
    <row r="1120" hidden="1">
      <c r="A1120" s="6" t="str">
        <f>IFERROR(__xludf.DUMMYFUNCTION("""COMPUTED_VALUE"""),"transformación digital consultores")</f>
        <v>transformación digital consultores</v>
      </c>
      <c r="B1120" s="6" t="str">
        <f>IFERROR(__xludf.DUMMYFUNCTION("""COMPUTED_VALUE"""),"Peru")</f>
        <v>Peru</v>
      </c>
      <c r="C1120" s="6" t="str">
        <f>IFERROR(__xludf.DUMMYFUNCTION("""COMPUTED_VALUE"""),"Marketing &amp; Advertising")</f>
        <v>Marketing &amp; Advertising</v>
      </c>
    </row>
    <row r="1121" hidden="1">
      <c r="A1121" s="6" t="str">
        <f>IFERROR(__xludf.DUMMYFUNCTION("""COMPUTED_VALUE"""),"personal pay")</f>
        <v>personal pay</v>
      </c>
      <c r="B1121" s="6" t="str">
        <f>IFERROR(__xludf.DUMMYFUNCTION("""COMPUTED_VALUE"""),"Argentina")</f>
        <v>Argentina</v>
      </c>
      <c r="C1121" s="6" t="str">
        <f>IFERROR(__xludf.DUMMYFUNCTION("""COMPUTED_VALUE"""),"Banking &amp; Financial Servicies")</f>
        <v>Banking &amp; Financial Servicies</v>
      </c>
    </row>
    <row r="1122" hidden="1">
      <c r="A1122" s="6" t="str">
        <f>IFERROR(__xludf.DUMMYFUNCTION("""COMPUTED_VALUE"""),"softbusiness sas")</f>
        <v>softbusiness sas</v>
      </c>
      <c r="B1122" s="6" t="str">
        <f>IFERROR(__xludf.DUMMYFUNCTION("""COMPUTED_VALUE"""),"Guatemala")</f>
        <v>Guatemala</v>
      </c>
      <c r="C1122" s="6" t="str">
        <f>IFERROR(__xludf.DUMMYFUNCTION("""COMPUTED_VALUE"""),"Management Consulting")</f>
        <v>Management Consulting</v>
      </c>
    </row>
    <row r="1123" hidden="1">
      <c r="A1123" s="6" t="str">
        <f>IFERROR(__xludf.DUMMYFUNCTION("""COMPUTED_VALUE"""),"banana software")</f>
        <v>banana software</v>
      </c>
      <c r="B1123" s="6" t="str">
        <f>IFERROR(__xludf.DUMMYFUNCTION("""COMPUTED_VALUE"""),"Argentina")</f>
        <v>Argentina</v>
      </c>
      <c r="C1123" s="6" t="str">
        <f>IFERROR(__xludf.DUMMYFUNCTION("""COMPUTED_VALUE"""),"Management Consulting")</f>
        <v>Management Consulting</v>
      </c>
    </row>
    <row r="1124" hidden="1">
      <c r="A1124" s="6" t="str">
        <f>IFERROR(__xludf.DUMMYFUNCTION("""COMPUTED_VALUE"""),"bancar tecnología ualá")</f>
        <v>bancar tecnología ualá</v>
      </c>
      <c r="B1124" s="4"/>
      <c r="C1124" s="4"/>
    </row>
    <row r="1125" hidden="1">
      <c r="A1125" s="6" t="str">
        <f>IFERROR(__xludf.DUMMYFUNCTION("""COMPUTED_VALUE"""),"ingenian software")</f>
        <v>ingenian software</v>
      </c>
      <c r="B1125" s="6" t="str">
        <f>IFERROR(__xludf.DUMMYFUNCTION("""COMPUTED_VALUE"""),"Colombia")</f>
        <v>Colombia</v>
      </c>
      <c r="C1125" s="6" t="str">
        <f>IFERROR(__xludf.DUMMYFUNCTION("""COMPUTED_VALUE"""),"Management Consulting")</f>
        <v>Management Consulting</v>
      </c>
    </row>
    <row r="1126" hidden="1">
      <c r="A1126" s="6" t="str">
        <f>IFERROR(__xludf.DUMMYFUNCTION("""COMPUTED_VALUE"""),"zenvia")</f>
        <v>zenvia</v>
      </c>
      <c r="B1126" s="6" t="str">
        <f>IFERROR(__xludf.DUMMYFUNCTION("""COMPUTED_VALUE"""),"Brasil")</f>
        <v>Brasil</v>
      </c>
      <c r="C1126" s="6" t="str">
        <f>IFERROR(__xludf.DUMMYFUNCTION("""COMPUTED_VALUE"""),"Management Consulting")</f>
        <v>Management Consulting</v>
      </c>
    </row>
    <row r="1127" hidden="1">
      <c r="A1127" s="6" t="str">
        <f>IFERROR(__xludf.DUMMYFUNCTION("""COMPUTED_VALUE"""),"westnet internet")</f>
        <v>westnet internet</v>
      </c>
      <c r="B1127" s="4"/>
      <c r="C1127" s="6" t="str">
        <f>IFERROR(__xludf.DUMMYFUNCTION("""COMPUTED_VALUE"""),"Messaging and Telecommunications")</f>
        <v>Messaging and Telecommunications</v>
      </c>
    </row>
    <row r="1128" hidden="1">
      <c r="A1128" s="6" t="str">
        <f>IFERROR(__xludf.DUMMYFUNCTION("""COMPUTED_VALUE"""),"banco provincia del neuquen s.a.")</f>
        <v>banco provincia del neuquen s.a.</v>
      </c>
      <c r="B1128" s="6" t="str">
        <f>IFERROR(__xludf.DUMMYFUNCTION("""COMPUTED_VALUE"""),"Argentina")</f>
        <v>Argentina</v>
      </c>
      <c r="C1128" s="6" t="str">
        <f>IFERROR(__xludf.DUMMYFUNCTION("""COMPUTED_VALUE"""),"Banking &amp; Financial Servicies")</f>
        <v>Banking &amp; Financial Servicies</v>
      </c>
    </row>
    <row r="1129" hidden="1">
      <c r="A1129" s="6" t="str">
        <f>IFERROR(__xludf.DUMMYFUNCTION("""COMPUTED_VALUE"""),"nec de colombia")</f>
        <v>nec de colombia</v>
      </c>
      <c r="B1129" s="6" t="str">
        <f>IFERROR(__xludf.DUMMYFUNCTION("""COMPUTED_VALUE"""),"Colombia")</f>
        <v>Colombia</v>
      </c>
      <c r="C1129" s="6" t="str">
        <f>IFERROR(__xludf.DUMMYFUNCTION("""COMPUTED_VALUE"""),"Management Consulting")</f>
        <v>Management Consulting</v>
      </c>
    </row>
    <row r="1130" hidden="1">
      <c r="A1130" s="6" t="str">
        <f>IFERROR(__xludf.DUMMYFUNCTION("""COMPUTED_VALUE"""),"guayerd")</f>
        <v>guayerd</v>
      </c>
      <c r="B1130" s="6" t="str">
        <f>IFERROR(__xludf.DUMMYFUNCTION("""COMPUTED_VALUE"""),"Argentina")</f>
        <v>Argentina</v>
      </c>
      <c r="C1130" s="6" t="str">
        <f>IFERROR(__xludf.DUMMYFUNCTION("""COMPUTED_VALUE"""),"Education &amp; Edtech")</f>
        <v>Education &amp; Edtech</v>
      </c>
    </row>
    <row r="1131" hidden="1">
      <c r="A1131" s="6" t="str">
        <f>IFERROR(__xludf.DUMMYFUNCTION("""COMPUTED_VALUE"""),"andreani")</f>
        <v>andreani</v>
      </c>
      <c r="B1131" s="6" t="str">
        <f>IFERROR(__xludf.DUMMYFUNCTION("""COMPUTED_VALUE"""),"Argentina")</f>
        <v>Argentina</v>
      </c>
      <c r="C1131" s="6" t="str">
        <f>IFERROR(__xludf.DUMMYFUNCTION("""COMPUTED_VALUE"""),"Logistics")</f>
        <v>Logistics</v>
      </c>
    </row>
    <row r="1132" hidden="1">
      <c r="A1132" s="6" t="str">
        <f>IFERROR(__xludf.DUMMYFUNCTION("""COMPUTED_VALUE"""),"sophos")</f>
        <v>sophos</v>
      </c>
      <c r="B1132" s="6" t="str">
        <f>IFERROR(__xludf.DUMMYFUNCTION("""COMPUTED_VALUE"""),"Inglaterra")</f>
        <v>Inglaterra</v>
      </c>
      <c r="C1132" s="6" t="str">
        <f>IFERROR(__xludf.DUMMYFUNCTION("""COMPUTED_VALUE"""),"Cibersecurity")</f>
        <v>Cibersecurity</v>
      </c>
    </row>
    <row r="1133" hidden="1">
      <c r="A1133" s="6" t="str">
        <f>IFERROR(__xludf.DUMMYFUNCTION("""COMPUTED_VALUE"""),"cencosud sa")</f>
        <v>cencosud sa</v>
      </c>
      <c r="B1133" s="6" t="str">
        <f>IFERROR(__xludf.DUMMYFUNCTION("""COMPUTED_VALUE"""),"China")</f>
        <v>China</v>
      </c>
      <c r="C1133" s="6" t="str">
        <f>IFERROR(__xludf.DUMMYFUNCTION("""COMPUTED_VALUE"""),"Other")</f>
        <v>Other</v>
      </c>
    </row>
    <row r="1134" hidden="1">
      <c r="A1134" s="6" t="str">
        <f>IFERROR(__xludf.DUMMYFUNCTION("""COMPUTED_VALUE"""),"pronova ")</f>
        <v>pronova </v>
      </c>
      <c r="B1134" s="6" t="str">
        <f>IFERROR(__xludf.DUMMYFUNCTION("""COMPUTED_VALUE"""),"Argentina")</f>
        <v>Argentina</v>
      </c>
      <c r="C1134" s="6" t="str">
        <f>IFERROR(__xludf.DUMMYFUNCTION("""COMPUTED_VALUE"""),"Health")</f>
        <v>Health</v>
      </c>
    </row>
    <row r="1135" hidden="1">
      <c r="A1135" s="6" t="str">
        <f>IFERROR(__xludf.DUMMYFUNCTION("""COMPUTED_VALUE"""),"sms")</f>
        <v>sms</v>
      </c>
      <c r="B1135" s="6" t="str">
        <f>IFERROR(__xludf.DUMMYFUNCTION("""COMPUTED_VALUE"""),"Argentina")</f>
        <v>Argentina</v>
      </c>
      <c r="C1135" s="6" t="str">
        <f>IFERROR(__xludf.DUMMYFUNCTION("""COMPUTED_VALUE"""),"Banking &amp; Financial Servicies")</f>
        <v>Banking &amp; Financial Servicies</v>
      </c>
    </row>
    <row r="1136" hidden="1">
      <c r="A1136" s="6" t="str">
        <f>IFERROR(__xludf.DUMMYFUNCTION("""COMPUTED_VALUE"""),"hahn software")</f>
        <v>hahn software</v>
      </c>
      <c r="B1136" s="6" t="str">
        <f>IFERROR(__xludf.DUMMYFUNCTION("""COMPUTED_VALUE"""),"Alemania")</f>
        <v>Alemania</v>
      </c>
      <c r="C1136" s="6" t="str">
        <f>IFERROR(__xludf.DUMMYFUNCTION("""COMPUTED_VALUE"""),"Software Factory / Staffing")</f>
        <v>Software Factory / Staffing</v>
      </c>
    </row>
    <row r="1137" hidden="1">
      <c r="A1137" s="6" t="str">
        <f>IFERROR(__xludf.DUMMYFUNCTION("""COMPUTED_VALUE"""),"finoservices s.a.s")</f>
        <v>finoservices s.a.s</v>
      </c>
      <c r="B1137" s="6" t="str">
        <f>IFERROR(__xludf.DUMMYFUNCTION("""COMPUTED_VALUE"""),"Colombia")</f>
        <v>Colombia</v>
      </c>
      <c r="C1137" s="6" t="str">
        <f>IFERROR(__xludf.DUMMYFUNCTION("""COMPUTED_VALUE"""),"Management Consulting")</f>
        <v>Management Consulting</v>
      </c>
    </row>
    <row r="1138" hidden="1">
      <c r="A1138" s="6" t="str">
        <f>IFERROR(__xludf.DUMMYFUNCTION("""COMPUTED_VALUE"""),"bitech")</f>
        <v>bitech</v>
      </c>
      <c r="B1138" s="6" t="str">
        <f>IFERROR(__xludf.DUMMYFUNCTION("""COMPUTED_VALUE"""),"Argentina")</f>
        <v>Argentina</v>
      </c>
      <c r="C1138" s="6" t="str">
        <f>IFERROR(__xludf.DUMMYFUNCTION("""COMPUTED_VALUE"""),"Hardware")</f>
        <v>Hardware</v>
      </c>
    </row>
    <row r="1139" hidden="1">
      <c r="A1139" s="6" t="str">
        <f>IFERROR(__xludf.DUMMYFUNCTION("""COMPUTED_VALUE"""),"tyerra")</f>
        <v>tyerra</v>
      </c>
      <c r="B1139" s="6" t="str">
        <f>IFERROR(__xludf.DUMMYFUNCTION("""COMPUTED_VALUE"""),"Mexico")</f>
        <v>Mexico</v>
      </c>
      <c r="C1139" s="6" t="str">
        <f>IFERROR(__xludf.DUMMYFUNCTION("""COMPUTED_VALUE"""),"Other")</f>
        <v>Other</v>
      </c>
    </row>
    <row r="1140" hidden="1">
      <c r="A1140" s="6" t="str">
        <f>IFERROR(__xludf.DUMMYFUNCTION("""COMPUTED_VALUE"""),"laura warjan")</f>
        <v>laura warjan</v>
      </c>
      <c r="B1140" s="6" t="str">
        <f>IFERROR(__xludf.DUMMYFUNCTION("""COMPUTED_VALUE"""),"Polonia")</f>
        <v>Polonia</v>
      </c>
      <c r="C1140" s="6" t="str">
        <f>IFERROR(__xludf.DUMMYFUNCTION("""COMPUTED_VALUE"""),"Software Factory / Staffing")</f>
        <v>Software Factory / Staffing</v>
      </c>
    </row>
    <row r="1141" hidden="1">
      <c r="A1141" s="6" t="str">
        <f>IFERROR(__xludf.DUMMYFUNCTION("""COMPUTED_VALUE"""),"q4")</f>
        <v>q4</v>
      </c>
      <c r="B1141" s="6" t="str">
        <f>IFERROR(__xludf.DUMMYFUNCTION("""COMPUTED_VALUE"""),"Canada")</f>
        <v>Canada</v>
      </c>
      <c r="C1141" s="6" t="str">
        <f>IFERROR(__xludf.DUMMYFUNCTION("""COMPUTED_VALUE"""),"SaaS")</f>
        <v>SaaS</v>
      </c>
    </row>
    <row r="1142" hidden="1">
      <c r="A1142" s="6" t="str">
        <f>IFERROR(__xludf.DUMMYFUNCTION("""COMPUTED_VALUE"""),"ingertec")</f>
        <v>ingertec</v>
      </c>
      <c r="B1142" s="6" t="str">
        <f>IFERROR(__xludf.DUMMYFUNCTION("""COMPUTED_VALUE"""),"Argentina")</f>
        <v>Argentina</v>
      </c>
      <c r="C1142" s="6" t="str">
        <f>IFERROR(__xludf.DUMMYFUNCTION("""COMPUTED_VALUE"""),"Management Consulting")</f>
        <v>Management Consulting</v>
      </c>
    </row>
    <row r="1143" hidden="1">
      <c r="A1143" s="6" t="str">
        <f>IFERROR(__xludf.DUMMYFUNCTION("""COMPUTED_VALUE"""),"inein")</f>
        <v>inein</v>
      </c>
      <c r="B1143" s="4"/>
      <c r="C1143" s="6" t="str">
        <f>IFERROR(__xludf.DUMMYFUNCTION("""COMPUTED_VALUE"""),"Messaging and Telecommunications")</f>
        <v>Messaging and Telecommunications</v>
      </c>
    </row>
    <row r="1144" hidden="1">
      <c r="A1144" s="6" t="str">
        <f>IFERROR(__xludf.DUMMYFUNCTION("""COMPUTED_VALUE"""),"turing")</f>
        <v>turing</v>
      </c>
      <c r="B1144" s="6" t="str">
        <f>IFERROR(__xludf.DUMMYFUNCTION("""COMPUTED_VALUE"""),"Estados Unidos")</f>
        <v>Estados Unidos</v>
      </c>
      <c r="C1144" s="6" t="str">
        <f>IFERROR(__xludf.DUMMYFUNCTION("""COMPUTED_VALUE"""),"Recruiting")</f>
        <v>Recruiting</v>
      </c>
    </row>
    <row r="1145" hidden="1">
      <c r="A1145" s="6" t="str">
        <f>IFERROR(__xludf.DUMMYFUNCTION("""COMPUTED_VALUE"""),"it4")</f>
        <v>it4</v>
      </c>
      <c r="B1145" s="6" t="str">
        <f>IFERROR(__xludf.DUMMYFUNCTION("""COMPUTED_VALUE"""),"Argentina")</f>
        <v>Argentina</v>
      </c>
      <c r="C1145" s="6" t="str">
        <f>IFERROR(__xludf.DUMMYFUNCTION("""COMPUTED_VALUE"""),"Management Consulting")</f>
        <v>Management Consulting</v>
      </c>
    </row>
    <row r="1146" hidden="1">
      <c r="A1146" s="6" t="str">
        <f>IFERROR(__xludf.DUMMYFUNCTION("""COMPUTED_VALUE"""),"primerosystems")</f>
        <v>primerosystems</v>
      </c>
      <c r="B1146" s="6" t="str">
        <f>IFERROR(__xludf.DUMMYFUNCTION("""COMPUTED_VALUE"""),"Estados Unidos")</f>
        <v>Estados Unidos</v>
      </c>
      <c r="C1146" s="6" t="str">
        <f>IFERROR(__xludf.DUMMYFUNCTION("""COMPUTED_VALUE"""),"Health")</f>
        <v>Health</v>
      </c>
    </row>
    <row r="1147" hidden="1">
      <c r="A1147" s="6" t="str">
        <f>IFERROR(__xludf.DUMMYFUNCTION("""COMPUTED_VALUE"""),"lisicki litvin &amp; asociados")</f>
        <v>lisicki litvin &amp; asociados</v>
      </c>
      <c r="B1147" s="6" t="str">
        <f>IFERROR(__xludf.DUMMYFUNCTION("""COMPUTED_VALUE"""),"Argentina")</f>
        <v>Argentina</v>
      </c>
      <c r="C1147" s="6" t="str">
        <f>IFERROR(__xludf.DUMMYFUNCTION("""COMPUTED_VALUE"""),"Banking &amp; Financial Servicies")</f>
        <v>Banking &amp; Financial Servicies</v>
      </c>
    </row>
    <row r="1148" hidden="1">
      <c r="A1148" s="6" t="str">
        <f>IFERROR(__xludf.DUMMYFUNCTION("""COMPUTED_VALUE"""),"ada")</f>
        <v>ada</v>
      </c>
      <c r="B1148" s="6" t="str">
        <f>IFERROR(__xludf.DUMMYFUNCTION("""COMPUTED_VALUE"""),"Canada")</f>
        <v>Canada</v>
      </c>
      <c r="C1148" s="6" t="str">
        <f>IFERROR(__xludf.DUMMYFUNCTION("""COMPUTED_VALUE"""),"Artificil Intelligence")</f>
        <v>Artificil Intelligence</v>
      </c>
    </row>
    <row r="1149" hidden="1">
      <c r="A1149" s="6" t="str">
        <f>IFERROR(__xludf.DUMMYFUNCTION("""COMPUTED_VALUE"""),"ercolano hnos s.a.")</f>
        <v>ercolano hnos s.a.</v>
      </c>
      <c r="B1149" s="4"/>
      <c r="C1149" s="4"/>
    </row>
    <row r="1150" hidden="1">
      <c r="A1150" s="6" t="str">
        <f>IFERROR(__xludf.DUMMYFUNCTION("""COMPUTED_VALUE"""),"smartway srl")</f>
        <v>smartway srl</v>
      </c>
      <c r="B1150" s="6" t="str">
        <f>IFERROR(__xludf.DUMMYFUNCTION("""COMPUTED_VALUE"""),"Argentina")</f>
        <v>Argentina</v>
      </c>
      <c r="C1150" s="6" t="str">
        <f>IFERROR(__xludf.DUMMYFUNCTION("""COMPUTED_VALUE"""),"Software Factory / Staffing")</f>
        <v>Software Factory / Staffing</v>
      </c>
    </row>
    <row r="1151" hidden="1">
      <c r="A1151" s="6" t="str">
        <f>IFERROR(__xludf.DUMMYFUNCTION("""COMPUTED_VALUE"""),"eywa")</f>
        <v>eywa</v>
      </c>
      <c r="B1151" s="6" t="str">
        <f>IFERROR(__xludf.DUMMYFUNCTION("""COMPUTED_VALUE"""),"Argentina")</f>
        <v>Argentina</v>
      </c>
      <c r="C1151" s="6" t="str">
        <f>IFERROR(__xludf.DUMMYFUNCTION("""COMPUTED_VALUE"""),"Software Factory / Staffing")</f>
        <v>Software Factory / Staffing</v>
      </c>
    </row>
    <row r="1152" hidden="1">
      <c r="A1152" s="6" t="str">
        <f>IFERROR(__xludf.DUMMYFUNCTION("""COMPUTED_VALUE"""),"lightdata s.r.l")</f>
        <v>lightdata s.r.l</v>
      </c>
      <c r="B1152" s="6" t="str">
        <f>IFERROR(__xludf.DUMMYFUNCTION("""COMPUTED_VALUE"""),"Argentina")</f>
        <v>Argentina</v>
      </c>
      <c r="C1152" s="6" t="str">
        <f>IFERROR(__xludf.DUMMYFUNCTION("""COMPUTED_VALUE"""),"Logistics")</f>
        <v>Logistics</v>
      </c>
    </row>
    <row r="1153">
      <c r="A1153" s="6" t="str">
        <f>IFERROR(__xludf.DUMMYFUNCTION("""COMPUTED_VALUE"""),"envone srl")</f>
        <v>envone srl</v>
      </c>
      <c r="B1153" s="6" t="str">
        <f>IFERROR(__xludf.DUMMYFUNCTION("""COMPUTED_VALUE"""),"Argentina")</f>
        <v>Argentina</v>
      </c>
      <c r="C1153" s="6" t="str">
        <f>IFERROR(__xludf.DUMMYFUNCTION("""COMPUTED_VALUE"""),"Software Factory / Staffing")</f>
        <v>Software Factory / Staffing</v>
      </c>
    </row>
    <row r="1154" hidden="1">
      <c r="A1154" s="6" t="str">
        <f>IFERROR(__xludf.DUMMYFUNCTION("""COMPUTED_VALUE"""),"ministerio publico fiscal")</f>
        <v>ministerio publico fiscal</v>
      </c>
      <c r="B1154" s="6" t="str">
        <f>IFERROR(__xludf.DUMMYFUNCTION("""COMPUTED_VALUE"""),"Argentina")</f>
        <v>Argentina</v>
      </c>
      <c r="C1154" s="6" t="str">
        <f>IFERROR(__xludf.DUMMYFUNCTION("""COMPUTED_VALUE"""),"Public Center")</f>
        <v>Public Center</v>
      </c>
    </row>
    <row r="1155" hidden="1">
      <c r="A1155" s="6" t="str">
        <f>IFERROR(__xludf.DUMMYFUNCTION("""COMPUTED_VALUE"""),"ampexa s.a")</f>
        <v>ampexa s.a</v>
      </c>
      <c r="B1155" s="6" t="str">
        <f>IFERROR(__xludf.DUMMYFUNCTION("""COMPUTED_VALUE"""),"Argentina")</f>
        <v>Argentina</v>
      </c>
      <c r="C1155" s="6" t="str">
        <f>IFERROR(__xludf.DUMMYFUNCTION("""COMPUTED_VALUE"""),"Software Factory / Staffing")</f>
        <v>Software Factory / Staffing</v>
      </c>
    </row>
    <row r="1156" hidden="1">
      <c r="A1156" s="6" t="str">
        <f>IFERROR(__xludf.DUMMYFUNCTION("""COMPUTED_VALUE"""),"uanxor s.a.")</f>
        <v>uanxor s.a.</v>
      </c>
      <c r="B1156" s="4"/>
      <c r="C1156" s="4"/>
    </row>
    <row r="1157" hidden="1">
      <c r="A1157" s="6" t="str">
        <f>IFERROR(__xludf.DUMMYFUNCTION("""COMPUTED_VALUE"""),"iovlabs")</f>
        <v>iovlabs</v>
      </c>
      <c r="B1157" s="6" t="str">
        <f>IFERROR(__xludf.DUMMYFUNCTION("""COMPUTED_VALUE"""),"Gibraltar")</f>
        <v>Gibraltar</v>
      </c>
      <c r="C1157" s="6" t="str">
        <f>IFERROR(__xludf.DUMMYFUNCTION("""COMPUTED_VALUE"""),"Management Consulting")</f>
        <v>Management Consulting</v>
      </c>
    </row>
    <row r="1158" hidden="1">
      <c r="A1158" s="6" t="str">
        <f>IFERROR(__xludf.DUMMYFUNCTION("""COMPUTED_VALUE"""),"aptoclick")</f>
        <v>aptoclick</v>
      </c>
      <c r="B1158" s="6" t="str">
        <f>IFERROR(__xludf.DUMMYFUNCTION("""COMPUTED_VALUE"""),"Mexico")</f>
        <v>Mexico</v>
      </c>
      <c r="C1158" s="6" t="str">
        <f>IFERROR(__xludf.DUMMYFUNCTION("""COMPUTED_VALUE"""),"PropTech / Real State")</f>
        <v>PropTech / Real State</v>
      </c>
    </row>
    <row r="1159">
      <c r="A1159" s="6" t="str">
        <f>IFERROR(__xludf.DUMMYFUNCTION("""COMPUTED_VALUE"""),"banco santiago del estero")</f>
        <v>banco santiago del estero</v>
      </c>
      <c r="B1159" s="6" t="str">
        <f>IFERROR(__xludf.DUMMYFUNCTION("""COMPUTED_VALUE"""),"Argentina")</f>
        <v>Argentina</v>
      </c>
      <c r="C1159" s="6" t="str">
        <f>IFERROR(__xludf.DUMMYFUNCTION("""COMPUTED_VALUE"""),"Banking &amp; Financial Servicies")</f>
        <v>Banking &amp; Financial Servicies</v>
      </c>
    </row>
    <row r="1160" hidden="1">
      <c r="A1160" s="6" t="str">
        <f>IFERROR(__xludf.DUMMYFUNCTION("""COMPUTED_VALUE"""),"luis")</f>
        <v>luis</v>
      </c>
      <c r="B1160" s="6" t="str">
        <f>IFERROR(__xludf.DUMMYFUNCTION("""COMPUTED_VALUE"""),"España")</f>
        <v>España</v>
      </c>
      <c r="C1160" s="6" t="str">
        <f>IFERROR(__xludf.DUMMYFUNCTION("""COMPUTED_VALUE"""),"Construction")</f>
        <v>Construction</v>
      </c>
    </row>
    <row r="1161" hidden="1">
      <c r="A1161" s="6" t="str">
        <f>IFERROR(__xludf.DUMMYFUNCTION("""COMPUTED_VALUE"""),"cryztal zoom")</f>
        <v>cryztal zoom</v>
      </c>
      <c r="B1161" s="6" t="str">
        <f>IFERROR(__xludf.DUMMYFUNCTION("""COMPUTED_VALUE"""),"Argentina")</f>
        <v>Argentina</v>
      </c>
      <c r="C1161" s="6" t="str">
        <f>IFERROR(__xludf.DUMMYFUNCTION("""COMPUTED_VALUE"""),"Software Factory / Staffing")</f>
        <v>Software Factory / Staffing</v>
      </c>
    </row>
    <row r="1162">
      <c r="A1162" s="6" t="str">
        <f>IFERROR(__xludf.DUMMYFUNCTION("""COMPUTED_VALUE"""),"innapp")</f>
        <v>innapp</v>
      </c>
      <c r="B1162" s="6" t="str">
        <f>IFERROR(__xludf.DUMMYFUNCTION("""COMPUTED_VALUE"""),"Guatemala")</f>
        <v>Guatemala</v>
      </c>
      <c r="C1162" s="6" t="str">
        <f>IFERROR(__xludf.DUMMYFUNCTION("""COMPUTED_VALUE"""),"Software Factory / Staffing")</f>
        <v>Software Factory / Staffing</v>
      </c>
    </row>
    <row r="1163" hidden="1">
      <c r="A1163" s="6" t="str">
        <f>IFERROR(__xludf.DUMMYFUNCTION("""COMPUTED_VALUE"""),"robin ochoa(summus smart solutions group)")</f>
        <v>robin ochoa(summus smart solutions group)</v>
      </c>
      <c r="B1163" s="6" t="str">
        <f>IFERROR(__xludf.DUMMYFUNCTION("""COMPUTED_VALUE"""),"Estados Unidos")</f>
        <v>Estados Unidos</v>
      </c>
      <c r="C1163" s="6" t="str">
        <f>IFERROR(__xludf.DUMMYFUNCTION("""COMPUTED_VALUE"""),"Management Consulting")</f>
        <v>Management Consulting</v>
      </c>
    </row>
    <row r="1164" hidden="1">
      <c r="A1164" s="6" t="str">
        <f>IFERROR(__xludf.DUMMYFUNCTION("""COMPUTED_VALUE"""),"g&amp;l group")</f>
        <v>g&amp;l group</v>
      </c>
      <c r="B1164" s="6" t="str">
        <f>IFERROR(__xludf.DUMMYFUNCTION("""COMPUTED_VALUE"""),"Argentina")</f>
        <v>Argentina</v>
      </c>
      <c r="C1164" s="6" t="str">
        <f>IFERROR(__xludf.DUMMYFUNCTION("""COMPUTED_VALUE"""),"Software Factory / Staffing")</f>
        <v>Software Factory / Staffing</v>
      </c>
    </row>
    <row r="1165" hidden="1">
      <c r="A1165" s="6" t="str">
        <f>IFERROR(__xludf.DUMMYFUNCTION("""COMPUTED_VALUE"""),"be innovation tech")</f>
        <v>be innovation tech</v>
      </c>
      <c r="B1165" s="6" t="str">
        <f>IFERROR(__xludf.DUMMYFUNCTION("""COMPUTED_VALUE"""),"Argentina")</f>
        <v>Argentina</v>
      </c>
      <c r="C1165" s="6" t="str">
        <f>IFERROR(__xludf.DUMMYFUNCTION("""COMPUTED_VALUE"""),"Software Factory / Staffing")</f>
        <v>Software Factory / Staffing</v>
      </c>
    </row>
    <row r="1166" hidden="1">
      <c r="A1166" s="6" t="str">
        <f>IFERROR(__xludf.DUMMYFUNCTION("""COMPUTED_VALUE"""),"mangoodev")</f>
        <v>mangoodev</v>
      </c>
      <c r="B1166" s="6" t="str">
        <f>IFERROR(__xludf.DUMMYFUNCTION("""COMPUTED_VALUE"""),"Argentina")</f>
        <v>Argentina</v>
      </c>
      <c r="C1166" s="6" t="str">
        <f>IFERROR(__xludf.DUMMYFUNCTION("""COMPUTED_VALUE"""),"Management Consulting")</f>
        <v>Management Consulting</v>
      </c>
    </row>
    <row r="1167" hidden="1">
      <c r="A1167" s="6" t="str">
        <f>IFERROR(__xludf.DUMMYFUNCTION("""COMPUTED_VALUE"""),"footloose")</f>
        <v>footloose</v>
      </c>
      <c r="B1167" s="6" t="str">
        <f>IFERROR(__xludf.DUMMYFUNCTION("""COMPUTED_VALUE"""),"Peru")</f>
        <v>Peru</v>
      </c>
      <c r="C1167" s="6" t="str">
        <f>IFERROR(__xludf.DUMMYFUNCTION("""COMPUTED_VALUE"""),"Other")</f>
        <v>Other</v>
      </c>
    </row>
    <row r="1168" hidden="1">
      <c r="A1168" s="6" t="str">
        <f>IFERROR(__xludf.DUMMYFUNCTION("""COMPUTED_VALUE"""),"cohete")</f>
        <v>cohete</v>
      </c>
      <c r="B1168" s="6" t="str">
        <f>IFERROR(__xludf.DUMMYFUNCTION("""COMPUTED_VALUE"""),"Argentina")</f>
        <v>Argentina</v>
      </c>
      <c r="C1168" s="6" t="str">
        <f>IFERROR(__xludf.DUMMYFUNCTION("""COMPUTED_VALUE"""),"E-commerce")</f>
        <v>E-commerce</v>
      </c>
    </row>
    <row r="1169" hidden="1">
      <c r="A1169" s="6" t="str">
        <f>IFERROR(__xludf.DUMMYFUNCTION("""COMPUTED_VALUE"""),"alacua")</f>
        <v>alacua</v>
      </c>
      <c r="B1169" s="4"/>
      <c r="C1169" s="4"/>
    </row>
    <row r="1170" hidden="1">
      <c r="A1170" s="6" t="str">
        <f>IFERROR(__xludf.DUMMYFUNCTION("""COMPUTED_VALUE"""),"zoovet")</f>
        <v>zoovet</v>
      </c>
      <c r="B1170" s="6" t="str">
        <f>IFERROR(__xludf.DUMMYFUNCTION("""COMPUTED_VALUE"""),"Argentina")</f>
        <v>Argentina</v>
      </c>
      <c r="C1170" s="6" t="str">
        <f>IFERROR(__xludf.DUMMYFUNCTION("""COMPUTED_VALUE"""),"Other")</f>
        <v>Other</v>
      </c>
    </row>
    <row r="1171" hidden="1">
      <c r="A1171" s="6" t="str">
        <f>IFERROR(__xludf.DUMMYFUNCTION("""COMPUTED_VALUE"""),"totem technologies")</f>
        <v>totem technologies</v>
      </c>
      <c r="B1171" s="6" t="str">
        <f>IFERROR(__xludf.DUMMYFUNCTION("""COMPUTED_VALUE"""),"Estados Unidos")</f>
        <v>Estados Unidos</v>
      </c>
      <c r="C1171" s="6" t="str">
        <f>IFERROR(__xludf.DUMMYFUNCTION("""COMPUTED_VALUE"""),"Cibersecurity")</f>
        <v>Cibersecurity</v>
      </c>
    </row>
    <row r="1172" hidden="1">
      <c r="A1172" s="6" t="str">
        <f>IFERROR(__xludf.DUMMYFUNCTION("""COMPUTED_VALUE"""),"desarrollos nea")</f>
        <v>desarrollos nea</v>
      </c>
      <c r="B1172" s="6" t="str">
        <f>IFERROR(__xludf.DUMMYFUNCTION("""COMPUTED_VALUE"""),"Argentina")</f>
        <v>Argentina</v>
      </c>
      <c r="C1172" s="6" t="str">
        <f>IFERROR(__xludf.DUMMYFUNCTION("""COMPUTED_VALUE"""),"Management Consulting")</f>
        <v>Management Consulting</v>
      </c>
    </row>
    <row r="1173" hidden="1">
      <c r="A1173" s="6" t="str">
        <f>IFERROR(__xludf.DUMMYFUNCTION("""COMPUTED_VALUE"""),"pxsol")</f>
        <v>pxsol</v>
      </c>
      <c r="B1173" s="6" t="str">
        <f>IFERROR(__xludf.DUMMYFUNCTION("""COMPUTED_VALUE"""),"Argentina")</f>
        <v>Argentina</v>
      </c>
      <c r="C1173" s="6" t="str">
        <f>IFERROR(__xludf.DUMMYFUNCTION("""COMPUTED_VALUE"""),"Other")</f>
        <v>Other</v>
      </c>
    </row>
    <row r="1174" hidden="1">
      <c r="A1174" s="6" t="str">
        <f>IFERROR(__xludf.DUMMYFUNCTION("""COMPUTED_VALUE"""),"enviame")</f>
        <v>enviame</v>
      </c>
      <c r="B1174" s="6" t="str">
        <f>IFERROR(__xludf.DUMMYFUNCTION("""COMPUTED_VALUE"""),"Chile")</f>
        <v>Chile</v>
      </c>
      <c r="C1174" s="6" t="str">
        <f>IFERROR(__xludf.DUMMYFUNCTION("""COMPUTED_VALUE"""),"Software Factory / Staffing")</f>
        <v>Software Factory / Staffing</v>
      </c>
    </row>
    <row r="1175" hidden="1">
      <c r="A1175" s="6" t="str">
        <f>IFERROR(__xludf.DUMMYFUNCTION("""COMPUTED_VALUE"""),"romina sarmiento")</f>
        <v>romina sarmiento</v>
      </c>
      <c r="B1175" s="4"/>
      <c r="C1175" s="4"/>
    </row>
    <row r="1176" hidden="1">
      <c r="A1176" s="6" t="str">
        <f>IFERROR(__xludf.DUMMYFUNCTION("""COMPUTED_VALUE"""),"ventagium")</f>
        <v>ventagium</v>
      </c>
      <c r="B1176" s="6" t="str">
        <f>IFERROR(__xludf.DUMMYFUNCTION("""COMPUTED_VALUE"""),"mexico")</f>
        <v>mexico</v>
      </c>
      <c r="C1176" s="6" t="str">
        <f>IFERROR(__xludf.DUMMYFUNCTION("""COMPUTED_VALUE"""),"Data &amp; Analytics")</f>
        <v>Data &amp; Analytics</v>
      </c>
    </row>
    <row r="1177" hidden="1">
      <c r="A1177" s="6" t="str">
        <f>IFERROR(__xludf.DUMMYFUNCTION("""COMPUTED_VALUE"""),"senado de la nación")</f>
        <v>senado de la nación</v>
      </c>
      <c r="B1177" s="6" t="str">
        <f>IFERROR(__xludf.DUMMYFUNCTION("""COMPUTED_VALUE"""),"Argentina")</f>
        <v>Argentina</v>
      </c>
      <c r="C1177" s="6" t="str">
        <f>IFERROR(__xludf.DUMMYFUNCTION("""COMPUTED_VALUE"""),"Public Center")</f>
        <v>Public Center</v>
      </c>
    </row>
    <row r="1178" hidden="1">
      <c r="A1178" s="6" t="str">
        <f>IFERROR(__xludf.DUMMYFUNCTION("""COMPUTED_VALUE"""),"gehl")</f>
        <v>gehl</v>
      </c>
      <c r="B1178" s="6" t="str">
        <f>IFERROR(__xludf.DUMMYFUNCTION("""COMPUTED_VALUE"""),"Dinamarca")</f>
        <v>Dinamarca</v>
      </c>
      <c r="C1178" s="6" t="str">
        <f>IFERROR(__xludf.DUMMYFUNCTION("""COMPUTED_VALUE"""),"Other")</f>
        <v>Other</v>
      </c>
    </row>
    <row r="1179" hidden="1">
      <c r="A1179" s="6" t="str">
        <f>IFERROR(__xludf.DUMMYFUNCTION("""COMPUTED_VALUE"""),"el maizal")</f>
        <v>el maizal</v>
      </c>
      <c r="B1179" s="6" t="str">
        <f>IFERROR(__xludf.DUMMYFUNCTION("""COMPUTED_VALUE"""),"Argentina")</f>
        <v>Argentina</v>
      </c>
      <c r="C1179" s="6" t="str">
        <f>IFERROR(__xludf.DUMMYFUNCTION("""COMPUTED_VALUE"""),"Marketing &amp; Advertising")</f>
        <v>Marketing &amp; Advertising</v>
      </c>
    </row>
    <row r="1180" hidden="1">
      <c r="A1180" s="6" t="str">
        <f>IFERROR(__xludf.DUMMYFUNCTION("""COMPUTED_VALUE"""),"bernardo lew")</f>
        <v>bernardo lew</v>
      </c>
      <c r="B1180" s="6" t="str">
        <f>IFERROR(__xludf.DUMMYFUNCTION("""COMPUTED_VALUE"""),"Argentina")</f>
        <v>Argentina</v>
      </c>
      <c r="C1180" s="6" t="str">
        <f>IFERROR(__xludf.DUMMYFUNCTION("""COMPUTED_VALUE"""),"Health")</f>
        <v>Health</v>
      </c>
    </row>
    <row r="1181" hidden="1">
      <c r="A1181" s="6" t="str">
        <f>IFERROR(__xludf.DUMMYFUNCTION("""COMPUTED_VALUE"""),"boreal technologies")</f>
        <v>boreal technologies</v>
      </c>
      <c r="B1181" s="6" t="str">
        <f>IFERROR(__xludf.DUMMYFUNCTION("""COMPUTED_VALUE"""),"Estados Unidos")</f>
        <v>Estados Unidos</v>
      </c>
      <c r="C1181" s="6" t="str">
        <f>IFERROR(__xludf.DUMMYFUNCTION("""COMPUTED_VALUE"""),"Data &amp; Analytics")</f>
        <v>Data &amp; Analytics</v>
      </c>
    </row>
    <row r="1182" hidden="1">
      <c r="A1182" s="6" t="str">
        <f>IFERROR(__xludf.DUMMYFUNCTION("""COMPUTED_VALUE"""),"devlabs")</f>
        <v>devlabs</v>
      </c>
      <c r="B1182" s="6" t="str">
        <f>IFERROR(__xludf.DUMMYFUNCTION("""COMPUTED_VALUE"""),"Estados Unidos")</f>
        <v>Estados Unidos</v>
      </c>
      <c r="C1182" s="6" t="str">
        <f>IFERROR(__xludf.DUMMYFUNCTION("""COMPUTED_VALUE"""),"Software Factory / Staffing")</f>
        <v>Software Factory / Staffing</v>
      </c>
    </row>
    <row r="1183" hidden="1">
      <c r="A1183" s="6" t="str">
        <f>IFERROR(__xludf.DUMMYFUNCTION("""COMPUTED_VALUE"""),"wippie")</f>
        <v>wippie</v>
      </c>
      <c r="B1183" s="6" t="str">
        <f>IFERROR(__xludf.DUMMYFUNCTION("""COMPUTED_VALUE"""),"Argentina")</f>
        <v>Argentina</v>
      </c>
      <c r="C1183" s="6" t="str">
        <f>IFERROR(__xludf.DUMMYFUNCTION("""COMPUTED_VALUE"""),"Marketing &amp; Advertising")</f>
        <v>Marketing &amp; Advertising</v>
      </c>
    </row>
    <row r="1184" hidden="1">
      <c r="A1184" s="6" t="str">
        <f>IFERROR(__xludf.DUMMYFUNCTION("""COMPUTED_VALUE"""),"bitnovo")</f>
        <v>bitnovo</v>
      </c>
      <c r="B1184" s="6" t="str">
        <f>IFERROR(__xludf.DUMMYFUNCTION("""COMPUTED_VALUE"""),"España")</f>
        <v>España</v>
      </c>
      <c r="C1184" s="6" t="str">
        <f>IFERROR(__xludf.DUMMYFUNCTION("""COMPUTED_VALUE"""),"Banking &amp; Financial Servicies")</f>
        <v>Banking &amp; Financial Servicies</v>
      </c>
    </row>
    <row r="1185" hidden="1">
      <c r="A1185" s="6" t="str">
        <f>IFERROR(__xludf.DUMMYFUNCTION("""COMPUTED_VALUE"""),"pigmalion software")</f>
        <v>pigmalion software</v>
      </c>
      <c r="B1185" s="6" t="str">
        <f>IFERROR(__xludf.DUMMYFUNCTION("""COMPUTED_VALUE"""),"Argentina")</f>
        <v>Argentina</v>
      </c>
      <c r="C1185" s="6" t="str">
        <f>IFERROR(__xludf.DUMMYFUNCTION("""COMPUTED_VALUE"""),"Software Factory / Staffing")</f>
        <v>Software Factory / Staffing</v>
      </c>
    </row>
    <row r="1186" hidden="1">
      <c r="A1186" s="6" t="str">
        <f>IFERROR(__xludf.DUMMYFUNCTION("""COMPUTED_VALUE"""),"universidad católica de salta")</f>
        <v>universidad católica de salta</v>
      </c>
      <c r="B1186" s="6" t="str">
        <f>IFERROR(__xludf.DUMMYFUNCTION("""COMPUTED_VALUE"""),"Argentina")</f>
        <v>Argentina</v>
      </c>
      <c r="C1186" s="6" t="str">
        <f>IFERROR(__xludf.DUMMYFUNCTION("""COMPUTED_VALUE"""),"Education &amp; Edtech")</f>
        <v>Education &amp; Edtech</v>
      </c>
    </row>
    <row r="1187" hidden="1">
      <c r="A1187" s="6" t="str">
        <f>IFERROR(__xludf.DUMMYFUNCTION("""COMPUTED_VALUE"""),"vibra gaming")</f>
        <v>vibra gaming</v>
      </c>
      <c r="B1187" s="6" t="str">
        <f>IFERROR(__xludf.DUMMYFUNCTION("""COMPUTED_VALUE"""),"Argentina")</f>
        <v>Argentina</v>
      </c>
      <c r="C1187" s="6" t="str">
        <f>IFERROR(__xludf.DUMMYFUNCTION("""COMPUTED_VALUE"""),"Other")</f>
        <v>Other</v>
      </c>
    </row>
    <row r="1188" hidden="1">
      <c r="A1188" s="6" t="str">
        <f>IFERROR(__xludf.DUMMYFUNCTION("""COMPUTED_VALUE"""),"helpcom")</f>
        <v>helpcom</v>
      </c>
      <c r="B1188" s="6" t="str">
        <f>IFERROR(__xludf.DUMMYFUNCTION("""COMPUTED_VALUE"""),"Chile")</f>
        <v>Chile</v>
      </c>
      <c r="C1188" s="6" t="str">
        <f>IFERROR(__xludf.DUMMYFUNCTION("""COMPUTED_VALUE"""),"Management Consulting")</f>
        <v>Management Consulting</v>
      </c>
    </row>
    <row r="1189" hidden="1">
      <c r="A1189" s="6" t="str">
        <f>IFERROR(__xludf.DUMMYFUNCTION("""COMPUTED_VALUE"""),"latin american education")</f>
        <v>latin american education</v>
      </c>
      <c r="B1189" s="6" t="str">
        <f>IFERROR(__xludf.DUMMYFUNCTION("""COMPUTED_VALUE"""),"Colombia")</f>
        <v>Colombia</v>
      </c>
      <c r="C1189" s="6" t="str">
        <f>IFERROR(__xludf.DUMMYFUNCTION("""COMPUTED_VALUE"""),"Education &amp; Edtech")</f>
        <v>Education &amp; Edtech</v>
      </c>
    </row>
    <row r="1190" hidden="1">
      <c r="A1190" s="6" t="str">
        <f>IFERROR(__xludf.DUMMYFUNCTION("""COMPUTED_VALUE"""),"gelt")</f>
        <v>gelt</v>
      </c>
      <c r="B1190" s="6" t="str">
        <f>IFERROR(__xludf.DUMMYFUNCTION("""COMPUTED_VALUE"""),"España")</f>
        <v>España</v>
      </c>
      <c r="C1190" s="6" t="str">
        <f>IFERROR(__xludf.DUMMYFUNCTION("""COMPUTED_VALUE"""),"Software Factory / Staffing")</f>
        <v>Software Factory / Staffing</v>
      </c>
    </row>
    <row r="1191" hidden="1">
      <c r="A1191" s="6" t="str">
        <f>IFERROR(__xludf.DUMMYFUNCTION("""COMPUTED_VALUE"""),"departamento administrativo nacional de estadísticas")</f>
        <v>departamento administrativo nacional de estadísticas</v>
      </c>
      <c r="B1191" s="6" t="str">
        <f>IFERROR(__xludf.DUMMYFUNCTION("""COMPUTED_VALUE"""),"Colombia")</f>
        <v>Colombia</v>
      </c>
      <c r="C1191" s="6" t="str">
        <f>IFERROR(__xludf.DUMMYFUNCTION("""COMPUTED_VALUE"""),"Data &amp; Analytics")</f>
        <v>Data &amp; Analytics</v>
      </c>
    </row>
    <row r="1192" hidden="1">
      <c r="A1192" s="6" t="str">
        <f>IFERROR(__xludf.DUMMYFUNCTION("""COMPUTED_VALUE"""),"unosquare")</f>
        <v>unosquare</v>
      </c>
      <c r="B1192" s="6" t="str">
        <f>IFERROR(__xludf.DUMMYFUNCTION("""COMPUTED_VALUE"""),"Estados Unidos")</f>
        <v>Estados Unidos</v>
      </c>
      <c r="C1192" s="6" t="str">
        <f>IFERROR(__xludf.DUMMYFUNCTION("""COMPUTED_VALUE"""),"Management Consulting")</f>
        <v>Management Consulting</v>
      </c>
    </row>
    <row r="1193" hidden="1">
      <c r="A1193" s="6" t="str">
        <f>IFERROR(__xludf.DUMMYFUNCTION("""COMPUTED_VALUE"""),"atygg")</f>
        <v>atygg</v>
      </c>
      <c r="B1193" s="6" t="str">
        <f>IFERROR(__xludf.DUMMYFUNCTION("""COMPUTED_VALUE"""),"Argentina")</f>
        <v>Argentina</v>
      </c>
      <c r="C1193" s="6" t="str">
        <f>IFERROR(__xludf.DUMMYFUNCTION("""COMPUTED_VALUE"""),"Software Factory / Staffing")</f>
        <v>Software Factory / Staffing</v>
      </c>
    </row>
    <row r="1194">
      <c r="A1194" s="6" t="str">
        <f>IFERROR(__xludf.DUMMYFUNCTION("""COMPUTED_VALUE"""),"health management solutions")</f>
        <v>health management solutions</v>
      </c>
      <c r="B1194" s="6" t="str">
        <f>IFERROR(__xludf.DUMMYFUNCTION("""COMPUTED_VALUE"""),"Argentina")</f>
        <v>Argentina</v>
      </c>
      <c r="C1194" s="6" t="str">
        <f>IFERROR(__xludf.DUMMYFUNCTION("""COMPUTED_VALUE"""),"Health")</f>
        <v>Health</v>
      </c>
    </row>
    <row r="1195" hidden="1">
      <c r="A1195" s="6" t="str">
        <f>IFERROR(__xludf.DUMMYFUNCTION("""COMPUTED_VALUE"""),"babyback")</f>
        <v>babyback</v>
      </c>
      <c r="B1195" s="6" t="str">
        <f>IFERROR(__xludf.DUMMYFUNCTION("""COMPUTED_VALUE"""),"Argentina")</f>
        <v>Argentina</v>
      </c>
      <c r="C1195" s="6" t="str">
        <f>IFERROR(__xludf.DUMMYFUNCTION("""COMPUTED_VALUE"""),"Other")</f>
        <v>Other</v>
      </c>
    </row>
    <row r="1196" hidden="1">
      <c r="A1196" s="6" t="str">
        <f>IFERROR(__xludf.DUMMYFUNCTION("""COMPUTED_VALUE"""),"afluenta")</f>
        <v>afluenta</v>
      </c>
      <c r="B1196" s="6" t="str">
        <f>IFERROR(__xludf.DUMMYFUNCTION("""COMPUTED_VALUE"""),"Argentina")</f>
        <v>Argentina</v>
      </c>
      <c r="C1196" s="6" t="str">
        <f>IFERROR(__xludf.DUMMYFUNCTION("""COMPUTED_VALUE"""),"Banking &amp; Financial Servicies")</f>
        <v>Banking &amp; Financial Servicies</v>
      </c>
    </row>
    <row r="1197" hidden="1">
      <c r="A1197" s="6" t="str">
        <f>IFERROR(__xludf.DUMMYFUNCTION("""COMPUTED_VALUE"""),"cactiuz")</f>
        <v>cactiuz</v>
      </c>
      <c r="B1197" s="6" t="str">
        <f>IFERROR(__xludf.DUMMYFUNCTION("""COMPUTED_VALUE"""),"Argentina")</f>
        <v>Argentina</v>
      </c>
      <c r="C1197" s="6" t="str">
        <f>IFERROR(__xludf.DUMMYFUNCTION("""COMPUTED_VALUE"""),"Marketing &amp; Advertising")</f>
        <v>Marketing &amp; Advertising</v>
      </c>
    </row>
    <row r="1198" hidden="1">
      <c r="A1198" s="6" t="str">
        <f>IFERROR(__xludf.DUMMYFUNCTION("""COMPUTED_VALUE"""),"ministerio de educación")</f>
        <v>ministerio de educación</v>
      </c>
      <c r="B1198" s="6" t="str">
        <f>IFERROR(__xludf.DUMMYFUNCTION("""COMPUTED_VALUE"""),"Argentina")</f>
        <v>Argentina</v>
      </c>
      <c r="C1198" s="6" t="str">
        <f>IFERROR(__xludf.DUMMYFUNCTION("""COMPUTED_VALUE"""),"Public Center")</f>
        <v>Public Center</v>
      </c>
    </row>
    <row r="1199" hidden="1">
      <c r="A1199" s="6" t="str">
        <f>IFERROR(__xludf.DUMMYFUNCTION("""COMPUTED_VALUE"""),"jubbler technologies")</f>
        <v>jubbler technologies</v>
      </c>
      <c r="B1199" s="6" t="str">
        <f>IFERROR(__xludf.DUMMYFUNCTION("""COMPUTED_VALUE"""),"Argentina")</f>
        <v>Argentina</v>
      </c>
      <c r="C1199" s="6" t="str">
        <f>IFERROR(__xludf.DUMMYFUNCTION("""COMPUTED_VALUE"""),"Software Factory / Staffing")</f>
        <v>Software Factory / Staffing</v>
      </c>
    </row>
    <row r="1200" hidden="1">
      <c r="A1200" s="6" t="str">
        <f>IFERROR(__xludf.DUMMYFUNCTION("""COMPUTED_VALUE"""),"skill-on")</f>
        <v>skill-on</v>
      </c>
      <c r="B1200" s="6" t="str">
        <f>IFERROR(__xludf.DUMMYFUNCTION("""COMPUTED_VALUE"""),"Ecuador")</f>
        <v>Ecuador</v>
      </c>
      <c r="C1200" s="6" t="str">
        <f>IFERROR(__xludf.DUMMYFUNCTION("""COMPUTED_VALUE"""),"Education &amp; Edtech")</f>
        <v>Education &amp; Edtech</v>
      </c>
    </row>
    <row r="1201" hidden="1">
      <c r="A1201" s="6" t="str">
        <f>IFERROR(__xludf.DUMMYFUNCTION("""COMPUTED_VALUE"""),"blueboot")</f>
        <v>blueboot</v>
      </c>
      <c r="B1201" s="6" t="str">
        <f>IFERROR(__xludf.DUMMYFUNCTION("""COMPUTED_VALUE"""),"Uruguay")</f>
        <v>Uruguay</v>
      </c>
      <c r="C1201" s="6" t="str">
        <f>IFERROR(__xludf.DUMMYFUNCTION("""COMPUTED_VALUE"""),"Software Factory / Staffing")</f>
        <v>Software Factory / Staffing</v>
      </c>
    </row>
    <row r="1202" hidden="1">
      <c r="A1202" s="6" t="str">
        <f>IFERROR(__xludf.DUMMYFUNCTION("""COMPUTED_VALUE"""),"wannabe")</f>
        <v>wannabe</v>
      </c>
      <c r="B1202" s="6" t="str">
        <f>IFERROR(__xludf.DUMMYFUNCTION("""COMPUTED_VALUE"""),"Turquia")</f>
        <v>Turquia</v>
      </c>
      <c r="C1202" s="6" t="str">
        <f>IFERROR(__xludf.DUMMYFUNCTION("""COMPUTED_VALUE"""),"Travel and Tourism")</f>
        <v>Travel and Tourism</v>
      </c>
    </row>
    <row r="1203" hidden="1">
      <c r="A1203" s="6" t="str">
        <f>IFERROR(__xludf.DUMMYFUNCTION("""COMPUTED_VALUE"""),"ingenes")</f>
        <v>ingenes</v>
      </c>
      <c r="B1203" s="6" t="str">
        <f>IFERROR(__xludf.DUMMYFUNCTION("""COMPUTED_VALUE"""),"Mexico")</f>
        <v>Mexico</v>
      </c>
      <c r="C1203" s="6" t="str">
        <f>IFERROR(__xludf.DUMMYFUNCTION("""COMPUTED_VALUE"""),"Health")</f>
        <v>Health</v>
      </c>
    </row>
    <row r="1204" hidden="1">
      <c r="A1204" s="6" t="str">
        <f>IFERROR(__xludf.DUMMYFUNCTION("""COMPUTED_VALUE"""),"boi")</f>
        <v>boi</v>
      </c>
      <c r="B1204" s="6" t="str">
        <f>IFERROR(__xludf.DUMMYFUNCTION("""COMPUTED_VALUE"""),"Argentina")</f>
        <v>Argentina</v>
      </c>
      <c r="C1204" s="6" t="str">
        <f>IFERROR(__xludf.DUMMYFUNCTION("""COMPUTED_VALUE"""),"Blockchain, Crypto &amp; NFT")</f>
        <v>Blockchain, Crypto &amp; NFT</v>
      </c>
    </row>
    <row r="1205" hidden="1">
      <c r="A1205" s="6" t="str">
        <f>IFERROR(__xludf.DUMMYFUNCTION("""COMPUTED_VALUE"""),"prosys s.a")</f>
        <v>prosys s.a</v>
      </c>
      <c r="B1205" s="6" t="str">
        <f>IFERROR(__xludf.DUMMYFUNCTION("""COMPUTED_VALUE"""),"Estados Unidos")</f>
        <v>Estados Unidos</v>
      </c>
      <c r="C1205" s="6" t="str">
        <f>IFERROR(__xludf.DUMMYFUNCTION("""COMPUTED_VALUE"""),"Other")</f>
        <v>Other</v>
      </c>
    </row>
    <row r="1206" hidden="1">
      <c r="A1206" s="6" t="str">
        <f>IFERROR(__xludf.DUMMYFUNCTION("""COMPUTED_VALUE"""),"evolution code")</f>
        <v>evolution code</v>
      </c>
      <c r="B1206" s="6" t="str">
        <f>IFERROR(__xludf.DUMMYFUNCTION("""COMPUTED_VALUE"""),"Estados Unidos")</f>
        <v>Estados Unidos</v>
      </c>
      <c r="C1206" s="6" t="str">
        <f>IFERROR(__xludf.DUMMYFUNCTION("""COMPUTED_VALUE"""),"Software Factory / Staffing")</f>
        <v>Software Factory / Staffing</v>
      </c>
    </row>
    <row r="1207" hidden="1">
      <c r="A1207" s="6" t="str">
        <f>IFERROR(__xludf.DUMMYFUNCTION("""COMPUTED_VALUE"""),"simbiotic")</f>
        <v>simbiotic</v>
      </c>
      <c r="B1207" s="6" t="str">
        <f>IFERROR(__xludf.DUMMYFUNCTION("""COMPUTED_VALUE"""),"España")</f>
        <v>España</v>
      </c>
      <c r="C1207" s="6" t="str">
        <f>IFERROR(__xludf.DUMMYFUNCTION("""COMPUTED_VALUE"""),"Marketing &amp; Advertising")</f>
        <v>Marketing &amp; Advertising</v>
      </c>
    </row>
    <row r="1208" hidden="1">
      <c r="A1208" s="6" t="str">
        <f>IFERROR(__xludf.DUMMYFUNCTION("""COMPUTED_VALUE"""),"snp latam")</f>
        <v>snp latam</v>
      </c>
      <c r="B1208" s="6" t="str">
        <f>IFERROR(__xludf.DUMMYFUNCTION("""COMPUTED_VALUE"""),"Alemania")</f>
        <v>Alemania</v>
      </c>
      <c r="C1208" s="6" t="str">
        <f>IFERROR(__xludf.DUMMYFUNCTION("""COMPUTED_VALUE"""),"Software Factory / Staffing")</f>
        <v>Software Factory / Staffing</v>
      </c>
    </row>
    <row r="1209" hidden="1">
      <c r="A1209" s="6" t="str">
        <f>IFERROR(__xludf.DUMMYFUNCTION("""COMPUTED_VALUE"""),"chedoc srl")</f>
        <v>chedoc srl</v>
      </c>
      <c r="B1209" s="6" t="str">
        <f>IFERROR(__xludf.DUMMYFUNCTION("""COMPUTED_VALUE"""),"Argentina")</f>
        <v>Argentina</v>
      </c>
      <c r="C1209" s="6" t="str">
        <f>IFERROR(__xludf.DUMMYFUNCTION("""COMPUTED_VALUE"""),"Other")</f>
        <v>Other</v>
      </c>
    </row>
    <row r="1210" hidden="1">
      <c r="A1210" s="6" t="str">
        <f>IFERROR(__xludf.DUMMYFUNCTION("""COMPUTED_VALUE"""),"sind. de pet y gas priv de rn, nqn y lp")</f>
        <v>sind. de pet y gas priv de rn, nqn y lp</v>
      </c>
      <c r="B1210" s="6" t="str">
        <f>IFERROR(__xludf.DUMMYFUNCTION("""COMPUTED_VALUE"""),"Argentina")</f>
        <v>Argentina</v>
      </c>
      <c r="C1210" s="6" t="str">
        <f>IFERROR(__xludf.DUMMYFUNCTION("""COMPUTED_VALUE"""),"Energy")</f>
        <v>Energy</v>
      </c>
    </row>
    <row r="1211" hidden="1">
      <c r="A1211" s="6" t="str">
        <f>IFERROR(__xludf.DUMMYFUNCTION("""COMPUTED_VALUE"""),"cero deuda")</f>
        <v>cero deuda</v>
      </c>
      <c r="B1211" s="6" t="str">
        <f>IFERROR(__xludf.DUMMYFUNCTION("""COMPUTED_VALUE"""),"Uruguay")</f>
        <v>Uruguay</v>
      </c>
      <c r="C1211" s="6" t="str">
        <f>IFERROR(__xludf.DUMMYFUNCTION("""COMPUTED_VALUE"""),"Other")</f>
        <v>Other</v>
      </c>
    </row>
    <row r="1212" hidden="1">
      <c r="A1212" s="6" t="str">
        <f>IFERROR(__xludf.DUMMYFUNCTION("""COMPUTED_VALUE"""),"fullstack labs")</f>
        <v>fullstack labs</v>
      </c>
      <c r="B1212" s="6" t="str">
        <f>IFERROR(__xludf.DUMMYFUNCTION("""COMPUTED_VALUE"""),"Estados Unidos")</f>
        <v>Estados Unidos</v>
      </c>
      <c r="C1212" s="6" t="str">
        <f>IFERROR(__xludf.DUMMYFUNCTION("""COMPUTED_VALUE"""),"Hardware")</f>
        <v>Hardware</v>
      </c>
    </row>
    <row r="1213" hidden="1">
      <c r="A1213" s="6" t="str">
        <f>IFERROR(__xludf.DUMMYFUNCTION("""COMPUTED_VALUE"""),"credifacil safym")</f>
        <v>credifacil safym</v>
      </c>
      <c r="B1213" s="6" t="str">
        <f>IFERROR(__xludf.DUMMYFUNCTION("""COMPUTED_VALUE"""),"Argentina")</f>
        <v>Argentina</v>
      </c>
      <c r="C1213" s="6" t="str">
        <f>IFERROR(__xludf.DUMMYFUNCTION("""COMPUTED_VALUE"""),"Fintech")</f>
        <v>Fintech</v>
      </c>
    </row>
    <row r="1214" hidden="1">
      <c r="A1214" s="6" t="str">
        <f>IFERROR(__xludf.DUMMYFUNCTION("""COMPUTED_VALUE"""),"cbs")</f>
        <v>cbs</v>
      </c>
      <c r="B1214" s="6" t="str">
        <f>IFERROR(__xludf.DUMMYFUNCTION("""COMPUTED_VALUE"""),"Argentina")</f>
        <v>Argentina</v>
      </c>
      <c r="C1214" s="6" t="str">
        <f>IFERROR(__xludf.DUMMYFUNCTION("""COMPUTED_VALUE"""),"Other")</f>
        <v>Other</v>
      </c>
    </row>
    <row r="1215" hidden="1">
      <c r="A1215" s="6" t="str">
        <f>IFERROR(__xludf.DUMMYFUNCTION("""COMPUTED_VALUE"""),"mindfuture")</f>
        <v>mindfuture</v>
      </c>
      <c r="B1215" s="6" t="str">
        <f>IFERROR(__xludf.DUMMYFUNCTION("""COMPUTED_VALUE"""),"Inglaterra")</f>
        <v>Inglaterra</v>
      </c>
      <c r="C1215" s="6" t="str">
        <f>IFERROR(__xludf.DUMMYFUNCTION("""COMPUTED_VALUE"""),"Marketing &amp; Advertising")</f>
        <v>Marketing &amp; Advertising</v>
      </c>
    </row>
    <row r="1216" hidden="1">
      <c r="A1216" s="6" t="str">
        <f>IFERROR(__xludf.DUMMYFUNCTION("""COMPUTED_VALUE"""),"torem")</f>
        <v>torem</v>
      </c>
      <c r="B1216" s="6" t="str">
        <f>IFERROR(__xludf.DUMMYFUNCTION("""COMPUTED_VALUE"""),"Uruguay")</f>
        <v>Uruguay</v>
      </c>
      <c r="C1216" s="6" t="str">
        <f>IFERROR(__xludf.DUMMYFUNCTION("""COMPUTED_VALUE"""),"E-commerce")</f>
        <v>E-commerce</v>
      </c>
    </row>
    <row r="1217" hidden="1">
      <c r="A1217" s="6" t="str">
        <f>IFERROR(__xludf.DUMMYFUNCTION("""COMPUTED_VALUE"""),"ndeveloper")</f>
        <v>ndeveloper</v>
      </c>
      <c r="B1217" s="6" t="str">
        <f>IFERROR(__xludf.DUMMYFUNCTION("""COMPUTED_VALUE"""),"Ecuador")</f>
        <v>Ecuador</v>
      </c>
      <c r="C1217" s="6" t="str">
        <f>IFERROR(__xludf.DUMMYFUNCTION("""COMPUTED_VALUE"""),"Software Factory / Staffing")</f>
        <v>Software Factory / Staffing</v>
      </c>
    </row>
    <row r="1218">
      <c r="A1218" s="6" t="str">
        <f>IFERROR(__xludf.DUMMYFUNCTION("""COMPUTED_VALUE"""),"itbaf")</f>
        <v>itbaf</v>
      </c>
      <c r="B1218" s="6" t="str">
        <f>IFERROR(__xludf.DUMMYFUNCTION("""COMPUTED_VALUE"""),"Argentina")</f>
        <v>Argentina</v>
      </c>
      <c r="C1218" s="6" t="str">
        <f>IFERROR(__xludf.DUMMYFUNCTION("""COMPUTED_VALUE"""),"Education &amp; Edtech")</f>
        <v>Education &amp; Edtech</v>
      </c>
    </row>
    <row r="1219">
      <c r="A1219" s="6" t="str">
        <f>IFERROR(__xludf.DUMMYFUNCTION("""COMPUTED_VALUE"""),"501 labs srl")</f>
        <v>501 labs srl</v>
      </c>
      <c r="B1219" s="6" t="str">
        <f>IFERROR(__xludf.DUMMYFUNCTION("""COMPUTED_VALUE"""),"Argentina")</f>
        <v>Argentina</v>
      </c>
      <c r="C1219" s="6" t="str">
        <f>IFERROR(__xludf.DUMMYFUNCTION("""COMPUTED_VALUE"""),"Software Factory / Staffing")</f>
        <v>Software Factory / Staffing</v>
      </c>
    </row>
    <row r="1220" hidden="1">
      <c r="A1220" s="6" t="str">
        <f>IFERROR(__xludf.DUMMYFUNCTION("""COMPUTED_VALUE"""),"califcol")</f>
        <v>califcol</v>
      </c>
      <c r="B1220" s="4"/>
      <c r="C1220" s="4"/>
    </row>
    <row r="1221" hidden="1">
      <c r="A1221" s="6" t="str">
        <f>IFERROR(__xludf.DUMMYFUNCTION("""COMPUTED_VALUE"""),"aumentum technologies srl")</f>
        <v>aumentum technologies srl</v>
      </c>
      <c r="B1221" s="6" t="str">
        <f>IFERROR(__xludf.DUMMYFUNCTION("""COMPUTED_VALUE"""),"Estados Unidos")</f>
        <v>Estados Unidos</v>
      </c>
      <c r="C1221" s="6" t="str">
        <f>IFERROR(__xludf.DUMMYFUNCTION("""COMPUTED_VALUE"""),"Software Factory / Staffing")</f>
        <v>Software Factory / Staffing</v>
      </c>
    </row>
    <row r="1222">
      <c r="A1222" s="6" t="str">
        <f>IFERROR(__xludf.DUMMYFUNCTION("""COMPUTED_VALUE"""),"plm")</f>
        <v>plm</v>
      </c>
      <c r="B1222" s="6" t="str">
        <f>IFERROR(__xludf.DUMMYFUNCTION("""COMPUTED_VALUE"""),"Suecia")</f>
        <v>Suecia</v>
      </c>
      <c r="C1222" s="6" t="str">
        <f>IFERROR(__xludf.DUMMYFUNCTION("""COMPUTED_VALUE"""),"Software Factory / Staffing")</f>
        <v>Software Factory / Staffing</v>
      </c>
    </row>
    <row r="1223" hidden="1">
      <c r="A1223" s="6" t="str">
        <f>IFERROR(__xludf.DUMMYFUNCTION("""COMPUTED_VALUE"""),"banco comafi")</f>
        <v>banco comafi</v>
      </c>
      <c r="B1223" s="6" t="str">
        <f>IFERROR(__xludf.DUMMYFUNCTION("""COMPUTED_VALUE"""),"Argentina")</f>
        <v>Argentina</v>
      </c>
      <c r="C1223" s="6" t="str">
        <f>IFERROR(__xludf.DUMMYFUNCTION("""COMPUTED_VALUE"""),"Banking &amp; Financial Servicies")</f>
        <v>Banking &amp; Financial Servicies</v>
      </c>
    </row>
    <row r="1224" hidden="1">
      <c r="A1224" s="6" t="str">
        <f>IFERROR(__xludf.DUMMYFUNCTION("""COMPUTED_VALUE"""),"servicom global s.a.")</f>
        <v>servicom global s.a.</v>
      </c>
      <c r="B1224" s="6" t="str">
        <f>IFERROR(__xludf.DUMMYFUNCTION("""COMPUTED_VALUE"""),"Argentina")</f>
        <v>Argentina</v>
      </c>
      <c r="C1224" s="6" t="str">
        <f>IFERROR(__xludf.DUMMYFUNCTION("""COMPUTED_VALUE"""),"E-commerce")</f>
        <v>E-commerce</v>
      </c>
    </row>
    <row r="1225" hidden="1">
      <c r="A1225" s="6" t="str">
        <f>IFERROR(__xludf.DUMMYFUNCTION("""COMPUTED_VALUE"""),"subsecretaría de tecnología educación y sustentabilidad")</f>
        <v>subsecretaría de tecnología educación y sustentabilidad</v>
      </c>
      <c r="B1225" s="4"/>
      <c r="C1225" s="4"/>
    </row>
    <row r="1226" hidden="1">
      <c r="A1226" s="6" t="str">
        <f>IFERROR(__xludf.DUMMYFUNCTION("""COMPUTED_VALUE"""),"devices &amp; technology")</f>
        <v>devices &amp; technology</v>
      </c>
      <c r="B1226" s="6" t="str">
        <f>IFERROR(__xludf.DUMMYFUNCTION("""COMPUTED_VALUE"""),"Australia")</f>
        <v>Australia</v>
      </c>
      <c r="C1226" s="6" t="str">
        <f>IFERROR(__xludf.DUMMYFUNCTION("""COMPUTED_VALUE"""),"Health")</f>
        <v>Health</v>
      </c>
    </row>
    <row r="1227" hidden="1">
      <c r="A1227" s="6" t="str">
        <f>IFERROR(__xludf.DUMMYFUNCTION("""COMPUTED_VALUE"""),"huawei")</f>
        <v>huawei</v>
      </c>
      <c r="B1227" s="6" t="str">
        <f>IFERROR(__xludf.DUMMYFUNCTION("""COMPUTED_VALUE"""),"China")</f>
        <v>China</v>
      </c>
      <c r="C1227" s="6" t="str">
        <f>IFERROR(__xludf.DUMMYFUNCTION("""COMPUTED_VALUE"""),"PropTech / Real State")</f>
        <v>PropTech / Real State</v>
      </c>
    </row>
    <row r="1228" hidden="1">
      <c r="A1228" s="6" t="str">
        <f>IFERROR(__xludf.DUMMYFUNCTION("""COMPUTED_VALUE"""),"bloom")</f>
        <v>bloom</v>
      </c>
      <c r="B1228" s="6" t="str">
        <f>IFERROR(__xludf.DUMMYFUNCTION("""COMPUTED_VALUE"""),"Estados Unidos")</f>
        <v>Estados Unidos</v>
      </c>
      <c r="C1228" s="6" t="str">
        <f>IFERROR(__xludf.DUMMYFUNCTION("""COMPUTED_VALUE"""),"Other")</f>
        <v>Other</v>
      </c>
    </row>
    <row r="1229" hidden="1">
      <c r="A1229" s="6" t="str">
        <f>IFERROR(__xludf.DUMMYFUNCTION("""COMPUTED_VALUE"""),"envíame")</f>
        <v>envíame</v>
      </c>
      <c r="B1229" s="6" t="str">
        <f>IFERROR(__xludf.DUMMYFUNCTION("""COMPUTED_VALUE"""),"Chile")</f>
        <v>Chile</v>
      </c>
      <c r="C1229" s="6" t="str">
        <f>IFERROR(__xludf.DUMMYFUNCTION("""COMPUTED_VALUE"""),"Software Factory / Staffing")</f>
        <v>Software Factory / Staffing</v>
      </c>
    </row>
    <row r="1230" hidden="1">
      <c r="A1230" s="6" t="str">
        <f>IFERROR(__xludf.DUMMYFUNCTION("""COMPUTED_VALUE"""),"runaid srl")</f>
        <v>runaid srl</v>
      </c>
      <c r="B1230" s="6" t="str">
        <f>IFERROR(__xludf.DUMMYFUNCTION("""COMPUTED_VALUE"""),"Argentina")</f>
        <v>Argentina</v>
      </c>
      <c r="C1230" s="6" t="str">
        <f>IFERROR(__xludf.DUMMYFUNCTION("""COMPUTED_VALUE"""),"Software Factory / Staffing")</f>
        <v>Software Factory / Staffing</v>
      </c>
    </row>
    <row r="1231" hidden="1">
      <c r="A1231" s="6" t="str">
        <f>IFERROR(__xludf.DUMMYFUNCTION("""COMPUTED_VALUE"""),"smart vision sa")</f>
        <v>smart vision sa</v>
      </c>
      <c r="B1231" s="6" t="str">
        <f>IFERROR(__xludf.DUMMYFUNCTION("""COMPUTED_VALUE"""),"Egipto")</f>
        <v>Egipto</v>
      </c>
      <c r="C1231" s="6" t="str">
        <f>IFERROR(__xludf.DUMMYFUNCTION("""COMPUTED_VALUE"""),"Software Factory / Staffing")</f>
        <v>Software Factory / Staffing</v>
      </c>
    </row>
    <row r="1232" hidden="1">
      <c r="A1232" s="6" t="str">
        <f>IFERROR(__xludf.DUMMYFUNCTION("""COMPUTED_VALUE"""),"vass")</f>
        <v>vass</v>
      </c>
      <c r="B1232" s="6" t="str">
        <f>IFERROR(__xludf.DUMMYFUNCTION("""COMPUTED_VALUE"""),"España")</f>
        <v>España</v>
      </c>
      <c r="C1232" s="6" t="str">
        <f>IFERROR(__xludf.DUMMYFUNCTION("""COMPUTED_VALUE"""),"Software Factory / Staffing")</f>
        <v>Software Factory / Staffing</v>
      </c>
    </row>
    <row r="1233" hidden="1">
      <c r="A1233" s="6" t="str">
        <f>IFERROR(__xludf.DUMMYFUNCTION("""COMPUTED_VALUE"""),"mooverz")</f>
        <v>mooverz</v>
      </c>
      <c r="B1233" s="4"/>
      <c r="C1233" s="6" t="str">
        <f>IFERROR(__xludf.DUMMYFUNCTION("""COMPUTED_VALUE"""),"Logistics")</f>
        <v>Logistics</v>
      </c>
    </row>
    <row r="1234" hidden="1">
      <c r="A1234" s="6" t="str">
        <f>IFERROR(__xludf.DUMMYFUNCTION("""COMPUTED_VALUE"""),"cfg partners")</f>
        <v>cfg partners</v>
      </c>
      <c r="B1234" s="6" t="str">
        <f>IFERROR(__xludf.DUMMYFUNCTION("""COMPUTED_VALUE"""),"Puerto Rico")</f>
        <v>Puerto Rico</v>
      </c>
      <c r="C1234" s="6" t="str">
        <f>IFERROR(__xludf.DUMMYFUNCTION("""COMPUTED_VALUE"""),"Banking &amp; Financial Servicies")</f>
        <v>Banking &amp; Financial Servicies</v>
      </c>
    </row>
    <row r="1235" hidden="1">
      <c r="A1235" s="6" t="str">
        <f>IFERROR(__xludf.DUMMYFUNCTION("""COMPUTED_VALUE"""),"be call group")</f>
        <v>be call group</v>
      </c>
      <c r="B1235" s="6" t="str">
        <f>IFERROR(__xludf.DUMMYFUNCTION("""COMPUTED_VALUE"""),"España")</f>
        <v>España</v>
      </c>
      <c r="C1235" s="6" t="str">
        <f>IFERROR(__xludf.DUMMYFUNCTION("""COMPUTED_VALUE"""),"Software Factory / Staffing")</f>
        <v>Software Factory / Staffing</v>
      </c>
    </row>
    <row r="1236" hidden="1">
      <c r="A1236" s="6" t="str">
        <f>IFERROR(__xludf.DUMMYFUNCTION("""COMPUTED_VALUE"""),"psieze data analytics s.r.l.")</f>
        <v>psieze data analytics s.r.l.</v>
      </c>
      <c r="B1236" s="4"/>
      <c r="C1236" s="4"/>
    </row>
    <row r="1237">
      <c r="A1237" s="6" t="str">
        <f>IFERROR(__xludf.DUMMYFUNCTION("""COMPUTED_VALUE"""),"ml plak")</f>
        <v>ml plak</v>
      </c>
      <c r="B1237" s="4"/>
      <c r="C1237" s="4"/>
    </row>
    <row r="1238" hidden="1">
      <c r="A1238" s="6" t="str">
        <f>IFERROR(__xludf.DUMMYFUNCTION("""COMPUTED_VALUE"""),"thinksoft argentina sa")</f>
        <v>thinksoft argentina sa</v>
      </c>
      <c r="B1238" s="6" t="str">
        <f>IFERROR(__xludf.DUMMYFUNCTION("""COMPUTED_VALUE"""),"Argentina")</f>
        <v>Argentina</v>
      </c>
      <c r="C1238" s="6" t="str">
        <f>IFERROR(__xludf.DUMMYFUNCTION("""COMPUTED_VALUE"""),"Software Factory / Staffing")</f>
        <v>Software Factory / Staffing</v>
      </c>
    </row>
    <row r="1239" hidden="1">
      <c r="A1239" s="6" t="str">
        <f>IFERROR(__xludf.DUMMYFUNCTION("""COMPUTED_VALUE"""),"ciudadela")</f>
        <v>ciudadela</v>
      </c>
      <c r="B1239" s="6" t="str">
        <f>IFERROR(__xludf.DUMMYFUNCTION("""COMPUTED_VALUE"""),"Argentina")</f>
        <v>Argentina</v>
      </c>
      <c r="C1239" s="6" t="str">
        <f>IFERROR(__xludf.DUMMYFUNCTION("""COMPUTED_VALUE"""),"Other")</f>
        <v>Other</v>
      </c>
    </row>
    <row r="1240" hidden="1">
      <c r="A1240" s="6" t="str">
        <f>IFERROR(__xludf.DUMMYFUNCTION("""COMPUTED_VALUE"""),"cemodo")</f>
        <v>cemodo</v>
      </c>
      <c r="B1240" s="4"/>
      <c r="C1240" s="4"/>
    </row>
    <row r="1241" hidden="1">
      <c r="A1241" s="6" t="str">
        <f>IFERROR(__xludf.DUMMYFUNCTION("""COMPUTED_VALUE"""),"metricas")</f>
        <v>metricas</v>
      </c>
      <c r="B1241" s="6" t="str">
        <f>IFERROR(__xludf.DUMMYFUNCTION("""COMPUTED_VALUE"""),"España")</f>
        <v>España</v>
      </c>
      <c r="C1241" s="6" t="str">
        <f>IFERROR(__xludf.DUMMYFUNCTION("""COMPUTED_VALUE"""),"Other")</f>
        <v>Other</v>
      </c>
    </row>
    <row r="1242" hidden="1">
      <c r="A1242" s="6" t="str">
        <f>IFERROR(__xludf.DUMMYFUNCTION("""COMPUTED_VALUE"""),"ideaware co sas")</f>
        <v>ideaware co sas</v>
      </c>
      <c r="B1242" s="6" t="str">
        <f>IFERROR(__xludf.DUMMYFUNCTION("""COMPUTED_VALUE"""),"Colombia")</f>
        <v>Colombia</v>
      </c>
      <c r="C1242" s="6" t="str">
        <f>IFERROR(__xludf.DUMMYFUNCTION("""COMPUTED_VALUE"""),"Software Factory / Staffing")</f>
        <v>Software Factory / Staffing</v>
      </c>
    </row>
    <row r="1243" hidden="1">
      <c r="A1243" s="6" t="str">
        <f>IFERROR(__xludf.DUMMYFUNCTION("""COMPUTED_VALUE"""),"fairplay")</f>
        <v>fairplay</v>
      </c>
      <c r="B1243" s="6" t="str">
        <f>IFERROR(__xludf.DUMMYFUNCTION("""COMPUTED_VALUE"""),"Mexico")</f>
        <v>Mexico</v>
      </c>
      <c r="C1243" s="6" t="str">
        <f>IFERROR(__xludf.DUMMYFUNCTION("""COMPUTED_VALUE"""),"Banking &amp; Financial Servicies")</f>
        <v>Banking &amp; Financial Servicies</v>
      </c>
    </row>
    <row r="1244" hidden="1">
      <c r="A1244" s="6" t="str">
        <f>IFERROR(__xludf.DUMMYFUNCTION("""COMPUTED_VALUE"""),"athlon españa")</f>
        <v>athlon españa</v>
      </c>
      <c r="B1244" s="6" t="str">
        <f>IFERROR(__xludf.DUMMYFUNCTION("""COMPUTED_VALUE"""),"España")</f>
        <v>España</v>
      </c>
      <c r="C1244" s="6" t="str">
        <f>IFERROR(__xludf.DUMMYFUNCTION("""COMPUTED_VALUE"""),"Other")</f>
        <v>Other</v>
      </c>
    </row>
    <row r="1245" hidden="1">
      <c r="A1245" s="6" t="str">
        <f>IFERROR(__xludf.DUMMYFUNCTION("""COMPUTED_VALUE"""),"agropago")</f>
        <v>agropago</v>
      </c>
      <c r="B1245" s="6" t="str">
        <f>IFERROR(__xludf.DUMMYFUNCTION("""COMPUTED_VALUE"""),"Argentina")</f>
        <v>Argentina</v>
      </c>
      <c r="C1245" s="6" t="str">
        <f>IFERROR(__xludf.DUMMYFUNCTION("""COMPUTED_VALUE"""),"Banking &amp; Financial Servicies")</f>
        <v>Banking &amp; Financial Servicies</v>
      </c>
    </row>
    <row r="1246" hidden="1">
      <c r="A1246" s="6" t="str">
        <f>IFERROR(__xludf.DUMMYFUNCTION("""COMPUTED_VALUE"""),"universidad de san martin")</f>
        <v>universidad de san martin</v>
      </c>
      <c r="B1246" s="6" t="str">
        <f>IFERROR(__xludf.DUMMYFUNCTION("""COMPUTED_VALUE"""),"Argentina")</f>
        <v>Argentina</v>
      </c>
      <c r="C1246" s="6" t="str">
        <f>IFERROR(__xludf.DUMMYFUNCTION("""COMPUTED_VALUE"""),"Other")</f>
        <v>Other</v>
      </c>
    </row>
    <row r="1247" hidden="1">
      <c r="A1247" s="6" t="str">
        <f>IFERROR(__xludf.DUMMYFUNCTION("""COMPUTED_VALUE"""),"ideaas")</f>
        <v>ideaas</v>
      </c>
      <c r="B1247" s="6" t="str">
        <f>IFERROR(__xludf.DUMMYFUNCTION("""COMPUTED_VALUE"""),"Estados Unidos")</f>
        <v>Estados Unidos</v>
      </c>
      <c r="C1247" s="6" t="str">
        <f>IFERROR(__xludf.DUMMYFUNCTION("""COMPUTED_VALUE"""),"SaaS")</f>
        <v>SaaS</v>
      </c>
    </row>
    <row r="1248" hidden="1">
      <c r="A1248" s="7" t="str">
        <f>IFERROR(__xludf.DUMMYFUNCTION("""COMPUTED_VALUE"""),"openbusiness.ar")</f>
        <v>openbusiness.ar</v>
      </c>
      <c r="B1248" s="6" t="str">
        <f>IFERROR(__xludf.DUMMYFUNCTION("""COMPUTED_VALUE"""),"Argentina")</f>
        <v>Argentina</v>
      </c>
      <c r="C1248" s="6" t="str">
        <f>IFERROR(__xludf.DUMMYFUNCTION("""COMPUTED_VALUE"""),"Software Factory / Staffing")</f>
        <v>Software Factory / Staffing</v>
      </c>
    </row>
    <row r="1249" hidden="1">
      <c r="A1249" s="6" t="str">
        <f>IFERROR(__xludf.DUMMYFUNCTION("""COMPUTED_VALUE"""),"vox qi")</f>
        <v>vox qi</v>
      </c>
      <c r="B1249" s="6" t="str">
        <f>IFERROR(__xludf.DUMMYFUNCTION("""COMPUTED_VALUE"""),"Estados Unidos")</f>
        <v>Estados Unidos</v>
      </c>
      <c r="C1249" s="6" t="str">
        <f>IFERROR(__xludf.DUMMYFUNCTION("""COMPUTED_VALUE"""),"Media &amp; Communication")</f>
        <v>Media &amp; Communication</v>
      </c>
    </row>
    <row r="1250" hidden="1">
      <c r="A1250" s="6" t="str">
        <f>IFERROR(__xludf.DUMMYFUNCTION("""COMPUTED_VALUE"""),"nexolife")</f>
        <v>nexolife</v>
      </c>
      <c r="B1250" s="6" t="str">
        <f>IFERROR(__xludf.DUMMYFUNCTION("""COMPUTED_VALUE"""),"Argentina")</f>
        <v>Argentina</v>
      </c>
      <c r="C1250" s="6" t="str">
        <f>IFERROR(__xludf.DUMMYFUNCTION("""COMPUTED_VALUE"""),"Software Factory / Staffing")</f>
        <v>Software Factory / Staffing</v>
      </c>
    </row>
    <row r="1251" hidden="1">
      <c r="A1251" s="6" t="str">
        <f>IFERROR(__xludf.DUMMYFUNCTION("""COMPUTED_VALUE"""),"flok")</f>
        <v>flok</v>
      </c>
      <c r="B1251" s="6" t="str">
        <f>IFERROR(__xludf.DUMMYFUNCTION("""COMPUTED_VALUE"""),"Estados Unidos")</f>
        <v>Estados Unidos</v>
      </c>
      <c r="C1251" s="6" t="str">
        <f>IFERROR(__xludf.DUMMYFUNCTION("""COMPUTED_VALUE"""),"Travel and Tourism")</f>
        <v>Travel and Tourism</v>
      </c>
    </row>
    <row r="1252" hidden="1">
      <c r="A1252" s="6" t="str">
        <f>IFERROR(__xludf.DUMMYFUNCTION("""COMPUTED_VALUE"""),"loesen")</f>
        <v>loesen</v>
      </c>
      <c r="B1252" s="6" t="str">
        <f>IFERROR(__xludf.DUMMYFUNCTION("""COMPUTED_VALUE"""),"Argentina")</f>
        <v>Argentina</v>
      </c>
      <c r="C1252" s="6" t="str">
        <f>IFERROR(__xludf.DUMMYFUNCTION("""COMPUTED_VALUE"""),"Software Factory / Staffing")</f>
        <v>Software Factory / Staffing</v>
      </c>
    </row>
    <row r="1253" hidden="1">
      <c r="A1253" s="6" t="str">
        <f>IFERROR(__xludf.DUMMYFUNCTION("""COMPUTED_VALUE"""),"kpmg")</f>
        <v>kpmg</v>
      </c>
      <c r="B1253" s="6" t="str">
        <f>IFERROR(__xludf.DUMMYFUNCTION("""COMPUTED_VALUE"""),"Argentina")</f>
        <v>Argentina</v>
      </c>
      <c r="C1253" s="6" t="str">
        <f>IFERROR(__xludf.DUMMYFUNCTION("""COMPUTED_VALUE"""),"Banking &amp; Financial Servicies")</f>
        <v>Banking &amp; Financial Servicies</v>
      </c>
    </row>
    <row r="1254" hidden="1">
      <c r="A1254" s="6" t="str">
        <f>IFERROR(__xludf.DUMMYFUNCTION("""COMPUTED_VALUE"""),"exo")</f>
        <v>exo</v>
      </c>
      <c r="B1254" s="6" t="str">
        <f>IFERROR(__xludf.DUMMYFUNCTION("""COMPUTED_VALUE"""),"Argentina")</f>
        <v>Argentina</v>
      </c>
      <c r="C1254" s="6" t="str">
        <f>IFERROR(__xludf.DUMMYFUNCTION("""COMPUTED_VALUE"""),"Software Factory / Staffing")</f>
        <v>Software Factory / Staffing</v>
      </c>
    </row>
    <row r="1255" hidden="1">
      <c r="A1255" s="7" t="str">
        <f>IFERROR(__xludf.DUMMYFUNCTION("""COMPUTED_VALUE"""),"restaurant.pe")</f>
        <v>restaurant.pe</v>
      </c>
      <c r="B1255" s="6" t="str">
        <f>IFERROR(__xludf.DUMMYFUNCTION("""COMPUTED_VALUE"""),"Peru")</f>
        <v>Peru</v>
      </c>
      <c r="C1255" s="6" t="str">
        <f>IFERROR(__xludf.DUMMYFUNCTION("""COMPUTED_VALUE"""),"Other")</f>
        <v>Other</v>
      </c>
    </row>
    <row r="1256" hidden="1">
      <c r="A1256" s="6" t="str">
        <f>IFERROR(__xludf.DUMMYFUNCTION("""COMPUTED_VALUE"""),"exisoft")</f>
        <v>exisoft</v>
      </c>
      <c r="B1256" s="6" t="str">
        <f>IFERROR(__xludf.DUMMYFUNCTION("""COMPUTED_VALUE"""),"Argentina")</f>
        <v>Argentina</v>
      </c>
      <c r="C1256" s="6" t="str">
        <f>IFERROR(__xludf.DUMMYFUNCTION("""COMPUTED_VALUE"""),"Software Factory / Staffing")</f>
        <v>Software Factory / Staffing</v>
      </c>
    </row>
    <row r="1257" hidden="1">
      <c r="A1257" s="6" t="str">
        <f>IFERROR(__xludf.DUMMYFUNCTION("""COMPUTED_VALUE"""),"unica s.a.")</f>
        <v>unica s.a.</v>
      </c>
      <c r="B1257" s="6" t="str">
        <f>IFERROR(__xludf.DUMMYFUNCTION("""COMPUTED_VALUE"""),"Estados Unidos")</f>
        <v>Estados Unidos</v>
      </c>
      <c r="C1257" s="6" t="str">
        <f>IFERROR(__xludf.DUMMYFUNCTION("""COMPUTED_VALUE"""),"Software Factory / Staffing")</f>
        <v>Software Factory / Staffing</v>
      </c>
    </row>
    <row r="1258" hidden="1">
      <c r="A1258" s="6" t="str">
        <f>IFERROR(__xludf.DUMMYFUNCTION("""COMPUTED_VALUE"""),"method tech and dev")</f>
        <v>method tech and dev</v>
      </c>
      <c r="B1258" s="6" t="str">
        <f>IFERROR(__xludf.DUMMYFUNCTION("""COMPUTED_VALUE"""),"Argentina")</f>
        <v>Argentina</v>
      </c>
      <c r="C1258" s="6" t="str">
        <f>IFERROR(__xludf.DUMMYFUNCTION("""COMPUTED_VALUE"""),"Management Consulting")</f>
        <v>Management Consulting</v>
      </c>
    </row>
    <row r="1259" hidden="1">
      <c r="A1259" s="6" t="str">
        <f>IFERROR(__xludf.DUMMYFUNCTION("""COMPUTED_VALUE"""),"win investments")</f>
        <v>win investments</v>
      </c>
      <c r="B1259" s="4"/>
      <c r="C1259" s="6" t="str">
        <f>IFERROR(__xludf.DUMMYFUNCTION("""COMPUTED_VALUE"""),"Banking &amp; Financial Servicies")</f>
        <v>Banking &amp; Financial Servicies</v>
      </c>
    </row>
    <row r="1260" hidden="1">
      <c r="A1260" s="6" t="str">
        <f>IFERROR(__xludf.DUMMYFUNCTION("""COMPUTED_VALUE"""),"gestia consultores")</f>
        <v>gestia consultores</v>
      </c>
      <c r="B1260" s="6" t="str">
        <f>IFERROR(__xludf.DUMMYFUNCTION("""COMPUTED_VALUE"""),"Argentina")</f>
        <v>Argentina</v>
      </c>
      <c r="C1260" s="6" t="str">
        <f>IFERROR(__xludf.DUMMYFUNCTION("""COMPUTED_VALUE"""),"Software Factory / Staffing")</f>
        <v>Software Factory / Staffing</v>
      </c>
    </row>
    <row r="1261" hidden="1">
      <c r="A1261" s="6" t="str">
        <f>IFERROR(__xludf.DUMMYFUNCTION("""COMPUTED_VALUE"""),"arcadia tech")</f>
        <v>arcadia tech</v>
      </c>
      <c r="B1261" s="6" t="str">
        <f>IFERROR(__xludf.DUMMYFUNCTION("""COMPUTED_VALUE"""),"Argentina")</f>
        <v>Argentina</v>
      </c>
      <c r="C1261" s="6" t="str">
        <f>IFERROR(__xludf.DUMMYFUNCTION("""COMPUTED_VALUE"""),"Software Factory / Staffing")</f>
        <v>Software Factory / Staffing</v>
      </c>
    </row>
    <row r="1262" hidden="1">
      <c r="A1262" s="6" t="str">
        <f>IFERROR(__xludf.DUMMYFUNCTION("""COMPUTED_VALUE"""),"shahtez software solutions")</f>
        <v>shahtez software solutions</v>
      </c>
      <c r="B1262" s="6" t="str">
        <f>IFERROR(__xludf.DUMMYFUNCTION("""COMPUTED_VALUE"""),"Estados Unidos")</f>
        <v>Estados Unidos</v>
      </c>
      <c r="C1262" s="6" t="str">
        <f>IFERROR(__xludf.DUMMYFUNCTION("""COMPUTED_VALUE"""),"Software Factory / Staffing")</f>
        <v>Software Factory / Staffing</v>
      </c>
    </row>
    <row r="1263" hidden="1">
      <c r="A1263" s="6" t="str">
        <f>IFERROR(__xludf.DUMMYFUNCTION("""COMPUTED_VALUE"""),"novakorp")</f>
        <v>novakorp</v>
      </c>
      <c r="B1263" s="6" t="str">
        <f>IFERROR(__xludf.DUMMYFUNCTION("""COMPUTED_VALUE"""),"Argentina")</f>
        <v>Argentina</v>
      </c>
      <c r="C1263" s="6" t="str">
        <f>IFERROR(__xludf.DUMMYFUNCTION("""COMPUTED_VALUE"""),"Artificil Intelligence")</f>
        <v>Artificil Intelligence</v>
      </c>
    </row>
    <row r="1264" hidden="1">
      <c r="A1264" s="6" t="str">
        <f>IFERROR(__xludf.DUMMYFUNCTION("""COMPUTED_VALUE"""),"fundación sales")</f>
        <v>fundación sales</v>
      </c>
      <c r="B1264" s="6" t="str">
        <f>IFERROR(__xludf.DUMMYFUNCTION("""COMPUTED_VALUE"""),"Argentina")</f>
        <v>Argentina</v>
      </c>
      <c r="C1264" s="6" t="str">
        <f>IFERROR(__xludf.DUMMYFUNCTION("""COMPUTED_VALUE"""),"Other")</f>
        <v>Other</v>
      </c>
    </row>
    <row r="1265" hidden="1">
      <c r="A1265" s="6" t="str">
        <f>IFERROR(__xludf.DUMMYFUNCTION("""COMPUTED_VALUE"""),"outtrip")</f>
        <v>outtrip</v>
      </c>
      <c r="B1265" s="6" t="str">
        <f>IFERROR(__xludf.DUMMYFUNCTION("""COMPUTED_VALUE"""),"Inglaterra")</f>
        <v>Inglaterra</v>
      </c>
      <c r="C1265" s="6" t="str">
        <f>IFERROR(__xludf.DUMMYFUNCTION("""COMPUTED_VALUE"""),"Other")</f>
        <v>Other</v>
      </c>
    </row>
    <row r="1266" hidden="1">
      <c r="A1266" s="6" t="str">
        <f>IFERROR(__xludf.DUMMYFUNCTION("""COMPUTED_VALUE"""),"nefele")</f>
        <v>nefele</v>
      </c>
      <c r="B1266" s="6" t="str">
        <f>IFERROR(__xludf.DUMMYFUNCTION("""COMPUTED_VALUE"""),"Mexico")</f>
        <v>Mexico</v>
      </c>
      <c r="C1266" s="6" t="str">
        <f>IFERROR(__xludf.DUMMYFUNCTION("""COMPUTED_VALUE"""),"Management Consulting")</f>
        <v>Management Consulting</v>
      </c>
    </row>
    <row r="1267" hidden="1">
      <c r="A1267" s="6" t="str">
        <f>IFERROR(__xludf.DUMMYFUNCTION("""COMPUTED_VALUE"""),"rbo")</f>
        <v>rbo</v>
      </c>
      <c r="B1267" s="6" t="str">
        <f>IFERROR(__xludf.DUMMYFUNCTION("""COMPUTED_VALUE"""),"Estados Unidos")</f>
        <v>Estados Unidos</v>
      </c>
      <c r="C1267" s="6" t="str">
        <f>IFERROR(__xludf.DUMMYFUNCTION("""COMPUTED_VALUE"""),"E-Commerce")</f>
        <v>E-Commerce</v>
      </c>
    </row>
    <row r="1268" hidden="1">
      <c r="A1268" s="6" t="str">
        <f>IFERROR(__xludf.DUMMYFUNCTION("""COMPUTED_VALUE"""),"iatros tecnologia y salud")</f>
        <v>iatros tecnologia y salud</v>
      </c>
      <c r="B1268" s="6" t="str">
        <f>IFERROR(__xludf.DUMMYFUNCTION("""COMPUTED_VALUE"""),"Alemania")</f>
        <v>Alemania</v>
      </c>
      <c r="C1268" s="6" t="str">
        <f>IFERROR(__xludf.DUMMYFUNCTION("""COMPUTED_VALUE"""),"Health")</f>
        <v>Health</v>
      </c>
    </row>
    <row r="1269" hidden="1">
      <c r="A1269" s="6" t="str">
        <f>IFERROR(__xludf.DUMMYFUNCTION("""COMPUTED_VALUE"""),"ieschub")</f>
        <v>ieschub</v>
      </c>
      <c r="B1269" s="6" t="str">
        <f>IFERROR(__xludf.DUMMYFUNCTION("""COMPUTED_VALUE"""),"Estados Unidos")</f>
        <v>Estados Unidos</v>
      </c>
      <c r="C1269" s="6" t="str">
        <f>IFERROR(__xludf.DUMMYFUNCTION("""COMPUTED_VALUE"""),"Software Factory / Staffing")</f>
        <v>Software Factory / Staffing</v>
      </c>
    </row>
    <row r="1270" hidden="1">
      <c r="A1270" s="6" t="str">
        <f>IFERROR(__xludf.DUMMYFUNCTION("""COMPUTED_VALUE"""),"centro monitoreo urbano")</f>
        <v>centro monitoreo urbano</v>
      </c>
      <c r="B1270" s="4"/>
      <c r="C1270" s="4"/>
    </row>
    <row r="1271" hidden="1">
      <c r="A1271" s="6" t="str">
        <f>IFERROR(__xludf.DUMMYFUNCTION("""COMPUTED_VALUE"""),"akui solutions sl")</f>
        <v>akui solutions sl</v>
      </c>
      <c r="B1271" s="4"/>
      <c r="C1271" s="4"/>
    </row>
    <row r="1272" hidden="1">
      <c r="A1272" s="6" t="str">
        <f>IFERROR(__xludf.DUMMYFUNCTION("""COMPUTED_VALUE"""),"ez-ad")</f>
        <v>ez-ad</v>
      </c>
      <c r="B1272" s="6" t="str">
        <f>IFERROR(__xludf.DUMMYFUNCTION("""COMPUTED_VALUE"""),"Estados Unidos")</f>
        <v>Estados Unidos</v>
      </c>
      <c r="C1272" s="6" t="str">
        <f>IFERROR(__xludf.DUMMYFUNCTION("""COMPUTED_VALUE"""),"Marketing &amp; Advertising")</f>
        <v>Marketing &amp; Advertising</v>
      </c>
    </row>
    <row r="1273" hidden="1">
      <c r="A1273" s="6" t="str">
        <f>IFERROR(__xludf.DUMMYFUNCTION("""COMPUTED_VALUE"""),"bilog")</f>
        <v>bilog</v>
      </c>
      <c r="B1273" s="6" t="str">
        <f>IFERROR(__xludf.DUMMYFUNCTION("""COMPUTED_VALUE"""),"Francia")</f>
        <v>Francia</v>
      </c>
      <c r="C1273" s="6" t="str">
        <f>IFERROR(__xludf.DUMMYFUNCTION("""COMPUTED_VALUE"""),"Software Factory / Staffing")</f>
        <v>Software Factory / Staffing</v>
      </c>
    </row>
    <row r="1274" hidden="1">
      <c r="A1274" s="6" t="str">
        <f>IFERROR(__xludf.DUMMYFUNCTION("""COMPUTED_VALUE"""),"mon web app")</f>
        <v>mon web app</v>
      </c>
      <c r="B1274" s="4"/>
      <c r="C1274" s="6" t="str">
        <f>IFERROR(__xludf.DUMMYFUNCTION("""COMPUTED_VALUE"""),"Messaging and Telecommunications")</f>
        <v>Messaging and Telecommunications</v>
      </c>
    </row>
    <row r="1275" hidden="1">
      <c r="A1275" s="6" t="str">
        <f>IFERROR(__xludf.DUMMYFUNCTION("""COMPUTED_VALUE"""),"mini hotel")</f>
        <v>mini hotel</v>
      </c>
      <c r="B1275" s="6" t="str">
        <f>IFERROR(__xludf.DUMMYFUNCTION("""COMPUTED_VALUE"""),"Israel")</f>
        <v>Israel</v>
      </c>
      <c r="C1275" s="6" t="str">
        <f>IFERROR(__xludf.DUMMYFUNCTION("""COMPUTED_VALUE"""),"SaaS")</f>
        <v>SaaS</v>
      </c>
    </row>
    <row r="1276" hidden="1">
      <c r="A1276" s="6" t="str">
        <f>IFERROR(__xludf.DUMMYFUNCTION("""COMPUTED_VALUE"""),"devmente")</f>
        <v>devmente</v>
      </c>
      <c r="B1276" s="6" t="str">
        <f>IFERROR(__xludf.DUMMYFUNCTION("""COMPUTED_VALUE"""),"Peru")</f>
        <v>Peru</v>
      </c>
      <c r="C1276" s="6" t="str">
        <f>IFERROR(__xludf.DUMMYFUNCTION("""COMPUTED_VALUE"""),"Software Factory / Staffing")</f>
        <v>Software Factory / Staffing</v>
      </c>
    </row>
    <row r="1277" hidden="1">
      <c r="A1277" s="6" t="str">
        <f>IFERROR(__xludf.DUMMYFUNCTION("""COMPUTED_VALUE"""),"empresas cruz")</f>
        <v>empresas cruz</v>
      </c>
      <c r="B1277" s="6" t="str">
        <f>IFERROR(__xludf.DUMMYFUNCTION("""COMPUTED_VALUE"""),"Colombia")</f>
        <v>Colombia</v>
      </c>
      <c r="C1277" s="6" t="str">
        <f>IFERROR(__xludf.DUMMYFUNCTION("""COMPUTED_VALUE"""),"Software Factory / Staffing")</f>
        <v>Software Factory / Staffing</v>
      </c>
    </row>
    <row r="1278" hidden="1">
      <c r="A1278" s="6" t="str">
        <f>IFERROR(__xludf.DUMMYFUNCTION("""COMPUTED_VALUE"""),"invadion")</f>
        <v>invadion</v>
      </c>
      <c r="B1278" s="6" t="str">
        <f>IFERROR(__xludf.DUMMYFUNCTION("""COMPUTED_VALUE"""),"Peru")</f>
        <v>Peru</v>
      </c>
      <c r="C1278" s="6" t="str">
        <f>IFERROR(__xludf.DUMMYFUNCTION("""COMPUTED_VALUE"""),"Management Consulting")</f>
        <v>Management Consulting</v>
      </c>
    </row>
    <row r="1279" hidden="1">
      <c r="A1279" s="6" t="str">
        <f>IFERROR(__xludf.DUMMYFUNCTION("""COMPUTED_VALUE"""),"daisies")</f>
        <v>daisies</v>
      </c>
      <c r="B1279" s="6" t="str">
        <f>IFERROR(__xludf.DUMMYFUNCTION("""COMPUTED_VALUE"""),"Mexico")</f>
        <v>Mexico</v>
      </c>
      <c r="C1279" s="6" t="str">
        <f>IFERROR(__xludf.DUMMYFUNCTION("""COMPUTED_VALUE"""),"Health")</f>
        <v>Health</v>
      </c>
    </row>
    <row r="1280" hidden="1">
      <c r="A1280" s="6" t="str">
        <f>IFERROR(__xludf.DUMMYFUNCTION("""COMPUTED_VALUE"""),"memorable")</f>
        <v>memorable</v>
      </c>
      <c r="B1280" s="6" t="str">
        <f>IFERROR(__xludf.DUMMYFUNCTION("""COMPUTED_VALUE"""),"Inglaterra")</f>
        <v>Inglaterra</v>
      </c>
      <c r="C1280" s="6" t="str">
        <f>IFERROR(__xludf.DUMMYFUNCTION("""COMPUTED_VALUE"""),"Marketing &amp; Advertising")</f>
        <v>Marketing &amp; Advertising</v>
      </c>
    </row>
    <row r="1281" hidden="1">
      <c r="A1281" s="6" t="str">
        <f>IFERROR(__xludf.DUMMYFUNCTION("""COMPUTED_VALUE"""),"hubsnacks")</f>
        <v>hubsnacks</v>
      </c>
      <c r="B1281" s="6" t="str">
        <f>IFERROR(__xludf.DUMMYFUNCTION("""COMPUTED_VALUE"""),"Inglaterra")</f>
        <v>Inglaterra</v>
      </c>
      <c r="C1281" s="6" t="str">
        <f>IFERROR(__xludf.DUMMYFUNCTION("""COMPUTED_VALUE"""),"Management Consulting")</f>
        <v>Management Consulting</v>
      </c>
    </row>
    <row r="1282" hidden="1">
      <c r="A1282" s="6" t="str">
        <f>IFERROR(__xludf.DUMMYFUNCTION("""COMPUTED_VALUE"""),"digit carts")</f>
        <v>digit carts</v>
      </c>
      <c r="B1282" s="6" t="str">
        <f>IFERROR(__xludf.DUMMYFUNCTION("""COMPUTED_VALUE"""),"Canada")</f>
        <v>Canada</v>
      </c>
      <c r="C1282" s="6" t="str">
        <f>IFERROR(__xludf.DUMMYFUNCTION("""COMPUTED_VALUE"""),"E-commerce")</f>
        <v>E-commerce</v>
      </c>
    </row>
    <row r="1283" hidden="1">
      <c r="A1283" s="6" t="str">
        <f>IFERROR(__xludf.DUMMYFUNCTION("""COMPUTED_VALUE"""),"serra")</f>
        <v>serra</v>
      </c>
      <c r="B1283" s="6" t="str">
        <f>IFERROR(__xludf.DUMMYFUNCTION("""COMPUTED_VALUE"""),"España")</f>
        <v>España</v>
      </c>
      <c r="C1283" s="6" t="str">
        <f>IFERROR(__xludf.DUMMYFUNCTION("""COMPUTED_VALUE"""),"Mechanical/Industrial Engineering")</f>
        <v>Mechanical/Industrial Engineering</v>
      </c>
    </row>
    <row r="1284">
      <c r="A1284" s="6" t="str">
        <f>IFERROR(__xludf.DUMMYFUNCTION("""COMPUTED_VALUE"""),"bosch")</f>
        <v>bosch</v>
      </c>
      <c r="B1284" s="6" t="str">
        <f>IFERROR(__xludf.DUMMYFUNCTION("""COMPUTED_VALUE"""),"Alemania")</f>
        <v>Alemania</v>
      </c>
      <c r="C1284" s="6" t="str">
        <f>IFERROR(__xludf.DUMMYFUNCTION("""COMPUTED_VALUE"""),"Software Factory / Staffing")</f>
        <v>Software Factory / Staffing</v>
      </c>
    </row>
    <row r="1285" hidden="1">
      <c r="A1285" s="6" t="str">
        <f>IFERROR(__xludf.DUMMYFUNCTION("""COMPUTED_VALUE"""),"municipalidad de almirante brown")</f>
        <v>municipalidad de almirante brown</v>
      </c>
      <c r="B1285" s="6" t="str">
        <f>IFERROR(__xludf.DUMMYFUNCTION("""COMPUTED_VALUE"""),"Argentina")</f>
        <v>Argentina</v>
      </c>
      <c r="C1285" s="6" t="str">
        <f>IFERROR(__xludf.DUMMYFUNCTION("""COMPUTED_VALUE"""),"Public Center")</f>
        <v>Public Center</v>
      </c>
    </row>
    <row r="1286" hidden="1">
      <c r="A1286" s="6" t="str">
        <f>IFERROR(__xludf.DUMMYFUNCTION("""COMPUTED_VALUE"""),"wealthtechs")</f>
        <v>wealthtechs</v>
      </c>
      <c r="B1286" s="6" t="str">
        <f>IFERROR(__xludf.DUMMYFUNCTION("""COMPUTED_VALUE"""),"Estados Unidos")</f>
        <v>Estados Unidos</v>
      </c>
      <c r="C1286" s="6" t="str">
        <f>IFERROR(__xludf.DUMMYFUNCTION("""COMPUTED_VALUE"""),"Software Factory / Staffing")</f>
        <v>Software Factory / Staffing</v>
      </c>
    </row>
    <row r="1287" hidden="1">
      <c r="A1287" s="6" t="str">
        <f>IFERROR(__xludf.DUMMYFUNCTION("""COMPUTED_VALUE"""),"ascentio technologies")</f>
        <v>ascentio technologies</v>
      </c>
      <c r="B1287" s="6" t="str">
        <f>IFERROR(__xludf.DUMMYFUNCTION("""COMPUTED_VALUE"""),"Argentina")</f>
        <v>Argentina</v>
      </c>
      <c r="C1287" s="6" t="str">
        <f>IFERROR(__xludf.DUMMYFUNCTION("""COMPUTED_VALUE"""),"Software Factory / Staffing")</f>
        <v>Software Factory / Staffing</v>
      </c>
    </row>
    <row r="1288" hidden="1">
      <c r="A1288" s="6" t="str">
        <f>IFERROR(__xludf.DUMMYFUNCTION("""COMPUTED_VALUE"""),"acueducto.studio")</f>
        <v>acueducto.studio</v>
      </c>
      <c r="B1288" s="6" t="str">
        <f>IFERROR(__xludf.DUMMYFUNCTION("""COMPUTED_VALUE"""),"México")</f>
        <v>México</v>
      </c>
      <c r="C1288" s="6" t="str">
        <f>IFERROR(__xludf.DUMMYFUNCTION("""COMPUTED_VALUE"""),"Software Factory / Staffing")</f>
        <v>Software Factory / Staffing</v>
      </c>
    </row>
    <row r="1289" hidden="1">
      <c r="A1289" s="6" t="str">
        <f>IFERROR(__xludf.DUMMYFUNCTION("""COMPUTED_VALUE"""),"hablax")</f>
        <v>hablax</v>
      </c>
      <c r="B1289" s="6" t="str">
        <f>IFERROR(__xludf.DUMMYFUNCTION("""COMPUTED_VALUE"""),"Estados Unidos")</f>
        <v>Estados Unidos</v>
      </c>
      <c r="C1289" s="6" t="str">
        <f>IFERROR(__xludf.DUMMYFUNCTION("""COMPUTED_VALUE"""),"Media &amp; Communication")</f>
        <v>Media &amp; Communication</v>
      </c>
    </row>
    <row r="1290" hidden="1">
      <c r="A1290" s="6" t="str">
        <f>IFERROR(__xludf.DUMMYFUNCTION("""COMPUTED_VALUE"""),"dango digital")</f>
        <v>dango digital</v>
      </c>
      <c r="B1290" s="6" t="str">
        <f>IFERROR(__xludf.DUMMYFUNCTION("""COMPUTED_VALUE"""),"Uruguay")</f>
        <v>Uruguay</v>
      </c>
      <c r="C1290" s="6" t="str">
        <f>IFERROR(__xludf.DUMMYFUNCTION("""COMPUTED_VALUE"""),"Software Factory / Staffing")</f>
        <v>Software Factory / Staffing</v>
      </c>
    </row>
    <row r="1291" hidden="1">
      <c r="A1291" s="6" t="str">
        <f>IFERROR(__xludf.DUMMYFUNCTION("""COMPUTED_VALUE"""),"grupo andersons")</f>
        <v>grupo andersons</v>
      </c>
      <c r="B1291" s="6" t="str">
        <f>IFERROR(__xludf.DUMMYFUNCTION("""COMPUTED_VALUE"""),"Mexico")</f>
        <v>Mexico</v>
      </c>
      <c r="C1291" s="6" t="str">
        <f>IFERROR(__xludf.DUMMYFUNCTION("""COMPUTED_VALUE"""),"Other")</f>
        <v>Other</v>
      </c>
    </row>
    <row r="1292" hidden="1">
      <c r="A1292" s="6" t="str">
        <f>IFERROR(__xludf.DUMMYFUNCTION("""COMPUTED_VALUE"""),"escuela primaria padre castañeda")</f>
        <v>escuela primaria padre castañeda</v>
      </c>
      <c r="B1292" s="6" t="str">
        <f>IFERROR(__xludf.DUMMYFUNCTION("""COMPUTED_VALUE"""),"Argentina")</f>
        <v>Argentina</v>
      </c>
      <c r="C1292" s="6" t="str">
        <f>IFERROR(__xludf.DUMMYFUNCTION("""COMPUTED_VALUE"""),"Public Center")</f>
        <v>Public Center</v>
      </c>
    </row>
    <row r="1293" hidden="1">
      <c r="A1293" s="6" t="str">
        <f>IFERROR(__xludf.DUMMYFUNCTION("""COMPUTED_VALUE"""),"core code")</f>
        <v>core code</v>
      </c>
      <c r="B1293" s="4"/>
      <c r="C1293" s="6" t="str">
        <f>IFERROR(__xludf.DUMMYFUNCTION("""COMPUTED_VALUE"""),"Education &amp; Edtech")</f>
        <v>Education &amp; Edtech</v>
      </c>
    </row>
    <row r="1294" hidden="1">
      <c r="A1294" s="6" t="str">
        <f>IFERROR(__xludf.DUMMYFUNCTION("""COMPUTED_VALUE"""),"nextgo llc")</f>
        <v>nextgo llc</v>
      </c>
      <c r="B1294" s="6" t="str">
        <f>IFERROR(__xludf.DUMMYFUNCTION("""COMPUTED_VALUE"""),"China")</f>
        <v>China</v>
      </c>
      <c r="C1294" s="6" t="str">
        <f>IFERROR(__xludf.DUMMYFUNCTION("""COMPUTED_VALUE"""),"Software Factory / Staffing")</f>
        <v>Software Factory / Staffing</v>
      </c>
    </row>
    <row r="1295" hidden="1">
      <c r="A1295" s="6" t="str">
        <f>IFERROR(__xludf.DUMMYFUNCTION("""COMPUTED_VALUE"""),"dl3arn")</f>
        <v>dl3arn</v>
      </c>
      <c r="B1295" s="6" t="str">
        <f>IFERROR(__xludf.DUMMYFUNCTION("""COMPUTED_VALUE"""),"Argentina")</f>
        <v>Argentina</v>
      </c>
      <c r="C1295" s="6" t="str">
        <f>IFERROR(__xludf.DUMMYFUNCTION("""COMPUTED_VALUE"""),"Blockchain, Crypto &amp; NFT")</f>
        <v>Blockchain, Crypto &amp; NFT</v>
      </c>
    </row>
    <row r="1296" hidden="1">
      <c r="A1296" s="6" t="str">
        <f>IFERROR(__xludf.DUMMYFUNCTION("""COMPUTED_VALUE"""),"vinco")</f>
        <v>vinco</v>
      </c>
      <c r="B1296" s="6" t="str">
        <f>IFERROR(__xludf.DUMMYFUNCTION("""COMPUTED_VALUE"""),"Inglaterra")</f>
        <v>Inglaterra</v>
      </c>
      <c r="C1296" s="6" t="str">
        <f>IFERROR(__xludf.DUMMYFUNCTION("""COMPUTED_VALUE"""),"Media &amp; Communication")</f>
        <v>Media &amp; Communication</v>
      </c>
    </row>
    <row r="1297" hidden="1">
      <c r="A1297" s="6" t="str">
        <f>IFERROR(__xludf.DUMMYFUNCTION("""COMPUTED_VALUE"""),"raona s.r.l")</f>
        <v>raona s.r.l</v>
      </c>
      <c r="B1297" s="4"/>
      <c r="C1297" s="6" t="str">
        <f>IFERROR(__xludf.DUMMYFUNCTION("""COMPUTED_VALUE"""),"Software Factory / Staffing")</f>
        <v>Software Factory / Staffing</v>
      </c>
    </row>
    <row r="1298" hidden="1">
      <c r="A1298" s="6" t="str">
        <f>IFERROR(__xludf.DUMMYFUNCTION("""COMPUTED_VALUE"""),"digio srl")</f>
        <v>digio srl</v>
      </c>
      <c r="B1298" s="6" t="str">
        <f>IFERROR(__xludf.DUMMYFUNCTION("""COMPUTED_VALUE"""),"Argentina")</f>
        <v>Argentina</v>
      </c>
      <c r="C1298" s="6" t="str">
        <f>IFERROR(__xludf.DUMMYFUNCTION("""COMPUTED_VALUE"""),"Software Factory / Staffing")</f>
        <v>Software Factory / Staffing</v>
      </c>
    </row>
    <row r="1299" hidden="1">
      <c r="A1299" s="6" t="str">
        <f>IFERROR(__xludf.DUMMYFUNCTION("""COMPUTED_VALUE"""),"kala")</f>
        <v>kala</v>
      </c>
      <c r="B1299" s="6" t="str">
        <f>IFERROR(__xludf.DUMMYFUNCTION("""COMPUTED_VALUE"""),"Colombia")</f>
        <v>Colombia</v>
      </c>
      <c r="C1299" s="6" t="str">
        <f>IFERROR(__xludf.DUMMYFUNCTION("""COMPUTED_VALUE"""),"Fintech")</f>
        <v>Fintech</v>
      </c>
    </row>
    <row r="1300" hidden="1">
      <c r="A1300" s="6" t="str">
        <f>IFERROR(__xludf.DUMMYFUNCTION("""COMPUTED_VALUE"""),"prendo")</f>
        <v>prendo</v>
      </c>
      <c r="B1300" s="6" t="str">
        <f>IFERROR(__xludf.DUMMYFUNCTION("""COMPUTED_VALUE"""),"Inglaterra")</f>
        <v>Inglaterra</v>
      </c>
      <c r="C1300" s="6" t="str">
        <f>IFERROR(__xludf.DUMMYFUNCTION("""COMPUTED_VALUE"""),"Education &amp; Edtech")</f>
        <v>Education &amp; Edtech</v>
      </c>
    </row>
    <row r="1301" hidden="1">
      <c r="A1301" s="6" t="str">
        <f>IFERROR(__xludf.DUMMYFUNCTION("""COMPUTED_VALUE"""),"termas villa elisa s.a.")</f>
        <v>termas villa elisa s.a.</v>
      </c>
      <c r="B1301" s="6" t="str">
        <f>IFERROR(__xludf.DUMMYFUNCTION("""COMPUTED_VALUE"""),"Argentina")</f>
        <v>Argentina</v>
      </c>
      <c r="C1301" s="6" t="str">
        <f>IFERROR(__xludf.DUMMYFUNCTION("""COMPUTED_VALUE"""),"Travel and Tourism")</f>
        <v>Travel and Tourism</v>
      </c>
    </row>
    <row r="1302" hidden="1">
      <c r="A1302" s="6" t="str">
        <f>IFERROR(__xludf.DUMMYFUNCTION("""COMPUTED_VALUE"""),"innpactia")</f>
        <v>innpactia</v>
      </c>
      <c r="B1302" s="6" t="str">
        <f>IFERROR(__xludf.DUMMYFUNCTION("""COMPUTED_VALUE"""),"Colombia")</f>
        <v>Colombia</v>
      </c>
      <c r="C1302" s="6" t="str">
        <f>IFERROR(__xludf.DUMMYFUNCTION("""COMPUTED_VALUE"""),"Banking &amp; Financial Servicies")</f>
        <v>Banking &amp; Financial Servicies</v>
      </c>
    </row>
    <row r="1303" hidden="1">
      <c r="A1303" s="6" t="str">
        <f>IFERROR(__xludf.DUMMYFUNCTION("""COMPUTED_VALUE"""),"lizit app")</f>
        <v>lizit app</v>
      </c>
      <c r="B1303" s="6" t="str">
        <f>IFERROR(__xludf.DUMMYFUNCTION("""COMPUTED_VALUE"""),"Colombia")</f>
        <v>Colombia</v>
      </c>
      <c r="C1303" s="6" t="str">
        <f>IFERROR(__xludf.DUMMYFUNCTION("""COMPUTED_VALUE"""),"Software Factory / Staffing")</f>
        <v>Software Factory / Staffing</v>
      </c>
    </row>
    <row r="1304" hidden="1">
      <c r="A1304" s="6" t="str">
        <f>IFERROR(__xludf.DUMMYFUNCTION("""COMPUTED_VALUE"""),"alquila tu cancha")</f>
        <v>alquila tu cancha</v>
      </c>
      <c r="B1304" s="6" t="str">
        <f>IFERROR(__xludf.DUMMYFUNCTION("""COMPUTED_VALUE"""),"Argentina")</f>
        <v>Argentina</v>
      </c>
      <c r="C1304" s="6" t="str">
        <f>IFERROR(__xludf.DUMMYFUNCTION("""COMPUTED_VALUE"""),"Software Factory / Staffing")</f>
        <v>Software Factory / Staffing</v>
      </c>
    </row>
    <row r="1305" hidden="1">
      <c r="A1305" s="6" t="str">
        <f>IFERROR(__xludf.DUMMYFUNCTION("""COMPUTED_VALUE"""),"vidlogs")</f>
        <v>vidlogs</v>
      </c>
      <c r="B1305" s="6" t="str">
        <f>IFERROR(__xludf.DUMMYFUNCTION("""COMPUTED_VALUE"""),"Estados Unidos")</f>
        <v>Estados Unidos</v>
      </c>
      <c r="C1305" s="6" t="str">
        <f>IFERROR(__xludf.DUMMYFUNCTION("""COMPUTED_VALUE"""),"Software Factory / Staffing")</f>
        <v>Software Factory / Staffing</v>
      </c>
    </row>
    <row r="1306" hidden="1">
      <c r="A1306" s="6" t="str">
        <f>IFERROR(__xludf.DUMMYFUNCTION("""COMPUTED_VALUE"""),"acroventus")</f>
        <v>acroventus</v>
      </c>
      <c r="B1306" s="6" t="str">
        <f>IFERROR(__xludf.DUMMYFUNCTION("""COMPUTED_VALUE"""),"Argentina")</f>
        <v>Argentina</v>
      </c>
      <c r="C1306" s="6" t="str">
        <f>IFERROR(__xludf.DUMMYFUNCTION("""COMPUTED_VALUE"""),"Fintech")</f>
        <v>Fintech</v>
      </c>
    </row>
    <row r="1307" hidden="1">
      <c r="A1307" s="6" t="str">
        <f>IFERROR(__xludf.DUMMYFUNCTION("""COMPUTED_VALUE"""),"disruptive")</f>
        <v>disruptive</v>
      </c>
      <c r="B1307" s="6" t="str">
        <f>IFERROR(__xludf.DUMMYFUNCTION("""COMPUTED_VALUE"""),"Estados Unidos")</f>
        <v>Estados Unidos</v>
      </c>
      <c r="C1307" s="6" t="str">
        <f>IFERROR(__xludf.DUMMYFUNCTION("""COMPUTED_VALUE"""),"Banking &amp; Financial Servicies")</f>
        <v>Banking &amp; Financial Servicies</v>
      </c>
    </row>
    <row r="1308" hidden="1">
      <c r="A1308" s="6" t="str">
        <f>IFERROR(__xludf.DUMMYFUNCTION("""COMPUTED_VALUE"""),"triibuu s.a.s")</f>
        <v>triibuu s.a.s</v>
      </c>
      <c r="B1308" s="6" t="str">
        <f>IFERROR(__xludf.DUMMYFUNCTION("""COMPUTED_VALUE"""),"Colombia")</f>
        <v>Colombia</v>
      </c>
      <c r="C1308" s="6" t="str">
        <f>IFERROR(__xludf.DUMMYFUNCTION("""COMPUTED_VALUE"""),"Other")</f>
        <v>Other</v>
      </c>
    </row>
    <row r="1309" hidden="1">
      <c r="A1309" s="6" t="str">
        <f>IFERROR(__xludf.DUMMYFUNCTION("""COMPUTED_VALUE"""),"ipe")</f>
        <v>ipe</v>
      </c>
      <c r="B1309" s="6" t="str">
        <f>IFERROR(__xludf.DUMMYFUNCTION("""COMPUTED_VALUE"""),"Argentina")</f>
        <v>Argentina</v>
      </c>
      <c r="C1309" s="6" t="str">
        <f>IFERROR(__xludf.DUMMYFUNCTION("""COMPUTED_VALUE"""),"Energy")</f>
        <v>Energy</v>
      </c>
    </row>
    <row r="1310" hidden="1">
      <c r="A1310" s="6" t="str">
        <f>IFERROR(__xludf.DUMMYFUNCTION("""COMPUTED_VALUE"""),"3pc")</f>
        <v>3pc</v>
      </c>
      <c r="B1310" s="6" t="str">
        <f>IFERROR(__xludf.DUMMYFUNCTION("""COMPUTED_VALUE"""),"Estados Unidos")</f>
        <v>Estados Unidos</v>
      </c>
      <c r="C1310" s="6" t="str">
        <f>IFERROR(__xludf.DUMMYFUNCTION("""COMPUTED_VALUE"""),"Software Factory / Staffing")</f>
        <v>Software Factory / Staffing</v>
      </c>
    </row>
    <row r="1311" hidden="1">
      <c r="A1311" s="6" t="str">
        <f>IFERROR(__xludf.DUMMYFUNCTION("""COMPUTED_VALUE"""),"webcat app")</f>
        <v>webcat app</v>
      </c>
      <c r="B1311" s="6" t="str">
        <f>IFERROR(__xludf.DUMMYFUNCTION("""COMPUTED_VALUE"""),"Colombia")</f>
        <v>Colombia</v>
      </c>
      <c r="C1311" s="6" t="str">
        <f>IFERROR(__xludf.DUMMYFUNCTION("""COMPUTED_VALUE"""),"E-commerce")</f>
        <v>E-commerce</v>
      </c>
    </row>
    <row r="1312" hidden="1">
      <c r="A1312" s="6" t="str">
        <f>IFERROR(__xludf.DUMMYFUNCTION("""COMPUTED_VALUE"""),"nexo soluciones")</f>
        <v>nexo soluciones</v>
      </c>
      <c r="B1312" s="6" t="str">
        <f>IFERROR(__xludf.DUMMYFUNCTION("""COMPUTED_VALUE"""),"Argentina")</f>
        <v>Argentina</v>
      </c>
      <c r="C1312" s="6" t="str">
        <f>IFERROR(__xludf.DUMMYFUNCTION("""COMPUTED_VALUE"""),"Software Factory / Staffing")</f>
        <v>Software Factory / Staffing</v>
      </c>
    </row>
    <row r="1313" hidden="1">
      <c r="A1313" s="6" t="str">
        <f>IFERROR(__xludf.DUMMYFUNCTION("""COMPUTED_VALUE"""),"datalytics")</f>
        <v>datalytics</v>
      </c>
      <c r="B1313" s="6" t="str">
        <f>IFERROR(__xludf.DUMMYFUNCTION("""COMPUTED_VALUE"""),"Argentina")</f>
        <v>Argentina</v>
      </c>
      <c r="C1313" s="6" t="str">
        <f>IFERROR(__xludf.DUMMYFUNCTION("""COMPUTED_VALUE"""),"Software Factory / Staffing")</f>
        <v>Software Factory / Staffing</v>
      </c>
    </row>
    <row r="1314" hidden="1">
      <c r="A1314" s="6" t="str">
        <f>IFERROR(__xludf.DUMMYFUNCTION("""COMPUTED_VALUE"""),"consolid srl")</f>
        <v>consolid srl</v>
      </c>
      <c r="B1314" s="6" t="str">
        <f>IFERROR(__xludf.DUMMYFUNCTION("""COMPUTED_VALUE"""),"Argentina")</f>
        <v>Argentina</v>
      </c>
      <c r="C1314" s="6" t="str">
        <f>IFERROR(__xludf.DUMMYFUNCTION("""COMPUTED_VALUE"""),"Travel and Tourism")</f>
        <v>Travel and Tourism</v>
      </c>
    </row>
    <row r="1315" hidden="1">
      <c r="A1315" s="6" t="str">
        <f>IFERROR(__xludf.DUMMYFUNCTION("""COMPUTED_VALUE"""),"infoil s.a.")</f>
        <v>infoil s.a.</v>
      </c>
      <c r="B1315" s="6" t="str">
        <f>IFERROR(__xludf.DUMMYFUNCTION("""COMPUTED_VALUE"""),"Argentina")</f>
        <v>Argentina</v>
      </c>
      <c r="C1315" s="6" t="str">
        <f>IFERROR(__xludf.DUMMYFUNCTION("""COMPUTED_VALUE"""),"Software Factory / Staffing")</f>
        <v>Software Factory / Staffing</v>
      </c>
    </row>
    <row r="1316" hidden="1">
      <c r="A1316" s="6" t="str">
        <f>IFERROR(__xludf.DUMMYFUNCTION("""COMPUTED_VALUE"""),"dice 4.0")</f>
        <v>dice 4.0</v>
      </c>
      <c r="B1316" s="4"/>
      <c r="C1316" s="4"/>
    </row>
    <row r="1317" hidden="1">
      <c r="A1317" s="6" t="str">
        <f>IFERROR(__xludf.DUMMYFUNCTION("""COMPUTED_VALUE"""),"soluciones star")</f>
        <v>soluciones star</v>
      </c>
      <c r="B1317" s="4"/>
      <c r="C1317" s="6" t="str">
        <f>IFERROR(__xludf.DUMMYFUNCTION("""COMPUTED_VALUE"""),"Software Factory / Staffing")</f>
        <v>Software Factory / Staffing</v>
      </c>
    </row>
    <row r="1318" hidden="1">
      <c r="A1318" s="6" t="str">
        <f>IFERROR(__xludf.DUMMYFUNCTION("""COMPUTED_VALUE"""),"ludus colombia sas")</f>
        <v>ludus colombia sas</v>
      </c>
      <c r="B1318" s="6" t="str">
        <f>IFERROR(__xludf.DUMMYFUNCTION("""COMPUTED_VALUE"""),"Colombia")</f>
        <v>Colombia</v>
      </c>
      <c r="C1318" s="6" t="str">
        <f>IFERROR(__xludf.DUMMYFUNCTION("""COMPUTED_VALUE"""),"Education &amp; Edtech")</f>
        <v>Education &amp; Edtech</v>
      </c>
    </row>
    <row r="1319" hidden="1">
      <c r="A1319" s="6" t="str">
        <f>IFERROR(__xludf.DUMMYFUNCTION("""COMPUTED_VALUE"""),"quantux salud")</f>
        <v>quantux salud</v>
      </c>
      <c r="B1319" s="6" t="str">
        <f>IFERROR(__xludf.DUMMYFUNCTION("""COMPUTED_VALUE"""),"Argentina")</f>
        <v>Argentina</v>
      </c>
      <c r="C1319" s="6" t="str">
        <f>IFERROR(__xludf.DUMMYFUNCTION("""COMPUTED_VALUE"""),"Health")</f>
        <v>Health</v>
      </c>
    </row>
    <row r="1320" hidden="1">
      <c r="A1320" s="6" t="str">
        <f>IFERROR(__xludf.DUMMYFUNCTION("""COMPUTED_VALUE"""),"clip")</f>
        <v>clip</v>
      </c>
      <c r="B1320" s="6" t="str">
        <f>IFERROR(__xludf.DUMMYFUNCTION("""COMPUTED_VALUE"""),"Mexico")</f>
        <v>Mexico</v>
      </c>
      <c r="C1320" s="6" t="str">
        <f>IFERROR(__xludf.DUMMYFUNCTION("""COMPUTED_VALUE"""),"Fintech")</f>
        <v>Fintech</v>
      </c>
    </row>
    <row r="1321" hidden="1">
      <c r="A1321" s="6" t="str">
        <f>IFERROR(__xludf.DUMMYFUNCTION("""COMPUTED_VALUE"""),"blasco marcela")</f>
        <v>blasco marcela</v>
      </c>
      <c r="B1321" s="4"/>
      <c r="C1321" s="4"/>
    </row>
    <row r="1322" hidden="1">
      <c r="A1322" s="6" t="str">
        <f>IFERROR(__xludf.DUMMYFUNCTION("""COMPUTED_VALUE"""),"lava technologies s.r.l.")</f>
        <v>lava technologies s.r.l.</v>
      </c>
      <c r="B1322" s="6" t="str">
        <f>IFERROR(__xludf.DUMMYFUNCTION("""COMPUTED_VALUE"""),"Estados Unidos")</f>
        <v>Estados Unidos</v>
      </c>
      <c r="C1322" s="6" t="str">
        <f>IFERROR(__xludf.DUMMYFUNCTION("""COMPUTED_VALUE"""),"Software Factory / Staffing")</f>
        <v>Software Factory / Staffing</v>
      </c>
    </row>
    <row r="1323" hidden="1">
      <c r="A1323" s="6" t="str">
        <f>IFERROR(__xludf.DUMMYFUNCTION("""COMPUTED_VALUE"""),"no country")</f>
        <v>no country</v>
      </c>
      <c r="B1323" s="6" t="str">
        <f>IFERROR(__xludf.DUMMYFUNCTION("""COMPUTED_VALUE"""),"Argentina")</f>
        <v>Argentina</v>
      </c>
      <c r="C1323" s="6" t="str">
        <f>IFERROR(__xludf.DUMMYFUNCTION("""COMPUTED_VALUE"""),"Software Factory / Staffing")</f>
        <v>Software Factory / Staffing</v>
      </c>
    </row>
    <row r="1324" hidden="1">
      <c r="A1324" s="6" t="str">
        <f>IFERROR(__xludf.DUMMYFUNCTION("""COMPUTED_VALUE"""),"tele red imagen")</f>
        <v>tele red imagen</v>
      </c>
      <c r="B1324" s="6" t="str">
        <f>IFERROR(__xludf.DUMMYFUNCTION("""COMPUTED_VALUE"""),"Argentina")</f>
        <v>Argentina</v>
      </c>
      <c r="C1324" s="6" t="str">
        <f>IFERROR(__xludf.DUMMYFUNCTION("""COMPUTED_VALUE"""),"Messaging and Telecommunications")</f>
        <v>Messaging and Telecommunications</v>
      </c>
    </row>
    <row r="1325" hidden="1">
      <c r="A1325" s="6" t="str">
        <f>IFERROR(__xludf.DUMMYFUNCTION("""COMPUTED_VALUE"""),"fiove")</f>
        <v>fiove</v>
      </c>
      <c r="B1325" s="4"/>
      <c r="C1325" s="4"/>
    </row>
    <row r="1326" hidden="1">
      <c r="A1326" s="6" t="str">
        <f>IFERROR(__xludf.DUMMYFUNCTION("""COMPUTED_VALUE"""),"utn-frba")</f>
        <v>utn-frba</v>
      </c>
      <c r="B1326" s="6" t="str">
        <f>IFERROR(__xludf.DUMMYFUNCTION("""COMPUTED_VALUE"""),"Argentina")</f>
        <v>Argentina</v>
      </c>
      <c r="C1326" s="6" t="str">
        <f>IFERROR(__xludf.DUMMYFUNCTION("""COMPUTED_VALUE"""),"Education &amp; Edtech")</f>
        <v>Education &amp; Edtech</v>
      </c>
    </row>
    <row r="1327">
      <c r="A1327" s="6" t="str">
        <f>IFERROR(__xludf.DUMMYFUNCTION("""COMPUTED_VALUE"""),"grupo centrico")</f>
        <v>grupo centrico</v>
      </c>
      <c r="B1327" s="6" t="str">
        <f>IFERROR(__xludf.DUMMYFUNCTION("""COMPUTED_VALUE"""),"Ecuador")</f>
        <v>Ecuador</v>
      </c>
      <c r="C1327" s="6" t="str">
        <f>IFERROR(__xludf.DUMMYFUNCTION("""COMPUTED_VALUE"""),"Other")</f>
        <v>Other</v>
      </c>
    </row>
    <row r="1328" hidden="1">
      <c r="A1328" s="6" t="str">
        <f>IFERROR(__xludf.DUMMYFUNCTION("""COMPUTED_VALUE"""),"tdc lab")</f>
        <v>tdc lab</v>
      </c>
      <c r="B1328" s="6" t="str">
        <f>IFERROR(__xludf.DUMMYFUNCTION("""COMPUTED_VALUE"""),"Colombia")</f>
        <v>Colombia</v>
      </c>
      <c r="C1328" s="6" t="str">
        <f>IFERROR(__xludf.DUMMYFUNCTION("""COMPUTED_VALUE"""),"Construction")</f>
        <v>Construction</v>
      </c>
    </row>
    <row r="1329">
      <c r="A1329" s="6" t="str">
        <f>IFERROR(__xludf.DUMMYFUNCTION("""COMPUTED_VALUE"""),"inkoms")</f>
        <v>inkoms</v>
      </c>
      <c r="B1329" s="6" t="str">
        <f>IFERROR(__xludf.DUMMYFUNCTION("""COMPUTED_VALUE"""),"Colombia")</f>
        <v>Colombia</v>
      </c>
      <c r="C1329" s="6" t="str">
        <f>IFERROR(__xludf.DUMMYFUNCTION("""COMPUTED_VALUE"""),"Banking &amp; Financial Servicies")</f>
        <v>Banking &amp; Financial Servicies</v>
      </c>
    </row>
    <row r="1330" hidden="1">
      <c r="A1330" s="6" t="str">
        <f>IFERROR(__xludf.DUMMYFUNCTION("""COMPUTED_VALUE"""),"indigo")</f>
        <v>indigo</v>
      </c>
      <c r="B1330" s="6" t="str">
        <f>IFERROR(__xludf.DUMMYFUNCTION("""COMPUTED_VALUE"""),"Estados Unidos")</f>
        <v>Estados Unidos</v>
      </c>
      <c r="C1330" s="6" t="str">
        <f>IFERROR(__xludf.DUMMYFUNCTION("""COMPUTED_VALUE"""),"Agtech / Agro")</f>
        <v>Agtech / Agro</v>
      </c>
    </row>
    <row r="1331">
      <c r="A1331" s="6" t="str">
        <f>IFERROR(__xludf.DUMMYFUNCTION("""COMPUTED_VALUE"""),"fintegra")</f>
        <v>fintegra</v>
      </c>
      <c r="B1331" s="6" t="str">
        <f>IFERROR(__xludf.DUMMYFUNCTION("""COMPUTED_VALUE"""),"Mexico")</f>
        <v>Mexico</v>
      </c>
      <c r="C1331" s="6" t="str">
        <f>IFERROR(__xludf.DUMMYFUNCTION("""COMPUTED_VALUE"""),"Banking &amp; Financial Servicies")</f>
        <v>Banking &amp; Financial Servicies</v>
      </c>
    </row>
    <row r="1332">
      <c r="A1332" s="6" t="str">
        <f>IFERROR(__xludf.DUMMYFUNCTION("""COMPUTED_VALUE"""),"inaltec")</f>
        <v>inaltec</v>
      </c>
      <c r="B1332" s="6" t="str">
        <f>IFERROR(__xludf.DUMMYFUNCTION("""COMPUTED_VALUE"""),"Colombia")</f>
        <v>Colombia</v>
      </c>
      <c r="C1332" s="6" t="str">
        <f>IFERROR(__xludf.DUMMYFUNCTION("""COMPUTED_VALUE"""),"Software Factory / Staffing")</f>
        <v>Software Factory / Staffing</v>
      </c>
    </row>
    <row r="1333" hidden="1">
      <c r="A1333" s="6" t="str">
        <f>IFERROR(__xludf.DUMMYFUNCTION("""COMPUTED_VALUE"""),"addval")</f>
        <v>addval</v>
      </c>
      <c r="B1333" s="6" t="str">
        <f>IFERROR(__xludf.DUMMYFUNCTION("""COMPUTED_VALUE"""),"Chile")</f>
        <v>Chile</v>
      </c>
      <c r="C1333" s="6" t="str">
        <f>IFERROR(__xludf.DUMMYFUNCTION("""COMPUTED_VALUE"""),"Management Consulting")</f>
        <v>Management Consulting</v>
      </c>
    </row>
    <row r="1334" hidden="1">
      <c r="A1334" s="6" t="str">
        <f>IFERROR(__xludf.DUMMYFUNCTION("""COMPUTED_VALUE"""),"longport aviation security")</f>
        <v>longport aviation security</v>
      </c>
      <c r="B1334" s="6" t="str">
        <f>IFERROR(__xludf.DUMMYFUNCTION("""COMPUTED_VALUE"""),"Colombia")</f>
        <v>Colombia</v>
      </c>
      <c r="C1334" s="6" t="str">
        <f>IFERROR(__xludf.DUMMYFUNCTION("""COMPUTED_VALUE"""),"Law/Legal Services")</f>
        <v>Law/Legal Services</v>
      </c>
    </row>
    <row r="1335" hidden="1">
      <c r="A1335" s="6" t="str">
        <f>IFERROR(__xludf.DUMMYFUNCTION("""COMPUTED_VALUE"""),"crosetto ingenieria s.a.")</f>
        <v>crosetto ingenieria s.a.</v>
      </c>
      <c r="B1335" s="6" t="str">
        <f>IFERROR(__xludf.DUMMYFUNCTION("""COMPUTED_VALUE"""),"Argentina")</f>
        <v>Argentina</v>
      </c>
      <c r="C1335" s="6" t="str">
        <f>IFERROR(__xludf.DUMMYFUNCTION("""COMPUTED_VALUE"""),"Other")</f>
        <v>Other</v>
      </c>
    </row>
    <row r="1336" hidden="1">
      <c r="A1336" s="6" t="str">
        <f>IFERROR(__xludf.DUMMYFUNCTION("""COMPUTED_VALUE"""),"likechuck")</f>
        <v>likechuck</v>
      </c>
      <c r="B1336" s="6" t="str">
        <f>IFERROR(__xludf.DUMMYFUNCTION("""COMPUTED_VALUE"""),"Argentina")</f>
        <v>Argentina</v>
      </c>
      <c r="C1336" s="6" t="str">
        <f>IFERROR(__xludf.DUMMYFUNCTION("""COMPUTED_VALUE"""),"Software Factory / Staffing")</f>
        <v>Software Factory / Staffing</v>
      </c>
    </row>
    <row r="1337" hidden="1">
      <c r="A1337" s="6" t="str">
        <f>IFERROR(__xludf.DUMMYFUNCTION("""COMPUTED_VALUE"""),"telematica ltda")</f>
        <v>telematica ltda</v>
      </c>
      <c r="B1337" s="6" t="str">
        <f>IFERROR(__xludf.DUMMYFUNCTION("""COMPUTED_VALUE"""),"Colombia")</f>
        <v>Colombia</v>
      </c>
      <c r="C1337" s="6" t="str">
        <f>IFERROR(__xludf.DUMMYFUNCTION("""COMPUTED_VALUE"""),"Messaging and Telecommunications")</f>
        <v>Messaging and Telecommunications</v>
      </c>
    </row>
    <row r="1338" hidden="1">
      <c r="A1338" s="6" t="str">
        <f>IFERROR(__xludf.DUMMYFUNCTION("""COMPUTED_VALUE"""),"farmacia manes")</f>
        <v>farmacia manes</v>
      </c>
      <c r="B1338" s="6" t="str">
        <f>IFERROR(__xludf.DUMMYFUNCTION("""COMPUTED_VALUE"""),"Argentina")</f>
        <v>Argentina</v>
      </c>
      <c r="C1338" s="4"/>
    </row>
    <row r="1339" hidden="1">
      <c r="A1339" s="6" t="str">
        <f>IFERROR(__xludf.DUMMYFUNCTION("""COMPUTED_VALUE"""),"apex chaco s.a")</f>
        <v>apex chaco s.a</v>
      </c>
      <c r="B1339" s="6" t="str">
        <f>IFERROR(__xludf.DUMMYFUNCTION("""COMPUTED_VALUE"""),"Argentina")</f>
        <v>Argentina</v>
      </c>
      <c r="C1339" s="6" t="str">
        <f>IFERROR(__xludf.DUMMYFUNCTION("""COMPUTED_VALUE"""),"Other")</f>
        <v>Other</v>
      </c>
    </row>
    <row r="1340" hidden="1">
      <c r="A1340" s="6" t="str">
        <f>IFERROR(__xludf.DUMMYFUNCTION("""COMPUTED_VALUE"""),"netbits llc sucursal bolivia")</f>
        <v>netbits llc sucursal bolivia</v>
      </c>
      <c r="B1340" s="6" t="str">
        <f>IFERROR(__xludf.DUMMYFUNCTION("""COMPUTED_VALUE"""),"Bolivia")</f>
        <v>Bolivia</v>
      </c>
      <c r="C1340" s="6" t="str">
        <f>IFERROR(__xludf.DUMMYFUNCTION("""COMPUTED_VALUE"""),"Software Factory / Staffing")</f>
        <v>Software Factory / Staffing</v>
      </c>
    </row>
    <row r="1341" hidden="1">
      <c r="A1341" s="6" t="str">
        <f>IFERROR(__xludf.DUMMYFUNCTION("""COMPUTED_VALUE"""),"unlp")</f>
        <v>unlp</v>
      </c>
      <c r="B1341" s="6" t="str">
        <f>IFERROR(__xludf.DUMMYFUNCTION("""COMPUTED_VALUE"""),"Argentina")</f>
        <v>Argentina</v>
      </c>
      <c r="C1341" s="6" t="str">
        <f>IFERROR(__xludf.DUMMYFUNCTION("""COMPUTED_VALUE"""),"Other")</f>
        <v>Other</v>
      </c>
    </row>
    <row r="1342" hidden="1">
      <c r="A1342" s="6" t="str">
        <f>IFERROR(__xludf.DUMMYFUNCTION("""COMPUTED_VALUE"""),"transelca")</f>
        <v>transelca</v>
      </c>
      <c r="B1342" s="6" t="str">
        <f>IFERROR(__xludf.DUMMYFUNCTION("""COMPUTED_VALUE"""),"Colombia")</f>
        <v>Colombia</v>
      </c>
      <c r="C1342" s="6" t="str">
        <f>IFERROR(__xludf.DUMMYFUNCTION("""COMPUTED_VALUE"""),"Public Center")</f>
        <v>Public Center</v>
      </c>
    </row>
    <row r="1343" hidden="1">
      <c r="A1343" s="6" t="str">
        <f>IFERROR(__xludf.DUMMYFUNCTION("""COMPUTED_VALUE"""),"provectus")</f>
        <v>provectus</v>
      </c>
      <c r="B1343" s="6" t="str">
        <f>IFERROR(__xludf.DUMMYFUNCTION("""COMPUTED_VALUE"""),"Estados Unidos")</f>
        <v>Estados Unidos</v>
      </c>
      <c r="C1343" s="6" t="str">
        <f>IFERROR(__xludf.DUMMYFUNCTION("""COMPUTED_VALUE"""),"Software Factory / Staffing")</f>
        <v>Software Factory / Staffing</v>
      </c>
    </row>
    <row r="1344" hidden="1">
      <c r="A1344" s="6" t="str">
        <f>IFERROR(__xludf.DUMMYFUNCTION("""COMPUTED_VALUE"""),"transformateck")</f>
        <v>transformateck</v>
      </c>
      <c r="B1344" s="6" t="str">
        <f>IFERROR(__xludf.DUMMYFUNCTION("""COMPUTED_VALUE"""),"Mexico")</f>
        <v>Mexico</v>
      </c>
      <c r="C1344" s="6" t="str">
        <f>IFERROR(__xludf.DUMMYFUNCTION("""COMPUTED_VALUE"""),"Software Factory / Staffing")</f>
        <v>Software Factory / Staffing</v>
      </c>
    </row>
    <row r="1345" hidden="1">
      <c r="A1345" s="6" t="str">
        <f>IFERROR(__xludf.DUMMYFUNCTION("""COMPUTED_VALUE"""),"prisma medios de pago")</f>
        <v>prisma medios de pago</v>
      </c>
      <c r="B1345" s="6" t="str">
        <f>IFERROR(__xludf.DUMMYFUNCTION("""COMPUTED_VALUE"""),"Argentina")</f>
        <v>Argentina</v>
      </c>
      <c r="C1345" s="6" t="str">
        <f>IFERROR(__xludf.DUMMYFUNCTION("""COMPUTED_VALUE"""),"Software Factory / Staffing")</f>
        <v>Software Factory / Staffing</v>
      </c>
    </row>
    <row r="1346" hidden="1">
      <c r="A1346" s="6" t="str">
        <f>IFERROR(__xludf.DUMMYFUNCTION("""COMPUTED_VALUE"""),"internet pop media s.a.")</f>
        <v>internet pop media s.a.</v>
      </c>
      <c r="B1346" s="6" t="str">
        <f>IFERROR(__xludf.DUMMYFUNCTION("""COMPUTED_VALUE"""),"Mexico")</f>
        <v>Mexico</v>
      </c>
      <c r="C1346" s="6" t="str">
        <f>IFERROR(__xludf.DUMMYFUNCTION("""COMPUTED_VALUE"""),"Software Factory / Staffing")</f>
        <v>Software Factory / Staffing</v>
      </c>
    </row>
    <row r="1347" hidden="1">
      <c r="A1347" s="6" t="str">
        <f>IFERROR(__xludf.DUMMYFUNCTION("""COMPUTED_VALUE"""),"kosmos")</f>
        <v>kosmos</v>
      </c>
      <c r="B1347" s="6" t="str">
        <f>IFERROR(__xludf.DUMMYFUNCTION("""COMPUTED_VALUE"""),"España")</f>
        <v>España</v>
      </c>
      <c r="C1347" s="6" t="str">
        <f>IFERROR(__xludf.DUMMYFUNCTION("""COMPUTED_VALUE"""),"Media &amp; Communication")</f>
        <v>Media &amp; Communication</v>
      </c>
    </row>
    <row r="1348" hidden="1">
      <c r="A1348" s="6" t="str">
        <f>IFERROR(__xludf.DUMMYFUNCTION("""COMPUTED_VALUE"""),"segmenta s.c")</f>
        <v>segmenta s.c</v>
      </c>
      <c r="B1348" s="6" t="str">
        <f>IFERROR(__xludf.DUMMYFUNCTION("""COMPUTED_VALUE"""),"Mexico")</f>
        <v>Mexico</v>
      </c>
      <c r="C1348" s="6" t="str">
        <f>IFERROR(__xludf.DUMMYFUNCTION("""COMPUTED_VALUE"""),"Data &amp; Analytics")</f>
        <v>Data &amp; Analytics</v>
      </c>
    </row>
    <row r="1349" hidden="1">
      <c r="A1349" s="6" t="str">
        <f>IFERROR(__xludf.DUMMYFUNCTION("""COMPUTED_VALUE"""),"dev.f")</f>
        <v>dev.f</v>
      </c>
      <c r="B1349" s="6" t="str">
        <f>IFERROR(__xludf.DUMMYFUNCTION("""COMPUTED_VALUE"""),"Mexico")</f>
        <v>Mexico</v>
      </c>
      <c r="C1349" s="6" t="str">
        <f>IFERROR(__xludf.DUMMYFUNCTION("""COMPUTED_VALUE"""),"Education &amp; Edtech")</f>
        <v>Education &amp; Edtech</v>
      </c>
    </row>
    <row r="1350" hidden="1">
      <c r="A1350" s="6" t="str">
        <f>IFERROR(__xludf.DUMMYFUNCTION("""COMPUTED_VALUE"""),"kodengo")</f>
        <v>kodengo</v>
      </c>
      <c r="B1350" s="4"/>
      <c r="C1350" s="6" t="str">
        <f>IFERROR(__xludf.DUMMYFUNCTION("""COMPUTED_VALUE"""),"Software Factory / Staffing")</f>
        <v>Software Factory / Staffing</v>
      </c>
    </row>
    <row r="1351" hidden="1">
      <c r="A1351" s="6" t="str">
        <f>IFERROR(__xludf.DUMMYFUNCTION("""COMPUTED_VALUE"""),"porthos tech s. a.")</f>
        <v>porthos tech s. a.</v>
      </c>
      <c r="B1351" s="6" t="str">
        <f>IFERROR(__xludf.DUMMYFUNCTION("""COMPUTED_VALUE"""),"Inglaterra")</f>
        <v>Inglaterra</v>
      </c>
      <c r="C1351" s="6" t="str">
        <f>IFERROR(__xludf.DUMMYFUNCTION("""COMPUTED_VALUE"""),"Banking &amp; Financial Servicies")</f>
        <v>Banking &amp; Financial Servicies</v>
      </c>
    </row>
    <row r="1352" hidden="1">
      <c r="A1352" s="6" t="str">
        <f>IFERROR(__xludf.DUMMYFUNCTION("""COMPUTED_VALUE"""),"dirección general de estadísticas y censos de entre ríos")</f>
        <v>dirección general de estadísticas y censos de entre ríos</v>
      </c>
      <c r="B1352" s="6" t="str">
        <f>IFERROR(__xludf.DUMMYFUNCTION("""COMPUTED_VALUE"""),"Argentina")</f>
        <v>Argentina</v>
      </c>
      <c r="C1352" s="4"/>
    </row>
    <row r="1353" hidden="1">
      <c r="A1353" s="6" t="str">
        <f>IFERROR(__xludf.DUMMYFUNCTION("""COMPUTED_VALUE"""),"innova scientific")</f>
        <v>innova scientific</v>
      </c>
      <c r="B1353" s="6" t="str">
        <f>IFERROR(__xludf.DUMMYFUNCTION("""COMPUTED_VALUE"""),"Canada")</f>
        <v>Canada</v>
      </c>
      <c r="C1353" s="6" t="str">
        <f>IFERROR(__xludf.DUMMYFUNCTION("""COMPUTED_VALUE"""),"Banking &amp; Financial Servicies")</f>
        <v>Banking &amp; Financial Servicies</v>
      </c>
    </row>
    <row r="1354" hidden="1">
      <c r="A1354" s="6" t="str">
        <f>IFERROR(__xludf.DUMMYFUNCTION("""COMPUTED_VALUE"""),"visual impacto")</f>
        <v>visual impacto</v>
      </c>
      <c r="B1354" s="6" t="str">
        <f>IFERROR(__xludf.DUMMYFUNCTION("""COMPUTED_VALUE"""),"Belgica")</f>
        <v>Belgica</v>
      </c>
      <c r="C1354" s="6" t="str">
        <f>IFERROR(__xludf.DUMMYFUNCTION("""COMPUTED_VALUE"""),"Gaming")</f>
        <v>Gaming</v>
      </c>
    </row>
    <row r="1355" hidden="1">
      <c r="A1355" s="6" t="str">
        <f>IFERROR(__xludf.DUMMYFUNCTION("""COMPUTED_VALUE"""),"diphot")</f>
        <v>diphot</v>
      </c>
      <c r="B1355" s="6" t="str">
        <f>IFERROR(__xludf.DUMMYFUNCTION("""COMPUTED_VALUE"""),"Argentina")</f>
        <v>Argentina</v>
      </c>
      <c r="C1355" s="6" t="str">
        <f>IFERROR(__xludf.DUMMYFUNCTION("""COMPUTED_VALUE"""),"Software Factory / Staffing")</f>
        <v>Software Factory / Staffing</v>
      </c>
    </row>
    <row r="1356" hidden="1">
      <c r="A1356" s="6" t="str">
        <f>IFERROR(__xludf.DUMMYFUNCTION("""COMPUTED_VALUE"""),"soluciones randstad s.a.")</f>
        <v>soluciones randstad s.a.</v>
      </c>
      <c r="B1356" s="4"/>
      <c r="C1356" s="4"/>
    </row>
    <row r="1357" hidden="1">
      <c r="A1357" s="6" t="str">
        <f>IFERROR(__xludf.DUMMYFUNCTION("""COMPUTED_VALUE"""),"nodos hub")</f>
        <v>nodos hub</v>
      </c>
      <c r="B1357" s="6" t="str">
        <f>IFERROR(__xludf.DUMMYFUNCTION("""COMPUTED_VALUE"""),"Argentina")</f>
        <v>Argentina</v>
      </c>
      <c r="C1357" s="6" t="str">
        <f>IFERROR(__xludf.DUMMYFUNCTION("""COMPUTED_VALUE"""),"Software Factory / Staffing")</f>
        <v>Software Factory / Staffing</v>
      </c>
    </row>
    <row r="1358" hidden="1">
      <c r="A1358" s="6" t="str">
        <f>IFERROR(__xludf.DUMMYFUNCTION("""COMPUTED_VALUE"""),"bluepixel")</f>
        <v>bluepixel</v>
      </c>
      <c r="B1358" s="6" t="str">
        <f>IFERROR(__xludf.DUMMYFUNCTION("""COMPUTED_VALUE"""),"Mexico")</f>
        <v>Mexico</v>
      </c>
      <c r="C1358" s="6" t="str">
        <f>IFERROR(__xludf.DUMMYFUNCTION("""COMPUTED_VALUE"""),"SaaS")</f>
        <v>SaaS</v>
      </c>
    </row>
    <row r="1359" hidden="1">
      <c r="A1359" s="6" t="str">
        <f>IFERROR(__xludf.DUMMYFUNCTION("""COMPUTED_VALUE"""),"urbano")</f>
        <v>urbano</v>
      </c>
      <c r="B1359" s="6" t="str">
        <f>IFERROR(__xludf.DUMMYFUNCTION("""COMPUTED_VALUE"""),"El Salvador")</f>
        <v>El Salvador</v>
      </c>
      <c r="C1359" s="6" t="str">
        <f>IFERROR(__xludf.DUMMYFUNCTION("""COMPUTED_VALUE"""),"Logistics")</f>
        <v>Logistics</v>
      </c>
    </row>
    <row r="1360" hidden="1">
      <c r="A1360" s="6" t="str">
        <f>IFERROR(__xludf.DUMMYFUNCTION("""COMPUTED_VALUE"""),"corporación cápsula")</f>
        <v>corporación cápsula</v>
      </c>
      <c r="B1360" s="6" t="str">
        <f>IFERROR(__xludf.DUMMYFUNCTION("""COMPUTED_VALUE"""),"Argentina")</f>
        <v>Argentina</v>
      </c>
      <c r="C1360" s="6" t="str">
        <f>IFERROR(__xludf.DUMMYFUNCTION("""COMPUTED_VALUE"""),"Banking &amp; Financial Servicies")</f>
        <v>Banking &amp; Financial Servicies</v>
      </c>
    </row>
    <row r="1361" hidden="1">
      <c r="A1361" s="6" t="str">
        <f>IFERROR(__xludf.DUMMYFUNCTION("""COMPUTED_VALUE"""),"nezzed")</f>
        <v>nezzed</v>
      </c>
      <c r="B1361" s="6" t="str">
        <f>IFERROR(__xludf.DUMMYFUNCTION("""COMPUTED_VALUE"""),"Argentina")</f>
        <v>Argentina</v>
      </c>
      <c r="C1361" s="6" t="str">
        <f>IFERROR(__xludf.DUMMYFUNCTION("""COMPUTED_VALUE"""),"Software Factory / Staffing")</f>
        <v>Software Factory / Staffing</v>
      </c>
    </row>
    <row r="1362" hidden="1">
      <c r="A1362" s="6" t="str">
        <f>IFERROR(__xludf.DUMMYFUNCTION("""COMPUTED_VALUE"""),"stamm biotech")</f>
        <v>stamm biotech</v>
      </c>
      <c r="B1362" s="6" t="str">
        <f>IFERROR(__xludf.DUMMYFUNCTION("""COMPUTED_VALUE"""),"Estados Unidos")</f>
        <v>Estados Unidos</v>
      </c>
      <c r="C1362" s="6" t="str">
        <f>IFERROR(__xludf.DUMMYFUNCTION("""COMPUTED_VALUE"""),"Health")</f>
        <v>Health</v>
      </c>
    </row>
    <row r="1363" hidden="1">
      <c r="A1363" s="6" t="str">
        <f>IFERROR(__xludf.DUMMYFUNCTION("""COMPUTED_VALUE"""),"wiselink")</f>
        <v>wiselink</v>
      </c>
      <c r="B1363" s="6" t="str">
        <f>IFERROR(__xludf.DUMMYFUNCTION("""COMPUTED_VALUE"""),"Argentina")</f>
        <v>Argentina</v>
      </c>
      <c r="C1363" s="6" t="str">
        <f>IFERROR(__xludf.DUMMYFUNCTION("""COMPUTED_VALUE"""),"Software Factory / Staffing")</f>
        <v>Software Factory / Staffing</v>
      </c>
    </row>
    <row r="1364" hidden="1">
      <c r="A1364" s="6" t="str">
        <f>IFERROR(__xludf.DUMMYFUNCTION("""COMPUTED_VALUE"""),"patagonia it solutions")</f>
        <v>patagonia it solutions</v>
      </c>
      <c r="B1364" s="6" t="str">
        <f>IFERROR(__xludf.DUMMYFUNCTION("""COMPUTED_VALUE"""),"Chile")</f>
        <v>Chile</v>
      </c>
      <c r="C1364" s="6" t="str">
        <f>IFERROR(__xludf.DUMMYFUNCTION("""COMPUTED_VALUE"""),"Software Factory / Staffing")</f>
        <v>Software Factory / Staffing</v>
      </c>
    </row>
    <row r="1365" hidden="1">
      <c r="A1365" s="6" t="str">
        <f>IFERROR(__xludf.DUMMYFUNCTION("""COMPUTED_VALUE"""),"quo digital")</f>
        <v>quo digital</v>
      </c>
      <c r="B1365" s="6" t="str">
        <f>IFERROR(__xludf.DUMMYFUNCTION("""COMPUTED_VALUE"""),"Mexico")</f>
        <v>Mexico</v>
      </c>
      <c r="C1365" s="6" t="str">
        <f>IFERROR(__xludf.DUMMYFUNCTION("""COMPUTED_VALUE"""),"Software Factory / Staffing")</f>
        <v>Software Factory / Staffing</v>
      </c>
    </row>
    <row r="1366" hidden="1">
      <c r="A1366" s="6" t="str">
        <f>IFERROR(__xludf.DUMMYFUNCTION("""COMPUTED_VALUE"""),"superrare")</f>
        <v>superrare</v>
      </c>
      <c r="B1366" s="6" t="str">
        <f>IFERROR(__xludf.DUMMYFUNCTION("""COMPUTED_VALUE"""),"Estados Unidos")</f>
        <v>Estados Unidos</v>
      </c>
      <c r="C1366" s="6" t="str">
        <f>IFERROR(__xludf.DUMMYFUNCTION("""COMPUTED_VALUE"""),"Software Factory / Staffing")</f>
        <v>Software Factory / Staffing</v>
      </c>
    </row>
    <row r="1367" hidden="1">
      <c r="A1367" s="6" t="str">
        <f>IFERROR(__xludf.DUMMYFUNCTION("""COMPUTED_VALUE"""),"grupo vectus")</f>
        <v>grupo vectus</v>
      </c>
      <c r="B1367" s="6" t="str">
        <f>IFERROR(__xludf.DUMMYFUNCTION("""COMPUTED_VALUE"""),"Argentina")</f>
        <v>Argentina</v>
      </c>
      <c r="C1367" s="6" t="str">
        <f>IFERROR(__xludf.DUMMYFUNCTION("""COMPUTED_VALUE"""),"Media &amp; Communication")</f>
        <v>Media &amp; Communication</v>
      </c>
    </row>
    <row r="1368" hidden="1">
      <c r="A1368" s="6" t="str">
        <f>IFERROR(__xludf.DUMMYFUNCTION("""COMPUTED_VALUE"""),"modak")</f>
        <v>modak</v>
      </c>
      <c r="B1368" s="6" t="str">
        <f>IFERROR(__xludf.DUMMYFUNCTION("""COMPUTED_VALUE"""),"Estados Unidos")</f>
        <v>Estados Unidos</v>
      </c>
      <c r="C1368" s="6" t="str">
        <f>IFERROR(__xludf.DUMMYFUNCTION("""COMPUTED_VALUE"""),"Software Factory / Staffing")</f>
        <v>Software Factory / Staffing</v>
      </c>
    </row>
    <row r="1369" hidden="1">
      <c r="A1369" s="6" t="str">
        <f>IFERROR(__xludf.DUMMYFUNCTION("""COMPUTED_VALUE"""),"lax")</f>
        <v>lax</v>
      </c>
      <c r="B1369" s="6" t="str">
        <f>IFERROR(__xludf.DUMMYFUNCTION("""COMPUTED_VALUE"""),"Argentina")</f>
        <v>Argentina</v>
      </c>
      <c r="C1369" s="6" t="str">
        <f>IFERROR(__xludf.DUMMYFUNCTION("""COMPUTED_VALUE"""),"Management Consulting")</f>
        <v>Management Consulting</v>
      </c>
    </row>
    <row r="1370" hidden="1">
      <c r="A1370" s="6" t="str">
        <f>IFERROR(__xludf.DUMMYFUNCTION("""COMPUTED_VALUE"""),"cespi")</f>
        <v>cespi</v>
      </c>
      <c r="B1370" s="6" t="str">
        <f>IFERROR(__xludf.DUMMYFUNCTION("""COMPUTED_VALUE"""),"Argentina")</f>
        <v>Argentina</v>
      </c>
      <c r="C1370" s="6" t="str">
        <f>IFERROR(__xludf.DUMMYFUNCTION("""COMPUTED_VALUE"""),"Software Factory / Staffing")</f>
        <v>Software Factory / Staffing</v>
      </c>
    </row>
    <row r="1371" hidden="1">
      <c r="A1371" s="6" t="str">
        <f>IFERROR(__xludf.DUMMYFUNCTION("""COMPUTED_VALUE"""),"banco galicia")</f>
        <v>banco galicia</v>
      </c>
      <c r="B1371" s="6" t="str">
        <f>IFERROR(__xludf.DUMMYFUNCTION("""COMPUTED_VALUE"""),"Argentina")</f>
        <v>Argentina</v>
      </c>
      <c r="C1371" s="6" t="str">
        <f>IFERROR(__xludf.DUMMYFUNCTION("""COMPUTED_VALUE"""),"Banking &amp; Financial Servicies")</f>
        <v>Banking &amp; Financial Servicies</v>
      </c>
    </row>
    <row r="1372" hidden="1">
      <c r="A1372" s="6" t="str">
        <f>IFERROR(__xludf.DUMMYFUNCTION("""COMPUTED_VALUE"""),"qentaz")</f>
        <v>qentaz</v>
      </c>
      <c r="B1372" s="6" t="str">
        <f>IFERROR(__xludf.DUMMYFUNCTION("""COMPUTED_VALUE"""),"Colombia")</f>
        <v>Colombia</v>
      </c>
      <c r="C1372" s="6" t="str">
        <f>IFERROR(__xludf.DUMMYFUNCTION("""COMPUTED_VALUE"""),"Banking &amp; Financial Servicies")</f>
        <v>Banking &amp; Financial Servicies</v>
      </c>
    </row>
    <row r="1373" hidden="1">
      <c r="A1373" s="6" t="str">
        <f>IFERROR(__xludf.DUMMYFUNCTION("""COMPUTED_VALUE"""),"sistemas plenario")</f>
        <v>sistemas plenario</v>
      </c>
      <c r="B1373" s="6" t="str">
        <f>IFERROR(__xludf.DUMMYFUNCTION("""COMPUTED_VALUE"""),"Argentina")</f>
        <v>Argentina</v>
      </c>
      <c r="C1373" s="6" t="str">
        <f>IFERROR(__xludf.DUMMYFUNCTION("""COMPUTED_VALUE"""),"Software Factory / Staffing")</f>
        <v>Software Factory / Staffing</v>
      </c>
    </row>
    <row r="1374">
      <c r="A1374" s="6" t="str">
        <f>IFERROR(__xludf.DUMMYFUNCTION("""COMPUTED_VALUE"""),"learnala")</f>
        <v>learnala</v>
      </c>
      <c r="B1374" s="6" t="str">
        <f>IFERROR(__xludf.DUMMYFUNCTION("""COMPUTED_VALUE"""),"Mexico")</f>
        <v>Mexico</v>
      </c>
      <c r="C1374" s="6" t="str">
        <f>IFERROR(__xludf.DUMMYFUNCTION("""COMPUTED_VALUE"""),"Education &amp; Edtech")</f>
        <v>Education &amp; Edtech</v>
      </c>
    </row>
    <row r="1375" hidden="1">
      <c r="A1375" s="6" t="str">
        <f>IFERROR(__xludf.DUMMYFUNCTION("""COMPUTED_VALUE"""),"fk systems gmbh")</f>
        <v>fk systems gmbh</v>
      </c>
      <c r="B1375" s="6" t="str">
        <f>IFERROR(__xludf.DUMMYFUNCTION("""COMPUTED_VALUE"""),"Alemania")</f>
        <v>Alemania</v>
      </c>
      <c r="C1375" s="6" t="str">
        <f>IFERROR(__xludf.DUMMYFUNCTION("""COMPUTED_VALUE"""),"PropTech / Real State")</f>
        <v>PropTech / Real State</v>
      </c>
    </row>
    <row r="1376" hidden="1">
      <c r="A1376" s="6" t="str">
        <f>IFERROR(__xludf.DUMMYFUNCTION("""COMPUTED_VALUE"""),"winpax")</f>
        <v>winpax</v>
      </c>
      <c r="B1376" s="6" t="str">
        <f>IFERROR(__xludf.DUMMYFUNCTION("""COMPUTED_VALUE"""),"Argentina")</f>
        <v>Argentina</v>
      </c>
      <c r="C1376" s="6" t="str">
        <f>IFERROR(__xludf.DUMMYFUNCTION("""COMPUTED_VALUE"""),"Other")</f>
        <v>Other</v>
      </c>
    </row>
    <row r="1377" hidden="1">
      <c r="A1377" s="6" t="str">
        <f>IFERROR(__xludf.DUMMYFUNCTION("""COMPUTED_VALUE"""),"gogalapagos")</f>
        <v>gogalapagos</v>
      </c>
      <c r="B1377" s="6" t="str">
        <f>IFERROR(__xludf.DUMMYFUNCTION("""COMPUTED_VALUE"""),"Ecuador")</f>
        <v>Ecuador</v>
      </c>
      <c r="C1377" s="6" t="str">
        <f>IFERROR(__xludf.DUMMYFUNCTION("""COMPUTED_VALUE"""),"Travel and Tourism")</f>
        <v>Travel and Tourism</v>
      </c>
    </row>
    <row r="1378" hidden="1">
      <c r="A1378" s="6" t="str">
        <f>IFERROR(__xludf.DUMMYFUNCTION("""COMPUTED_VALUE"""),"change the block")</f>
        <v>change the block</v>
      </c>
      <c r="B1378" s="6" t="str">
        <f>IFERROR(__xludf.DUMMYFUNCTION("""COMPUTED_VALUE"""),"España")</f>
        <v>España</v>
      </c>
      <c r="C1378" s="6" t="str">
        <f>IFERROR(__xludf.DUMMYFUNCTION("""COMPUTED_VALUE"""),"Blockchain, Crypto &amp; NFT")</f>
        <v>Blockchain, Crypto &amp; NFT</v>
      </c>
    </row>
    <row r="1379" hidden="1">
      <c r="A1379" s="6" t="str">
        <f>IFERROR(__xludf.DUMMYFUNCTION("""COMPUTED_VALUE"""),"fundación escalera")</f>
        <v>fundación escalera</v>
      </c>
      <c r="B1379" s="6" t="str">
        <f>IFERROR(__xludf.DUMMYFUNCTION("""COMPUTED_VALUE"""),"Mexico")</f>
        <v>Mexico</v>
      </c>
      <c r="C1379" s="6" t="str">
        <f>IFERROR(__xludf.DUMMYFUNCTION("""COMPUTED_VALUE"""),"Other")</f>
        <v>Other</v>
      </c>
    </row>
    <row r="1380" hidden="1">
      <c r="A1380" s="6" t="str">
        <f>IFERROR(__xludf.DUMMYFUNCTION("""COMPUTED_VALUE"""),"tam")</f>
        <v>tam</v>
      </c>
      <c r="B1380" s="6" t="str">
        <f>IFERROR(__xludf.DUMMYFUNCTION("""COMPUTED_VALUE"""),"Estados Unidos")</f>
        <v>Estados Unidos</v>
      </c>
      <c r="C1380" s="6" t="str">
        <f>IFERROR(__xludf.DUMMYFUNCTION("""COMPUTED_VALUE"""),"Energy")</f>
        <v>Energy</v>
      </c>
    </row>
    <row r="1381" hidden="1">
      <c r="A1381" s="6" t="str">
        <f>IFERROR(__xludf.DUMMYFUNCTION("""COMPUTED_VALUE"""),"minimalart")</f>
        <v>minimalart</v>
      </c>
      <c r="B1381" s="6" t="str">
        <f>IFERROR(__xludf.DUMMYFUNCTION("""COMPUTED_VALUE"""),"Argentina")</f>
        <v>Argentina</v>
      </c>
      <c r="C1381" s="6" t="str">
        <f>IFERROR(__xludf.DUMMYFUNCTION("""COMPUTED_VALUE"""),"Management Consulting")</f>
        <v>Management Consulting</v>
      </c>
    </row>
    <row r="1382" hidden="1">
      <c r="A1382" s="6" t="str">
        <f>IFERROR(__xludf.DUMMYFUNCTION("""COMPUTED_VALUE"""),"dts security")</f>
        <v>dts security</v>
      </c>
      <c r="B1382" s="6" t="str">
        <f>IFERROR(__xludf.DUMMYFUNCTION("""COMPUTED_VALUE"""),"Estados Unidos")</f>
        <v>Estados Unidos</v>
      </c>
      <c r="C1382" s="6" t="str">
        <f>IFERROR(__xludf.DUMMYFUNCTION("""COMPUTED_VALUE"""),"Other")</f>
        <v>Other</v>
      </c>
    </row>
    <row r="1383" hidden="1">
      <c r="A1383" s="6" t="str">
        <f>IFERROR(__xludf.DUMMYFUNCTION("""COMPUTED_VALUE"""),"avila tek")</f>
        <v>avila tek</v>
      </c>
      <c r="B1383" s="6" t="str">
        <f>IFERROR(__xludf.DUMMYFUNCTION("""COMPUTED_VALUE"""),"Venezuela")</f>
        <v>Venezuela</v>
      </c>
      <c r="C1383" s="6" t="str">
        <f>IFERROR(__xludf.DUMMYFUNCTION("""COMPUTED_VALUE"""),"Software Factory / Staffing")</f>
        <v>Software Factory / Staffing</v>
      </c>
    </row>
    <row r="1384" hidden="1">
      <c r="A1384" s="6" t="str">
        <f>IFERROR(__xludf.DUMMYFUNCTION("""COMPUTED_VALUE"""),"welook")</f>
        <v>welook</v>
      </c>
      <c r="B1384" s="4"/>
      <c r="C1384" s="6" t="str">
        <f>IFERROR(__xludf.DUMMYFUNCTION("""COMPUTED_VALUE"""),"Other")</f>
        <v>Other</v>
      </c>
    </row>
    <row r="1385" hidden="1">
      <c r="A1385" s="6" t="str">
        <f>IFERROR(__xludf.DUMMYFUNCTION("""COMPUTED_VALUE"""),"time jobs")</f>
        <v>time jobs</v>
      </c>
      <c r="B1385" s="6" t="str">
        <f>IFERROR(__xludf.DUMMYFUNCTION("""COMPUTED_VALUE"""),"Chile")</f>
        <v>Chile</v>
      </c>
      <c r="C1385" s="6" t="str">
        <f>IFERROR(__xludf.DUMMYFUNCTION("""COMPUTED_VALUE"""),"Software Factory / Staffing")</f>
        <v>Software Factory / Staffing</v>
      </c>
    </row>
    <row r="1386" hidden="1">
      <c r="A1386" s="6" t="str">
        <f>IFERROR(__xludf.DUMMYFUNCTION("""COMPUTED_VALUE"""),"ocp tech")</f>
        <v>ocp tech</v>
      </c>
      <c r="B1386" s="6" t="str">
        <f>IFERROR(__xludf.DUMMYFUNCTION("""COMPUTED_VALUE"""),"Estados Unidos")</f>
        <v>Estados Unidos</v>
      </c>
      <c r="C1386" s="6" t="str">
        <f>IFERROR(__xludf.DUMMYFUNCTION("""COMPUTED_VALUE"""),"Software Factory / Staffing")</f>
        <v>Software Factory / Staffing</v>
      </c>
    </row>
    <row r="1387" hidden="1">
      <c r="A1387" s="6" t="str">
        <f>IFERROR(__xludf.DUMMYFUNCTION("""COMPUTED_VALUE"""),"edrans")</f>
        <v>edrans</v>
      </c>
      <c r="B1387" s="6" t="str">
        <f>IFERROR(__xludf.DUMMYFUNCTION("""COMPUTED_VALUE"""),"Argentina")</f>
        <v>Argentina</v>
      </c>
      <c r="C1387" s="6" t="str">
        <f>IFERROR(__xludf.DUMMYFUNCTION("""COMPUTED_VALUE"""),"Software Factory / Staffing")</f>
        <v>Software Factory / Staffing</v>
      </c>
    </row>
    <row r="1388" hidden="1">
      <c r="A1388" s="6" t="str">
        <f>IFERROR(__xludf.DUMMYFUNCTION("""COMPUTED_VALUE"""),"cloudnonic corp.")</f>
        <v>cloudnonic corp.</v>
      </c>
      <c r="B1388" s="6" t="str">
        <f>IFERROR(__xludf.DUMMYFUNCTION("""COMPUTED_VALUE"""),"Canada")</f>
        <v>Canada</v>
      </c>
      <c r="C1388" s="6" t="str">
        <f>IFERROR(__xludf.DUMMYFUNCTION("""COMPUTED_VALUE"""),"Software Factory / Staffing")</f>
        <v>Software Factory / Staffing</v>
      </c>
    </row>
    <row r="1389" hidden="1">
      <c r="A1389" s="6" t="str">
        <f>IFERROR(__xludf.DUMMYFUNCTION("""COMPUTED_VALUE"""),"busmen")</f>
        <v>busmen</v>
      </c>
      <c r="B1389" s="6" t="str">
        <f>IFERROR(__xludf.DUMMYFUNCTION("""COMPUTED_VALUE"""),"Mexico")</f>
        <v>Mexico</v>
      </c>
      <c r="C1389" s="6" t="str">
        <f>IFERROR(__xludf.DUMMYFUNCTION("""COMPUTED_VALUE"""),"Travel and Tourism")</f>
        <v>Travel and Tourism</v>
      </c>
    </row>
    <row r="1390" hidden="1">
      <c r="A1390" s="6" t="str">
        <f>IFERROR(__xludf.DUMMYFUNCTION("""COMPUTED_VALUE"""),"infobae")</f>
        <v>infobae</v>
      </c>
      <c r="B1390" s="6" t="str">
        <f>IFERROR(__xludf.DUMMYFUNCTION("""COMPUTED_VALUE"""),"Argentina")</f>
        <v>Argentina</v>
      </c>
      <c r="C1390" s="6" t="str">
        <f>IFERROR(__xludf.DUMMYFUNCTION("""COMPUTED_VALUE"""),"Media &amp; Communication")</f>
        <v>Media &amp; Communication</v>
      </c>
    </row>
    <row r="1391" hidden="1">
      <c r="A1391" s="6" t="str">
        <f>IFERROR(__xludf.DUMMYFUNCTION("""COMPUTED_VALUE"""),"full access s.a.")</f>
        <v>full access s.a.</v>
      </c>
      <c r="B1391" s="4"/>
      <c r="C1391" s="6" t="str">
        <f>IFERROR(__xludf.DUMMYFUNCTION("""COMPUTED_VALUE"""),"Messaging and Telecommunications")</f>
        <v>Messaging and Telecommunications</v>
      </c>
    </row>
    <row r="1392" hidden="1">
      <c r="A1392" s="6" t="str">
        <f>IFERROR(__xludf.DUMMYFUNCTION("""COMPUTED_VALUE"""),"alpozo")</f>
        <v>alpozo</v>
      </c>
      <c r="B1392" s="6" t="str">
        <f>IFERROR(__xludf.DUMMYFUNCTION("""COMPUTED_VALUE"""),"Argentina")</f>
        <v>Argentina</v>
      </c>
      <c r="C1392" s="6" t="str">
        <f>IFERROR(__xludf.DUMMYFUNCTION("""COMPUTED_VALUE"""),"PropTech / Real State")</f>
        <v>PropTech / Real State</v>
      </c>
    </row>
    <row r="1393" hidden="1">
      <c r="A1393" s="6" t="str">
        <f>IFERROR(__xludf.DUMMYFUNCTION("""COMPUTED_VALUE"""),"get wonder")</f>
        <v>get wonder</v>
      </c>
      <c r="B1393" s="4"/>
      <c r="C1393" s="6" t="str">
        <f>IFERROR(__xludf.DUMMYFUNCTION("""COMPUTED_VALUE"""),"Marketing &amp; Advertising")</f>
        <v>Marketing &amp; Advertising</v>
      </c>
    </row>
    <row r="1394" hidden="1">
      <c r="A1394" s="6" t="str">
        <f>IFERROR(__xludf.DUMMYFUNCTION("""COMPUTED_VALUE"""),"eldar")</f>
        <v>eldar</v>
      </c>
      <c r="B1394" s="6" t="str">
        <f>IFERROR(__xludf.DUMMYFUNCTION("""COMPUTED_VALUE"""),"Argentina")</f>
        <v>Argentina</v>
      </c>
      <c r="C1394" s="6" t="str">
        <f>IFERROR(__xludf.DUMMYFUNCTION("""COMPUTED_VALUE"""),"Software Factory / Staffing")</f>
        <v>Software Factory / Staffing</v>
      </c>
    </row>
    <row r="1395" hidden="1">
      <c r="A1395" s="6" t="str">
        <f>IFERROR(__xludf.DUMMYFUNCTION("""COMPUTED_VALUE"""),"charles taylor insuretech")</f>
        <v>charles taylor insuretech</v>
      </c>
      <c r="B1395" s="6" t="str">
        <f>IFERROR(__xludf.DUMMYFUNCTION("""COMPUTED_VALUE"""),"Inglaterra")</f>
        <v>Inglaterra</v>
      </c>
      <c r="C1395" s="6" t="str">
        <f>IFERROR(__xludf.DUMMYFUNCTION("""COMPUTED_VALUE"""),"Fintech")</f>
        <v>Fintech</v>
      </c>
    </row>
    <row r="1396" hidden="1">
      <c r="A1396" s="6" t="str">
        <f>IFERROR(__xludf.DUMMYFUNCTION("""COMPUTED_VALUE"""),"itg")</f>
        <v>itg</v>
      </c>
      <c r="B1396" s="6" t="str">
        <f>IFERROR(__xludf.DUMMYFUNCTION("""COMPUTED_VALUE"""),"Estados Unidos")</f>
        <v>Estados Unidos</v>
      </c>
      <c r="C1396" s="6" t="str">
        <f>IFERROR(__xludf.DUMMYFUNCTION("""COMPUTED_VALUE"""),"Banking &amp; Financial Servicies")</f>
        <v>Banking &amp; Financial Servicies</v>
      </c>
    </row>
    <row r="1397" hidden="1">
      <c r="A1397" s="6" t="str">
        <f>IFERROR(__xludf.DUMMYFUNCTION("""COMPUTED_VALUE"""),"ontiime")</f>
        <v>ontiime</v>
      </c>
      <c r="B1397" s="6" t="str">
        <f>IFERROR(__xludf.DUMMYFUNCTION("""COMPUTED_VALUE"""),"Argentina")</f>
        <v>Argentina</v>
      </c>
      <c r="C1397" s="6" t="str">
        <f>IFERROR(__xludf.DUMMYFUNCTION("""COMPUTED_VALUE"""),"Management Consulting")</f>
        <v>Management Consulting</v>
      </c>
    </row>
    <row r="1398" hidden="1">
      <c r="A1398" s="6" t="str">
        <f>IFERROR(__xludf.DUMMYFUNCTION("""COMPUTED_VALUE"""),"oncomed reno sa")</f>
        <v>oncomed reno sa</v>
      </c>
      <c r="B1398" s="4"/>
      <c r="C1398" s="4"/>
    </row>
    <row r="1399" hidden="1">
      <c r="A1399" s="6" t="str">
        <f>IFERROR(__xludf.DUMMYFUNCTION("""COMPUTED_VALUE"""),"boreal solutions")</f>
        <v>boreal solutions</v>
      </c>
      <c r="B1399" s="6" t="str">
        <f>IFERROR(__xludf.DUMMYFUNCTION("""COMPUTED_VALUE"""),"Colombia")</f>
        <v>Colombia</v>
      </c>
      <c r="C1399" s="6" t="str">
        <f>IFERROR(__xludf.DUMMYFUNCTION("""COMPUTED_VALUE"""),"Other")</f>
        <v>Other</v>
      </c>
    </row>
    <row r="1400" hidden="1">
      <c r="A1400" s="6" t="str">
        <f>IFERROR(__xludf.DUMMYFUNCTION("""COMPUTED_VALUE"""),"fresco design")</f>
        <v>fresco design</v>
      </c>
      <c r="B1400" s="6" t="str">
        <f>IFERROR(__xludf.DUMMYFUNCTION("""COMPUTED_VALUE"""),"Estados Unidos")</f>
        <v>Estados Unidos</v>
      </c>
      <c r="C1400" s="6" t="str">
        <f>IFERROR(__xludf.DUMMYFUNCTION("""COMPUTED_VALUE"""),"Other")</f>
        <v>Other</v>
      </c>
    </row>
    <row r="1401" hidden="1">
      <c r="A1401" s="6" t="str">
        <f>IFERROR(__xludf.DUMMYFUNCTION("""COMPUTED_VALUE"""),"emser")</f>
        <v>emser</v>
      </c>
      <c r="B1401" s="6" t="str">
        <f>IFERROR(__xludf.DUMMYFUNCTION("""COMPUTED_VALUE"""),"Argentina")</f>
        <v>Argentina</v>
      </c>
      <c r="C1401" s="6" t="str">
        <f>IFERROR(__xludf.DUMMYFUNCTION("""COMPUTED_VALUE"""),"Software Factory / Staffing")</f>
        <v>Software Factory / Staffing</v>
      </c>
    </row>
    <row r="1402" hidden="1">
      <c r="A1402" s="6" t="str">
        <f>IFERROR(__xludf.DUMMYFUNCTION("""COMPUTED_VALUE"""),"nlt secure")</f>
        <v>nlt secure</v>
      </c>
      <c r="B1402" s="6" t="str">
        <f>IFERROR(__xludf.DUMMYFUNCTION("""COMPUTED_VALUE"""),"Chile")</f>
        <v>Chile</v>
      </c>
      <c r="C1402" s="6" t="str">
        <f>IFERROR(__xludf.DUMMYFUNCTION("""COMPUTED_VALUE"""),"Cibersecurity")</f>
        <v>Cibersecurity</v>
      </c>
    </row>
    <row r="1403" hidden="1">
      <c r="A1403" s="6" t="str">
        <f>IFERROR(__xludf.DUMMYFUNCTION("""COMPUTED_VALUE"""),"alfred llc")</f>
        <v>alfred llc</v>
      </c>
      <c r="B1403" s="6" t="str">
        <f>IFERROR(__xludf.DUMMYFUNCTION("""COMPUTED_VALUE"""),"Estados Unidos")</f>
        <v>Estados Unidos</v>
      </c>
      <c r="C1403" s="6" t="str">
        <f>IFERROR(__xludf.DUMMYFUNCTION("""COMPUTED_VALUE"""),"PropTech / Real State")</f>
        <v>PropTech / Real State</v>
      </c>
    </row>
    <row r="1404" hidden="1">
      <c r="A1404" s="6" t="str">
        <f>IFERROR(__xludf.DUMMYFUNCTION("""COMPUTED_VALUE"""),"clickexperts")</f>
        <v>clickexperts</v>
      </c>
      <c r="B1404" s="6" t="str">
        <f>IFERROR(__xludf.DUMMYFUNCTION("""COMPUTED_VALUE"""),"Argentina")</f>
        <v>Argentina</v>
      </c>
      <c r="C1404" s="6" t="str">
        <f>IFERROR(__xludf.DUMMYFUNCTION("""COMPUTED_VALUE"""),"Marketing &amp; Advertising")</f>
        <v>Marketing &amp; Advertising</v>
      </c>
    </row>
    <row r="1405" hidden="1">
      <c r="A1405" s="6" t="str">
        <f>IFERROR(__xludf.DUMMYFUNCTION("""COMPUTED_VALUE"""),"korenus")</f>
        <v>korenus</v>
      </c>
      <c r="B1405" s="6" t="str">
        <f>IFERROR(__xludf.DUMMYFUNCTION("""COMPUTED_VALUE"""),"Estados Unidos")</f>
        <v>Estados Unidos</v>
      </c>
      <c r="C1405" s="6" t="str">
        <f>IFERROR(__xludf.DUMMYFUNCTION("""COMPUTED_VALUE"""),"Management Consulting")</f>
        <v>Management Consulting</v>
      </c>
    </row>
    <row r="1406">
      <c r="A1406" s="6" t="str">
        <f>IFERROR(__xludf.DUMMYFUNCTION("""COMPUTED_VALUE"""),"sellers latam")</f>
        <v>sellers latam</v>
      </c>
      <c r="B1406" s="6" t="str">
        <f>IFERROR(__xludf.DUMMYFUNCTION("""COMPUTED_VALUE"""),"Argentina")</f>
        <v>Argentina</v>
      </c>
      <c r="C1406" s="6" t="str">
        <f>IFERROR(__xludf.DUMMYFUNCTION("""COMPUTED_VALUE"""),"E-Commerce")</f>
        <v>E-Commerce</v>
      </c>
    </row>
    <row r="1407" hidden="1">
      <c r="A1407" s="6" t="str">
        <f>IFERROR(__xludf.DUMMYFUNCTION("""COMPUTED_VALUE"""),"zelcar games")</f>
        <v>zelcar games</v>
      </c>
      <c r="B1407" s="6" t="str">
        <f>IFERROR(__xludf.DUMMYFUNCTION("""COMPUTED_VALUE"""),"México")</f>
        <v>México</v>
      </c>
      <c r="C1407" s="6" t="str">
        <f>IFERROR(__xludf.DUMMYFUNCTION("""COMPUTED_VALUE"""),"Gaming")</f>
        <v>Gaming</v>
      </c>
    </row>
    <row r="1408" hidden="1">
      <c r="A1408" s="6" t="str">
        <f>IFERROR(__xludf.DUMMYFUNCTION("""COMPUTED_VALUE"""),"talent pitch")</f>
        <v>talent pitch</v>
      </c>
      <c r="B1408" s="6" t="str">
        <f>IFERROR(__xludf.DUMMYFUNCTION("""COMPUTED_VALUE"""),"Colombia")</f>
        <v>Colombia</v>
      </c>
      <c r="C1408" s="6" t="str">
        <f>IFERROR(__xludf.DUMMYFUNCTION("""COMPUTED_VALUE"""),"Education &amp; Edtech")</f>
        <v>Education &amp; Edtech</v>
      </c>
    </row>
    <row r="1409" hidden="1">
      <c r="A1409" s="6" t="str">
        <f>IFERROR(__xludf.DUMMYFUNCTION("""COMPUTED_VALUE"""),"trenes argentinos")</f>
        <v>trenes argentinos</v>
      </c>
      <c r="B1409" s="6" t="str">
        <f>IFERROR(__xludf.DUMMYFUNCTION("""COMPUTED_VALUE"""),"Argentina")</f>
        <v>Argentina</v>
      </c>
      <c r="C1409" s="6" t="str">
        <f>IFERROR(__xludf.DUMMYFUNCTION("""COMPUTED_VALUE"""),"Logistics")</f>
        <v>Logistics</v>
      </c>
    </row>
    <row r="1410">
      <c r="A1410" s="6" t="str">
        <f>IFERROR(__xludf.DUMMYFUNCTION("""COMPUTED_VALUE"""),"method")</f>
        <v>method</v>
      </c>
      <c r="B1410" s="6" t="str">
        <f>IFERROR(__xludf.DUMMYFUNCTION("""COMPUTED_VALUE"""),"Estados Unidos")</f>
        <v>Estados Unidos</v>
      </c>
      <c r="C1410" s="6" t="str">
        <f>IFERROR(__xludf.DUMMYFUNCTION("""COMPUTED_VALUE"""),"Other")</f>
        <v>Other</v>
      </c>
    </row>
    <row r="1411" hidden="1">
      <c r="A1411" s="6" t="str">
        <f>IFERROR(__xludf.DUMMYFUNCTION("""COMPUTED_VALUE"""),"afp")</f>
        <v>afp</v>
      </c>
      <c r="B1411" s="6" t="str">
        <f>IFERROR(__xludf.DUMMYFUNCTION("""COMPUTED_VALUE"""),"Francia")</f>
        <v>Francia</v>
      </c>
      <c r="C1411" s="6" t="str">
        <f>IFERROR(__xludf.DUMMYFUNCTION("""COMPUTED_VALUE"""),"Media &amp; Communication")</f>
        <v>Media &amp; Communication</v>
      </c>
    </row>
    <row r="1412" hidden="1">
      <c r="A1412" s="6" t="str">
        <f>IFERROR(__xludf.DUMMYFUNCTION("""COMPUTED_VALUE"""),"asiste")</f>
        <v>asiste</v>
      </c>
      <c r="B1412" s="6" t="str">
        <f>IFERROR(__xludf.DUMMYFUNCTION("""COMPUTED_VALUE"""),"Mexico")</f>
        <v>Mexico</v>
      </c>
      <c r="C1412" s="6" t="str">
        <f>IFERROR(__xludf.DUMMYFUNCTION("""COMPUTED_VALUE"""),"Software Factory / Staffing")</f>
        <v>Software Factory / Staffing</v>
      </c>
    </row>
    <row r="1413">
      <c r="A1413" s="6" t="str">
        <f>IFERROR(__xludf.DUMMYFUNCTION("""COMPUTED_VALUE"""),"acros training")</f>
        <v>acros training</v>
      </c>
      <c r="B1413" s="6" t="str">
        <f>IFERROR(__xludf.DUMMYFUNCTION("""COMPUTED_VALUE"""),"Argentina")</f>
        <v>Argentina</v>
      </c>
      <c r="C1413" s="6" t="str">
        <f>IFERROR(__xludf.DUMMYFUNCTION("""COMPUTED_VALUE"""),"Other")</f>
        <v>Other</v>
      </c>
    </row>
    <row r="1414" hidden="1">
      <c r="A1414" s="6" t="str">
        <f>IFERROR(__xludf.DUMMYFUNCTION("""COMPUTED_VALUE"""),"arqustik vitruvio sas")</f>
        <v>arqustik vitruvio sas</v>
      </c>
      <c r="B1414" s="6" t="str">
        <f>IFERROR(__xludf.DUMMYFUNCTION("""COMPUTED_VALUE"""),"Colombia")</f>
        <v>Colombia</v>
      </c>
      <c r="C1414" s="6" t="str">
        <f>IFERROR(__xludf.DUMMYFUNCTION("""COMPUTED_VALUE"""),"Other")</f>
        <v>Other</v>
      </c>
    </row>
    <row r="1415" hidden="1">
      <c r="A1415" s="6" t="str">
        <f>IFERROR(__xludf.DUMMYFUNCTION("""COMPUTED_VALUE"""),"multipacks")</f>
        <v>multipacks</v>
      </c>
      <c r="B1415" s="6" t="str">
        <f>IFERROR(__xludf.DUMMYFUNCTION("""COMPUTED_VALUE"""),"Ecuador")</f>
        <v>Ecuador</v>
      </c>
      <c r="C1415" s="6" t="str">
        <f>IFERROR(__xludf.DUMMYFUNCTION("""COMPUTED_VALUE"""),"FMCG / Consumo masivo")</f>
        <v>FMCG / Consumo masivo</v>
      </c>
    </row>
    <row r="1416" hidden="1">
      <c r="A1416" s="6" t="str">
        <f>IFERROR(__xludf.DUMMYFUNCTION("""COMPUTED_VALUE"""),"focus")</f>
        <v>focus</v>
      </c>
      <c r="B1416" s="6" t="str">
        <f>IFERROR(__xludf.DUMMYFUNCTION("""COMPUTED_VALUE"""),"España")</f>
        <v>España</v>
      </c>
      <c r="C1416" s="6" t="str">
        <f>IFERROR(__xludf.DUMMYFUNCTION("""COMPUTED_VALUE"""),"Other")</f>
        <v>Other</v>
      </c>
    </row>
    <row r="1417" hidden="1">
      <c r="A1417" s="6" t="str">
        <f>IFERROR(__xludf.DUMMYFUNCTION("""COMPUTED_VALUE"""),"jbk consulting, llc")</f>
        <v>jbk consulting, llc</v>
      </c>
      <c r="B1417" s="4"/>
      <c r="C1417" s="4"/>
    </row>
    <row r="1418">
      <c r="A1418" s="6" t="str">
        <f>IFERROR(__xludf.DUMMYFUNCTION("""COMPUTED_VALUE"""),"valere")</f>
        <v>valere</v>
      </c>
      <c r="B1418" s="6" t="str">
        <f>IFERROR(__xludf.DUMMYFUNCTION("""COMPUTED_VALUE"""),"Estados Unidos")</f>
        <v>Estados Unidos</v>
      </c>
      <c r="C1418" s="6" t="str">
        <f>IFERROR(__xludf.DUMMYFUNCTION("""COMPUTED_VALUE"""),"Software Factory / Staffing")</f>
        <v>Software Factory / Staffing</v>
      </c>
    </row>
    <row r="1419" hidden="1">
      <c r="A1419" s="6" t="str">
        <f>IFERROR(__xludf.DUMMYFUNCTION("""COMPUTED_VALUE"""),"universidad católica de córdoba")</f>
        <v>universidad católica de córdoba</v>
      </c>
      <c r="B1419" s="6" t="str">
        <f>IFERROR(__xludf.DUMMYFUNCTION("""COMPUTED_VALUE"""),"Argentina")</f>
        <v>Argentina</v>
      </c>
      <c r="C1419" s="6" t="str">
        <f>IFERROR(__xludf.DUMMYFUNCTION("""COMPUTED_VALUE"""),"Other")</f>
        <v>Other</v>
      </c>
    </row>
    <row r="1420" hidden="1">
      <c r="A1420" s="6" t="str">
        <f>IFERROR(__xludf.DUMMYFUNCTION("""COMPUTED_VALUE"""),"sryas")</f>
        <v>sryas</v>
      </c>
      <c r="B1420" s="6" t="str">
        <f>IFERROR(__xludf.DUMMYFUNCTION("""COMPUTED_VALUE"""),"Estados Unidos")</f>
        <v>Estados Unidos</v>
      </c>
      <c r="C1420" s="6" t="str">
        <f>IFERROR(__xludf.DUMMYFUNCTION("""COMPUTED_VALUE"""),"Data &amp; Analytics")</f>
        <v>Data &amp; Analytics</v>
      </c>
    </row>
    <row r="1421" hidden="1">
      <c r="A1421" s="6" t="str">
        <f>IFERROR(__xludf.DUMMYFUNCTION("""COMPUTED_VALUE"""),"agenda pro")</f>
        <v>agenda pro</v>
      </c>
      <c r="B1421" s="6" t="str">
        <f>IFERROR(__xludf.DUMMYFUNCTION("""COMPUTED_VALUE"""),"Chile")</f>
        <v>Chile</v>
      </c>
      <c r="C1421" s="6" t="str">
        <f>IFERROR(__xludf.DUMMYFUNCTION("""COMPUTED_VALUE"""),"Management Consulting")</f>
        <v>Management Consulting</v>
      </c>
    </row>
    <row r="1422" hidden="1">
      <c r="A1422" s="6" t="str">
        <f>IFERROR(__xludf.DUMMYFUNCTION("""COMPUTED_VALUE"""),"evo")</f>
        <v>evo</v>
      </c>
      <c r="B1422" s="6" t="str">
        <f>IFERROR(__xludf.DUMMYFUNCTION("""COMPUTED_VALUE"""),"Estados Unidos")</f>
        <v>Estados Unidos</v>
      </c>
      <c r="C1422" s="6" t="str">
        <f>IFERROR(__xludf.DUMMYFUNCTION("""COMPUTED_VALUE"""),"Other")</f>
        <v>Other</v>
      </c>
    </row>
    <row r="1423" hidden="1">
      <c r="A1423" s="6" t="str">
        <f>IFERROR(__xludf.DUMMYFUNCTION("""COMPUTED_VALUE"""),"sphereone")</f>
        <v>sphereone</v>
      </c>
      <c r="B1423" s="6" t="str">
        <f>IFERROR(__xludf.DUMMYFUNCTION("""COMPUTED_VALUE"""),"Estados Unidos")</f>
        <v>Estados Unidos</v>
      </c>
      <c r="C1423" s="6" t="str">
        <f>IFERROR(__xludf.DUMMYFUNCTION("""COMPUTED_VALUE"""),"Banking &amp; Financial Servicies")</f>
        <v>Banking &amp; Financial Servicies</v>
      </c>
    </row>
    <row r="1424">
      <c r="A1424" s="6" t="str">
        <f>IFERROR(__xludf.DUMMYFUNCTION("""COMPUTED_VALUE"""),"taxdown")</f>
        <v>taxdown</v>
      </c>
      <c r="B1424" s="6" t="str">
        <f>IFERROR(__xludf.DUMMYFUNCTION("""COMPUTED_VALUE"""),"España")</f>
        <v>España</v>
      </c>
      <c r="C1424" s="6" t="str">
        <f>IFERROR(__xludf.DUMMYFUNCTION("""COMPUTED_VALUE"""),"Management Consulting")</f>
        <v>Management Consulting</v>
      </c>
    </row>
    <row r="1425">
      <c r="A1425" s="6" t="str">
        <f>IFERROR(__xludf.DUMMYFUNCTION("""COMPUTED_VALUE"""),"iot animals sas")</f>
        <v>iot animals sas</v>
      </c>
      <c r="B1425" s="4"/>
      <c r="C1425" s="4"/>
    </row>
    <row r="1426" hidden="1">
      <c r="A1426" s="6" t="str">
        <f>IFERROR(__xludf.DUMMYFUNCTION("""COMPUTED_VALUE"""),"blockinar")</f>
        <v>blockinar</v>
      </c>
      <c r="B1426" s="6" t="str">
        <f>IFERROR(__xludf.DUMMYFUNCTION("""COMPUTED_VALUE"""),"Argentina")</f>
        <v>Argentina</v>
      </c>
      <c r="C1426" s="6" t="str">
        <f>IFERROR(__xludf.DUMMYFUNCTION("""COMPUTED_VALUE"""),"Software Factory / Staffing")</f>
        <v>Software Factory / Staffing</v>
      </c>
    </row>
    <row r="1427" hidden="1">
      <c r="A1427" s="6" t="str">
        <f>IFERROR(__xludf.DUMMYFUNCTION("""COMPUTED_VALUE"""),"aplin")</f>
        <v>aplin</v>
      </c>
      <c r="B1427" s="6" t="str">
        <f>IFERROR(__xludf.DUMMYFUNCTION("""COMPUTED_VALUE"""),"Canada")</f>
        <v>Canada</v>
      </c>
      <c r="C1427" s="6" t="str">
        <f>IFERROR(__xludf.DUMMYFUNCTION("""COMPUTED_VALUE"""),"Human Resources")</f>
        <v>Human Resources</v>
      </c>
    </row>
    <row r="1428">
      <c r="A1428" s="6" t="str">
        <f>IFERROR(__xludf.DUMMYFUNCTION("""COMPUTED_VALUE"""),"particular")</f>
        <v>particular</v>
      </c>
      <c r="B1428" s="6" t="str">
        <f>IFERROR(__xludf.DUMMYFUNCTION("""COMPUTED_VALUE"""),"Argentina")</f>
        <v>Argentina</v>
      </c>
      <c r="C1428" s="6" t="str">
        <f>IFERROR(__xludf.DUMMYFUNCTION("""COMPUTED_VALUE"""),"Other")</f>
        <v>Other</v>
      </c>
    </row>
    <row r="1429" hidden="1">
      <c r="A1429" s="6" t="str">
        <f>IFERROR(__xludf.DUMMYFUNCTION("""COMPUTED_VALUE"""),"creative inventions")</f>
        <v>creative inventions</v>
      </c>
      <c r="B1429" s="6" t="str">
        <f>IFERROR(__xludf.DUMMYFUNCTION("""COMPUTED_VALUE"""),"Estados Unidos")</f>
        <v>Estados Unidos</v>
      </c>
      <c r="C1429" s="6" t="str">
        <f>IFERROR(__xludf.DUMMYFUNCTION("""COMPUTED_VALUE"""),"Software Factory / Staffing")</f>
        <v>Software Factory / Staffing</v>
      </c>
    </row>
    <row r="1430" hidden="1">
      <c r="A1430" s="6" t="str">
        <f>IFERROR(__xludf.DUMMYFUNCTION("""COMPUTED_VALUE"""),"royal profit, s.l.")</f>
        <v>royal profit, s.l.</v>
      </c>
      <c r="B1430" s="4"/>
      <c r="C1430" s="4"/>
    </row>
    <row r="1431" hidden="1">
      <c r="A1431" s="6" t="str">
        <f>IFERROR(__xludf.DUMMYFUNCTION("""COMPUTED_VALUE"""),"offimedicas s.a.")</f>
        <v>offimedicas s.a.</v>
      </c>
      <c r="B1431" s="6" t="str">
        <f>IFERROR(__xludf.DUMMYFUNCTION("""COMPUTED_VALUE"""),"Colombia")</f>
        <v>Colombia</v>
      </c>
      <c r="C1431" s="6" t="str">
        <f>IFERROR(__xludf.DUMMYFUNCTION("""COMPUTED_VALUE"""),"Health")</f>
        <v>Health</v>
      </c>
    </row>
    <row r="1432" hidden="1">
      <c r="A1432" s="6" t="str">
        <f>IFERROR(__xludf.DUMMYFUNCTION("""COMPUTED_VALUE"""),"desol s a")</f>
        <v>desol s a</v>
      </c>
      <c r="B1432" s="6" t="str">
        <f>IFERROR(__xludf.DUMMYFUNCTION("""COMPUTED_VALUE"""),"Argentina")</f>
        <v>Argentina</v>
      </c>
      <c r="C1432" s="6" t="str">
        <f>IFERROR(__xludf.DUMMYFUNCTION("""COMPUTED_VALUE"""),"Media &amp; Communication")</f>
        <v>Media &amp; Communication</v>
      </c>
    </row>
    <row r="1433" hidden="1">
      <c r="A1433" s="6" t="str">
        <f>IFERROR(__xludf.DUMMYFUNCTION("""COMPUTED_VALUE"""),"talento consultores")</f>
        <v>talento consultores</v>
      </c>
      <c r="B1433" s="6" t="str">
        <f>IFERROR(__xludf.DUMMYFUNCTION("""COMPUTED_VALUE"""),"Mexico")</f>
        <v>Mexico</v>
      </c>
      <c r="C1433" s="6" t="str">
        <f>IFERROR(__xludf.DUMMYFUNCTION("""COMPUTED_VALUE"""),"Education &amp; Edtech")</f>
        <v>Education &amp; Edtech</v>
      </c>
    </row>
    <row r="1434">
      <c r="A1434" s="6" t="str">
        <f>IFERROR(__xludf.DUMMYFUNCTION("""COMPUTED_VALUE"""),"rurall latam")</f>
        <v>rurall latam</v>
      </c>
      <c r="B1434" s="6" t="str">
        <f>IFERROR(__xludf.DUMMYFUNCTION("""COMPUTED_VALUE"""),"Colombia")</f>
        <v>Colombia</v>
      </c>
      <c r="C1434" s="6" t="str">
        <f>IFERROR(__xludf.DUMMYFUNCTION("""COMPUTED_VALUE"""),"FMCG / Consumo masivo")</f>
        <v>FMCG / Consumo masivo</v>
      </c>
    </row>
    <row r="1435" hidden="1">
      <c r="A1435" s="6" t="str">
        <f>IFERROR(__xludf.DUMMYFUNCTION("""COMPUTED_VALUE"""),"aoop cloud solutions")</f>
        <v>aoop cloud solutions</v>
      </c>
      <c r="B1435" s="6" t="str">
        <f>IFERROR(__xludf.DUMMYFUNCTION("""COMPUTED_VALUE"""),"Brasil")</f>
        <v>Brasil</v>
      </c>
      <c r="C1435" s="6" t="str">
        <f>IFERROR(__xludf.DUMMYFUNCTION("""COMPUTED_VALUE"""),"Management Consulting")</f>
        <v>Management Consulting</v>
      </c>
    </row>
    <row r="1436" hidden="1">
      <c r="A1436" s="6" t="str">
        <f>IFERROR(__xludf.DUMMYFUNCTION("""COMPUTED_VALUE"""),"rêvus store")</f>
        <v>rêvus store</v>
      </c>
      <c r="B1436" s="6" t="str">
        <f>IFERROR(__xludf.DUMMYFUNCTION("""COMPUTED_VALUE"""),"Argentina")</f>
        <v>Argentina</v>
      </c>
      <c r="C1436" s="6" t="str">
        <f>IFERROR(__xludf.DUMMYFUNCTION("""COMPUTED_VALUE"""),"Software Factory / Staffing")</f>
        <v>Software Factory / Staffing</v>
      </c>
    </row>
    <row r="1437">
      <c r="A1437" s="6" t="str">
        <f>IFERROR(__xludf.DUMMYFUNCTION("""COMPUTED_VALUE"""),"sistemas especificos ltda")</f>
        <v>sistemas especificos ltda</v>
      </c>
      <c r="B1437" s="6" t="str">
        <f>IFERROR(__xludf.DUMMYFUNCTION("""COMPUTED_VALUE"""),"Colombia")</f>
        <v>Colombia</v>
      </c>
      <c r="C1437" s="6" t="str">
        <f>IFERROR(__xludf.DUMMYFUNCTION("""COMPUTED_VALUE"""),"Software Factory / Staffing")</f>
        <v>Software Factory / Staffing</v>
      </c>
    </row>
    <row r="1438" hidden="1">
      <c r="A1438" s="6" t="str">
        <f>IFERROR(__xludf.DUMMYFUNCTION("""COMPUTED_VALUE"""),"cloud accounting s.a.s")</f>
        <v>cloud accounting s.a.s</v>
      </c>
      <c r="B1438" s="6" t="str">
        <f>IFERROR(__xludf.DUMMYFUNCTION("""COMPUTED_VALUE"""),"Estados Unidos")</f>
        <v>Estados Unidos</v>
      </c>
      <c r="C1438" s="6" t="str">
        <f>IFERROR(__xludf.DUMMYFUNCTION("""COMPUTED_VALUE"""),"Software Factory / Staffing")</f>
        <v>Software Factory / Staffing</v>
      </c>
    </row>
    <row r="1439" hidden="1">
      <c r="A1439" s="6" t="str">
        <f>IFERROR(__xludf.DUMMYFUNCTION("""COMPUTED_VALUE"""),"mediabrands")</f>
        <v>mediabrands</v>
      </c>
      <c r="B1439" s="6" t="str">
        <f>IFERROR(__xludf.DUMMYFUNCTION("""COMPUTED_VALUE"""),"Estados Unidos")</f>
        <v>Estados Unidos</v>
      </c>
      <c r="C1439" s="6" t="str">
        <f>IFERROR(__xludf.DUMMYFUNCTION("""COMPUTED_VALUE"""),"Marketing &amp; Advertising")</f>
        <v>Marketing &amp; Advertising</v>
      </c>
    </row>
    <row r="1440" hidden="1">
      <c r="A1440" s="6" t="str">
        <f>IFERROR(__xludf.DUMMYFUNCTION("""COMPUTED_VALUE"""),"farmu")</f>
        <v>farmu</v>
      </c>
      <c r="B1440" s="6" t="str">
        <f>IFERROR(__xludf.DUMMYFUNCTION("""COMPUTED_VALUE"""),"Colombia")</f>
        <v>Colombia</v>
      </c>
      <c r="C1440" s="6" t="str">
        <f>IFERROR(__xludf.DUMMYFUNCTION("""COMPUTED_VALUE"""),"Health")</f>
        <v>Health</v>
      </c>
    </row>
    <row r="1441" hidden="1">
      <c r="A1441" s="6" t="str">
        <f>IFERROR(__xludf.DUMMYFUNCTION("""COMPUTED_VALUE"""),"pasap")</f>
        <v>pasap</v>
      </c>
      <c r="B1441" s="6" t="str">
        <f>IFERROR(__xludf.DUMMYFUNCTION("""COMPUTED_VALUE"""),"Argentina")</f>
        <v>Argentina</v>
      </c>
      <c r="C1441" s="6" t="str">
        <f>IFERROR(__xludf.DUMMYFUNCTION("""COMPUTED_VALUE"""),"SaaS")</f>
        <v>SaaS</v>
      </c>
    </row>
    <row r="1442" hidden="1">
      <c r="A1442" s="6" t="str">
        <f>IFERROR(__xludf.DUMMYFUNCTION("""COMPUTED_VALUE"""),"proyecto404")</f>
        <v>proyecto404</v>
      </c>
      <c r="B1442" s="6" t="str">
        <f>IFERROR(__xludf.DUMMYFUNCTION("""COMPUTED_VALUE"""),"Argentina")</f>
        <v>Argentina</v>
      </c>
      <c r="C1442" s="6" t="str">
        <f>IFERROR(__xludf.DUMMYFUNCTION("""COMPUTED_VALUE"""),"Software Factory / Staffing")</f>
        <v>Software Factory / Staffing</v>
      </c>
    </row>
    <row r="1443" hidden="1">
      <c r="A1443" s="6" t="str">
        <f>IFERROR(__xludf.DUMMYFUNCTION("""COMPUTED_VALUE"""),"musimundo")</f>
        <v>musimundo</v>
      </c>
      <c r="B1443" s="6" t="str">
        <f>IFERROR(__xludf.DUMMYFUNCTION("""COMPUTED_VALUE"""),"Argentina")</f>
        <v>Argentina</v>
      </c>
      <c r="C1443" s="6" t="str">
        <f>IFERROR(__xludf.DUMMYFUNCTION("""COMPUTED_VALUE"""),"PropTech / Real State")</f>
        <v>PropTech / Real State</v>
      </c>
    </row>
    <row r="1444" hidden="1">
      <c r="A1444" s="6" t="str">
        <f>IFERROR(__xludf.DUMMYFUNCTION("""COMPUTED_VALUE"""),"enlace global")</f>
        <v>enlace global</v>
      </c>
      <c r="B1444" s="6" t="str">
        <f>IFERROR(__xludf.DUMMYFUNCTION("""COMPUTED_VALUE"""),"Chile")</f>
        <v>Chile</v>
      </c>
      <c r="C1444" s="6" t="str">
        <f>IFERROR(__xludf.DUMMYFUNCTION("""COMPUTED_VALUE"""),"Software Factory / Staffing")</f>
        <v>Software Factory / Staffing</v>
      </c>
    </row>
    <row r="1445" hidden="1">
      <c r="A1445" s="6" t="str">
        <f>IFERROR(__xludf.DUMMYFUNCTION("""COMPUTED_VALUE"""),"ludelaba")</f>
        <v>ludelaba</v>
      </c>
      <c r="B1445" s="6" t="str">
        <f>IFERROR(__xludf.DUMMYFUNCTION("""COMPUTED_VALUE"""),"Argentina")</f>
        <v>Argentina</v>
      </c>
      <c r="C1445" s="6" t="str">
        <f>IFERROR(__xludf.DUMMYFUNCTION("""COMPUTED_VALUE"""),"Software Factory / Staffing")</f>
        <v>Software Factory / Staffing</v>
      </c>
    </row>
    <row r="1446" hidden="1">
      <c r="A1446" s="6" t="str">
        <f>IFERROR(__xludf.DUMMYFUNCTION("""COMPUTED_VALUE"""),"psconde")</f>
        <v>psconde</v>
      </c>
      <c r="B1446" s="4"/>
      <c r="C1446" s="4"/>
    </row>
    <row r="1447" hidden="1">
      <c r="A1447" s="6" t="str">
        <f>IFERROR(__xludf.DUMMYFUNCTION("""COMPUTED_VALUE"""),"netkel consulting")</f>
        <v>netkel consulting</v>
      </c>
      <c r="B1447" s="6" t="str">
        <f>IFERROR(__xludf.DUMMYFUNCTION("""COMPUTED_VALUE"""),"Argentina")</f>
        <v>Argentina</v>
      </c>
      <c r="C1447" s="6" t="str">
        <f>IFERROR(__xludf.DUMMYFUNCTION("""COMPUTED_VALUE"""),"Software Factory / Staffing")</f>
        <v>Software Factory / Staffing</v>
      </c>
    </row>
    <row r="1448" hidden="1">
      <c r="A1448" s="6" t="str">
        <f>IFERROR(__xludf.DUMMYFUNCTION("""COMPUTED_VALUE"""),"sodimac")</f>
        <v>sodimac</v>
      </c>
      <c r="B1448" s="6" t="str">
        <f>IFERROR(__xludf.DUMMYFUNCTION("""COMPUTED_VALUE"""),"Chile")</f>
        <v>Chile</v>
      </c>
      <c r="C1448" s="6" t="str">
        <f>IFERROR(__xludf.DUMMYFUNCTION("""COMPUTED_VALUE"""),"Other")</f>
        <v>Other</v>
      </c>
    </row>
    <row r="1449" hidden="1">
      <c r="A1449" s="6" t="str">
        <f>IFERROR(__xludf.DUMMYFUNCTION("""COMPUTED_VALUE"""),"vinneren")</f>
        <v>vinneren</v>
      </c>
      <c r="B1449" s="6" t="str">
        <f>IFERROR(__xludf.DUMMYFUNCTION("""COMPUTED_VALUE"""),"Mexico")</f>
        <v>Mexico</v>
      </c>
      <c r="C1449" s="6" t="str">
        <f>IFERROR(__xludf.DUMMYFUNCTION("""COMPUTED_VALUE"""),"Management Consulting")</f>
        <v>Management Consulting</v>
      </c>
    </row>
    <row r="1450" hidden="1">
      <c r="A1450" s="6" t="str">
        <f>IFERROR(__xludf.DUMMYFUNCTION("""COMPUTED_VALUE"""),"polopay")</f>
        <v>polopay</v>
      </c>
      <c r="B1450" s="4"/>
      <c r="C1450" s="6" t="str">
        <f>IFERROR(__xludf.DUMMYFUNCTION("""COMPUTED_VALUE"""),"Other")</f>
        <v>Other</v>
      </c>
    </row>
    <row r="1451" hidden="1">
      <c r="A1451" s="6" t="str">
        <f>IFERROR(__xludf.DUMMYFUNCTION("""COMPUTED_VALUE"""),"nddinfosystems")</f>
        <v>nddinfosystems</v>
      </c>
      <c r="B1451" s="6" t="str">
        <f>IFERROR(__xludf.DUMMYFUNCTION("""COMPUTED_VALUE"""),"Canada")</f>
        <v>Canada</v>
      </c>
      <c r="C1451" s="6" t="str">
        <f>IFERROR(__xludf.DUMMYFUNCTION("""COMPUTED_VALUE"""),"Software Factory / Staffing")</f>
        <v>Software Factory / Staffing</v>
      </c>
    </row>
    <row r="1452" hidden="1">
      <c r="A1452" s="6" t="str">
        <f>IFERROR(__xludf.DUMMYFUNCTION("""COMPUTED_VALUE"""),"bamboo payment system")</f>
        <v>bamboo payment system</v>
      </c>
      <c r="B1452" s="6" t="str">
        <f>IFERROR(__xludf.DUMMYFUNCTION("""COMPUTED_VALUE"""),"Uruguay")</f>
        <v>Uruguay</v>
      </c>
      <c r="C1452" s="6" t="str">
        <f>IFERROR(__xludf.DUMMYFUNCTION("""COMPUTED_VALUE"""),"Banking &amp; Financial Servicies")</f>
        <v>Banking &amp; Financial Servicies</v>
      </c>
    </row>
    <row r="1453" hidden="1">
      <c r="A1453" s="6" t="str">
        <f>IFERROR(__xludf.DUMMYFUNCTION("""COMPUTED_VALUE"""),"municipalidad de rosario")</f>
        <v>municipalidad de rosario</v>
      </c>
      <c r="B1453" s="6" t="str">
        <f>IFERROR(__xludf.DUMMYFUNCTION("""COMPUTED_VALUE"""),"Argentina")</f>
        <v>Argentina</v>
      </c>
      <c r="C1453" s="6" t="str">
        <f>IFERROR(__xludf.DUMMYFUNCTION("""COMPUTED_VALUE"""),"Public Center")</f>
        <v>Public Center</v>
      </c>
    </row>
    <row r="1454" hidden="1">
      <c r="A1454" s="6" t="str">
        <f>IFERROR(__xludf.DUMMYFUNCTION("""COMPUTED_VALUE"""),"pdvsa")</f>
        <v>pdvsa</v>
      </c>
      <c r="B1454" s="6" t="str">
        <f>IFERROR(__xludf.DUMMYFUNCTION("""COMPUTED_VALUE"""),"Venezuela")</f>
        <v>Venezuela</v>
      </c>
      <c r="C1454" s="6" t="str">
        <f>IFERROR(__xludf.DUMMYFUNCTION("""COMPUTED_VALUE"""),"Energy")</f>
        <v>Energy</v>
      </c>
    </row>
    <row r="1455" hidden="1">
      <c r="A1455" s="6" t="str">
        <f>IFERROR(__xludf.DUMMYFUNCTION("""COMPUTED_VALUE"""),"trenda software")</f>
        <v>trenda software</v>
      </c>
      <c r="B1455" s="6" t="str">
        <f>IFERROR(__xludf.DUMMYFUNCTION("""COMPUTED_VALUE"""),"Argentina")</f>
        <v>Argentina</v>
      </c>
      <c r="C1455" s="6" t="str">
        <f>IFERROR(__xludf.DUMMYFUNCTION("""COMPUTED_VALUE"""),"Software Factory / Staffing")</f>
        <v>Software Factory / Staffing</v>
      </c>
    </row>
    <row r="1456" hidden="1">
      <c r="A1456" s="6" t="str">
        <f>IFERROR(__xludf.DUMMYFUNCTION("""COMPUTED_VALUE"""),"ycs")</f>
        <v>ycs</v>
      </c>
      <c r="B1456" s="6" t="str">
        <f>IFERROR(__xludf.DUMMYFUNCTION("""COMPUTED_VALUE"""),"España")</f>
        <v>España</v>
      </c>
      <c r="C1456" s="6" t="str">
        <f>IFERROR(__xludf.DUMMYFUNCTION("""COMPUTED_VALUE"""),"Software Factory / Staffing")</f>
        <v>Software Factory / Staffing</v>
      </c>
    </row>
    <row r="1457" hidden="1">
      <c r="A1457" s="6" t="str">
        <f>IFERROR(__xludf.DUMMYFUNCTION("""COMPUTED_VALUE"""),"patras")</f>
        <v>patras</v>
      </c>
      <c r="B1457" s="6" t="str">
        <f>IFERROR(__xludf.DUMMYFUNCTION("""COMPUTED_VALUE"""),"Estados Unidos")</f>
        <v>Estados Unidos</v>
      </c>
      <c r="C1457" s="6" t="str">
        <f>IFERROR(__xludf.DUMMYFUNCTION("""COMPUTED_VALUE"""),"Data &amp; Analytics")</f>
        <v>Data &amp; Analytics</v>
      </c>
    </row>
    <row r="1458" hidden="1">
      <c r="A1458" s="6" t="str">
        <f>IFERROR(__xludf.DUMMYFUNCTION("""COMPUTED_VALUE"""),"la cuarta s.a.")</f>
        <v>la cuarta s.a.</v>
      </c>
      <c r="B1458" s="6" t="str">
        <f>IFERROR(__xludf.DUMMYFUNCTION("""COMPUTED_VALUE"""),"Mexico")</f>
        <v>Mexico</v>
      </c>
      <c r="C1458" s="6" t="str">
        <f>IFERROR(__xludf.DUMMYFUNCTION("""COMPUTED_VALUE"""),"Other")</f>
        <v>Other</v>
      </c>
    </row>
    <row r="1459" hidden="1">
      <c r="A1459" s="6" t="str">
        <f>IFERROR(__xludf.DUMMYFUNCTION("""COMPUTED_VALUE"""),"matech studios")</f>
        <v>matech studios</v>
      </c>
      <c r="B1459" s="6" t="str">
        <f>IFERROR(__xludf.DUMMYFUNCTION("""COMPUTED_VALUE"""),"Estados Unidos")</f>
        <v>Estados Unidos</v>
      </c>
      <c r="C1459" s="6" t="str">
        <f>IFERROR(__xludf.DUMMYFUNCTION("""COMPUTED_VALUE"""),"Software Factory / Staffing")</f>
        <v>Software Factory / Staffing</v>
      </c>
    </row>
    <row r="1460" hidden="1">
      <c r="A1460" s="6" t="str">
        <f>IFERROR(__xludf.DUMMYFUNCTION("""COMPUTED_VALUE"""),"ycs corp pr")</f>
        <v>ycs corp pr</v>
      </c>
      <c r="B1460" s="6" t="str">
        <f>IFERROR(__xludf.DUMMYFUNCTION("""COMPUTED_VALUE"""),"Puerto Rico")</f>
        <v>Puerto Rico</v>
      </c>
      <c r="C1460" s="6" t="str">
        <f>IFERROR(__xludf.DUMMYFUNCTION("""COMPUTED_VALUE"""),"Software Factory / Staffing")</f>
        <v>Software Factory / Staffing</v>
      </c>
    </row>
    <row r="1461" hidden="1">
      <c r="A1461" s="6" t="str">
        <f>IFERROR(__xludf.DUMMYFUNCTION("""COMPUTED_VALUE"""),"kriptos")</f>
        <v>kriptos</v>
      </c>
      <c r="B1461" s="6" t="str">
        <f>IFERROR(__xludf.DUMMYFUNCTION("""COMPUTED_VALUE"""),"Estados Unidos")</f>
        <v>Estados Unidos</v>
      </c>
      <c r="C1461" s="6" t="str">
        <f>IFERROR(__xludf.DUMMYFUNCTION("""COMPUTED_VALUE"""),"Software Factory / Staffing")</f>
        <v>Software Factory / Staffing</v>
      </c>
    </row>
    <row r="1462" hidden="1">
      <c r="A1462" s="6" t="str">
        <f>IFERROR(__xludf.DUMMYFUNCTION("""COMPUTED_VALUE"""),"stratton argentina s.a")</f>
        <v>stratton argentina s.a</v>
      </c>
      <c r="B1462" s="6" t="str">
        <f>IFERROR(__xludf.DUMMYFUNCTION("""COMPUTED_VALUE"""),"Argentina")</f>
        <v>Argentina</v>
      </c>
      <c r="C1462" s="6" t="str">
        <f>IFERROR(__xludf.DUMMYFUNCTION("""COMPUTED_VALUE"""),"Other")</f>
        <v>Other</v>
      </c>
    </row>
    <row r="1463" hidden="1">
      <c r="A1463" s="6" t="str">
        <f>IFERROR(__xludf.DUMMYFUNCTION("""COMPUTED_VALUE"""),"tu portal srl.")</f>
        <v>tu portal srl.</v>
      </c>
      <c r="B1463" s="6" t="str">
        <f>IFERROR(__xludf.DUMMYFUNCTION("""COMPUTED_VALUE"""),"Argentina")</f>
        <v>Argentina</v>
      </c>
      <c r="C1463" s="6" t="str">
        <f>IFERROR(__xludf.DUMMYFUNCTION("""COMPUTED_VALUE"""),"Software Factory / Staffing")</f>
        <v>Software Factory / Staffing</v>
      </c>
    </row>
    <row r="1464" hidden="1">
      <c r="A1464" s="6" t="str">
        <f>IFERROR(__xludf.DUMMYFUNCTION("""COMPUTED_VALUE"""),"lempert")</f>
        <v>lempert</v>
      </c>
      <c r="B1464" s="6" t="str">
        <f>IFERROR(__xludf.DUMMYFUNCTION("""COMPUTED_VALUE"""),"Argentina")</f>
        <v>Argentina</v>
      </c>
      <c r="C1464" s="6" t="str">
        <f>IFERROR(__xludf.DUMMYFUNCTION("""COMPUTED_VALUE"""),"Management Consulting")</f>
        <v>Management Consulting</v>
      </c>
    </row>
    <row r="1465" hidden="1">
      <c r="A1465" s="6" t="str">
        <f>IFERROR(__xludf.DUMMYFUNCTION("""COMPUTED_VALUE"""),"ssb international")</f>
        <v>ssb international</v>
      </c>
      <c r="B1465" s="6" t="str">
        <f>IFERROR(__xludf.DUMMYFUNCTION("""COMPUTED_VALUE"""),"Argentina")</f>
        <v>Argentina</v>
      </c>
      <c r="C1465" s="6" t="str">
        <f>IFERROR(__xludf.DUMMYFUNCTION("""COMPUTED_VALUE"""),"Logistics")</f>
        <v>Logistics</v>
      </c>
    </row>
    <row r="1466" hidden="1">
      <c r="A1466" s="6" t="str">
        <f>IFERROR(__xludf.DUMMYFUNCTION("""COMPUTED_VALUE"""),"acerbrag")</f>
        <v>acerbrag</v>
      </c>
      <c r="B1466" s="6" t="str">
        <f>IFERROR(__xludf.DUMMYFUNCTION("""COMPUTED_VALUE"""),"Argentina")</f>
        <v>Argentina</v>
      </c>
      <c r="C1466" s="6" t="str">
        <f>IFERROR(__xludf.DUMMYFUNCTION("""COMPUTED_VALUE"""),"Other")</f>
        <v>Other</v>
      </c>
    </row>
    <row r="1467" hidden="1">
      <c r="A1467" s="6" t="str">
        <f>IFERROR(__xludf.DUMMYFUNCTION("""COMPUTED_VALUE"""),"paguelofacil")</f>
        <v>paguelofacil</v>
      </c>
      <c r="B1467" s="6" t="str">
        <f>IFERROR(__xludf.DUMMYFUNCTION("""COMPUTED_VALUE"""),"Panama")</f>
        <v>Panama</v>
      </c>
      <c r="C1467" s="6" t="str">
        <f>IFERROR(__xludf.DUMMYFUNCTION("""COMPUTED_VALUE"""),"Banking &amp; Financial Servicies")</f>
        <v>Banking &amp; Financial Servicies</v>
      </c>
    </row>
    <row r="1468" hidden="1">
      <c r="A1468" s="6" t="str">
        <f>IFERROR(__xludf.DUMMYFUNCTION("""COMPUTED_VALUE"""),"adyn")</f>
        <v>adyn</v>
      </c>
      <c r="B1468" s="6" t="str">
        <f>IFERROR(__xludf.DUMMYFUNCTION("""COMPUTED_VALUE"""),"Estados Unidos")</f>
        <v>Estados Unidos</v>
      </c>
      <c r="C1468" s="6" t="str">
        <f>IFERROR(__xludf.DUMMYFUNCTION("""COMPUTED_VALUE"""),"Health")</f>
        <v>Health</v>
      </c>
    </row>
    <row r="1469" hidden="1">
      <c r="A1469" s="6" t="str">
        <f>IFERROR(__xludf.DUMMYFUNCTION("""COMPUTED_VALUE"""),"aulasneo")</f>
        <v>aulasneo</v>
      </c>
      <c r="B1469" s="6" t="str">
        <f>IFERROR(__xludf.DUMMYFUNCTION("""COMPUTED_VALUE"""),"Argentina")</f>
        <v>Argentina</v>
      </c>
      <c r="C1469" s="6" t="str">
        <f>IFERROR(__xludf.DUMMYFUNCTION("""COMPUTED_VALUE"""),"Education &amp; Edtech")</f>
        <v>Education &amp; Edtech</v>
      </c>
    </row>
    <row r="1470" hidden="1">
      <c r="A1470" s="6" t="str">
        <f>IFERROR(__xludf.DUMMYFUNCTION("""COMPUTED_VALUE"""),"cityheroes")</f>
        <v>cityheroes</v>
      </c>
      <c r="B1470" s="6" t="str">
        <f>IFERROR(__xludf.DUMMYFUNCTION("""COMPUTED_VALUE"""),"Estados Unidos")</f>
        <v>Estados Unidos</v>
      </c>
      <c r="C1470" s="6" t="str">
        <f>IFERROR(__xludf.DUMMYFUNCTION("""COMPUTED_VALUE"""),"Logistics")</f>
        <v>Logistics</v>
      </c>
    </row>
    <row r="1471" hidden="1">
      <c r="A1471" s="6" t="str">
        <f>IFERROR(__xludf.DUMMYFUNCTION("""COMPUTED_VALUE"""),"tecnomab soluciones generales s.a.c.")</f>
        <v>tecnomab soluciones generales s.a.c.</v>
      </c>
      <c r="B1471" s="4"/>
      <c r="C1471" s="4"/>
    </row>
    <row r="1472" hidden="1">
      <c r="A1472" s="6" t="str">
        <f>IFERROR(__xludf.DUMMYFUNCTION("""COMPUTED_VALUE"""),"remiseria los melli")</f>
        <v>remiseria los melli</v>
      </c>
      <c r="B1472" s="6" t="str">
        <f>IFERROR(__xludf.DUMMYFUNCTION("""COMPUTED_VALUE"""),"Argentina")</f>
        <v>Argentina</v>
      </c>
      <c r="C1472" s="6" t="str">
        <f>IFERROR(__xludf.DUMMYFUNCTION("""COMPUTED_VALUE"""),"Other")</f>
        <v>Other</v>
      </c>
    </row>
    <row r="1473" hidden="1">
      <c r="A1473" s="6" t="str">
        <f>IFERROR(__xludf.DUMMYFUNCTION("""COMPUTED_VALUE"""),"kingvox")</f>
        <v>kingvox</v>
      </c>
      <c r="B1473" s="6" t="str">
        <f>IFERROR(__xludf.DUMMYFUNCTION("""COMPUTED_VALUE"""),"Argentina")</f>
        <v>Argentina</v>
      </c>
      <c r="C1473" s="6" t="str">
        <f>IFERROR(__xludf.DUMMYFUNCTION("""COMPUTED_VALUE"""),"Other")</f>
        <v>Other</v>
      </c>
    </row>
    <row r="1474" hidden="1">
      <c r="A1474" s="6" t="str">
        <f>IFERROR(__xludf.DUMMYFUNCTION("""COMPUTED_VALUE"""),"grupo auren")</f>
        <v>grupo auren</v>
      </c>
      <c r="B1474" s="6" t="str">
        <f>IFERROR(__xludf.DUMMYFUNCTION("""COMPUTED_VALUE"""),"Peru")</f>
        <v>Peru</v>
      </c>
      <c r="C1474" s="6" t="str">
        <f>IFERROR(__xludf.DUMMYFUNCTION("""COMPUTED_VALUE"""),"Logistics")</f>
        <v>Logistics</v>
      </c>
    </row>
    <row r="1475" hidden="1">
      <c r="A1475" s="6" t="str">
        <f>IFERROR(__xludf.DUMMYFUNCTION("""COMPUTED_VALUE"""),"actotal")</f>
        <v>actotal</v>
      </c>
      <c r="B1475" s="6" t="str">
        <f>IFERROR(__xludf.DUMMYFUNCTION("""COMPUTED_VALUE"""),"Uruguay")</f>
        <v>Uruguay</v>
      </c>
      <c r="C1475" s="4"/>
    </row>
    <row r="1476">
      <c r="A1476" s="6" t="str">
        <f>IFERROR(__xludf.DUMMYFUNCTION("""COMPUTED_VALUE"""),"rb bebidas")</f>
        <v>rb bebidas</v>
      </c>
      <c r="B1476" s="6" t="str">
        <f>IFERROR(__xludf.DUMMYFUNCTION("""COMPUTED_VALUE"""),"Austria")</f>
        <v>Austria</v>
      </c>
      <c r="C1476" s="6" t="str">
        <f>IFERROR(__xludf.DUMMYFUNCTION("""COMPUTED_VALUE"""),"Other")</f>
        <v>Other</v>
      </c>
    </row>
    <row r="1477" hidden="1">
      <c r="A1477" s="6" t="str">
        <f>IFERROR(__xludf.DUMMYFUNCTION("""COMPUTED_VALUE"""),"juniper data center s de rl de cv sucursal guadalajara")</f>
        <v>juniper data center s de rl de cv sucursal guadalajara</v>
      </c>
      <c r="B1477" s="6" t="str">
        <f>IFERROR(__xludf.DUMMYFUNCTION("""COMPUTED_VALUE"""),"Mexico")</f>
        <v>Mexico</v>
      </c>
      <c r="C1477" s="4"/>
    </row>
    <row r="1478" hidden="1">
      <c r="A1478" s="6" t="str">
        <f>IFERROR(__xludf.DUMMYFUNCTION("""COMPUTED_VALUE"""),"sertic")</f>
        <v>sertic</v>
      </c>
      <c r="B1478" s="6" t="str">
        <f>IFERROR(__xludf.DUMMYFUNCTION("""COMPUTED_VALUE"""),"Argentina")</f>
        <v>Argentina</v>
      </c>
      <c r="C1478" s="6" t="str">
        <f>IFERROR(__xludf.DUMMYFUNCTION("""COMPUTED_VALUE"""),"Software Factory / Staffing")</f>
        <v>Software Factory / Staffing</v>
      </c>
    </row>
    <row r="1479" hidden="1">
      <c r="A1479" s="6" t="str">
        <f>IFERROR(__xludf.DUMMYFUNCTION("""COMPUTED_VALUE"""),"agenddo")</f>
        <v>agenddo</v>
      </c>
      <c r="B1479" s="6" t="str">
        <f>IFERROR(__xludf.DUMMYFUNCTION("""COMPUTED_VALUE"""),"Argentina")</f>
        <v>Argentina</v>
      </c>
      <c r="C1479" s="6" t="str">
        <f>IFERROR(__xludf.DUMMYFUNCTION("""COMPUTED_VALUE"""),"Software Factory / Staffing")</f>
        <v>Software Factory / Staffing</v>
      </c>
    </row>
    <row r="1480" hidden="1">
      <c r="A1480" s="6" t="str">
        <f>IFERROR(__xludf.DUMMYFUNCTION("""COMPUTED_VALUE"""),"proveedor soluciones tecnologicas")</f>
        <v>proveedor soluciones tecnologicas</v>
      </c>
      <c r="B1480" s="6" t="str">
        <f>IFERROR(__xludf.DUMMYFUNCTION("""COMPUTED_VALUE"""),"Colombia")</f>
        <v>Colombia</v>
      </c>
      <c r="C1480" s="6" t="str">
        <f>IFERROR(__xludf.DUMMYFUNCTION("""COMPUTED_VALUE"""),"Software Factory / Staffing")</f>
        <v>Software Factory / Staffing</v>
      </c>
    </row>
    <row r="1481" hidden="1">
      <c r="A1481" s="6" t="str">
        <f>IFERROR(__xludf.DUMMYFUNCTION("""COMPUTED_VALUE"""),"deux it")</f>
        <v>deux it</v>
      </c>
      <c r="B1481" s="6" t="str">
        <f>IFERROR(__xludf.DUMMYFUNCTION("""COMPUTED_VALUE"""),"Argentina")</f>
        <v>Argentina</v>
      </c>
      <c r="C1481" s="6" t="str">
        <f>IFERROR(__xludf.DUMMYFUNCTION("""COMPUTED_VALUE"""),"Software Factory / Staffing")</f>
        <v>Software Factory / Staffing</v>
      </c>
    </row>
    <row r="1482" hidden="1">
      <c r="A1482" s="6" t="str">
        <f>IFERROR(__xludf.DUMMYFUNCTION("""COMPUTED_VALUE"""),"infinitech")</f>
        <v>infinitech</v>
      </c>
      <c r="B1482" s="6" t="str">
        <f>IFERROR(__xludf.DUMMYFUNCTION("""COMPUTED_VALUE"""),"Grecia")</f>
        <v>Grecia</v>
      </c>
      <c r="C1482" s="6" t="str">
        <f>IFERROR(__xludf.DUMMYFUNCTION("""COMPUTED_VALUE"""),"Software Factory / Staffing")</f>
        <v>Software Factory / Staffing</v>
      </c>
    </row>
    <row r="1483" hidden="1">
      <c r="A1483" s="6" t="str">
        <f>IFERROR(__xludf.DUMMYFUNCTION("""COMPUTED_VALUE"""),"scalemote")</f>
        <v>scalemote</v>
      </c>
      <c r="B1483" s="6" t="str">
        <f>IFERROR(__xludf.DUMMYFUNCTION("""COMPUTED_VALUE"""),"Estados Unidos")</f>
        <v>Estados Unidos</v>
      </c>
      <c r="C1483" s="6" t="str">
        <f>IFERROR(__xludf.DUMMYFUNCTION("""COMPUTED_VALUE"""),"Software Factory / Staffing")</f>
        <v>Software Factory / Staffing</v>
      </c>
    </row>
    <row r="1484" hidden="1">
      <c r="A1484" s="6" t="str">
        <f>IFERROR(__xludf.DUMMYFUNCTION("""COMPUTED_VALUE"""),"arkon data")</f>
        <v>arkon data</v>
      </c>
      <c r="B1484" s="6" t="str">
        <f>IFERROR(__xludf.DUMMYFUNCTION("""COMPUTED_VALUE"""),"Estados Unidos")</f>
        <v>Estados Unidos</v>
      </c>
      <c r="C1484" s="6" t="str">
        <f>IFERROR(__xludf.DUMMYFUNCTION("""COMPUTED_VALUE"""),"Data &amp; Analytics")</f>
        <v>Data &amp; Analytics</v>
      </c>
    </row>
    <row r="1485" hidden="1">
      <c r="A1485" s="6" t="str">
        <f>IFERROR(__xludf.DUMMYFUNCTION("""COMPUTED_VALUE"""),"kiltex")</f>
        <v>kiltex</v>
      </c>
      <c r="B1485" s="6" t="str">
        <f>IFERROR(__xludf.DUMMYFUNCTION("""COMPUTED_VALUE"""),"Argentina")</f>
        <v>Argentina</v>
      </c>
      <c r="C1485" s="6" t="str">
        <f>IFERROR(__xludf.DUMMYFUNCTION("""COMPUTED_VALUE"""),"Software Factory / Staffing")</f>
        <v>Software Factory / Staffing</v>
      </c>
    </row>
    <row r="1486" hidden="1">
      <c r="A1486" s="6" t="str">
        <f>IFERROR(__xludf.DUMMYFUNCTION("""COMPUTED_VALUE"""),"xira")</f>
        <v>xira</v>
      </c>
      <c r="B1486" s="6" t="str">
        <f>IFERROR(__xludf.DUMMYFUNCTION("""COMPUTED_VALUE"""),"Mexico")</f>
        <v>Mexico</v>
      </c>
      <c r="C1486" s="6" t="str">
        <f>IFERROR(__xludf.DUMMYFUNCTION("""COMPUTED_VALUE"""),"Software Factory / Staffing")</f>
        <v>Software Factory / Staffing</v>
      </c>
    </row>
    <row r="1487" hidden="1">
      <c r="A1487" s="6" t="str">
        <f>IFERROR(__xludf.DUMMYFUNCTION("""COMPUTED_VALUE"""),"be bolder")</f>
        <v>be bolder</v>
      </c>
      <c r="B1487" s="6" t="str">
        <f>IFERROR(__xludf.DUMMYFUNCTION("""COMPUTED_VALUE"""),"Colombia")</f>
        <v>Colombia</v>
      </c>
      <c r="C1487" s="6" t="str">
        <f>IFERROR(__xludf.DUMMYFUNCTION("""COMPUTED_VALUE"""),"Software Factory / Staffing")</f>
        <v>Software Factory / Staffing</v>
      </c>
    </row>
    <row r="1488" hidden="1">
      <c r="A1488" s="6" t="str">
        <f>IFERROR(__xludf.DUMMYFUNCTION("""COMPUTED_VALUE"""),"vica")</f>
        <v>vica</v>
      </c>
      <c r="B1488" s="6" t="str">
        <f>IFERROR(__xludf.DUMMYFUNCTION("""COMPUTED_VALUE"""),"Argentina")</f>
        <v>Argentina</v>
      </c>
      <c r="C1488" s="6" t="str">
        <f>IFERROR(__xludf.DUMMYFUNCTION("""COMPUTED_VALUE"""),"Human Resources")</f>
        <v>Human Resources</v>
      </c>
    </row>
    <row r="1489" hidden="1">
      <c r="A1489" s="6" t="str">
        <f>IFERROR(__xludf.DUMMYFUNCTION("""COMPUTED_VALUE"""),"saavedra fitness srl")</f>
        <v>saavedra fitness srl</v>
      </c>
      <c r="B1489" s="6" t="str">
        <f>IFERROR(__xludf.DUMMYFUNCTION("""COMPUTED_VALUE"""),"Argentina")</f>
        <v>Argentina</v>
      </c>
      <c r="C1489" s="6" t="str">
        <f>IFERROR(__xludf.DUMMYFUNCTION("""COMPUTED_VALUE"""),"Other")</f>
        <v>Other</v>
      </c>
    </row>
    <row r="1490">
      <c r="A1490" s="6" t="str">
        <f>IFERROR(__xludf.DUMMYFUNCTION("""COMPUTED_VALUE"""),"webhelp")</f>
        <v>webhelp</v>
      </c>
      <c r="B1490" s="6" t="str">
        <f>IFERROR(__xludf.DUMMYFUNCTION("""COMPUTED_VALUE"""),"Francia")</f>
        <v>Francia</v>
      </c>
      <c r="C1490" s="6" t="str">
        <f>IFERROR(__xludf.DUMMYFUNCTION("""COMPUTED_VALUE"""),"Management Consulting")</f>
        <v>Management Consulting</v>
      </c>
    </row>
    <row r="1491" hidden="1">
      <c r="A1491" s="6" t="str">
        <f>IFERROR(__xludf.DUMMYFUNCTION("""COMPUTED_VALUE"""),"it estudio")</f>
        <v>it estudio</v>
      </c>
      <c r="B1491" s="6" t="str">
        <f>IFERROR(__xludf.DUMMYFUNCTION("""COMPUTED_VALUE"""),"Argentina")</f>
        <v>Argentina</v>
      </c>
      <c r="C1491" s="6" t="str">
        <f>IFERROR(__xludf.DUMMYFUNCTION("""COMPUTED_VALUE"""),"Software Factory / Staffing")</f>
        <v>Software Factory / Staffing</v>
      </c>
    </row>
    <row r="1492">
      <c r="A1492" s="6" t="str">
        <f>IFERROR(__xludf.DUMMYFUNCTION("""COMPUTED_VALUE"""),"asj")</f>
        <v>asj</v>
      </c>
      <c r="B1492" s="6" t="str">
        <f>IFERROR(__xludf.DUMMYFUNCTION("""COMPUTED_VALUE"""),"Argentina")</f>
        <v>Argentina</v>
      </c>
      <c r="C1492" s="6" t="str">
        <f>IFERROR(__xludf.DUMMYFUNCTION("""COMPUTED_VALUE"""),"Software Factory / Staffing")</f>
        <v>Software Factory / Staffing</v>
      </c>
    </row>
    <row r="1493" hidden="1">
      <c r="A1493" s="6" t="str">
        <f>IFERROR(__xludf.DUMMYFUNCTION("""COMPUTED_VALUE"""),"exela servicios temporales s.a.")</f>
        <v>exela servicios temporales s.a.</v>
      </c>
      <c r="B1493" s="6" t="str">
        <f>IFERROR(__xludf.DUMMYFUNCTION("""COMPUTED_VALUE"""),"Mexico")</f>
        <v>Mexico</v>
      </c>
      <c r="C1493" s="6" t="str">
        <f>IFERROR(__xludf.DUMMYFUNCTION("""COMPUTED_VALUE"""),"Management Consulting")</f>
        <v>Management Consulting</v>
      </c>
    </row>
    <row r="1494" hidden="1">
      <c r="A1494" s="6" t="str">
        <f>IFERROR(__xludf.DUMMYFUNCTION("""COMPUTED_VALUE"""),"excelencia en soluciones informáticas s.a.")</f>
        <v>excelencia en soluciones informáticas s.a.</v>
      </c>
      <c r="B1494" s="4"/>
      <c r="C1494" s="4"/>
    </row>
    <row r="1495" hidden="1">
      <c r="A1495" s="6" t="str">
        <f>IFERROR(__xludf.DUMMYFUNCTION("""COMPUTED_VALUE"""),"alfajores miramar")</f>
        <v>alfajores miramar</v>
      </c>
      <c r="B1495" s="6" t="str">
        <f>IFERROR(__xludf.DUMMYFUNCTION("""COMPUTED_VALUE"""),"Argentina")</f>
        <v>Argentina</v>
      </c>
      <c r="C1495" s="6" t="str">
        <f>IFERROR(__xludf.DUMMYFUNCTION("""COMPUTED_VALUE"""),"Other")</f>
        <v>Other</v>
      </c>
    </row>
    <row r="1496" hidden="1">
      <c r="A1496" s="6" t="str">
        <f>IFERROR(__xludf.DUMMYFUNCTION("""COMPUTED_VALUE"""),"global circuit")</f>
        <v>global circuit</v>
      </c>
      <c r="B1496" s="6" t="str">
        <f>IFERROR(__xludf.DUMMYFUNCTION("""COMPUTED_VALUE"""),"Colombia")</f>
        <v>Colombia</v>
      </c>
      <c r="C1496" s="6" t="str">
        <f>IFERROR(__xludf.DUMMYFUNCTION("""COMPUTED_VALUE"""),"PropTech / Real State")</f>
        <v>PropTech / Real State</v>
      </c>
    </row>
    <row r="1497" hidden="1">
      <c r="A1497" s="6" t="str">
        <f>IFERROR(__xludf.DUMMYFUNCTION("""COMPUTED_VALUE"""),"educación it")</f>
        <v>educación it</v>
      </c>
      <c r="B1497" s="6" t="str">
        <f>IFERROR(__xludf.DUMMYFUNCTION("""COMPUTED_VALUE"""),"Argentina")</f>
        <v>Argentina</v>
      </c>
      <c r="C1497" s="6" t="str">
        <f>IFERROR(__xludf.DUMMYFUNCTION("""COMPUTED_VALUE"""),"Education &amp; Edtech")</f>
        <v>Education &amp; Edtech</v>
      </c>
    </row>
    <row r="1498" hidden="1">
      <c r="A1498" s="6" t="str">
        <f>IFERROR(__xludf.DUMMYFUNCTION("""COMPUTED_VALUE"""),"estudio cactus")</f>
        <v>estudio cactus</v>
      </c>
      <c r="B1498" s="6" t="str">
        <f>IFERROR(__xludf.DUMMYFUNCTION("""COMPUTED_VALUE"""),"España")</f>
        <v>España</v>
      </c>
      <c r="C1498" s="6" t="str">
        <f>IFERROR(__xludf.DUMMYFUNCTION("""COMPUTED_VALUE"""),"Management Consulting")</f>
        <v>Management Consulting</v>
      </c>
    </row>
    <row r="1499" hidden="1">
      <c r="A1499" s="6" t="str">
        <f>IFERROR(__xludf.DUMMYFUNCTION("""COMPUTED_VALUE"""),"mikroways")</f>
        <v>mikroways</v>
      </c>
      <c r="B1499" s="6" t="str">
        <f>IFERROR(__xludf.DUMMYFUNCTION("""COMPUTED_VALUE"""),"Argentina")</f>
        <v>Argentina</v>
      </c>
      <c r="C1499" s="6" t="str">
        <f>IFERROR(__xludf.DUMMYFUNCTION("""COMPUTED_VALUE"""),"Software Factory / Staffing")</f>
        <v>Software Factory / Staffing</v>
      </c>
    </row>
    <row r="1500" hidden="1">
      <c r="A1500" s="6" t="str">
        <f>IFERROR(__xludf.DUMMYFUNCTION("""COMPUTED_VALUE"""),"3punto6")</f>
        <v>3punto6</v>
      </c>
      <c r="B1500" s="6" t="str">
        <f>IFERROR(__xludf.DUMMYFUNCTION("""COMPUTED_VALUE"""),"Italia")</f>
        <v>Italia</v>
      </c>
      <c r="C1500" s="6" t="str">
        <f>IFERROR(__xludf.DUMMYFUNCTION("""COMPUTED_VALUE"""),"Management Consulting")</f>
        <v>Management Consulting</v>
      </c>
    </row>
    <row r="1501" hidden="1">
      <c r="A1501" s="6" t="str">
        <f>IFERROR(__xludf.DUMMYFUNCTION("""COMPUTED_VALUE"""),"tecnoazar")</f>
        <v>tecnoazar</v>
      </c>
      <c r="B1501" s="6" t="str">
        <f>IFERROR(__xludf.DUMMYFUNCTION("""COMPUTED_VALUE"""),"Argentina")</f>
        <v>Argentina</v>
      </c>
      <c r="C1501" s="6" t="str">
        <f>IFERROR(__xludf.DUMMYFUNCTION("""COMPUTED_VALUE"""),"Software Factory / Staffing")</f>
        <v>Software Factory / Staffing</v>
      </c>
    </row>
    <row r="1502" hidden="1">
      <c r="A1502" s="6" t="str">
        <f>IFERROR(__xludf.DUMMYFUNCTION("""COMPUTED_VALUE"""),"juliamar sa")</f>
        <v>juliamar sa</v>
      </c>
      <c r="B1502" s="4"/>
      <c r="C1502" s="4"/>
    </row>
    <row r="1503" hidden="1">
      <c r="A1503" s="6" t="str">
        <f>IFERROR(__xludf.DUMMYFUNCTION("""COMPUTED_VALUE"""),"applica solutions")</f>
        <v>applica solutions</v>
      </c>
      <c r="B1503" s="6" t="str">
        <f>IFERROR(__xludf.DUMMYFUNCTION("""COMPUTED_VALUE"""),"Argentina")</f>
        <v>Argentina</v>
      </c>
      <c r="C1503" s="6" t="str">
        <f>IFERROR(__xludf.DUMMYFUNCTION("""COMPUTED_VALUE"""),"Software Factory / Staffing")</f>
        <v>Software Factory / Staffing</v>
      </c>
    </row>
    <row r="1504" hidden="1">
      <c r="A1504" s="6" t="str">
        <f>IFERROR(__xludf.DUMMYFUNCTION("""COMPUTED_VALUE"""),"boston compañía argentina de seguros sa")</f>
        <v>boston compañía argentina de seguros sa</v>
      </c>
      <c r="B1504" s="6" t="str">
        <f>IFERROR(__xludf.DUMMYFUNCTION("""COMPUTED_VALUE"""),"Argentina")</f>
        <v>Argentina</v>
      </c>
      <c r="C1504" s="6" t="str">
        <f>IFERROR(__xludf.DUMMYFUNCTION("""COMPUTED_VALUE"""),"Other")</f>
        <v>Other</v>
      </c>
    </row>
    <row r="1505" hidden="1">
      <c r="A1505" s="6" t="str">
        <f>IFERROR(__xludf.DUMMYFUNCTION("""COMPUTED_VALUE"""),"inditex")</f>
        <v>inditex</v>
      </c>
      <c r="B1505" s="6" t="str">
        <f>IFERROR(__xludf.DUMMYFUNCTION("""COMPUTED_VALUE"""),"España")</f>
        <v>España</v>
      </c>
      <c r="C1505" s="6" t="str">
        <f>IFERROR(__xludf.DUMMYFUNCTION("""COMPUTED_VALUE"""),"Other")</f>
        <v>Other</v>
      </c>
    </row>
    <row r="1506">
      <c r="A1506" s="6" t="str">
        <f>IFERROR(__xludf.DUMMYFUNCTION("""COMPUTED_VALUE"""),"diego ponce de león franco")</f>
        <v>diego ponce de león franco</v>
      </c>
      <c r="B1506" s="4"/>
      <c r="C1506" s="4"/>
    </row>
    <row r="1507" hidden="1">
      <c r="A1507" s="6" t="str">
        <f>IFERROR(__xludf.DUMMYFUNCTION("""COMPUTED_VALUE"""),"luccianos")</f>
        <v>luccianos</v>
      </c>
      <c r="B1507" s="6" t="str">
        <f>IFERROR(__xludf.DUMMYFUNCTION("""COMPUTED_VALUE"""),"Argentina")</f>
        <v>Argentina</v>
      </c>
      <c r="C1507" s="6" t="str">
        <f>IFERROR(__xludf.DUMMYFUNCTION("""COMPUTED_VALUE"""),"Other")</f>
        <v>Other</v>
      </c>
    </row>
    <row r="1508" hidden="1">
      <c r="A1508" s="6" t="str">
        <f>IFERROR(__xludf.DUMMYFUNCTION("""COMPUTED_VALUE"""),"jalisoft")</f>
        <v>jalisoft</v>
      </c>
      <c r="B1508" s="6" t="str">
        <f>IFERROR(__xludf.DUMMYFUNCTION("""COMPUTED_VALUE"""),"México")</f>
        <v>México</v>
      </c>
      <c r="C1508" s="4"/>
    </row>
    <row r="1509" hidden="1">
      <c r="A1509" s="6" t="str">
        <f>IFERROR(__xludf.DUMMYFUNCTION("""COMPUTED_VALUE"""),"banco del bajio")</f>
        <v>banco del bajio</v>
      </c>
      <c r="B1509" s="6" t="str">
        <f>IFERROR(__xludf.DUMMYFUNCTION("""COMPUTED_VALUE"""),"Mexico")</f>
        <v>Mexico</v>
      </c>
      <c r="C1509" s="6" t="str">
        <f>IFERROR(__xludf.DUMMYFUNCTION("""COMPUTED_VALUE"""),"Banking &amp; Financial Servicies")</f>
        <v>Banking &amp; Financial Servicies</v>
      </c>
    </row>
    <row r="1510" hidden="1">
      <c r="A1510" s="6" t="str">
        <f>IFERROR(__xludf.DUMMYFUNCTION("""COMPUTED_VALUE"""),"rio volga")</f>
        <v>rio volga</v>
      </c>
      <c r="B1510" s="6" t="str">
        <f>IFERROR(__xludf.DUMMYFUNCTION("""COMPUTED_VALUE"""),"España")</f>
        <v>España</v>
      </c>
      <c r="C1510" s="6" t="str">
        <f>IFERROR(__xludf.DUMMYFUNCTION("""COMPUTED_VALUE"""),"PropTech / Real State")</f>
        <v>PropTech / Real State</v>
      </c>
    </row>
    <row r="1511" hidden="1">
      <c r="A1511" s="6" t="str">
        <f>IFERROR(__xludf.DUMMYFUNCTION("""COMPUTED_VALUE"""),"innew")</f>
        <v>innew</v>
      </c>
      <c r="B1511" s="6" t="str">
        <f>IFERROR(__xludf.DUMMYFUNCTION("""COMPUTED_VALUE"""),"Argentina")</f>
        <v>Argentina</v>
      </c>
      <c r="C1511" s="6" t="str">
        <f>IFERROR(__xludf.DUMMYFUNCTION("""COMPUTED_VALUE"""),"Software Factory / Staffing")</f>
        <v>Software Factory / Staffing</v>
      </c>
    </row>
    <row r="1512" hidden="1">
      <c r="A1512" s="6" t="str">
        <f>IFERROR(__xludf.DUMMYFUNCTION("""COMPUTED_VALUE"""),"braitec s.r.l.")</f>
        <v>braitec s.r.l.</v>
      </c>
      <c r="B1512" s="6" t="str">
        <f>IFERROR(__xludf.DUMMYFUNCTION("""COMPUTED_VALUE"""),"Italia")</f>
        <v>Italia</v>
      </c>
      <c r="C1512" s="6" t="str">
        <f>IFERROR(__xludf.DUMMYFUNCTION("""COMPUTED_VALUE"""),"Software Factory / Staffing")</f>
        <v>Software Factory / Staffing</v>
      </c>
    </row>
    <row r="1513" hidden="1">
      <c r="A1513" s="6" t="str">
        <f>IFERROR(__xludf.DUMMYFUNCTION("""COMPUTED_VALUE"""),"imagine big")</f>
        <v>imagine big</v>
      </c>
      <c r="B1513" s="6" t="str">
        <f>IFERROR(__xludf.DUMMYFUNCTION("""COMPUTED_VALUE"""),"Estados Unidos")</f>
        <v>Estados Unidos</v>
      </c>
      <c r="C1513" s="6" t="str">
        <f>IFERROR(__xludf.DUMMYFUNCTION("""COMPUTED_VALUE"""),"Software Factory / Staffing")</f>
        <v>Software Factory / Staffing</v>
      </c>
    </row>
    <row r="1514" hidden="1">
      <c r="A1514" s="6" t="str">
        <f>IFERROR(__xludf.DUMMYFUNCTION("""COMPUTED_VALUE"""),"quares it solutions")</f>
        <v>quares it solutions</v>
      </c>
      <c r="B1514" s="6" t="str">
        <f>IFERROR(__xludf.DUMMYFUNCTION("""COMPUTED_VALUE"""),"Argentina")</f>
        <v>Argentina</v>
      </c>
      <c r="C1514" s="6" t="str">
        <f>IFERROR(__xludf.DUMMYFUNCTION("""COMPUTED_VALUE"""),"Software Factory / Staffing")</f>
        <v>Software Factory / Staffing</v>
      </c>
    </row>
    <row r="1515" hidden="1">
      <c r="A1515" s="6" t="str">
        <f>IFERROR(__xludf.DUMMYFUNCTION("""COMPUTED_VALUE"""),"logros s.a.")</f>
        <v>logros s.a.</v>
      </c>
      <c r="B1515" s="6" t="str">
        <f>IFERROR(__xludf.DUMMYFUNCTION("""COMPUTED_VALUE"""),"Argentina")</f>
        <v>Argentina</v>
      </c>
      <c r="C1515" s="6" t="str">
        <f>IFERROR(__xludf.DUMMYFUNCTION("""COMPUTED_VALUE"""),"FMCG / Consumo masivo")</f>
        <v>FMCG / Consumo masivo</v>
      </c>
    </row>
    <row r="1516" hidden="1">
      <c r="A1516" s="6" t="str">
        <f>IFERROR(__xludf.DUMMYFUNCTION("""COMPUTED_VALUE"""),"airtech sa")</f>
        <v>airtech sa</v>
      </c>
      <c r="B1516" s="6" t="str">
        <f>IFERROR(__xludf.DUMMYFUNCTION("""COMPUTED_VALUE"""),"Estados Unidos")</f>
        <v>Estados Unidos</v>
      </c>
      <c r="C1516" s="6" t="str">
        <f>IFERROR(__xludf.DUMMYFUNCTION("""COMPUTED_VALUE"""),"PropTech / Real State")</f>
        <v>PropTech / Real State</v>
      </c>
    </row>
    <row r="1517" hidden="1">
      <c r="A1517" s="6" t="str">
        <f>IFERROR(__xludf.DUMMYFUNCTION("""COMPUTED_VALUE"""),"ixpantia")</f>
        <v>ixpantia</v>
      </c>
      <c r="B1517" s="6" t="str">
        <f>IFERROR(__xludf.DUMMYFUNCTION("""COMPUTED_VALUE"""),"Costa Rica")</f>
        <v>Costa Rica</v>
      </c>
      <c r="C1517" s="6" t="str">
        <f>IFERROR(__xludf.DUMMYFUNCTION("""COMPUTED_VALUE"""),"Software Factory / Staffing")</f>
        <v>Software Factory / Staffing</v>
      </c>
    </row>
    <row r="1518" hidden="1">
      <c r="A1518" s="6" t="str">
        <f>IFERROR(__xludf.DUMMYFUNCTION("""COMPUTED_VALUE"""),"applying cloud")</f>
        <v>applying cloud</v>
      </c>
      <c r="B1518" s="6" t="str">
        <f>IFERROR(__xludf.DUMMYFUNCTION("""COMPUTED_VALUE"""),"Peru")</f>
        <v>Peru</v>
      </c>
      <c r="C1518" s="6" t="str">
        <f>IFERROR(__xludf.DUMMYFUNCTION("""COMPUTED_VALUE"""),"SaaS")</f>
        <v>SaaS</v>
      </c>
    </row>
    <row r="1519" hidden="1">
      <c r="A1519" s="6" t="str">
        <f>IFERROR(__xludf.DUMMYFUNCTION("""COMPUTED_VALUE"""),"acara")</f>
        <v>acara</v>
      </c>
      <c r="B1519" s="6" t="str">
        <f>IFERROR(__xludf.DUMMYFUNCTION("""COMPUTED_VALUE"""),"Francia")</f>
        <v>Francia</v>
      </c>
      <c r="C1519" s="6" t="str">
        <f>IFERROR(__xludf.DUMMYFUNCTION("""COMPUTED_VALUE"""),"Other")</f>
        <v>Other</v>
      </c>
    </row>
    <row r="1520" hidden="1">
      <c r="A1520" s="6" t="str">
        <f>IFERROR(__xludf.DUMMYFUNCTION("""COMPUTED_VALUE"""),"we book you")</f>
        <v>we book you</v>
      </c>
      <c r="B1520" s="6" t="str">
        <f>IFERROR(__xludf.DUMMYFUNCTION("""COMPUTED_VALUE"""),"Mexico")</f>
        <v>Mexico</v>
      </c>
      <c r="C1520" s="6" t="str">
        <f>IFERROR(__xludf.DUMMYFUNCTION("""COMPUTED_VALUE"""),"Travel and Tourism")</f>
        <v>Travel and Tourism</v>
      </c>
    </row>
    <row r="1521" hidden="1">
      <c r="A1521" s="6" t="str">
        <f>IFERROR(__xludf.DUMMYFUNCTION("""COMPUTED_VALUE"""),"dream junk studios")</f>
        <v>dream junk studios</v>
      </c>
      <c r="B1521" s="6" t="str">
        <f>IFERROR(__xludf.DUMMYFUNCTION("""COMPUTED_VALUE"""),"Estados Unidos")</f>
        <v>Estados Unidos</v>
      </c>
      <c r="C1521" s="6" t="str">
        <f>IFERROR(__xludf.DUMMYFUNCTION("""COMPUTED_VALUE"""),"Other")</f>
        <v>Other</v>
      </c>
    </row>
    <row r="1522" hidden="1">
      <c r="A1522" s="6" t="str">
        <f>IFERROR(__xludf.DUMMYFUNCTION("""COMPUTED_VALUE"""),"appen")</f>
        <v>appen</v>
      </c>
      <c r="B1522" s="6" t="str">
        <f>IFERROR(__xludf.DUMMYFUNCTION("""COMPUTED_VALUE"""),"Australia")</f>
        <v>Australia</v>
      </c>
      <c r="C1522" s="6" t="str">
        <f>IFERROR(__xludf.DUMMYFUNCTION("""COMPUTED_VALUE"""),"Artificil Intelligence")</f>
        <v>Artificil Intelligence</v>
      </c>
    </row>
    <row r="1523" hidden="1">
      <c r="A1523" s="6" t="str">
        <f>IFERROR(__xludf.DUMMYFUNCTION("""COMPUTED_VALUE"""),"distribuidora sourigues")</f>
        <v>distribuidora sourigues</v>
      </c>
      <c r="B1523" s="6" t="str">
        <f>IFERROR(__xludf.DUMMYFUNCTION("""COMPUTED_VALUE"""),"Argentina")</f>
        <v>Argentina</v>
      </c>
      <c r="C1523" s="6" t="str">
        <f>IFERROR(__xludf.DUMMYFUNCTION("""COMPUTED_VALUE"""),"Logistics")</f>
        <v>Logistics</v>
      </c>
    </row>
    <row r="1524" hidden="1">
      <c r="A1524" s="6" t="str">
        <f>IFERROR(__xludf.DUMMYFUNCTION("""COMPUTED_VALUE"""),"bitsion")</f>
        <v>bitsion</v>
      </c>
      <c r="B1524" s="6" t="str">
        <f>IFERROR(__xludf.DUMMYFUNCTION("""COMPUTED_VALUE"""),"Argentina")</f>
        <v>Argentina</v>
      </c>
      <c r="C1524" s="6" t="str">
        <f>IFERROR(__xludf.DUMMYFUNCTION("""COMPUTED_VALUE"""),"Software Factory / Staffing")</f>
        <v>Software Factory / Staffing</v>
      </c>
    </row>
    <row r="1525" hidden="1">
      <c r="A1525" s="6" t="str">
        <f>IFERROR(__xludf.DUMMYFUNCTION("""COMPUTED_VALUE"""),"openbusiness")</f>
        <v>openbusiness</v>
      </c>
      <c r="B1525" s="6" t="str">
        <f>IFERROR(__xludf.DUMMYFUNCTION("""COMPUTED_VALUE"""),"Argentina")</f>
        <v>Argentina</v>
      </c>
      <c r="C1525" s="6" t="str">
        <f>IFERROR(__xludf.DUMMYFUNCTION("""COMPUTED_VALUE"""),"Software Factory / Staffing")</f>
        <v>Software Factory / Staffing</v>
      </c>
    </row>
    <row r="1526" hidden="1">
      <c r="A1526" s="6" t="str">
        <f>IFERROR(__xludf.DUMMYFUNCTION("""COMPUTED_VALUE"""),"bancolombia")</f>
        <v>bancolombia</v>
      </c>
      <c r="B1526" s="6" t="str">
        <f>IFERROR(__xludf.DUMMYFUNCTION("""COMPUTED_VALUE"""),"Colombia")</f>
        <v>Colombia</v>
      </c>
      <c r="C1526" s="6" t="str">
        <f>IFERROR(__xludf.DUMMYFUNCTION("""COMPUTED_VALUE"""),"Banking &amp; Financial Servicies")</f>
        <v>Banking &amp; Financial Servicies</v>
      </c>
    </row>
    <row r="1527" hidden="1">
      <c r="A1527" s="6" t="str">
        <f>IFERROR(__xludf.DUMMYFUNCTION("""COMPUTED_VALUE"""),"bodega romano pin")</f>
        <v>bodega romano pin</v>
      </c>
      <c r="B1527" s="6" t="str">
        <f>IFERROR(__xludf.DUMMYFUNCTION("""COMPUTED_VALUE"""),"Argentina")</f>
        <v>Argentina</v>
      </c>
      <c r="C1527" s="6" t="str">
        <f>IFERROR(__xludf.DUMMYFUNCTION("""COMPUTED_VALUE"""),"Other")</f>
        <v>Other</v>
      </c>
    </row>
    <row r="1528" hidden="1">
      <c r="A1528" s="6" t="str">
        <f>IFERROR(__xludf.DUMMYFUNCTION("""COMPUTED_VALUE"""),"myg ingenieria")</f>
        <v>myg ingenieria</v>
      </c>
      <c r="B1528" s="6" t="str">
        <f>IFERROR(__xludf.DUMMYFUNCTION("""COMPUTED_VALUE"""),"Chile")</f>
        <v>Chile</v>
      </c>
      <c r="C1528" s="6" t="str">
        <f>IFERROR(__xludf.DUMMYFUNCTION("""COMPUTED_VALUE"""),"Other")</f>
        <v>Other</v>
      </c>
    </row>
    <row r="1529" hidden="1">
      <c r="A1529" s="6" t="str">
        <f>IFERROR(__xludf.DUMMYFUNCTION("""COMPUTED_VALUE"""),"transdaf srl")</f>
        <v>transdaf srl</v>
      </c>
      <c r="B1529" s="6" t="str">
        <f>IFERROR(__xludf.DUMMYFUNCTION("""COMPUTED_VALUE"""),"Argentina")</f>
        <v>Argentina</v>
      </c>
      <c r="C1529" s="6" t="str">
        <f>IFERROR(__xludf.DUMMYFUNCTION("""COMPUTED_VALUE"""),"Logistics")</f>
        <v>Logistics</v>
      </c>
    </row>
    <row r="1530" hidden="1">
      <c r="A1530" s="6" t="str">
        <f>IFERROR(__xludf.DUMMYFUNCTION("""COMPUTED_VALUE"""),"smartq")</f>
        <v>smartq</v>
      </c>
      <c r="B1530" s="6" t="str">
        <f>IFERROR(__xludf.DUMMYFUNCTION("""COMPUTED_VALUE"""),"India")</f>
        <v>India</v>
      </c>
      <c r="C1530" s="6" t="str">
        <f>IFERROR(__xludf.DUMMYFUNCTION("""COMPUTED_VALUE"""),"Other")</f>
        <v>Other</v>
      </c>
    </row>
    <row r="1531" hidden="1">
      <c r="A1531" s="6" t="str">
        <f>IFERROR(__xludf.DUMMYFUNCTION("""COMPUTED_VALUE"""),"ikatech solutions")</f>
        <v>ikatech solutions</v>
      </c>
      <c r="B1531" s="6" t="str">
        <f>IFERROR(__xludf.DUMMYFUNCTION("""COMPUTED_VALUE"""),"Mexico")</f>
        <v>Mexico</v>
      </c>
      <c r="C1531" s="6" t="str">
        <f>IFERROR(__xludf.DUMMYFUNCTION("""COMPUTED_VALUE"""),"Software Factory / Staffing")</f>
        <v>Software Factory / Staffing</v>
      </c>
    </row>
    <row r="1532" hidden="1">
      <c r="A1532" s="6" t="str">
        <f>IFERROR(__xludf.DUMMYFUNCTION("""COMPUTED_VALUE"""),"synagro")</f>
        <v>synagro</v>
      </c>
      <c r="B1532" s="6" t="str">
        <f>IFERROR(__xludf.DUMMYFUNCTION("""COMPUTED_VALUE"""),"Argentina")</f>
        <v>Argentina</v>
      </c>
      <c r="C1532" s="4"/>
    </row>
    <row r="1533" hidden="1">
      <c r="A1533" s="6" t="str">
        <f>IFERROR(__xludf.DUMMYFUNCTION("""COMPUTED_VALUE"""),"tecu s.a.s")</f>
        <v>tecu s.a.s</v>
      </c>
      <c r="B1533" s="6" t="str">
        <f>IFERROR(__xludf.DUMMYFUNCTION("""COMPUTED_VALUE"""),"Colombia")</f>
        <v>Colombia</v>
      </c>
      <c r="C1533" s="6" t="str">
        <f>IFERROR(__xludf.DUMMYFUNCTION("""COMPUTED_VALUE"""),"Other")</f>
        <v>Other</v>
      </c>
    </row>
    <row r="1534" hidden="1">
      <c r="A1534" s="6" t="str">
        <f>IFERROR(__xludf.DUMMYFUNCTION("""COMPUTED_VALUE"""),"webclass")</f>
        <v>webclass</v>
      </c>
      <c r="B1534" s="6" t="str">
        <f>IFERROR(__xludf.DUMMYFUNCTION("""COMPUTED_VALUE"""),"Chile")</f>
        <v>Chile</v>
      </c>
      <c r="C1534" s="6" t="str">
        <f>IFERROR(__xludf.DUMMYFUNCTION("""COMPUTED_VALUE"""),"Education &amp; Edtech")</f>
        <v>Education &amp; Edtech</v>
      </c>
    </row>
    <row r="1535" hidden="1">
      <c r="A1535" s="6" t="str">
        <f>IFERROR(__xludf.DUMMYFUNCTION("""COMPUTED_VALUE"""),"qplus")</f>
        <v>qplus</v>
      </c>
      <c r="B1535" s="6" t="str">
        <f>IFERROR(__xludf.DUMMYFUNCTION("""COMPUTED_VALUE"""),"Argentina")</f>
        <v>Argentina</v>
      </c>
      <c r="C1535" s="6" t="str">
        <f>IFERROR(__xludf.DUMMYFUNCTION("""COMPUTED_VALUE"""),"Software Factory / Staffing")</f>
        <v>Software Factory / Staffing</v>
      </c>
    </row>
    <row r="1536" hidden="1">
      <c r="A1536" s="6" t="str">
        <f>IFERROR(__xludf.DUMMYFUNCTION("""COMPUTED_VALUE"""),"umoob")</f>
        <v>umoob</v>
      </c>
      <c r="B1536" s="4"/>
      <c r="C1536" s="6" t="str">
        <f>IFERROR(__xludf.DUMMYFUNCTION("""COMPUTED_VALUE"""),"Software Factory / Staffing")</f>
        <v>Software Factory / Staffing</v>
      </c>
    </row>
    <row r="1537">
      <c r="A1537" s="6" t="str">
        <f>IFERROR(__xludf.DUMMYFUNCTION("""COMPUTED_VALUE"""),"vn studios")</f>
        <v>vn studios</v>
      </c>
      <c r="B1537" s="6" t="str">
        <f>IFERROR(__xludf.DUMMYFUNCTION("""COMPUTED_VALUE"""),"Argentina")</f>
        <v>Argentina</v>
      </c>
      <c r="C1537" s="6" t="str">
        <f>IFERROR(__xludf.DUMMYFUNCTION("""COMPUTED_VALUE"""),"Software Factory / Staffing")</f>
        <v>Software Factory / Staffing</v>
      </c>
    </row>
    <row r="1538" hidden="1">
      <c r="A1538" s="6" t="str">
        <f>IFERROR(__xludf.DUMMYFUNCTION("""COMPUTED_VALUE"""),"asap consulting")</f>
        <v>asap consulting</v>
      </c>
      <c r="B1538" s="6" t="str">
        <f>IFERROR(__xludf.DUMMYFUNCTION("""COMPUTED_VALUE"""),"Argentina")</f>
        <v>Argentina</v>
      </c>
      <c r="C1538" s="6" t="str">
        <f>IFERROR(__xludf.DUMMYFUNCTION("""COMPUTED_VALUE"""),"Software Factory / Staffing")</f>
        <v>Software Factory / Staffing</v>
      </c>
    </row>
    <row r="1539" hidden="1">
      <c r="A1539" s="6" t="str">
        <f>IFERROR(__xludf.DUMMYFUNCTION("""COMPUTED_VALUE"""),"nexton")</f>
        <v>nexton</v>
      </c>
      <c r="B1539" s="6" t="str">
        <f>IFERROR(__xludf.DUMMYFUNCTION("""COMPUTED_VALUE"""),"Estados Unidos")</f>
        <v>Estados Unidos</v>
      </c>
      <c r="C1539" s="6" t="str">
        <f>IFERROR(__xludf.DUMMYFUNCTION("""COMPUTED_VALUE"""),"Software Factory / Staffing")</f>
        <v>Software Factory / Staffing</v>
      </c>
    </row>
    <row r="1540" hidden="1">
      <c r="A1540" s="6" t="str">
        <f>IFERROR(__xludf.DUMMYFUNCTION("""COMPUTED_VALUE"""),"exactian")</f>
        <v>exactian</v>
      </c>
      <c r="B1540" s="6" t="str">
        <f>IFERROR(__xludf.DUMMYFUNCTION("""COMPUTED_VALUE"""),"Argentina")</f>
        <v>Argentina</v>
      </c>
      <c r="C1540" s="6" t="str">
        <f>IFERROR(__xludf.DUMMYFUNCTION("""COMPUTED_VALUE"""),"Software Factory / Staffing")</f>
        <v>Software Factory / Staffing</v>
      </c>
    </row>
    <row r="1541" hidden="1">
      <c r="A1541" s="6" t="str">
        <f>IFERROR(__xludf.DUMMYFUNCTION("""COMPUTED_VALUE"""),"one consultants")</f>
        <v>one consultants</v>
      </c>
      <c r="B1541" s="6" t="str">
        <f>IFERROR(__xludf.DUMMYFUNCTION("""COMPUTED_VALUE"""),"Belgica")</f>
        <v>Belgica</v>
      </c>
      <c r="C1541" s="6" t="str">
        <f>IFERROR(__xludf.DUMMYFUNCTION("""COMPUTED_VALUE"""),"Software Factory / Staffing")</f>
        <v>Software Factory / Staffing</v>
      </c>
    </row>
    <row r="1542" hidden="1">
      <c r="A1542" s="6" t="str">
        <f>IFERROR(__xludf.DUMMYFUNCTION("""COMPUTED_VALUE"""),"adava")</f>
        <v>adava</v>
      </c>
      <c r="B1542" s="6" t="str">
        <f>IFERROR(__xludf.DUMMYFUNCTION("""COMPUTED_VALUE"""),"Estados Unidos")</f>
        <v>Estados Unidos</v>
      </c>
      <c r="C1542" s="6" t="str">
        <f>IFERROR(__xludf.DUMMYFUNCTION("""COMPUTED_VALUE"""),"Artificil Intelligence")</f>
        <v>Artificil Intelligence</v>
      </c>
    </row>
    <row r="1543" hidden="1">
      <c r="A1543" s="6" t="str">
        <f>IFERROR(__xludf.DUMMYFUNCTION("""COMPUTED_VALUE"""),"aseguratec")</f>
        <v>aseguratec</v>
      </c>
      <c r="B1543" s="6" t="str">
        <f>IFERROR(__xludf.DUMMYFUNCTION("""COMPUTED_VALUE"""),"Puerto Rico")</f>
        <v>Puerto Rico</v>
      </c>
      <c r="C1543" s="6" t="str">
        <f>IFERROR(__xludf.DUMMYFUNCTION("""COMPUTED_VALUE"""),"Other")</f>
        <v>Other</v>
      </c>
    </row>
    <row r="1544" hidden="1">
      <c r="A1544" s="6" t="str">
        <f>IFERROR(__xludf.DUMMYFUNCTION("""COMPUTED_VALUE"""),"deriv")</f>
        <v>deriv</v>
      </c>
      <c r="B1544" s="6" t="str">
        <f>IFERROR(__xludf.DUMMYFUNCTION("""COMPUTED_VALUE"""),"Malasia")</f>
        <v>Malasia</v>
      </c>
      <c r="C1544" s="6" t="str">
        <f>IFERROR(__xludf.DUMMYFUNCTION("""COMPUTED_VALUE"""),"Banking &amp; Financial Servicies")</f>
        <v>Banking &amp; Financial Servicies</v>
      </c>
    </row>
    <row r="1545" hidden="1">
      <c r="A1545" s="6" t="str">
        <f>IFERROR(__xludf.DUMMYFUNCTION("""COMPUTED_VALUE"""),"solvd, inc.")</f>
        <v>solvd, inc.</v>
      </c>
      <c r="B1545" s="6" t="str">
        <f>IFERROR(__xludf.DUMMYFUNCTION("""COMPUTED_VALUE"""),"Estados Unidos")</f>
        <v>Estados Unidos</v>
      </c>
      <c r="C1545" s="6" t="str">
        <f>IFERROR(__xludf.DUMMYFUNCTION("""COMPUTED_VALUE"""),"Software Factory / Staffing")</f>
        <v>Software Factory / Staffing</v>
      </c>
    </row>
    <row r="1546" hidden="1">
      <c r="A1546" s="6" t="str">
        <f>IFERROR(__xludf.DUMMYFUNCTION("""COMPUTED_VALUE"""),"betriax")</f>
        <v>betriax</v>
      </c>
      <c r="B1546" s="6" t="str">
        <f>IFERROR(__xludf.DUMMYFUNCTION("""COMPUTED_VALUE"""),"Colombia")</f>
        <v>Colombia</v>
      </c>
      <c r="C1546" s="6" t="str">
        <f>IFERROR(__xludf.DUMMYFUNCTION("""COMPUTED_VALUE"""),"Fintech")</f>
        <v>Fintech</v>
      </c>
    </row>
    <row r="1547">
      <c r="A1547" s="6" t="str">
        <f>IFERROR(__xludf.DUMMYFUNCTION("""COMPUTED_VALUE"""),"flexy")</f>
        <v>flexy</v>
      </c>
      <c r="B1547" s="6" t="str">
        <f>IFERROR(__xludf.DUMMYFUNCTION("""COMPUTED_VALUE"""),"Argentina")</f>
        <v>Argentina</v>
      </c>
      <c r="C1547" s="6" t="str">
        <f>IFERROR(__xludf.DUMMYFUNCTION("""COMPUTED_VALUE"""),"Other")</f>
        <v>Other</v>
      </c>
    </row>
    <row r="1548" hidden="1">
      <c r="A1548" s="6" t="str">
        <f>IFERROR(__xludf.DUMMYFUNCTION("""COMPUTED_VALUE"""),"oliver pets")</f>
        <v>oliver pets</v>
      </c>
      <c r="B1548" s="6" t="str">
        <f>IFERROR(__xludf.DUMMYFUNCTION("""COMPUTED_VALUE"""),"Mexico")</f>
        <v>Mexico</v>
      </c>
      <c r="C1548" s="6" t="str">
        <f>IFERROR(__xludf.DUMMYFUNCTION("""COMPUTED_VALUE"""),"Other")</f>
        <v>Other</v>
      </c>
    </row>
    <row r="1549" hidden="1">
      <c r="A1549" s="6" t="str">
        <f>IFERROR(__xludf.DUMMYFUNCTION("""COMPUTED_VALUE"""),"pagot tic")</f>
        <v>pagot tic</v>
      </c>
      <c r="B1549" s="6" t="str">
        <f>IFERROR(__xludf.DUMMYFUNCTION("""COMPUTED_VALUE"""),"Argentina")</f>
        <v>Argentina</v>
      </c>
      <c r="C1549" s="6" t="str">
        <f>IFERROR(__xludf.DUMMYFUNCTION("""COMPUTED_VALUE"""),"Fintech")</f>
        <v>Fintech</v>
      </c>
    </row>
    <row r="1550" hidden="1">
      <c r="A1550" s="6" t="str">
        <f>IFERROR(__xludf.DUMMYFUNCTION("""COMPUTED_VALUE"""),"tpp")</f>
        <v>tpp</v>
      </c>
      <c r="B1550" s="6" t="str">
        <f>IFERROR(__xludf.DUMMYFUNCTION("""COMPUTED_VALUE"""),"Inglaterra")</f>
        <v>Inglaterra</v>
      </c>
      <c r="C1550" s="6" t="str">
        <f>IFERROR(__xludf.DUMMYFUNCTION("""COMPUTED_VALUE"""),"Health")</f>
        <v>Health</v>
      </c>
    </row>
    <row r="1551" hidden="1">
      <c r="A1551" s="6" t="str">
        <f>IFERROR(__xludf.DUMMYFUNCTION("""COMPUTED_VALUE"""),"ministerio de habitat y economia familiar")</f>
        <v>ministerio de habitat y economia familiar</v>
      </c>
      <c r="B1551" s="6" t="str">
        <f>IFERROR(__xludf.DUMMYFUNCTION("""COMPUTED_VALUE"""),"Argentina")</f>
        <v>Argentina</v>
      </c>
      <c r="C1551" s="6" t="str">
        <f>IFERROR(__xludf.DUMMYFUNCTION("""COMPUTED_VALUE"""),"Public Center")</f>
        <v>Public Center</v>
      </c>
    </row>
    <row r="1552" hidden="1">
      <c r="A1552" s="6" t="str">
        <f>IFERROR(__xludf.DUMMYFUNCTION("""COMPUTED_VALUE"""),"revelacion")</f>
        <v>revelacion</v>
      </c>
      <c r="B1552" s="6" t="str">
        <f>IFERROR(__xludf.DUMMYFUNCTION("""COMPUTED_VALUE"""),"Argentina")</f>
        <v>Argentina</v>
      </c>
      <c r="C1552" s="6" t="str">
        <f>IFERROR(__xludf.DUMMYFUNCTION("""COMPUTED_VALUE"""),"Software Factory / Staffing")</f>
        <v>Software Factory / Staffing</v>
      </c>
    </row>
    <row r="1553" hidden="1">
      <c r="A1553" s="6" t="str">
        <f>IFERROR(__xludf.DUMMYFUNCTION("""COMPUTED_VALUE"""),"dlr")</f>
        <v>dlr</v>
      </c>
      <c r="B1553" s="6" t="str">
        <f>IFERROR(__xludf.DUMMYFUNCTION("""COMPUTED_VALUE"""),"Argentina")</f>
        <v>Argentina</v>
      </c>
      <c r="C1553" s="6" t="str">
        <f>IFERROR(__xludf.DUMMYFUNCTION("""COMPUTED_VALUE"""),"Software Factory / Staffing")</f>
        <v>Software Factory / Staffing</v>
      </c>
    </row>
    <row r="1554" hidden="1">
      <c r="A1554" s="6" t="str">
        <f>IFERROR(__xludf.DUMMYFUNCTION("""COMPUTED_VALUE"""),"telco")</f>
        <v>telco</v>
      </c>
      <c r="B1554" s="6" t="str">
        <f>IFERROR(__xludf.DUMMYFUNCTION("""COMPUTED_VALUE"""),"España")</f>
        <v>España</v>
      </c>
      <c r="C1554" s="6" t="str">
        <f>IFERROR(__xludf.DUMMYFUNCTION("""COMPUTED_VALUE"""),"Media &amp; Communication")</f>
        <v>Media &amp; Communication</v>
      </c>
    </row>
    <row r="1555" hidden="1">
      <c r="A1555" s="6" t="str">
        <f>IFERROR(__xludf.DUMMYFUNCTION("""COMPUTED_VALUE"""),"roseti deportes")</f>
        <v>roseti deportes</v>
      </c>
      <c r="B1555" s="6" t="str">
        <f>IFERROR(__xludf.DUMMYFUNCTION("""COMPUTED_VALUE"""),"Argentina")</f>
        <v>Argentina</v>
      </c>
      <c r="C1555" s="6" t="str">
        <f>IFERROR(__xludf.DUMMYFUNCTION("""COMPUTED_VALUE"""),"Other")</f>
        <v>Other</v>
      </c>
    </row>
    <row r="1556" hidden="1">
      <c r="A1556" s="6" t="str">
        <f>IFERROR(__xludf.DUMMYFUNCTION("""COMPUTED_VALUE"""),"guatemala digital")</f>
        <v>guatemala digital</v>
      </c>
      <c r="B1556" s="6" t="str">
        <f>IFERROR(__xludf.DUMMYFUNCTION("""COMPUTED_VALUE"""),"Guatemala")</f>
        <v>Guatemala</v>
      </c>
      <c r="C1556" s="6" t="str">
        <f>IFERROR(__xludf.DUMMYFUNCTION("""COMPUTED_VALUE"""),"E-commerce")</f>
        <v>E-commerce</v>
      </c>
    </row>
    <row r="1557" hidden="1">
      <c r="A1557" s="6" t="str">
        <f>IFERROR(__xludf.DUMMYFUNCTION("""COMPUTED_VALUE"""),"la virginia")</f>
        <v>la virginia</v>
      </c>
      <c r="B1557" s="6" t="str">
        <f>IFERROR(__xludf.DUMMYFUNCTION("""COMPUTED_VALUE"""),"Argentina")</f>
        <v>Argentina</v>
      </c>
      <c r="C1557" s="6" t="str">
        <f>IFERROR(__xludf.DUMMYFUNCTION("""COMPUTED_VALUE"""),"FMCG / Consumo masivo")</f>
        <v>FMCG / Consumo masivo</v>
      </c>
    </row>
    <row r="1558" hidden="1">
      <c r="A1558" s="6" t="str">
        <f>IFERROR(__xludf.DUMMYFUNCTION("""COMPUTED_VALUE"""),"revstar")</f>
        <v>revstar</v>
      </c>
      <c r="B1558" s="6" t="str">
        <f>IFERROR(__xludf.DUMMYFUNCTION("""COMPUTED_VALUE"""),"Estados Unidos")</f>
        <v>Estados Unidos</v>
      </c>
      <c r="C1558" s="6" t="str">
        <f>IFERROR(__xludf.DUMMYFUNCTION("""COMPUTED_VALUE"""),"Software Factory / Staffing")</f>
        <v>Software Factory / Staffing</v>
      </c>
    </row>
    <row r="1559" hidden="1">
      <c r="A1559" s="6" t="str">
        <f>IFERROR(__xludf.DUMMYFUNCTION("""COMPUTED_VALUE"""),"techforb")</f>
        <v>techforb</v>
      </c>
      <c r="B1559" s="6" t="str">
        <f>IFERROR(__xludf.DUMMYFUNCTION("""COMPUTED_VALUE"""),"Dubai")</f>
        <v>Dubai</v>
      </c>
      <c r="C1559" s="6" t="str">
        <f>IFERROR(__xludf.DUMMYFUNCTION("""COMPUTED_VALUE"""),"Software Factory / Staffing")</f>
        <v>Software Factory / Staffing</v>
      </c>
    </row>
    <row r="1560" hidden="1">
      <c r="A1560" s="6" t="str">
        <f>IFERROR(__xludf.DUMMYFUNCTION("""COMPUTED_VALUE"""),"bingo show s.a.")</f>
        <v>bingo show s.a.</v>
      </c>
      <c r="B1560" s="6" t="str">
        <f>IFERROR(__xludf.DUMMYFUNCTION("""COMPUTED_VALUE"""),"Argentina")</f>
        <v>Argentina</v>
      </c>
      <c r="C1560" s="6" t="str">
        <f>IFERROR(__xludf.DUMMYFUNCTION("""COMPUTED_VALUE"""),"Other")</f>
        <v>Other</v>
      </c>
    </row>
    <row r="1561" hidden="1">
      <c r="A1561" s="6" t="str">
        <f>IFERROR(__xludf.DUMMYFUNCTION("""COMPUTED_VALUE"""),"cpem n°47")</f>
        <v>cpem n°47</v>
      </c>
      <c r="B1561" s="4"/>
      <c r="C1561" s="4"/>
    </row>
    <row r="1562" hidden="1">
      <c r="A1562" s="6" t="str">
        <f>IFERROR(__xludf.DUMMYFUNCTION("""COMPUTED_VALUE"""),"vultur")</f>
        <v>vultur</v>
      </c>
      <c r="B1562" s="6" t="str">
        <f>IFERROR(__xludf.DUMMYFUNCTION("""COMPUTED_VALUE"""),"Chile")</f>
        <v>Chile</v>
      </c>
      <c r="C1562" s="6" t="str">
        <f>IFERROR(__xludf.DUMMYFUNCTION("""COMPUTED_VALUE"""),"Other")</f>
        <v>Other</v>
      </c>
    </row>
    <row r="1563" hidden="1">
      <c r="A1563" s="6" t="str">
        <f>IFERROR(__xludf.DUMMYFUNCTION("""COMPUTED_VALUE"""),"administradora san juan s.a.")</f>
        <v>administradora san juan s.a.</v>
      </c>
      <c r="B1563" s="6" t="str">
        <f>IFERROR(__xludf.DUMMYFUNCTION("""COMPUTED_VALUE"""),"Argentina")</f>
        <v>Argentina</v>
      </c>
      <c r="C1563" s="6" t="str">
        <f>IFERROR(__xludf.DUMMYFUNCTION("""COMPUTED_VALUE"""),"Public Center")</f>
        <v>Public Center</v>
      </c>
    </row>
    <row r="1564" hidden="1">
      <c r="A1564" s="6" t="str">
        <f>IFERROR(__xludf.DUMMYFUNCTION("""COMPUTED_VALUE"""),"cdt soluciones informaticas")</f>
        <v>cdt soluciones informaticas</v>
      </c>
      <c r="B1564" s="6" t="str">
        <f>IFERROR(__xludf.DUMMYFUNCTION("""COMPUTED_VALUE"""),"Argentina")</f>
        <v>Argentina</v>
      </c>
      <c r="C1564" s="6" t="str">
        <f>IFERROR(__xludf.DUMMYFUNCTION("""COMPUTED_VALUE"""),"Software Factory / Staffing")</f>
        <v>Software Factory / Staffing</v>
      </c>
    </row>
    <row r="1565" hidden="1">
      <c r="A1565" s="6" t="str">
        <f>IFERROR(__xludf.DUMMYFUNCTION("""COMPUTED_VALUE"""),"eidos global")</f>
        <v>eidos global</v>
      </c>
      <c r="B1565" s="6" t="str">
        <f>IFERROR(__xludf.DUMMYFUNCTION("""COMPUTED_VALUE"""),"Argentina")</f>
        <v>Argentina</v>
      </c>
      <c r="C1565" s="6" t="str">
        <f>IFERROR(__xludf.DUMMYFUNCTION("""COMPUTED_VALUE"""),"Education &amp; Edtech")</f>
        <v>Education &amp; Edtech</v>
      </c>
    </row>
    <row r="1566" hidden="1">
      <c r="A1566" s="6" t="str">
        <f>IFERROR(__xludf.DUMMYFUNCTION("""COMPUTED_VALUE"""),"drivin")</f>
        <v>drivin</v>
      </c>
      <c r="B1566" s="6" t="str">
        <f>IFERROR(__xludf.DUMMYFUNCTION("""COMPUTED_VALUE"""),"Chile")</f>
        <v>Chile</v>
      </c>
      <c r="C1566" s="6" t="str">
        <f>IFERROR(__xludf.DUMMYFUNCTION("""COMPUTED_VALUE"""),"Logistics")</f>
        <v>Logistics</v>
      </c>
    </row>
    <row r="1567" hidden="1">
      <c r="A1567" s="6" t="str">
        <f>IFERROR(__xludf.DUMMYFUNCTION("""COMPUTED_VALUE"""),"finky")</f>
        <v>finky</v>
      </c>
      <c r="B1567" s="6" t="str">
        <f>IFERROR(__xludf.DUMMYFUNCTION("""COMPUTED_VALUE"""),"Brasil")</f>
        <v>Brasil</v>
      </c>
      <c r="C1567" s="6" t="str">
        <f>IFERROR(__xludf.DUMMYFUNCTION("""COMPUTED_VALUE"""),"Banking &amp; Financial Servicies")</f>
        <v>Banking &amp; Financial Servicies</v>
      </c>
    </row>
    <row r="1568" hidden="1">
      <c r="A1568" s="6" t="str">
        <f>IFERROR(__xludf.DUMMYFUNCTION("""COMPUTED_VALUE"""),"besysoft")</f>
        <v>besysoft</v>
      </c>
      <c r="B1568" s="6" t="str">
        <f>IFERROR(__xludf.DUMMYFUNCTION("""COMPUTED_VALUE"""),"Argentina")</f>
        <v>Argentina</v>
      </c>
      <c r="C1568" s="6" t="str">
        <f>IFERROR(__xludf.DUMMYFUNCTION("""COMPUTED_VALUE"""),"Software Factory / Staffing")</f>
        <v>Software Factory / Staffing</v>
      </c>
    </row>
    <row r="1569" hidden="1">
      <c r="A1569" s="6" t="str">
        <f>IFERROR(__xludf.DUMMYFUNCTION("""COMPUTED_VALUE"""),"tercer ojo")</f>
        <v>tercer ojo</v>
      </c>
      <c r="B1569" s="6" t="str">
        <f>IFERROR(__xludf.DUMMYFUNCTION("""COMPUTED_VALUE"""),"Argentina")</f>
        <v>Argentina</v>
      </c>
      <c r="C1569" s="6" t="str">
        <f>IFERROR(__xludf.DUMMYFUNCTION("""COMPUTED_VALUE"""),"Marketing &amp; Advertising")</f>
        <v>Marketing &amp; Advertising</v>
      </c>
    </row>
    <row r="1570">
      <c r="A1570" s="6" t="str">
        <f>IFERROR(__xludf.DUMMYFUNCTION("""COMPUTED_VALUE"""),"jph lions")</f>
        <v>jph lions</v>
      </c>
      <c r="B1570" s="6" t="str">
        <f>IFERROR(__xludf.DUMMYFUNCTION("""COMPUTED_VALUE"""),"Argentina")</f>
        <v>Argentina</v>
      </c>
      <c r="C1570" s="6" t="str">
        <f>IFERROR(__xludf.DUMMYFUNCTION("""COMPUTED_VALUE"""),"Software Factory / Staffing")</f>
        <v>Software Factory / Staffing</v>
      </c>
    </row>
    <row r="1571" hidden="1">
      <c r="A1571" s="6" t="str">
        <f>IFERROR(__xludf.DUMMYFUNCTION("""COMPUTED_VALUE"""),"grupo asesores sistemas y comunicaciones sa de cv")</f>
        <v>grupo asesores sistemas y comunicaciones sa de cv</v>
      </c>
      <c r="B1571" s="6" t="str">
        <f>IFERROR(__xludf.DUMMYFUNCTION("""COMPUTED_VALUE"""),"Mexico")</f>
        <v>Mexico</v>
      </c>
      <c r="C1571" s="6" t="str">
        <f>IFERROR(__xludf.DUMMYFUNCTION("""COMPUTED_VALUE"""),"Logistics")</f>
        <v>Logistics</v>
      </c>
    </row>
    <row r="1572" hidden="1">
      <c r="A1572" s="6" t="str">
        <f>IFERROR(__xludf.DUMMYFUNCTION("""COMPUTED_VALUE"""),"gadier sistemas profesionales de informacion")</f>
        <v>gadier sistemas profesionales de informacion</v>
      </c>
      <c r="B1572" s="6" t="str">
        <f>IFERROR(__xludf.DUMMYFUNCTION("""COMPUTED_VALUE"""),"Colombia")</f>
        <v>Colombia</v>
      </c>
      <c r="C1572" s="4"/>
    </row>
    <row r="1573" hidden="1">
      <c r="A1573" s="6" t="str">
        <f>IFERROR(__xludf.DUMMYFUNCTION("""COMPUTED_VALUE"""),"let's make it")</f>
        <v>let's make it</v>
      </c>
      <c r="B1573" s="6" t="str">
        <f>IFERROR(__xludf.DUMMYFUNCTION("""COMPUTED_VALUE"""),"Argentina")</f>
        <v>Argentina</v>
      </c>
      <c r="C1573" s="6" t="str">
        <f>IFERROR(__xludf.DUMMYFUNCTION("""COMPUTED_VALUE"""),"Software Factory / Staffing")</f>
        <v>Software Factory / Staffing</v>
      </c>
    </row>
    <row r="1574">
      <c r="A1574" s="6" t="str">
        <f>IFERROR(__xludf.DUMMYFUNCTION("""COMPUTED_VALUE"""),"ada school")</f>
        <v>ada school</v>
      </c>
      <c r="B1574" s="6" t="str">
        <f>IFERROR(__xludf.DUMMYFUNCTION("""COMPUTED_VALUE"""),"Colombia")</f>
        <v>Colombia</v>
      </c>
      <c r="C1574" s="6" t="str">
        <f>IFERROR(__xludf.DUMMYFUNCTION("""COMPUTED_VALUE"""),"Education &amp; Edtech")</f>
        <v>Education &amp; Edtech</v>
      </c>
    </row>
    <row r="1575">
      <c r="A1575" s="6" t="str">
        <f>IFERROR(__xludf.DUMMYFUNCTION("""COMPUTED_VALUE"""),"farmaceuticos asociados")</f>
        <v>farmaceuticos asociados</v>
      </c>
      <c r="B1575" s="6" t="str">
        <f>IFERROR(__xludf.DUMMYFUNCTION("""COMPUTED_VALUE"""),"Argentina")</f>
        <v>Argentina</v>
      </c>
      <c r="C1575" s="6" t="str">
        <f>IFERROR(__xludf.DUMMYFUNCTION("""COMPUTED_VALUE"""),"Health")</f>
        <v>Health</v>
      </c>
    </row>
    <row r="1576" hidden="1">
      <c r="A1576" s="6" t="str">
        <f>IFERROR(__xludf.DUMMYFUNCTION("""COMPUTED_VALUE"""),"moragensoft")</f>
        <v>moragensoft</v>
      </c>
      <c r="B1576" s="6" t="str">
        <f>IFERROR(__xludf.DUMMYFUNCTION("""COMPUTED_VALUE"""),"Peru")</f>
        <v>Peru</v>
      </c>
      <c r="C1576" s="6" t="str">
        <f>IFERROR(__xludf.DUMMYFUNCTION("""COMPUTED_VALUE"""),"Software Factory / Staffing")</f>
        <v>Software Factory / Staffing</v>
      </c>
    </row>
    <row r="1577" hidden="1">
      <c r="A1577" s="6" t="str">
        <f>IFERROR(__xludf.DUMMYFUNCTION("""COMPUTED_VALUE"""),"visual control")</f>
        <v>visual control</v>
      </c>
      <c r="B1577" s="6" t="str">
        <f>IFERROR(__xludf.DUMMYFUNCTION("""COMPUTED_VALUE"""),"Colombia")</f>
        <v>Colombia</v>
      </c>
      <c r="C1577" s="6" t="str">
        <f>IFERROR(__xludf.DUMMYFUNCTION("""COMPUTED_VALUE"""),"Banking &amp; Financial Servicies")</f>
        <v>Banking &amp; Financial Servicies</v>
      </c>
    </row>
    <row r="1578">
      <c r="A1578" s="6" t="str">
        <f>IFERROR(__xludf.DUMMYFUNCTION("""COMPUTED_VALUE"""),"369")</f>
        <v>369</v>
      </c>
      <c r="B1578" s="4"/>
      <c r="C1578" s="4"/>
    </row>
    <row r="1579" hidden="1">
      <c r="A1579" s="6" t="str">
        <f>IFERROR(__xludf.DUMMYFUNCTION("""COMPUTED_VALUE"""),"seahubs s.a")</f>
        <v>seahubs s.a</v>
      </c>
      <c r="B1579" s="6" t="str">
        <f>IFERROR(__xludf.DUMMYFUNCTION("""COMPUTED_VALUE"""),"Colombia")</f>
        <v>Colombia</v>
      </c>
      <c r="C1579" s="6" t="str">
        <f>IFERROR(__xludf.DUMMYFUNCTION("""COMPUTED_VALUE"""),"Other")</f>
        <v>Other</v>
      </c>
    </row>
    <row r="1580" hidden="1">
      <c r="A1580" s="7" t="str">
        <f>IFERROR(__xludf.DUMMYFUNCTION("""COMPUTED_VALUE"""),"heyandes.com")</f>
        <v>heyandes.com</v>
      </c>
      <c r="B1580" s="6" t="str">
        <f>IFERROR(__xludf.DUMMYFUNCTION("""COMPUTED_VALUE"""),"Chile")</f>
        <v>Chile</v>
      </c>
      <c r="C1580" s="6" t="str">
        <f>IFERROR(__xludf.DUMMYFUNCTION("""COMPUTED_VALUE"""),"Software Factory / Staffing")</f>
        <v>Software Factory / Staffing</v>
      </c>
    </row>
    <row r="1581">
      <c r="A1581" s="6" t="str">
        <f>IFERROR(__xludf.DUMMYFUNCTION("""COMPUTED_VALUE"""),"asociacion mutual del personal del comercio y actividades civiles de obera y l n alem")</f>
        <v>asociacion mutual del personal del comercio y actividades civiles de obera y l n alem</v>
      </c>
      <c r="B1581" s="4"/>
      <c r="C1581" s="4"/>
    </row>
    <row r="1582" hidden="1">
      <c r="A1582" s="6" t="str">
        <f>IFERROR(__xludf.DUMMYFUNCTION("""COMPUTED_VALUE"""),"go digital")</f>
        <v>go digital</v>
      </c>
      <c r="B1582" s="6" t="str">
        <f>IFERROR(__xludf.DUMMYFUNCTION("""COMPUTED_VALUE"""),"Egipto")</f>
        <v>Egipto</v>
      </c>
      <c r="C1582" s="6" t="str">
        <f>IFERROR(__xludf.DUMMYFUNCTION("""COMPUTED_VALUE"""),"Media &amp; Communication")</f>
        <v>Media &amp; Communication</v>
      </c>
    </row>
    <row r="1583" hidden="1">
      <c r="A1583" s="6" t="str">
        <f>IFERROR(__xludf.DUMMYFUNCTION("""COMPUTED_VALUE"""),"onexo")</f>
        <v>onexo</v>
      </c>
      <c r="B1583" s="6" t="str">
        <f>IFERROR(__xludf.DUMMYFUNCTION("""COMPUTED_VALUE"""),"Mexico")</f>
        <v>Mexico</v>
      </c>
      <c r="C1583" s="6" t="str">
        <f>IFERROR(__xludf.DUMMYFUNCTION("""COMPUTED_VALUE"""),"Software Factory / Staffing")</f>
        <v>Software Factory / Staffing</v>
      </c>
    </row>
    <row r="1584" hidden="1">
      <c r="A1584" s="6" t="str">
        <f>IFERROR(__xludf.DUMMYFUNCTION("""COMPUTED_VALUE"""),"legalify")</f>
        <v>legalify</v>
      </c>
      <c r="B1584" s="6" t="str">
        <f>IFERROR(__xludf.DUMMYFUNCTION("""COMPUTED_VALUE"""),"Argentina")</f>
        <v>Argentina</v>
      </c>
      <c r="C1584" s="6" t="str">
        <f>IFERROR(__xludf.DUMMYFUNCTION("""COMPUTED_VALUE"""),"Law/Legal Services")</f>
        <v>Law/Legal Services</v>
      </c>
    </row>
    <row r="1585" hidden="1">
      <c r="A1585" s="6" t="str">
        <f>IFERROR(__xludf.DUMMYFUNCTION("""COMPUTED_VALUE"""),"kiub muebles")</f>
        <v>kiub muebles</v>
      </c>
      <c r="B1585" s="4"/>
      <c r="C1585" s="4"/>
    </row>
    <row r="1586" hidden="1">
      <c r="A1586" s="6" t="str">
        <f>IFERROR(__xludf.DUMMYFUNCTION("""COMPUTED_VALUE"""),"we plan")</f>
        <v>we plan</v>
      </c>
      <c r="B1586" s="6" t="str">
        <f>IFERROR(__xludf.DUMMYFUNCTION("""COMPUTED_VALUE"""),"Argentina")</f>
        <v>Argentina</v>
      </c>
      <c r="C1586" s="6" t="str">
        <f>IFERROR(__xludf.DUMMYFUNCTION("""COMPUTED_VALUE"""),"Software Factory / Staffing")</f>
        <v>Software Factory / Staffing</v>
      </c>
    </row>
    <row r="1587" hidden="1">
      <c r="A1587" s="6" t="str">
        <f>IFERROR(__xludf.DUMMYFUNCTION("""COMPUTED_VALUE"""),"devnavigate")</f>
        <v>devnavigate</v>
      </c>
      <c r="B1587" s="6" t="str">
        <f>IFERROR(__xludf.DUMMYFUNCTION("""COMPUTED_VALUE"""),"España")</f>
        <v>España</v>
      </c>
      <c r="C1587" s="6" t="str">
        <f>IFERROR(__xludf.DUMMYFUNCTION("""COMPUTED_VALUE"""),"Software Factory / Staffing")</f>
        <v>Software Factory / Staffing</v>
      </c>
    </row>
    <row r="1588" hidden="1">
      <c r="A1588" s="6" t="str">
        <f>IFERROR(__xludf.DUMMYFUNCTION("""COMPUTED_VALUE"""),"greydive")</f>
        <v>greydive</v>
      </c>
      <c r="B1588" s="6" t="str">
        <f>IFERROR(__xludf.DUMMYFUNCTION("""COMPUTED_VALUE"""),"Argentina")</f>
        <v>Argentina</v>
      </c>
      <c r="C1588" s="6" t="str">
        <f>IFERROR(__xludf.DUMMYFUNCTION("""COMPUTED_VALUE"""),"Marketing &amp; Advertising")</f>
        <v>Marketing &amp; Advertising</v>
      </c>
    </row>
    <row r="1589" hidden="1">
      <c r="A1589" s="6" t="str">
        <f>IFERROR(__xludf.DUMMYFUNCTION("""COMPUTED_VALUE"""),"onecarnow!")</f>
        <v>onecarnow!</v>
      </c>
      <c r="B1589" s="6" t="str">
        <f>IFERROR(__xludf.DUMMYFUNCTION("""COMPUTED_VALUE"""),"Mexico")</f>
        <v>Mexico</v>
      </c>
      <c r="C1589" s="6" t="str">
        <f>IFERROR(__xludf.DUMMYFUNCTION("""COMPUTED_VALUE"""),"Banking &amp; Financial Servicies")</f>
        <v>Banking &amp; Financial Servicies</v>
      </c>
    </row>
    <row r="1590" hidden="1">
      <c r="A1590" s="6" t="str">
        <f>IFERROR(__xludf.DUMMYFUNCTION("""COMPUTED_VALUE"""),"exagono")</f>
        <v>exagono</v>
      </c>
      <c r="B1590" s="6" t="str">
        <f>IFERROR(__xludf.DUMMYFUNCTION("""COMPUTED_VALUE"""),"Mexico")</f>
        <v>Mexico</v>
      </c>
      <c r="C1590" s="6" t="str">
        <f>IFERROR(__xludf.DUMMYFUNCTION("""COMPUTED_VALUE"""),"Software Factory / Staffing")</f>
        <v>Software Factory / Staffing</v>
      </c>
    </row>
    <row r="1591" hidden="1">
      <c r="A1591" s="6" t="str">
        <f>IFERROR(__xludf.DUMMYFUNCTION("""COMPUTED_VALUE"""),"coppel")</f>
        <v>coppel</v>
      </c>
      <c r="B1591" s="6" t="str">
        <f>IFERROR(__xludf.DUMMYFUNCTION("""COMPUTED_VALUE"""),"Mexico")</f>
        <v>Mexico</v>
      </c>
      <c r="C1591" s="6" t="str">
        <f>IFERROR(__xludf.DUMMYFUNCTION("""COMPUTED_VALUE"""),"Other")</f>
        <v>Other</v>
      </c>
    </row>
    <row r="1592" hidden="1">
      <c r="A1592" s="6" t="str">
        <f>IFERROR(__xludf.DUMMYFUNCTION("""COMPUTED_VALUE"""),"byma")</f>
        <v>byma</v>
      </c>
      <c r="B1592" s="6" t="str">
        <f>IFERROR(__xludf.DUMMYFUNCTION("""COMPUTED_VALUE"""),"Argentina")</f>
        <v>Argentina</v>
      </c>
      <c r="C1592" s="6" t="str">
        <f>IFERROR(__xludf.DUMMYFUNCTION("""COMPUTED_VALUE"""),"Banking &amp; Financial Servicies")</f>
        <v>Banking &amp; Financial Servicies</v>
      </c>
    </row>
    <row r="1593" hidden="1">
      <c r="A1593" s="6" t="str">
        <f>IFERROR(__xludf.DUMMYFUNCTION("""COMPUTED_VALUE"""),"universidad manuela beltrán")</f>
        <v>universidad manuela beltrán</v>
      </c>
      <c r="B1593" s="6" t="str">
        <f>IFERROR(__xludf.DUMMYFUNCTION("""COMPUTED_VALUE"""),"Colombia")</f>
        <v>Colombia</v>
      </c>
      <c r="C1593" s="6" t="str">
        <f>IFERROR(__xludf.DUMMYFUNCTION("""COMPUTED_VALUE"""),"Education &amp; Edtech")</f>
        <v>Education &amp; Edtech</v>
      </c>
    </row>
    <row r="1594" hidden="1">
      <c r="A1594" s="6" t="str">
        <f>IFERROR(__xludf.DUMMYFUNCTION("""COMPUTED_VALUE"""),"nexura internacional")</f>
        <v>nexura internacional</v>
      </c>
      <c r="B1594" s="6" t="str">
        <f>IFERROR(__xludf.DUMMYFUNCTION("""COMPUTED_VALUE"""),"Colombia")</f>
        <v>Colombia</v>
      </c>
      <c r="C1594" s="6" t="str">
        <f>IFERROR(__xludf.DUMMYFUNCTION("""COMPUTED_VALUE"""),"Software Factory / Staffing")</f>
        <v>Software Factory / Staffing</v>
      </c>
    </row>
    <row r="1595" hidden="1">
      <c r="A1595" s="6" t="str">
        <f>IFERROR(__xludf.DUMMYFUNCTION("""COMPUTED_VALUE"""),"texno")</f>
        <v>texno</v>
      </c>
      <c r="B1595" s="6" t="str">
        <f>IFERROR(__xludf.DUMMYFUNCTION("""COMPUTED_VALUE"""),"Argentina")</f>
        <v>Argentina</v>
      </c>
      <c r="C1595" s="6" t="str">
        <f>IFERROR(__xludf.DUMMYFUNCTION("""COMPUTED_VALUE"""),"Other")</f>
        <v>Other</v>
      </c>
    </row>
    <row r="1596" hidden="1">
      <c r="A1596" s="6" t="str">
        <f>IFERROR(__xludf.DUMMYFUNCTION("""COMPUTED_VALUE"""),"aythen")</f>
        <v>aythen</v>
      </c>
      <c r="B1596" s="6" t="str">
        <f>IFERROR(__xludf.DUMMYFUNCTION("""COMPUTED_VALUE"""),"España")</f>
        <v>España</v>
      </c>
      <c r="C1596" s="6" t="str">
        <f>IFERROR(__xludf.DUMMYFUNCTION("""COMPUTED_VALUE"""),"Software Factory / Staffing")</f>
        <v>Software Factory / Staffing</v>
      </c>
    </row>
    <row r="1597" hidden="1">
      <c r="A1597" s="6" t="str">
        <f>IFERROR(__xludf.DUMMYFUNCTION("""COMPUTED_VALUE"""),"uxen")</f>
        <v>uxen</v>
      </c>
      <c r="B1597" s="6" t="str">
        <f>IFERROR(__xludf.DUMMYFUNCTION("""COMPUTED_VALUE"""),"Estados Unidos")</f>
        <v>Estados Unidos</v>
      </c>
      <c r="C1597" s="6" t="str">
        <f>IFERROR(__xludf.DUMMYFUNCTION("""COMPUTED_VALUE"""),"Software Factory / Staffing")</f>
        <v>Software Factory / Staffing</v>
      </c>
    </row>
    <row r="1598" hidden="1">
      <c r="A1598" s="6" t="str">
        <f>IFERROR(__xludf.DUMMYFUNCTION("""COMPUTED_VALUE"""),"nexura méxico")</f>
        <v>nexura méxico</v>
      </c>
      <c r="B1598" s="6" t="str">
        <f>IFERROR(__xludf.DUMMYFUNCTION("""COMPUTED_VALUE"""),"Colombia")</f>
        <v>Colombia</v>
      </c>
      <c r="C1598" s="6" t="str">
        <f>IFERROR(__xludf.DUMMYFUNCTION("""COMPUTED_VALUE"""),"Software Factory / Staffing")</f>
        <v>Software Factory / Staffing</v>
      </c>
    </row>
    <row r="1599" hidden="1">
      <c r="A1599" s="6" t="str">
        <f>IFERROR(__xludf.DUMMYFUNCTION("""COMPUTED_VALUE"""),"kiufor")</f>
        <v>kiufor</v>
      </c>
      <c r="B1599" s="4"/>
      <c r="C1599" s="4"/>
    </row>
    <row r="1600" hidden="1">
      <c r="A1600" s="6" t="str">
        <f>IFERROR(__xludf.DUMMYFUNCTION("""COMPUTED_VALUE"""),"núcleo de diagnóstico")</f>
        <v>núcleo de diagnóstico</v>
      </c>
      <c r="B1600" s="6" t="str">
        <f>IFERROR(__xludf.DUMMYFUNCTION("""COMPUTED_VALUE"""),"Mexico")</f>
        <v>Mexico</v>
      </c>
      <c r="C1600" s="6" t="str">
        <f>IFERROR(__xludf.DUMMYFUNCTION("""COMPUTED_VALUE"""),"Health")</f>
        <v>Health</v>
      </c>
    </row>
    <row r="1601" hidden="1">
      <c r="A1601" s="6" t="str">
        <f>IFERROR(__xludf.DUMMYFUNCTION("""COMPUTED_VALUE"""),"itsynch")</f>
        <v>itsynch</v>
      </c>
      <c r="B1601" s="6" t="str">
        <f>IFERROR(__xludf.DUMMYFUNCTION("""COMPUTED_VALUE"""),"Estados Unidos")</f>
        <v>Estados Unidos</v>
      </c>
      <c r="C1601" s="6" t="str">
        <f>IFERROR(__xludf.DUMMYFUNCTION("""COMPUTED_VALUE"""),"Software Factory / Staffing")</f>
        <v>Software Factory / Staffing</v>
      </c>
    </row>
    <row r="1602" hidden="1">
      <c r="A1602" s="6" t="str">
        <f>IFERROR(__xludf.DUMMYFUNCTION("""COMPUTED_VALUE"""),"prolosys")</f>
        <v>prolosys</v>
      </c>
      <c r="B1602" s="6" t="str">
        <f>IFERROR(__xludf.DUMMYFUNCTION("""COMPUTED_VALUE"""),"Mexico")</f>
        <v>Mexico</v>
      </c>
      <c r="C1602" s="6" t="str">
        <f>IFERROR(__xludf.DUMMYFUNCTION("""COMPUTED_VALUE"""),"Management Consulting")</f>
        <v>Management Consulting</v>
      </c>
    </row>
    <row r="1603" hidden="1">
      <c r="A1603" s="6" t="str">
        <f>IFERROR(__xludf.DUMMYFUNCTION("""COMPUTED_VALUE"""),"conicet")</f>
        <v>conicet</v>
      </c>
      <c r="B1603" s="6" t="str">
        <f>IFERROR(__xludf.DUMMYFUNCTION("""COMPUTED_VALUE"""),"Argentina")</f>
        <v>Argentina</v>
      </c>
      <c r="C1603" s="6" t="str">
        <f>IFERROR(__xludf.DUMMYFUNCTION("""COMPUTED_VALUE"""),"Other")</f>
        <v>Other</v>
      </c>
    </row>
    <row r="1604" hidden="1">
      <c r="A1604" s="6" t="str">
        <f>IFERROR(__xludf.DUMMYFUNCTION("""COMPUTED_VALUE"""),"laboratorios portugal s.r.l.")</f>
        <v>laboratorios portugal s.r.l.</v>
      </c>
      <c r="B1604" s="6" t="str">
        <f>IFERROR(__xludf.DUMMYFUNCTION("""COMPUTED_VALUE"""),"Peru")</f>
        <v>Peru</v>
      </c>
      <c r="C1604" s="6" t="str">
        <f>IFERROR(__xludf.DUMMYFUNCTION("""COMPUTED_VALUE"""),"Other")</f>
        <v>Other</v>
      </c>
    </row>
    <row r="1605" hidden="1">
      <c r="A1605" s="6" t="str">
        <f>IFERROR(__xludf.DUMMYFUNCTION("""COMPUTED_VALUE"""),"bertolaccini sa")</f>
        <v>bertolaccini sa</v>
      </c>
      <c r="B1605" s="6" t="str">
        <f>IFERROR(__xludf.DUMMYFUNCTION("""COMPUTED_VALUE"""),"Argentina")</f>
        <v>Argentina</v>
      </c>
      <c r="C1605" s="6" t="str">
        <f>IFERROR(__xludf.DUMMYFUNCTION("""COMPUTED_VALUE"""),"Insurance")</f>
        <v>Insurance</v>
      </c>
    </row>
    <row r="1606" hidden="1">
      <c r="A1606" s="6" t="str">
        <f>IFERROR(__xludf.DUMMYFUNCTION("""COMPUTED_VALUE"""),"flybondi aerolíneas")</f>
        <v>flybondi aerolíneas</v>
      </c>
      <c r="B1606" s="6" t="str">
        <f>IFERROR(__xludf.DUMMYFUNCTION("""COMPUTED_VALUE"""),"Argentina")</f>
        <v>Argentina</v>
      </c>
      <c r="C1606" s="6" t="str">
        <f>IFERROR(__xludf.DUMMYFUNCTION("""COMPUTED_VALUE"""),"Movility")</f>
        <v>Movility</v>
      </c>
    </row>
    <row r="1607" hidden="1">
      <c r="A1607" s="6" t="str">
        <f>IFERROR(__xludf.DUMMYFUNCTION("""COMPUTED_VALUE"""),"ebs")</f>
        <v>ebs</v>
      </c>
      <c r="B1607" s="6" t="str">
        <f>IFERROR(__xludf.DUMMYFUNCTION("""COMPUTED_VALUE"""),"Estados Unidos")</f>
        <v>Estados Unidos</v>
      </c>
      <c r="C1607" s="6" t="str">
        <f>IFERROR(__xludf.DUMMYFUNCTION("""COMPUTED_VALUE"""),"Energy")</f>
        <v>Energy</v>
      </c>
    </row>
    <row r="1608" hidden="1">
      <c r="A1608" s="6" t="str">
        <f>IFERROR(__xludf.DUMMYFUNCTION("""COMPUTED_VALUE"""),"universidad nacional de san agustin de arequipa")</f>
        <v>universidad nacional de san agustin de arequipa</v>
      </c>
      <c r="B1608" s="6" t="str">
        <f>IFERROR(__xludf.DUMMYFUNCTION("""COMPUTED_VALUE"""),"Peru")</f>
        <v>Peru</v>
      </c>
      <c r="C1608" s="6" t="str">
        <f>IFERROR(__xludf.DUMMYFUNCTION("""COMPUTED_VALUE"""),"Public Center")</f>
        <v>Public Center</v>
      </c>
    </row>
    <row r="1609" hidden="1">
      <c r="A1609" s="6" t="str">
        <f>IFERROR(__xludf.DUMMYFUNCTION("""COMPUTED_VALUE"""),"td consultores")</f>
        <v>td consultores</v>
      </c>
      <c r="B1609" s="6" t="str">
        <f>IFERROR(__xludf.DUMMYFUNCTION("""COMPUTED_VALUE"""),"España")</f>
        <v>España</v>
      </c>
      <c r="C1609" s="6" t="str">
        <f>IFERROR(__xludf.DUMMYFUNCTION("""COMPUTED_VALUE"""),"Management Consulting")</f>
        <v>Management Consulting</v>
      </c>
    </row>
    <row r="1610" hidden="1">
      <c r="A1610" s="6" t="str">
        <f>IFERROR(__xludf.DUMMYFUNCTION("""COMPUTED_VALUE"""),"salros srl")</f>
        <v>salros srl</v>
      </c>
      <c r="B1610" s="6" t="str">
        <f>IFERROR(__xludf.DUMMYFUNCTION("""COMPUTED_VALUE"""),"Argentina")</f>
        <v>Argentina</v>
      </c>
      <c r="C1610" s="6" t="str">
        <f>IFERROR(__xludf.DUMMYFUNCTION("""COMPUTED_VALUE"""),"Logistics")</f>
        <v>Logistics</v>
      </c>
    </row>
    <row r="1611" hidden="1">
      <c r="A1611" s="6" t="str">
        <f>IFERROR(__xludf.DUMMYFUNCTION("""COMPUTED_VALUE"""),"grupo nabla")</f>
        <v>grupo nabla</v>
      </c>
      <c r="B1611" s="6" t="str">
        <f>IFERROR(__xludf.DUMMYFUNCTION("""COMPUTED_VALUE"""),"Argentina")</f>
        <v>Argentina</v>
      </c>
      <c r="C1611" s="6" t="str">
        <f>IFERROR(__xludf.DUMMYFUNCTION("""COMPUTED_VALUE"""),"Energy")</f>
        <v>Energy</v>
      </c>
    </row>
    <row r="1612" hidden="1">
      <c r="A1612" s="6" t="str">
        <f>IFERROR(__xludf.DUMMYFUNCTION("""COMPUTED_VALUE"""),"espanol con e")</f>
        <v>espanol con e</v>
      </c>
      <c r="B1612" s="6" t="str">
        <f>IFERROR(__xludf.DUMMYFUNCTION("""COMPUTED_VALUE"""),"Argentina")</f>
        <v>Argentina</v>
      </c>
      <c r="C1612" s="6" t="str">
        <f>IFERROR(__xludf.DUMMYFUNCTION("""COMPUTED_VALUE"""),"Education &amp; Edtech")</f>
        <v>Education &amp; Edtech</v>
      </c>
    </row>
    <row r="1613" hidden="1">
      <c r="A1613" s="6" t="str">
        <f>IFERROR(__xludf.DUMMYFUNCTION("""COMPUTED_VALUE"""),"turing solutions s.r.l.")</f>
        <v>turing solutions s.r.l.</v>
      </c>
      <c r="B1613" s="6" t="str">
        <f>IFERROR(__xludf.DUMMYFUNCTION("""COMPUTED_VALUE"""),"Estados Unidos")</f>
        <v>Estados Unidos</v>
      </c>
      <c r="C1613" s="6" t="str">
        <f>IFERROR(__xludf.DUMMYFUNCTION("""COMPUTED_VALUE"""),"Software Factory / Staffing")</f>
        <v>Software Factory / Staffing</v>
      </c>
    </row>
    <row r="1614" hidden="1">
      <c r="A1614" s="6" t="str">
        <f>IFERROR(__xludf.DUMMYFUNCTION("""COMPUTED_VALUE"""),"toyota argentina")</f>
        <v>toyota argentina</v>
      </c>
      <c r="B1614" s="6" t="str">
        <f>IFERROR(__xludf.DUMMYFUNCTION("""COMPUTED_VALUE"""),"Argentina")</f>
        <v>Argentina</v>
      </c>
      <c r="C1614" s="6" t="str">
        <f>IFERROR(__xludf.DUMMYFUNCTION("""COMPUTED_VALUE"""),"Other")</f>
        <v>Other</v>
      </c>
    </row>
    <row r="1615" hidden="1">
      <c r="A1615" s="6" t="str">
        <f>IFERROR(__xludf.DUMMYFUNCTION("""COMPUTED_VALUE"""),"nexbas")</f>
        <v>nexbas</v>
      </c>
      <c r="B1615" s="6" t="str">
        <f>IFERROR(__xludf.DUMMYFUNCTION("""COMPUTED_VALUE"""),"Argentina")</f>
        <v>Argentina</v>
      </c>
      <c r="C1615" s="6" t="str">
        <f>IFERROR(__xludf.DUMMYFUNCTION("""COMPUTED_VALUE"""),"Data &amp; Analytics")</f>
        <v>Data &amp; Analytics</v>
      </c>
    </row>
    <row r="1616" hidden="1">
      <c r="A1616" s="6" t="str">
        <f>IFERROR(__xludf.DUMMYFUNCTION("""COMPUTED_VALUE"""),"delfosti")</f>
        <v>delfosti</v>
      </c>
      <c r="B1616" s="6" t="str">
        <f>IFERROR(__xludf.DUMMYFUNCTION("""COMPUTED_VALUE"""),"Peru")</f>
        <v>Peru</v>
      </c>
      <c r="C1616" s="6" t="str">
        <f>IFERROR(__xludf.DUMMYFUNCTION("""COMPUTED_VALUE"""),"Software Factory / Staffing")</f>
        <v>Software Factory / Staffing</v>
      </c>
    </row>
    <row r="1617" hidden="1">
      <c r="A1617" s="6" t="str">
        <f>IFERROR(__xludf.DUMMYFUNCTION("""COMPUTED_VALUE"""),"stargaze")</f>
        <v>stargaze</v>
      </c>
      <c r="B1617" s="6" t="str">
        <f>IFERROR(__xludf.DUMMYFUNCTION("""COMPUTED_VALUE"""),"Alemania")</f>
        <v>Alemania</v>
      </c>
      <c r="C1617" s="6" t="str">
        <f>IFERROR(__xludf.DUMMYFUNCTION("""COMPUTED_VALUE"""),"Management Consulting")</f>
        <v>Management Consulting</v>
      </c>
    </row>
    <row r="1618" hidden="1">
      <c r="A1618" s="6" t="str">
        <f>IFERROR(__xludf.DUMMYFUNCTION("""COMPUTED_VALUE"""),"movigoo")</f>
        <v>movigoo</v>
      </c>
      <c r="B1618" s="6" t="str">
        <f>IFERROR(__xludf.DUMMYFUNCTION("""COMPUTED_VALUE"""),"Chile")</f>
        <v>Chile</v>
      </c>
      <c r="C1618" s="6" t="str">
        <f>IFERROR(__xludf.DUMMYFUNCTION("""COMPUTED_VALUE"""),"Software Factory / Staffing")</f>
        <v>Software Factory / Staffing</v>
      </c>
    </row>
    <row r="1619" hidden="1">
      <c r="A1619" s="6" t="str">
        <f>IFERROR(__xludf.DUMMYFUNCTION("""COMPUTED_VALUE"""),"estudio index")</f>
        <v>estudio index</v>
      </c>
      <c r="B1619" s="6" t="str">
        <f>IFERROR(__xludf.DUMMYFUNCTION("""COMPUTED_VALUE"""),"Ecuador")</f>
        <v>Ecuador</v>
      </c>
      <c r="C1619" s="6" t="str">
        <f>IFERROR(__xludf.DUMMYFUNCTION("""COMPUTED_VALUE"""),"Marketing &amp; Advertising")</f>
        <v>Marketing &amp; Advertising</v>
      </c>
    </row>
    <row r="1620" hidden="1">
      <c r="A1620" s="6" t="str">
        <f>IFERROR(__xludf.DUMMYFUNCTION("""COMPUTED_VALUE"""),"redocean")</f>
        <v>redocean</v>
      </c>
      <c r="B1620" s="6" t="str">
        <f>IFERROR(__xludf.DUMMYFUNCTION("""COMPUTED_VALUE"""),"Noruega")</f>
        <v>Noruega</v>
      </c>
      <c r="C1620" s="6" t="str">
        <f>IFERROR(__xludf.DUMMYFUNCTION("""COMPUTED_VALUE"""),"Management Consulting")</f>
        <v>Management Consulting</v>
      </c>
    </row>
    <row r="1621" hidden="1">
      <c r="A1621" s="6" t="str">
        <f>IFERROR(__xludf.DUMMYFUNCTION("""COMPUTED_VALUE"""),"axcelere")</f>
        <v>axcelere</v>
      </c>
      <c r="B1621" s="6" t="str">
        <f>IFERROR(__xludf.DUMMYFUNCTION("""COMPUTED_VALUE"""),"Argentina")</f>
        <v>Argentina</v>
      </c>
      <c r="C1621" s="6" t="str">
        <f>IFERROR(__xludf.DUMMYFUNCTION("""COMPUTED_VALUE"""),"Artificil Intelligence")</f>
        <v>Artificil Intelligence</v>
      </c>
    </row>
    <row r="1622" hidden="1">
      <c r="A1622" s="6" t="str">
        <f>IFERROR(__xludf.DUMMYFUNCTION("""COMPUTED_VALUE"""),"canal cero")</f>
        <v>canal cero</v>
      </c>
      <c r="B1622" s="6" t="str">
        <f>IFERROR(__xludf.DUMMYFUNCTION("""COMPUTED_VALUE"""),"Chile")</f>
        <v>Chile</v>
      </c>
      <c r="C1622" s="6" t="str">
        <f>IFERROR(__xludf.DUMMYFUNCTION("""COMPUTED_VALUE"""),"Marketing &amp; Advertising")</f>
        <v>Marketing &amp; Advertising</v>
      </c>
    </row>
    <row r="1623" hidden="1">
      <c r="A1623" s="6" t="str">
        <f>IFERROR(__xludf.DUMMYFUNCTION("""COMPUTED_VALUE"""),"secretaria de tecnologia de la provincia de santa fe")</f>
        <v>secretaria de tecnologia de la provincia de santa fe</v>
      </c>
      <c r="B1623" s="6" t="str">
        <f>IFERROR(__xludf.DUMMYFUNCTION("""COMPUTED_VALUE"""),"Argentina")</f>
        <v>Argentina</v>
      </c>
      <c r="C1623" s="6" t="str">
        <f>IFERROR(__xludf.DUMMYFUNCTION("""COMPUTED_VALUE"""),"Public Center")</f>
        <v>Public Center</v>
      </c>
    </row>
    <row r="1624" hidden="1">
      <c r="A1624" s="6" t="str">
        <f>IFERROR(__xludf.DUMMYFUNCTION("""COMPUTED_VALUE"""),"sacripanti y asoc. srl")</f>
        <v>sacripanti y asoc. srl</v>
      </c>
      <c r="B1624" s="6" t="str">
        <f>IFERROR(__xludf.DUMMYFUNCTION("""COMPUTED_VALUE"""),"Argentina")</f>
        <v>Argentina</v>
      </c>
      <c r="C1624" s="6" t="str">
        <f>IFERROR(__xludf.DUMMYFUNCTION("""COMPUTED_VALUE"""),"Construction")</f>
        <v>Construction</v>
      </c>
    </row>
    <row r="1625" hidden="1">
      <c r="A1625" s="6" t="str">
        <f>IFERROR(__xludf.DUMMYFUNCTION("""COMPUTED_VALUE"""),"integra international services")</f>
        <v>integra international services</v>
      </c>
      <c r="B1625" s="6" t="str">
        <f>IFERROR(__xludf.DUMMYFUNCTION("""COMPUTED_VALUE"""),"España")</f>
        <v>España</v>
      </c>
      <c r="C1625" s="6" t="str">
        <f>IFERROR(__xludf.DUMMYFUNCTION("""COMPUTED_VALUE"""),"Logistics")</f>
        <v>Logistics</v>
      </c>
    </row>
    <row r="1626" hidden="1">
      <c r="A1626" s="6" t="str">
        <f>IFERROR(__xludf.DUMMYFUNCTION("""COMPUTED_VALUE"""),"compañía de servicios farmacéuticos s.a.")</f>
        <v>compañía de servicios farmacéuticos s.a.</v>
      </c>
      <c r="B1626" s="6" t="str">
        <f>IFERROR(__xludf.DUMMYFUNCTION("""COMPUTED_VALUE"""),"Argentina")</f>
        <v>Argentina</v>
      </c>
      <c r="C1626" s="6" t="str">
        <f>IFERROR(__xludf.DUMMYFUNCTION("""COMPUTED_VALUE"""),"Health")</f>
        <v>Health</v>
      </c>
    </row>
    <row r="1627" hidden="1">
      <c r="A1627" s="6" t="str">
        <f>IFERROR(__xludf.DUMMYFUNCTION("""COMPUTED_VALUE"""),"krugercorp")</f>
        <v>krugercorp</v>
      </c>
      <c r="B1627" s="6" t="str">
        <f>IFERROR(__xludf.DUMMYFUNCTION("""COMPUTED_VALUE"""),"Ecuador")</f>
        <v>Ecuador</v>
      </c>
      <c r="C1627" s="6" t="str">
        <f>IFERROR(__xludf.DUMMYFUNCTION("""COMPUTED_VALUE"""),"Management Consulting")</f>
        <v>Management Consulting</v>
      </c>
    </row>
    <row r="1628" hidden="1">
      <c r="A1628" s="6" t="str">
        <f>IFERROR(__xludf.DUMMYFUNCTION("""COMPUTED_VALUE"""),"salallena")</f>
        <v>salallena</v>
      </c>
      <c r="B1628" s="4"/>
      <c r="C1628" s="4"/>
    </row>
    <row r="1629" hidden="1">
      <c r="A1629" s="6" t="str">
        <f>IFERROR(__xludf.DUMMYFUNCTION("""COMPUTED_VALUE"""),"otra")</f>
        <v>otra</v>
      </c>
      <c r="B1629" s="6" t="str">
        <f>IFERROR(__xludf.DUMMYFUNCTION("""COMPUTED_VALUE"""),"España")</f>
        <v>España</v>
      </c>
      <c r="C1629" s="6" t="str">
        <f>IFERROR(__xludf.DUMMYFUNCTION("""COMPUTED_VALUE"""),"Law/Legal Services")</f>
        <v>Law/Legal Services</v>
      </c>
    </row>
    <row r="1630" hidden="1">
      <c r="A1630" s="6" t="str">
        <f>IFERROR(__xludf.DUMMYFUNCTION("""COMPUTED_VALUE"""),"positrace")</f>
        <v>positrace</v>
      </c>
      <c r="B1630" s="6" t="str">
        <f>IFERROR(__xludf.DUMMYFUNCTION("""COMPUTED_VALUE"""),"Canadá")</f>
        <v>Canadá</v>
      </c>
      <c r="C1630" s="6" t="str">
        <f>IFERROR(__xludf.DUMMYFUNCTION("""COMPUTED_VALUE"""),"Software Factory / Staffing")</f>
        <v>Software Factory / Staffing</v>
      </c>
    </row>
    <row r="1631" hidden="1">
      <c r="A1631" s="6" t="str">
        <f>IFERROR(__xludf.DUMMYFUNCTION("""COMPUTED_VALUE"""),"tufud")</f>
        <v>tufud</v>
      </c>
      <c r="B1631" s="6" t="str">
        <f>IFERROR(__xludf.DUMMYFUNCTION("""COMPUTED_VALUE"""),"Argentina")</f>
        <v>Argentina</v>
      </c>
      <c r="C1631" s="6" t="str">
        <f>IFERROR(__xludf.DUMMYFUNCTION("""COMPUTED_VALUE"""),"SaaS")</f>
        <v>SaaS</v>
      </c>
    </row>
    <row r="1632" hidden="1">
      <c r="A1632" s="6" t="str">
        <f>IFERROR(__xludf.DUMMYFUNCTION("""COMPUTED_VALUE"""),"sheriff")</f>
        <v>sheriff</v>
      </c>
      <c r="B1632" s="6" t="str">
        <f>IFERROR(__xludf.DUMMYFUNCTION("""COMPUTED_VALUE"""),"Chile")</f>
        <v>Chile</v>
      </c>
      <c r="C1632" s="6" t="str">
        <f>IFERROR(__xludf.DUMMYFUNCTION("""COMPUTED_VALUE"""),"Data &amp; Analytics")</f>
        <v>Data &amp; Analytics</v>
      </c>
    </row>
    <row r="1633" hidden="1">
      <c r="A1633" s="6" t="str">
        <f>IFERROR(__xludf.DUMMYFUNCTION("""COMPUTED_VALUE"""),"berlim")</f>
        <v>berlim</v>
      </c>
      <c r="B1633" s="6" t="str">
        <f>IFERROR(__xludf.DUMMYFUNCTION("""COMPUTED_VALUE"""),"Argentina")</f>
        <v>Argentina</v>
      </c>
      <c r="C1633" s="6" t="str">
        <f>IFERROR(__xludf.DUMMYFUNCTION("""COMPUTED_VALUE"""),"Other")</f>
        <v>Other</v>
      </c>
    </row>
    <row r="1634" hidden="1">
      <c r="A1634" s="6" t="str">
        <f>IFERROR(__xludf.DUMMYFUNCTION("""COMPUTED_VALUE"""),"defontana")</f>
        <v>defontana</v>
      </c>
      <c r="B1634" s="6" t="str">
        <f>IFERROR(__xludf.DUMMYFUNCTION("""COMPUTED_VALUE"""),"Chile")</f>
        <v>Chile</v>
      </c>
      <c r="C1634" s="6" t="str">
        <f>IFERROR(__xludf.DUMMYFUNCTION("""COMPUTED_VALUE"""),"Software Factory / Staffing")</f>
        <v>Software Factory / Staffing</v>
      </c>
    </row>
    <row r="1635" hidden="1">
      <c r="A1635" s="6" t="str">
        <f>IFERROR(__xludf.DUMMYFUNCTION("""COMPUTED_VALUE"""),"e8tienda")</f>
        <v>e8tienda</v>
      </c>
      <c r="B1635" s="4"/>
      <c r="C1635" s="4"/>
    </row>
    <row r="1636" hidden="1">
      <c r="A1636" s="6" t="str">
        <f>IFERROR(__xludf.DUMMYFUNCTION("""COMPUTED_VALUE"""),"eventual")</f>
        <v>eventual</v>
      </c>
      <c r="B1636" s="6" t="str">
        <f>IFERROR(__xludf.DUMMYFUNCTION("""COMPUTED_VALUE"""),"España")</f>
        <v>España</v>
      </c>
      <c r="C1636" s="6" t="str">
        <f>IFERROR(__xludf.DUMMYFUNCTION("""COMPUTED_VALUE"""),"Software Factory / Staffing")</f>
        <v>Software Factory / Staffing</v>
      </c>
    </row>
    <row r="1637" hidden="1">
      <c r="A1637" s="7" t="str">
        <f>IFERROR(__xludf.DUMMYFUNCTION("""COMPUTED_VALUE"""),"charly.io")</f>
        <v>charly.io</v>
      </c>
      <c r="B1637" s="6" t="str">
        <f>IFERROR(__xludf.DUMMYFUNCTION("""COMPUTED_VALUE"""),"Chile")</f>
        <v>Chile</v>
      </c>
      <c r="C1637" s="6" t="str">
        <f>IFERROR(__xludf.DUMMYFUNCTION("""COMPUTED_VALUE"""),"Fintech")</f>
        <v>Fintech</v>
      </c>
    </row>
    <row r="1638" hidden="1">
      <c r="A1638" s="6" t="str">
        <f>IFERROR(__xludf.DUMMYFUNCTION("""COMPUTED_VALUE"""),"abelovich, polano &amp; asociados")</f>
        <v>abelovich, polano &amp; asociados</v>
      </c>
      <c r="B1638" s="6" t="str">
        <f>IFERROR(__xludf.DUMMYFUNCTION("""COMPUTED_VALUE"""),"Argentina")</f>
        <v>Argentina</v>
      </c>
      <c r="C1638" s="6" t="str">
        <f>IFERROR(__xludf.DUMMYFUNCTION("""COMPUTED_VALUE"""),"Other")</f>
        <v>Other</v>
      </c>
    </row>
    <row r="1639" hidden="1">
      <c r="A1639" s="6" t="str">
        <f>IFERROR(__xludf.DUMMYFUNCTION("""COMPUTED_VALUE"""),"libel academy")</f>
        <v>libel academy</v>
      </c>
      <c r="B1639" s="6" t="str">
        <f>IFERROR(__xludf.DUMMYFUNCTION("""COMPUTED_VALUE"""),"Colombia")</f>
        <v>Colombia</v>
      </c>
      <c r="C1639" s="6" t="str">
        <f>IFERROR(__xludf.DUMMYFUNCTION("""COMPUTED_VALUE"""),"Education &amp; Edtech")</f>
        <v>Education &amp; Edtech</v>
      </c>
    </row>
    <row r="1640" hidden="1">
      <c r="A1640" s="6" t="str">
        <f>IFERROR(__xludf.DUMMYFUNCTION("""COMPUTED_VALUE"""),"virtustant")</f>
        <v>virtustant</v>
      </c>
      <c r="B1640" s="6" t="str">
        <f>IFERROR(__xludf.DUMMYFUNCTION("""COMPUTED_VALUE"""),"Estados Unidos")</f>
        <v>Estados Unidos</v>
      </c>
      <c r="C1640" s="6" t="str">
        <f>IFERROR(__xludf.DUMMYFUNCTION("""COMPUTED_VALUE"""),"Other")</f>
        <v>Other</v>
      </c>
    </row>
    <row r="1641" hidden="1">
      <c r="A1641" s="6" t="str">
        <f>IFERROR(__xludf.DUMMYFUNCTION("""COMPUTED_VALUE"""),"ybp")</f>
        <v>ybp</v>
      </c>
      <c r="B1641" s="6" t="str">
        <f>IFERROR(__xludf.DUMMYFUNCTION("""COMPUTED_VALUE"""),"Chile")</f>
        <v>Chile</v>
      </c>
      <c r="C1641" s="6" t="str">
        <f>IFERROR(__xludf.DUMMYFUNCTION("""COMPUTED_VALUE"""),"Messaging and Telecommunications")</f>
        <v>Messaging and Telecommunications</v>
      </c>
    </row>
    <row r="1642" hidden="1">
      <c r="A1642" s="6" t="str">
        <f>IFERROR(__xludf.DUMMYFUNCTION("""COMPUTED_VALUE"""),"rpa maker")</f>
        <v>rpa maker</v>
      </c>
      <c r="B1642" s="6" t="str">
        <f>IFERROR(__xludf.DUMMYFUNCTION("""COMPUTED_VALUE"""),"Uruguay")</f>
        <v>Uruguay</v>
      </c>
      <c r="C1642" s="6" t="str">
        <f>IFERROR(__xludf.DUMMYFUNCTION("""COMPUTED_VALUE"""),"Software Factory / Staffing")</f>
        <v>Software Factory / Staffing</v>
      </c>
    </row>
    <row r="1643" hidden="1">
      <c r="A1643" s="6" t="str">
        <f>IFERROR(__xludf.DUMMYFUNCTION("""COMPUTED_VALUE"""),"fetchly")</f>
        <v>fetchly</v>
      </c>
      <c r="B1643" s="6" t="str">
        <f>IFERROR(__xludf.DUMMYFUNCTION("""COMPUTED_VALUE"""),"Estados Unidos")</f>
        <v>Estados Unidos</v>
      </c>
      <c r="C1643" s="6" t="str">
        <f>IFERROR(__xludf.DUMMYFUNCTION("""COMPUTED_VALUE"""),"Software Factory / Staffing")</f>
        <v>Software Factory / Staffing</v>
      </c>
    </row>
    <row r="1644" hidden="1">
      <c r="A1644" s="6" t="str">
        <f>IFERROR(__xludf.DUMMYFUNCTION("""COMPUTED_VALUE"""),"whatever works design")</f>
        <v>whatever works design</v>
      </c>
      <c r="B1644" s="6" t="str">
        <f>IFERROR(__xludf.DUMMYFUNCTION("""COMPUTED_VALUE"""),"Japon")</f>
        <v>Japon</v>
      </c>
      <c r="C1644" s="6" t="str">
        <f>IFERROR(__xludf.DUMMYFUNCTION("""COMPUTED_VALUE"""),"Management Consulting")</f>
        <v>Management Consulting</v>
      </c>
    </row>
    <row r="1645" hidden="1">
      <c r="A1645" s="6" t="str">
        <f>IFERROR(__xludf.DUMMYFUNCTION("""COMPUTED_VALUE"""),"maxirest")</f>
        <v>maxirest</v>
      </c>
      <c r="B1645" s="6" t="str">
        <f>IFERROR(__xludf.DUMMYFUNCTION("""COMPUTED_VALUE"""),"Argentina")</f>
        <v>Argentina</v>
      </c>
      <c r="C1645" s="6" t="str">
        <f>IFERROR(__xludf.DUMMYFUNCTION("""COMPUTED_VALUE"""),"Software Factory / Staffing")</f>
        <v>Software Factory / Staffing</v>
      </c>
    </row>
    <row r="1646" hidden="1">
      <c r="A1646" s="6" t="str">
        <f>IFERROR(__xludf.DUMMYFUNCTION("""COMPUTED_VALUE"""),"uroff")</f>
        <v>uroff</v>
      </c>
      <c r="B1646" s="6" t="str">
        <f>IFERROR(__xludf.DUMMYFUNCTION("""COMPUTED_VALUE"""),"Chile")</f>
        <v>Chile</v>
      </c>
      <c r="C1646" s="6" t="str">
        <f>IFERROR(__xludf.DUMMYFUNCTION("""COMPUTED_VALUE"""),"Software Factory / Staffing")</f>
        <v>Software Factory / Staffing</v>
      </c>
    </row>
    <row r="1647" hidden="1">
      <c r="A1647" s="6" t="str">
        <f>IFERROR(__xludf.DUMMYFUNCTION("""COMPUTED_VALUE"""),"ágil365")</f>
        <v>ágil365</v>
      </c>
      <c r="B1647" s="6" t="str">
        <f>IFERROR(__xludf.DUMMYFUNCTION("""COMPUTED_VALUE"""),"Colombia")</f>
        <v>Colombia</v>
      </c>
      <c r="C1647" s="6" t="str">
        <f>IFERROR(__xludf.DUMMYFUNCTION("""COMPUTED_VALUE"""),"Software Factory / Staffing")</f>
        <v>Software Factory / Staffing</v>
      </c>
    </row>
    <row r="1648" hidden="1">
      <c r="A1648" s="6" t="str">
        <f>IFERROR(__xludf.DUMMYFUNCTION("""COMPUTED_VALUE"""),"danher medical srl")</f>
        <v>danher medical srl</v>
      </c>
      <c r="B1648" s="6" t="str">
        <f>IFERROR(__xludf.DUMMYFUNCTION("""COMPUTED_VALUE"""),"Argentina")</f>
        <v>Argentina</v>
      </c>
      <c r="C1648" s="6" t="str">
        <f>IFERROR(__xludf.DUMMYFUNCTION("""COMPUTED_VALUE"""),"Other")</f>
        <v>Other</v>
      </c>
    </row>
    <row r="1649" hidden="1">
      <c r="A1649" s="6" t="str">
        <f>IFERROR(__xludf.DUMMYFUNCTION("""COMPUTED_VALUE"""),"reply")</f>
        <v>reply</v>
      </c>
      <c r="B1649" s="6" t="str">
        <f>IFERROR(__xludf.DUMMYFUNCTION("""COMPUTED_VALUE"""),"Italia")</f>
        <v>Italia</v>
      </c>
      <c r="C1649" s="6" t="str">
        <f>IFERROR(__xludf.DUMMYFUNCTION("""COMPUTED_VALUE"""),"Software Factory / Staffing")</f>
        <v>Software Factory / Staffing</v>
      </c>
    </row>
    <row r="1650" hidden="1">
      <c r="A1650" s="6" t="str">
        <f>IFERROR(__xludf.DUMMYFUNCTION("""COMPUTED_VALUE"""),"pagos automaticos de colombia sas")</f>
        <v>pagos automaticos de colombia sas</v>
      </c>
      <c r="B1650" s="4"/>
      <c r="C1650" s="4"/>
    </row>
    <row r="1651" hidden="1">
      <c r="A1651" s="6" t="str">
        <f>IFERROR(__xludf.DUMMYFUNCTION("""COMPUTED_VALUE"""),"plm group")</f>
        <v>plm group</v>
      </c>
      <c r="B1651" s="6" t="str">
        <f>IFERROR(__xludf.DUMMYFUNCTION("""COMPUTED_VALUE"""),"Suecia")</f>
        <v>Suecia</v>
      </c>
      <c r="C1651" s="6" t="str">
        <f>IFERROR(__xludf.DUMMYFUNCTION("""COMPUTED_VALUE"""),"Software Factory / Staffing")</f>
        <v>Software Factory / Staffing</v>
      </c>
    </row>
    <row r="1652" hidden="1">
      <c r="A1652" s="6" t="str">
        <f>IFERROR(__xludf.DUMMYFUNCTION("""COMPUTED_VALUE"""),"j.p. morgan services argentina s.r.l.")</f>
        <v>j.p. morgan services argentina s.r.l.</v>
      </c>
      <c r="B1652" s="6" t="str">
        <f>IFERROR(__xludf.DUMMYFUNCTION("""COMPUTED_VALUE"""),"Argentina")</f>
        <v>Argentina</v>
      </c>
      <c r="C1652" s="6" t="str">
        <f>IFERROR(__xludf.DUMMYFUNCTION("""COMPUTED_VALUE"""),"Banking &amp; Financial Servicies")</f>
        <v>Banking &amp; Financial Servicies</v>
      </c>
    </row>
    <row r="1653" hidden="1">
      <c r="A1653" s="6" t="str">
        <f>IFERROR(__xludf.DUMMYFUNCTION("""COMPUTED_VALUE"""),"bresh")</f>
        <v>bresh</v>
      </c>
      <c r="B1653" s="4"/>
      <c r="C1653" s="6" t="str">
        <f>IFERROR(__xludf.DUMMYFUNCTION("""COMPUTED_VALUE"""),"Media &amp; Communication")</f>
        <v>Media &amp; Communication</v>
      </c>
    </row>
    <row r="1654" hidden="1">
      <c r="A1654" s="6" t="str">
        <f>IFERROR(__xludf.DUMMYFUNCTION("""COMPUTED_VALUE"""),"phinxlab")</f>
        <v>phinxlab</v>
      </c>
      <c r="B1654" s="6" t="str">
        <f>IFERROR(__xludf.DUMMYFUNCTION("""COMPUTED_VALUE"""),"Argentina")</f>
        <v>Argentina</v>
      </c>
      <c r="C1654" s="6" t="str">
        <f>IFERROR(__xludf.DUMMYFUNCTION("""COMPUTED_VALUE"""),"Software Factory / Staffing")</f>
        <v>Software Factory / Staffing</v>
      </c>
    </row>
    <row r="1655" hidden="1">
      <c r="A1655" s="6" t="str">
        <f>IFERROR(__xludf.DUMMYFUNCTION("""COMPUTED_VALUE"""),"sempiterno group")</f>
        <v>sempiterno group</v>
      </c>
      <c r="B1655" s="6" t="str">
        <f>IFERROR(__xludf.DUMMYFUNCTION("""COMPUTED_VALUE"""),"Mexico")</f>
        <v>Mexico</v>
      </c>
      <c r="C1655" s="6" t="str">
        <f>IFERROR(__xludf.DUMMYFUNCTION("""COMPUTED_VALUE"""),"Other")</f>
        <v>Other</v>
      </c>
    </row>
    <row r="1656" hidden="1">
      <c r="A1656" s="6" t="str">
        <f>IFERROR(__xludf.DUMMYFUNCTION("""COMPUTED_VALUE"""),"telecomunicaciones corrientes")</f>
        <v>telecomunicaciones corrientes</v>
      </c>
      <c r="B1656" s="6" t="str">
        <f>IFERROR(__xludf.DUMMYFUNCTION("""COMPUTED_VALUE"""),"Argentina")</f>
        <v>Argentina</v>
      </c>
      <c r="C1656" s="6" t="str">
        <f>IFERROR(__xludf.DUMMYFUNCTION("""COMPUTED_VALUE"""),"Messaging and Telecommunications")</f>
        <v>Messaging and Telecommunications</v>
      </c>
    </row>
    <row r="1657" hidden="1">
      <c r="A1657" s="6" t="str">
        <f>IFERROR(__xludf.DUMMYFUNCTION("""COMPUTED_VALUE"""),"forum")</f>
        <v>forum</v>
      </c>
      <c r="B1657" s="6" t="str">
        <f>IFERROR(__xludf.DUMMYFUNCTION("""COMPUTED_VALUE"""),"Israel")</f>
        <v>Israel</v>
      </c>
      <c r="C1657" s="6" t="str">
        <f>IFERROR(__xludf.DUMMYFUNCTION("""COMPUTED_VALUE"""),"Banking &amp; Financial Servicies")</f>
        <v>Banking &amp; Financial Servicies</v>
      </c>
    </row>
    <row r="1658" hidden="1">
      <c r="A1658" s="6" t="str">
        <f>IFERROR(__xludf.DUMMYFUNCTION("""COMPUTED_VALUE"""),"ceiboo")</f>
        <v>ceiboo</v>
      </c>
      <c r="B1658" s="6" t="str">
        <f>IFERROR(__xludf.DUMMYFUNCTION("""COMPUTED_VALUE"""),"Argentina")</f>
        <v>Argentina</v>
      </c>
      <c r="C1658" s="6" t="str">
        <f>IFERROR(__xludf.DUMMYFUNCTION("""COMPUTED_VALUE"""),"Software Factory / Staffing")</f>
        <v>Software Factory / Staffing</v>
      </c>
    </row>
    <row r="1659" hidden="1">
      <c r="A1659" s="6" t="str">
        <f>IFERROR(__xludf.DUMMYFUNCTION("""COMPUTED_VALUE"""),"más alcance")</f>
        <v>más alcance</v>
      </c>
      <c r="B1659" s="4"/>
      <c r="C1659" s="6" t="str">
        <f>IFERROR(__xludf.DUMMYFUNCTION("""COMPUTED_VALUE"""),"Data &amp; Analytics")</f>
        <v>Data &amp; Analytics</v>
      </c>
    </row>
    <row r="1660" hidden="1">
      <c r="A1660" s="6" t="str">
        <f>IFERROR(__xludf.DUMMYFUNCTION("""COMPUTED_VALUE"""),"laikad")</f>
        <v>laikad</v>
      </c>
      <c r="B1660" s="6" t="str">
        <f>IFERROR(__xludf.DUMMYFUNCTION("""COMPUTED_VALUE"""),"Estados Unidos")</f>
        <v>Estados Unidos</v>
      </c>
      <c r="C1660" s="6" t="str">
        <f>IFERROR(__xludf.DUMMYFUNCTION("""COMPUTED_VALUE"""),"Marketing &amp; Advertising")</f>
        <v>Marketing &amp; Advertising</v>
      </c>
    </row>
    <row r="1661" hidden="1">
      <c r="A1661" s="6" t="str">
        <f>IFERROR(__xludf.DUMMYFUNCTION("""COMPUTED_VALUE"""),"vitech")</f>
        <v>vitech</v>
      </c>
      <c r="B1661" s="6" t="str">
        <f>IFERROR(__xludf.DUMMYFUNCTION("""COMPUTED_VALUE"""),"Estados Unidos")</f>
        <v>Estados Unidos</v>
      </c>
      <c r="C1661" s="6" t="str">
        <f>IFERROR(__xludf.DUMMYFUNCTION("""COMPUTED_VALUE"""),"Software Factory / Staffing")</f>
        <v>Software Factory / Staffing</v>
      </c>
    </row>
    <row r="1662" hidden="1">
      <c r="A1662" s="6" t="str">
        <f>IFERROR(__xludf.DUMMYFUNCTION("""COMPUTED_VALUE"""),"bluerabbit")</f>
        <v>bluerabbit</v>
      </c>
      <c r="B1662" s="6" t="str">
        <f>IFERROR(__xludf.DUMMYFUNCTION("""COMPUTED_VALUE"""),"Argentina")</f>
        <v>Argentina</v>
      </c>
      <c r="C1662" s="6" t="str">
        <f>IFERROR(__xludf.DUMMYFUNCTION("""COMPUTED_VALUE"""),"Other")</f>
        <v>Other</v>
      </c>
    </row>
    <row r="1663" hidden="1">
      <c r="A1663" s="6" t="str">
        <f>IFERROR(__xludf.DUMMYFUNCTION("""COMPUTED_VALUE"""),"eximy")</f>
        <v>eximy</v>
      </c>
      <c r="B1663" s="6" t="str">
        <f>IFERROR(__xludf.DUMMYFUNCTION("""COMPUTED_VALUE"""),"Uruguay")</f>
        <v>Uruguay</v>
      </c>
      <c r="C1663" s="6" t="str">
        <f>IFERROR(__xludf.DUMMYFUNCTION("""COMPUTED_VALUE"""),"Software Factory / Staffing")</f>
        <v>Software Factory / Staffing</v>
      </c>
    </row>
    <row r="1664" hidden="1">
      <c r="A1664" s="6" t="str">
        <f>IFERROR(__xludf.DUMMYFUNCTION("""COMPUTED_VALUE"""),"i love gifts")</f>
        <v>i love gifts</v>
      </c>
      <c r="B1664" s="6" t="str">
        <f>IFERROR(__xludf.DUMMYFUNCTION("""COMPUTED_VALUE"""),"Argentina")</f>
        <v>Argentina</v>
      </c>
      <c r="C1664" s="6" t="str">
        <f>IFERROR(__xludf.DUMMYFUNCTION("""COMPUTED_VALUE"""),"FMCG / Consumo masivo")</f>
        <v>FMCG / Consumo masivo</v>
      </c>
    </row>
    <row r="1665" hidden="1">
      <c r="A1665" s="6" t="str">
        <f>IFERROR(__xludf.DUMMYFUNCTION("""COMPUTED_VALUE"""),"municipalidad metropolitana de lima")</f>
        <v>municipalidad metropolitana de lima</v>
      </c>
      <c r="B1665" s="6" t="str">
        <f>IFERROR(__xludf.DUMMYFUNCTION("""COMPUTED_VALUE"""),"Peru")</f>
        <v>Peru</v>
      </c>
      <c r="C1665" s="6" t="str">
        <f>IFERROR(__xludf.DUMMYFUNCTION("""COMPUTED_VALUE"""),"Public Center")</f>
        <v>Public Center</v>
      </c>
    </row>
    <row r="1666" hidden="1">
      <c r="A1666" s="6" t="str">
        <f>IFERROR(__xludf.DUMMYFUNCTION("""COMPUTED_VALUE"""),"muv-design")</f>
        <v>muv-design</v>
      </c>
      <c r="B1666" s="6" t="str">
        <f>IFERROR(__xludf.DUMMYFUNCTION("""COMPUTED_VALUE"""),"Nicaragua")</f>
        <v>Nicaragua</v>
      </c>
      <c r="C1666" s="6" t="str">
        <f>IFERROR(__xludf.DUMMYFUNCTION("""COMPUTED_VALUE"""),"Other")</f>
        <v>Other</v>
      </c>
    </row>
    <row r="1667" hidden="1">
      <c r="A1667" s="6" t="str">
        <f>IFERROR(__xludf.DUMMYFUNCTION("""COMPUTED_VALUE"""),"lesitung ingeniería srl")</f>
        <v>lesitung ingeniería srl</v>
      </c>
      <c r="B1667" s="6" t="str">
        <f>IFERROR(__xludf.DUMMYFUNCTION("""COMPUTED_VALUE"""),"Argentina")</f>
        <v>Argentina</v>
      </c>
      <c r="C1667" s="6" t="str">
        <f>IFERROR(__xludf.DUMMYFUNCTION("""COMPUTED_VALUE"""),"Health")</f>
        <v>Health</v>
      </c>
    </row>
    <row r="1668" hidden="1">
      <c r="A1668" s="6" t="str">
        <f>IFERROR(__xludf.DUMMYFUNCTION("""COMPUTED_VALUE"""),"cometalabs")</f>
        <v>cometalabs</v>
      </c>
      <c r="B1668" s="4"/>
      <c r="C1668" s="4"/>
    </row>
    <row r="1669" hidden="1">
      <c r="A1669" s="6" t="str">
        <f>IFERROR(__xludf.DUMMYFUNCTION("""COMPUTED_VALUE"""),"revelacion data")</f>
        <v>revelacion data</v>
      </c>
      <c r="B1669" s="6" t="str">
        <f>IFERROR(__xludf.DUMMYFUNCTION("""COMPUTED_VALUE"""),"Argentina")</f>
        <v>Argentina</v>
      </c>
      <c r="C1669" s="6" t="str">
        <f>IFERROR(__xludf.DUMMYFUNCTION("""COMPUTED_VALUE"""),"Software Factory / Staffing")</f>
        <v>Software Factory / Staffing</v>
      </c>
    </row>
    <row r="1670" hidden="1">
      <c r="A1670" s="6" t="str">
        <f>IFERROR(__xludf.DUMMYFUNCTION("""COMPUTED_VALUE"""),"suti")</f>
        <v>suti</v>
      </c>
      <c r="B1670" s="6" t="str">
        <f>IFERROR(__xludf.DUMMYFUNCTION("""COMPUTED_VALUE"""),"Colombia")</f>
        <v>Colombia</v>
      </c>
      <c r="C1670" s="6" t="str">
        <f>IFERROR(__xludf.DUMMYFUNCTION("""COMPUTED_VALUE"""),"Software Factory / Staffing")</f>
        <v>Software Factory / Staffing</v>
      </c>
    </row>
    <row r="1671" hidden="1">
      <c r="A1671" s="6" t="str">
        <f>IFERROR(__xludf.DUMMYFUNCTION("""COMPUTED_VALUE"""),"lignum software")</f>
        <v>lignum software</v>
      </c>
      <c r="B1671" s="6" t="str">
        <f>IFERROR(__xludf.DUMMYFUNCTION("""COMPUTED_VALUE"""),"Argentina")</f>
        <v>Argentina</v>
      </c>
      <c r="C1671" s="6" t="str">
        <f>IFERROR(__xludf.DUMMYFUNCTION("""COMPUTED_VALUE"""),"Software Factory / Staffing")</f>
        <v>Software Factory / Staffing</v>
      </c>
    </row>
    <row r="1672">
      <c r="A1672" s="6" t="str">
        <f>IFERROR(__xludf.DUMMYFUNCTION("""COMPUTED_VALUE"""),"awake")</f>
        <v>awake</v>
      </c>
      <c r="B1672" s="6" t="str">
        <f>IFERROR(__xludf.DUMMYFUNCTION("""COMPUTED_VALUE"""),"Colombia")</f>
        <v>Colombia</v>
      </c>
      <c r="C1672" s="6" t="str">
        <f>IFERROR(__xludf.DUMMYFUNCTION("""COMPUTED_VALUE"""),"Software Factory / Staffing")</f>
        <v>Software Factory / Staffing</v>
      </c>
    </row>
    <row r="1673" hidden="1">
      <c r="A1673" s="6" t="str">
        <f>IFERROR(__xludf.DUMMYFUNCTION("""COMPUTED_VALUE"""),"smartek srl")</f>
        <v>smartek srl</v>
      </c>
      <c r="B1673" s="6" t="str">
        <f>IFERROR(__xludf.DUMMYFUNCTION("""COMPUTED_VALUE"""),"Italia")</f>
        <v>Italia</v>
      </c>
      <c r="C1673" s="6" t="str">
        <f>IFERROR(__xludf.DUMMYFUNCTION("""COMPUTED_VALUE"""),"Other")</f>
        <v>Other</v>
      </c>
    </row>
    <row r="1674" hidden="1">
      <c r="A1674" s="6" t="str">
        <f>IFERROR(__xludf.DUMMYFUNCTION("""COMPUTED_VALUE"""),"ministerio de justicia y derechos humanos santa fe argentina")</f>
        <v>ministerio de justicia y derechos humanos santa fe argentina</v>
      </c>
      <c r="B1674" s="6" t="str">
        <f>IFERROR(__xludf.DUMMYFUNCTION("""COMPUTED_VALUE"""),"Argentina")</f>
        <v>Argentina</v>
      </c>
      <c r="C1674" s="6" t="str">
        <f>IFERROR(__xludf.DUMMYFUNCTION("""COMPUTED_VALUE"""),"Public Center")</f>
        <v>Public Center</v>
      </c>
    </row>
    <row r="1675">
      <c r="A1675" s="6" t="str">
        <f>IFERROR(__xludf.DUMMYFUNCTION("""COMPUTED_VALUE"""),"magno technology")</f>
        <v>magno technology</v>
      </c>
      <c r="B1675" s="6" t="str">
        <f>IFERROR(__xludf.DUMMYFUNCTION("""COMPUTED_VALUE"""),"Estados Unidos")</f>
        <v>Estados Unidos</v>
      </c>
      <c r="C1675" s="6" t="str">
        <f>IFERROR(__xludf.DUMMYFUNCTION("""COMPUTED_VALUE"""),"E-commerce")</f>
        <v>E-commerce</v>
      </c>
    </row>
    <row r="1676">
      <c r="A1676" s="6" t="str">
        <f>IFERROR(__xludf.DUMMYFUNCTION("""COMPUTED_VALUE"""),"psi mammoliti")</f>
        <v>psi mammoliti</v>
      </c>
      <c r="B1676" s="4"/>
      <c r="C1676" s="6" t="str">
        <f>IFERROR(__xludf.DUMMYFUNCTION("""COMPUTED_VALUE"""),"Health")</f>
        <v>Health</v>
      </c>
    </row>
    <row r="1677">
      <c r="A1677" s="6" t="str">
        <f>IFERROR(__xludf.DUMMYFUNCTION("""COMPUTED_VALUE"""),"sproutloud")</f>
        <v>sproutloud</v>
      </c>
      <c r="B1677" s="6" t="str">
        <f>IFERROR(__xludf.DUMMYFUNCTION("""COMPUTED_VALUE"""),"Estados Unidos")</f>
        <v>Estados Unidos</v>
      </c>
      <c r="C1677" s="6" t="str">
        <f>IFERROR(__xludf.DUMMYFUNCTION("""COMPUTED_VALUE"""),"Marketing &amp; Advertising")</f>
        <v>Marketing &amp; Advertising</v>
      </c>
    </row>
    <row r="1678" hidden="1">
      <c r="A1678" s="6" t="str">
        <f>IFERROR(__xludf.DUMMYFUNCTION("""COMPUTED_VALUE"""),"anla")</f>
        <v>anla</v>
      </c>
      <c r="B1678" s="6" t="str">
        <f>IFERROR(__xludf.DUMMYFUNCTION("""COMPUTED_VALUE"""),"Colombia")</f>
        <v>Colombia</v>
      </c>
      <c r="C1678" s="6" t="str">
        <f>IFERROR(__xludf.DUMMYFUNCTION("""COMPUTED_VALUE"""),"Other")</f>
        <v>Other</v>
      </c>
    </row>
    <row r="1679" hidden="1">
      <c r="A1679" s="6" t="str">
        <f>IFERROR(__xludf.DUMMYFUNCTION("""COMPUTED_VALUE"""),"bewe software")</f>
        <v>bewe software</v>
      </c>
      <c r="B1679" s="4"/>
      <c r="C1679" s="6" t="str">
        <f>IFERROR(__xludf.DUMMYFUNCTION("""COMPUTED_VALUE"""),"Software Factory / Staffing")</f>
        <v>Software Factory / Staffing</v>
      </c>
    </row>
    <row r="1680" hidden="1">
      <c r="A1680" s="6" t="str">
        <f>IFERROR(__xludf.DUMMYFUNCTION("""COMPUTED_VALUE"""),"full potential solutions")</f>
        <v>full potential solutions</v>
      </c>
      <c r="B1680" s="6" t="str">
        <f>IFERROR(__xludf.DUMMYFUNCTION("""COMPUTED_VALUE"""),"Estados Unidos")</f>
        <v>Estados Unidos</v>
      </c>
      <c r="C1680" s="6" t="str">
        <f>IFERROR(__xludf.DUMMYFUNCTION("""COMPUTED_VALUE"""),"Data &amp; Analytics")</f>
        <v>Data &amp; Analytics</v>
      </c>
    </row>
    <row r="1681" hidden="1">
      <c r="A1681" s="6" t="str">
        <f>IFERROR(__xludf.DUMMYFUNCTION("""COMPUTED_VALUE"""),"proflight")</f>
        <v>proflight</v>
      </c>
      <c r="B1681" s="6" t="str">
        <f>IFERROR(__xludf.DUMMYFUNCTION("""COMPUTED_VALUE"""),"Argentina")</f>
        <v>Argentina</v>
      </c>
      <c r="C1681" s="6" t="str">
        <f>IFERROR(__xludf.DUMMYFUNCTION("""COMPUTED_VALUE"""),"Education &amp; Edtech")</f>
        <v>Education &amp; Edtech</v>
      </c>
    </row>
    <row r="1682" hidden="1">
      <c r="A1682" s="6" t="str">
        <f>IFERROR(__xludf.DUMMYFUNCTION("""COMPUTED_VALUE"""),"publired")</f>
        <v>publired</v>
      </c>
      <c r="B1682" s="4"/>
      <c r="C1682" s="6" t="str">
        <f>IFERROR(__xludf.DUMMYFUNCTION("""COMPUTED_VALUE"""),"Marketing &amp; Advertising")</f>
        <v>Marketing &amp; Advertising</v>
      </c>
    </row>
    <row r="1683" hidden="1">
      <c r="A1683" s="6" t="str">
        <f>IFERROR(__xludf.DUMMYFUNCTION("""COMPUTED_VALUE"""),"nekodev")</f>
        <v>nekodev</v>
      </c>
      <c r="B1683" s="6" t="str">
        <f>IFERROR(__xludf.DUMMYFUNCTION("""COMPUTED_VALUE"""),"Ecuador")</f>
        <v>Ecuador</v>
      </c>
      <c r="C1683" s="6" t="str">
        <f>IFERROR(__xludf.DUMMYFUNCTION("""COMPUTED_VALUE"""),"Software Factory / Staffing")</f>
        <v>Software Factory / Staffing</v>
      </c>
    </row>
    <row r="1684" hidden="1">
      <c r="A1684" s="6" t="str">
        <f>IFERROR(__xludf.DUMMYFUNCTION("""COMPUTED_VALUE"""),"instituto tecnológico metropolitano")</f>
        <v>instituto tecnológico metropolitano</v>
      </c>
      <c r="B1684" s="6" t="str">
        <f>IFERROR(__xludf.DUMMYFUNCTION("""COMPUTED_VALUE"""),"Argentina")</f>
        <v>Argentina</v>
      </c>
      <c r="C1684" s="6" t="str">
        <f>IFERROR(__xludf.DUMMYFUNCTION("""COMPUTED_VALUE"""),"Public Center")</f>
        <v>Public Center</v>
      </c>
    </row>
    <row r="1685" hidden="1">
      <c r="A1685" s="6" t="str">
        <f>IFERROR(__xludf.DUMMYFUNCTION("""COMPUTED_VALUE"""),"qubik")</f>
        <v>qubik</v>
      </c>
      <c r="B1685" s="6" t="str">
        <f>IFERROR(__xludf.DUMMYFUNCTION("""COMPUTED_VALUE"""),"Argentina")</f>
        <v>Argentina</v>
      </c>
      <c r="C1685" s="6" t="str">
        <f>IFERROR(__xludf.DUMMYFUNCTION("""COMPUTED_VALUE"""),"Logistics")</f>
        <v>Logistics</v>
      </c>
    </row>
    <row r="1686" hidden="1">
      <c r="A1686" s="6" t="str">
        <f>IFERROR(__xludf.DUMMYFUNCTION("""COMPUTED_VALUE"""),"edvsa")</f>
        <v>edvsa</v>
      </c>
      <c r="B1686" s="6" t="str">
        <f>IFERROR(__xludf.DUMMYFUNCTION("""COMPUTED_VALUE"""),"Argentina")</f>
        <v>Argentina</v>
      </c>
      <c r="C1686" s="6" t="str">
        <f>IFERROR(__xludf.DUMMYFUNCTION("""COMPUTED_VALUE"""),"Energy")</f>
        <v>Energy</v>
      </c>
    </row>
    <row r="1687" hidden="1">
      <c r="A1687" s="6" t="str">
        <f>IFERROR(__xludf.DUMMYFUNCTION("""COMPUTED_VALUE"""),"opportunity s.a.c.")</f>
        <v>opportunity s.a.c.</v>
      </c>
      <c r="B1687" s="4"/>
      <c r="C1687" s="6" t="str">
        <f>IFERROR(__xludf.DUMMYFUNCTION("""COMPUTED_VALUE"""),"Education &amp; Edtech")</f>
        <v>Education &amp; Edtech</v>
      </c>
    </row>
    <row r="1688" hidden="1">
      <c r="A1688" s="6" t="str">
        <f>IFERROR(__xludf.DUMMYFUNCTION("""COMPUTED_VALUE"""),"disruptica")</f>
        <v>disruptica</v>
      </c>
      <c r="B1688" s="4"/>
      <c r="C1688" s="6" t="str">
        <f>IFERROR(__xludf.DUMMYFUNCTION("""COMPUTED_VALUE"""),"Software Factory / Staffing")</f>
        <v>Software Factory / Staffing</v>
      </c>
    </row>
    <row r="1689" hidden="1">
      <c r="A1689" s="6" t="str">
        <f>IFERROR(__xludf.DUMMYFUNCTION("""COMPUTED_VALUE"""),"lumma sa")</f>
        <v>lumma sa</v>
      </c>
      <c r="B1689" s="6" t="str">
        <f>IFERROR(__xludf.DUMMYFUNCTION("""COMPUTED_VALUE"""),"Mexico")</f>
        <v>Mexico</v>
      </c>
      <c r="C1689" s="6" t="str">
        <f>IFERROR(__xludf.DUMMYFUNCTION("""COMPUTED_VALUE"""),"Software Factory / Staffing")</f>
        <v>Software Factory / Staffing</v>
      </c>
    </row>
    <row r="1690" hidden="1">
      <c r="A1690" s="6" t="str">
        <f>IFERROR(__xludf.DUMMYFUNCTION("""COMPUTED_VALUE"""),"monotributo")</f>
        <v>monotributo</v>
      </c>
      <c r="B1690" s="6" t="str">
        <f>IFERROR(__xludf.DUMMYFUNCTION("""COMPUTED_VALUE"""),"Argentina")</f>
        <v>Argentina</v>
      </c>
      <c r="C1690" s="6" t="str">
        <f>IFERROR(__xludf.DUMMYFUNCTION("""COMPUTED_VALUE"""),"Banking &amp; Financial Servicies")</f>
        <v>Banking &amp; Financial Servicies</v>
      </c>
    </row>
    <row r="1691" hidden="1">
      <c r="A1691" s="6" t="str">
        <f>IFERROR(__xludf.DUMMYFUNCTION("""COMPUTED_VALUE"""),"cementos pacasmayo saa")</f>
        <v>cementos pacasmayo saa</v>
      </c>
      <c r="B1691" s="6" t="str">
        <f>IFERROR(__xludf.DUMMYFUNCTION("""COMPUTED_VALUE"""),"Peru")</f>
        <v>Peru</v>
      </c>
      <c r="C1691" s="6" t="str">
        <f>IFERROR(__xludf.DUMMYFUNCTION("""COMPUTED_VALUE"""),"Construction")</f>
        <v>Construction</v>
      </c>
    </row>
    <row r="1692" hidden="1">
      <c r="A1692" s="6" t="str">
        <f>IFERROR(__xludf.DUMMYFUNCTION("""COMPUTED_VALUE"""),"tradesorg inc")</f>
        <v>tradesorg inc</v>
      </c>
      <c r="B1692" s="6" t="str">
        <f>IFERROR(__xludf.DUMMYFUNCTION("""COMPUTED_VALUE"""),"Estados Unidos")</f>
        <v>Estados Unidos</v>
      </c>
      <c r="C1692" s="6" t="str">
        <f>IFERROR(__xludf.DUMMYFUNCTION("""COMPUTED_VALUE"""),"Software Factory / Staffing")</f>
        <v>Software Factory / Staffing</v>
      </c>
    </row>
    <row r="1693" hidden="1">
      <c r="A1693" s="6" t="str">
        <f>IFERROR(__xludf.DUMMYFUNCTION("""COMPUTED_VALUE"""),"pangea digital marketing")</f>
        <v>pangea digital marketing</v>
      </c>
      <c r="B1693" s="4"/>
      <c r="C1693" s="6" t="str">
        <f>IFERROR(__xludf.DUMMYFUNCTION("""COMPUTED_VALUE"""),"Marketing &amp; Advertising")</f>
        <v>Marketing &amp; Advertising</v>
      </c>
    </row>
    <row r="1694" hidden="1">
      <c r="A1694" s="6" t="str">
        <f>IFERROR(__xludf.DUMMYFUNCTION("""COMPUTED_VALUE"""),"solucionet")</f>
        <v>solucionet</v>
      </c>
      <c r="B1694" s="4"/>
      <c r="C1694" s="6" t="str">
        <f>IFERROR(__xludf.DUMMYFUNCTION("""COMPUTED_VALUE"""),"Software Factory / Staffing")</f>
        <v>Software Factory / Staffing</v>
      </c>
    </row>
    <row r="1695" hidden="1">
      <c r="A1695" s="6" t="str">
        <f>IFERROR(__xludf.DUMMYFUNCTION("""COMPUTED_VALUE"""),"agl ltd")</f>
        <v>agl ltd</v>
      </c>
      <c r="B1695" s="6" t="str">
        <f>IFERROR(__xludf.DUMMYFUNCTION("""COMPUTED_VALUE"""),"Irlanda")</f>
        <v>Irlanda</v>
      </c>
      <c r="C1695" s="6" t="str">
        <f>IFERROR(__xludf.DUMMYFUNCTION("""COMPUTED_VALUE"""),"Logistics")</f>
        <v>Logistics</v>
      </c>
    </row>
    <row r="1696" hidden="1">
      <c r="A1696" s="6" t="str">
        <f>IFERROR(__xludf.DUMMYFUNCTION("""COMPUTED_VALUE"""),"kromáticos design")</f>
        <v>kromáticos design</v>
      </c>
      <c r="B1696" s="6" t="str">
        <f>IFERROR(__xludf.DUMMYFUNCTION("""COMPUTED_VALUE"""),"Mexico")</f>
        <v>Mexico</v>
      </c>
      <c r="C1696" s="6" t="str">
        <f>IFERROR(__xludf.DUMMYFUNCTION("""COMPUTED_VALUE"""),"Other")</f>
        <v>Other</v>
      </c>
    </row>
    <row r="1697" hidden="1">
      <c r="A1697" s="6" t="str">
        <f>IFERROR(__xludf.DUMMYFUNCTION("""COMPUTED_VALUE"""),"gualda training")</f>
        <v>gualda training</v>
      </c>
      <c r="B1697" s="6" t="str">
        <f>IFERROR(__xludf.DUMMYFUNCTION("""COMPUTED_VALUE"""),"Argentina")</f>
        <v>Argentina</v>
      </c>
      <c r="C1697" s="6" t="str">
        <f>IFERROR(__xludf.DUMMYFUNCTION("""COMPUTED_VALUE"""),"Health")</f>
        <v>Health</v>
      </c>
    </row>
    <row r="1698" hidden="1">
      <c r="A1698" s="6" t="str">
        <f>IFERROR(__xludf.DUMMYFUNCTION("""COMPUTED_VALUE"""),"curadeuda")</f>
        <v>curadeuda</v>
      </c>
      <c r="B1698" s="6" t="str">
        <f>IFERROR(__xludf.DUMMYFUNCTION("""COMPUTED_VALUE"""),"Mexico")</f>
        <v>Mexico</v>
      </c>
      <c r="C1698" s="6" t="str">
        <f>IFERROR(__xludf.DUMMYFUNCTION("""COMPUTED_VALUE"""),"Banking &amp; Financial Servicies")</f>
        <v>Banking &amp; Financial Servicies</v>
      </c>
    </row>
    <row r="1699" hidden="1">
      <c r="A1699" s="6" t="str">
        <f>IFERROR(__xludf.DUMMYFUNCTION("""COMPUTED_VALUE"""),"bio-ser medica")</f>
        <v>bio-ser medica</v>
      </c>
      <c r="B1699" s="6" t="str">
        <f>IFERROR(__xludf.DUMMYFUNCTION("""COMPUTED_VALUE"""),"Argentina")</f>
        <v>Argentina</v>
      </c>
      <c r="C1699" s="6" t="str">
        <f>IFERROR(__xludf.DUMMYFUNCTION("""COMPUTED_VALUE"""),"Health")</f>
        <v>Health</v>
      </c>
    </row>
    <row r="1700" hidden="1">
      <c r="A1700" s="6" t="str">
        <f>IFERROR(__xludf.DUMMYFUNCTION("""COMPUTED_VALUE"""),"sodexo")</f>
        <v>sodexo</v>
      </c>
      <c r="B1700" s="6" t="str">
        <f>IFERROR(__xludf.DUMMYFUNCTION("""COMPUTED_VALUE"""),"Estados Unidos")</f>
        <v>Estados Unidos</v>
      </c>
      <c r="C1700" s="6" t="str">
        <f>IFERROR(__xludf.DUMMYFUNCTION("""COMPUTED_VALUE"""),"Other")</f>
        <v>Other</v>
      </c>
    </row>
    <row r="1701" hidden="1">
      <c r="A1701" s="6" t="str">
        <f>IFERROR(__xludf.DUMMYFUNCTION("""COMPUTED_VALUE"""),"cloud legion")</f>
        <v>cloud legion</v>
      </c>
      <c r="B1701" s="6" t="str">
        <f>IFERROR(__xludf.DUMMYFUNCTION("""COMPUTED_VALUE"""),"Estados Unidos")</f>
        <v>Estados Unidos</v>
      </c>
      <c r="C1701" s="6" t="str">
        <f>IFERROR(__xludf.DUMMYFUNCTION("""COMPUTED_VALUE"""),"Software Factory / Staffing")</f>
        <v>Software Factory / Staffing</v>
      </c>
    </row>
    <row r="1702" hidden="1">
      <c r="A1702" s="6" t="str">
        <f>IFERROR(__xludf.DUMMYFUNCTION("""COMPUTED_VALUE"""),"amsterdam galaxy s.a")</f>
        <v>amsterdam galaxy s.a</v>
      </c>
      <c r="B1702" s="6" t="str">
        <f>IFERROR(__xludf.DUMMYFUNCTION("""COMPUTED_VALUE"""),"Argentina")</f>
        <v>Argentina</v>
      </c>
      <c r="C1702" s="6" t="str">
        <f>IFERROR(__xludf.DUMMYFUNCTION("""COMPUTED_VALUE"""),"Other")</f>
        <v>Other</v>
      </c>
    </row>
    <row r="1703" hidden="1">
      <c r="A1703" s="6" t="str">
        <f>IFERROR(__xludf.DUMMYFUNCTION("""COMPUTED_VALUE"""),"trascender global")</f>
        <v>trascender global</v>
      </c>
      <c r="B1703" s="6" t="str">
        <f>IFERROR(__xludf.DUMMYFUNCTION("""COMPUTED_VALUE"""),"Colombia")</f>
        <v>Colombia</v>
      </c>
      <c r="C1703" s="6" t="str">
        <f>IFERROR(__xludf.DUMMYFUNCTION("""COMPUTED_VALUE"""),"Software Factory / Staffing")</f>
        <v>Software Factory / Staffing</v>
      </c>
    </row>
    <row r="1704" hidden="1">
      <c r="A1704" s="6" t="str">
        <f>IFERROR(__xludf.DUMMYFUNCTION("""COMPUTED_VALUE"""),"biwares")</f>
        <v>biwares</v>
      </c>
      <c r="B1704" s="6" t="str">
        <f>IFERROR(__xludf.DUMMYFUNCTION("""COMPUTED_VALUE"""),"Argentina")</f>
        <v>Argentina</v>
      </c>
      <c r="C1704" s="6" t="str">
        <f>IFERROR(__xludf.DUMMYFUNCTION("""COMPUTED_VALUE"""),"Data &amp; Analytics")</f>
        <v>Data &amp; Analytics</v>
      </c>
    </row>
    <row r="1705" hidden="1">
      <c r="A1705" s="6" t="str">
        <f>IFERROR(__xludf.DUMMYFUNCTION("""COMPUTED_VALUE"""),"fintra logistic")</f>
        <v>fintra logistic</v>
      </c>
      <c r="B1705" s="6" t="str">
        <f>IFERROR(__xludf.DUMMYFUNCTION("""COMPUTED_VALUE"""),"Colombia")</f>
        <v>Colombia</v>
      </c>
      <c r="C1705" s="6" t="str">
        <f>IFERROR(__xludf.DUMMYFUNCTION("""COMPUTED_VALUE"""),"Fintech")</f>
        <v>Fintech</v>
      </c>
    </row>
    <row r="1706">
      <c r="A1706" s="6" t="str">
        <f>IFERROR(__xludf.DUMMYFUNCTION("""COMPUTED_VALUE"""),"alta densidad s.a")</f>
        <v>alta densidad s.a</v>
      </c>
      <c r="B1706" s="4"/>
      <c r="C1706" s="4"/>
    </row>
    <row r="1707" hidden="1">
      <c r="A1707" s="6" t="str">
        <f>IFERROR(__xludf.DUMMYFUNCTION("""COMPUTED_VALUE"""),"scandiweb")</f>
        <v>scandiweb</v>
      </c>
      <c r="B1707" s="6" t="str">
        <f>IFERROR(__xludf.DUMMYFUNCTION("""COMPUTED_VALUE"""),"Letonia")</f>
        <v>Letonia</v>
      </c>
      <c r="C1707" s="6" t="str">
        <f>IFERROR(__xludf.DUMMYFUNCTION("""COMPUTED_VALUE"""),"Software Factory / Staffing")</f>
        <v>Software Factory / Staffing</v>
      </c>
    </row>
    <row r="1708" hidden="1">
      <c r="A1708" s="6" t="str">
        <f>IFERROR(__xludf.DUMMYFUNCTION("""COMPUTED_VALUE"""),"colegio carmelita felipe cortes")</f>
        <v>colegio carmelita felipe cortes</v>
      </c>
      <c r="B1708" s="6" t="str">
        <f>IFERROR(__xludf.DUMMYFUNCTION("""COMPUTED_VALUE"""),"Chile")</f>
        <v>Chile</v>
      </c>
      <c r="C1708" s="6" t="str">
        <f>IFERROR(__xludf.DUMMYFUNCTION("""COMPUTED_VALUE"""),"Public Center")</f>
        <v>Public Center</v>
      </c>
    </row>
    <row r="1709" hidden="1">
      <c r="A1709" s="6" t="str">
        <f>IFERROR(__xludf.DUMMYFUNCTION("""COMPUTED_VALUE"""),"ceoline")</f>
        <v>ceoline</v>
      </c>
      <c r="B1709" s="6" t="str">
        <f>IFERROR(__xludf.DUMMYFUNCTION("""COMPUTED_VALUE"""),"Francia")</f>
        <v>Francia</v>
      </c>
      <c r="C1709" s="6" t="str">
        <f>IFERROR(__xludf.DUMMYFUNCTION("""COMPUTED_VALUE"""),"Other")</f>
        <v>Other</v>
      </c>
    </row>
    <row r="1710" hidden="1">
      <c r="A1710" s="6" t="str">
        <f>IFERROR(__xludf.DUMMYFUNCTION("""COMPUTED_VALUE"""),"nomada digital sa")</f>
        <v>nomada digital sa</v>
      </c>
      <c r="B1710" s="6" t="str">
        <f>IFERROR(__xludf.DUMMYFUNCTION("""COMPUTED_VALUE"""),"Argentina")</f>
        <v>Argentina</v>
      </c>
      <c r="C1710" s="6" t="str">
        <f>IFERROR(__xludf.DUMMYFUNCTION("""COMPUTED_VALUE"""),"Other")</f>
        <v>Other</v>
      </c>
    </row>
    <row r="1711" hidden="1">
      <c r="A1711" s="6" t="str">
        <f>IFERROR(__xludf.DUMMYFUNCTION("""COMPUTED_VALUE"""),"army fitness")</f>
        <v>army fitness</v>
      </c>
      <c r="B1711" s="6" t="str">
        <f>IFERROR(__xludf.DUMMYFUNCTION("""COMPUTED_VALUE"""),"Argentina")</f>
        <v>Argentina</v>
      </c>
      <c r="C1711" s="6" t="str">
        <f>IFERROR(__xludf.DUMMYFUNCTION("""COMPUTED_VALUE"""),"Other")</f>
        <v>Other</v>
      </c>
    </row>
    <row r="1712" hidden="1">
      <c r="A1712" s="6" t="str">
        <f>IFERROR(__xludf.DUMMYFUNCTION("""COMPUTED_VALUE"""),"digital bluee")</f>
        <v>digital bluee</v>
      </c>
      <c r="B1712" s="6" t="str">
        <f>IFERROR(__xludf.DUMMYFUNCTION("""COMPUTED_VALUE"""),"Argentina")</f>
        <v>Argentina</v>
      </c>
      <c r="C1712" s="6" t="str">
        <f>IFERROR(__xludf.DUMMYFUNCTION("""COMPUTED_VALUE"""),"Education &amp; Edtech")</f>
        <v>Education &amp; Edtech</v>
      </c>
    </row>
    <row r="1713" hidden="1">
      <c r="A1713" s="6" t="str">
        <f>IFERROR(__xludf.DUMMYFUNCTION("""COMPUTED_VALUE"""),"centralticket nea")</f>
        <v>centralticket nea</v>
      </c>
      <c r="B1713" s="4"/>
      <c r="C1713" s="4"/>
    </row>
    <row r="1714" hidden="1">
      <c r="A1714" s="6" t="str">
        <f>IFERROR(__xludf.DUMMYFUNCTION("""COMPUTED_VALUE"""),"ini")</f>
        <v>ini</v>
      </c>
      <c r="B1714" s="6" t="str">
        <f>IFERROR(__xludf.DUMMYFUNCTION("""COMPUTED_VALUE"""),"Indonesia")</f>
        <v>Indonesia</v>
      </c>
      <c r="C1714" s="6" t="str">
        <f>IFERROR(__xludf.DUMMYFUNCTION("""COMPUTED_VALUE"""),"Travel and Tourism")</f>
        <v>Travel and Tourism</v>
      </c>
    </row>
    <row r="1715" hidden="1">
      <c r="A1715" s="6" t="str">
        <f>IFERROR(__xludf.DUMMYFUNCTION("""COMPUTED_VALUE"""),"cinemark")</f>
        <v>cinemark</v>
      </c>
      <c r="B1715" s="6" t="str">
        <f>IFERROR(__xludf.DUMMYFUNCTION("""COMPUTED_VALUE"""),"Argentina")</f>
        <v>Argentina</v>
      </c>
      <c r="C1715" s="6" t="str">
        <f>IFERROR(__xludf.DUMMYFUNCTION("""COMPUTED_VALUE"""),"Other")</f>
        <v>Other</v>
      </c>
    </row>
    <row r="1716" hidden="1">
      <c r="A1716" s="6" t="str">
        <f>IFERROR(__xludf.DUMMYFUNCTION("""COMPUTED_VALUE"""),"agripay")</f>
        <v>agripay</v>
      </c>
      <c r="B1716" s="6" t="str">
        <f>IFERROR(__xludf.DUMMYFUNCTION("""COMPUTED_VALUE"""),"Argentina")</f>
        <v>Argentina</v>
      </c>
      <c r="C1716" s="6" t="str">
        <f>IFERROR(__xludf.DUMMYFUNCTION("""COMPUTED_VALUE"""),"Banking &amp; Financial Servicies")</f>
        <v>Banking &amp; Financial Servicies</v>
      </c>
    </row>
    <row r="1717" hidden="1">
      <c r="A1717" s="6" t="str">
        <f>IFERROR(__xludf.DUMMYFUNCTION("""COMPUTED_VALUE"""),"road")</f>
        <v>road</v>
      </c>
      <c r="B1717" s="6" t="str">
        <f>IFERROR(__xludf.DUMMYFUNCTION("""COMPUTED_VALUE"""),"Países Bajos")</f>
        <v>Países Bajos</v>
      </c>
      <c r="C1717" s="6" t="str">
        <f>IFERROR(__xludf.DUMMYFUNCTION("""COMPUTED_VALUE"""),"Software Factory / Staffing")</f>
        <v>Software Factory / Staffing</v>
      </c>
    </row>
    <row r="1718" hidden="1">
      <c r="A1718" s="6" t="str">
        <f>IFERROR(__xludf.DUMMYFUNCTION("""COMPUTED_VALUE"""),"zerobug")</f>
        <v>zerobug</v>
      </c>
      <c r="B1718" s="6" t="str">
        <f>IFERROR(__xludf.DUMMYFUNCTION("""COMPUTED_VALUE"""),"India")</f>
        <v>India</v>
      </c>
      <c r="C1718" s="6" t="str">
        <f>IFERROR(__xludf.DUMMYFUNCTION("""COMPUTED_VALUE"""),"Software Factory / Staffing")</f>
        <v>Software Factory / Staffing</v>
      </c>
    </row>
    <row r="1719" hidden="1">
      <c r="A1719" s="6" t="str">
        <f>IFERROR(__xludf.DUMMYFUNCTION("""COMPUTED_VALUE"""),"trend ingenieria srl")</f>
        <v>trend ingenieria srl</v>
      </c>
      <c r="B1719" s="6" t="str">
        <f>IFERROR(__xludf.DUMMYFUNCTION("""COMPUTED_VALUE"""),"Argentina")</f>
        <v>Argentina</v>
      </c>
      <c r="C1719" s="6" t="str">
        <f>IFERROR(__xludf.DUMMYFUNCTION("""COMPUTED_VALUE"""),"Automation")</f>
        <v>Automation</v>
      </c>
    </row>
    <row r="1720" hidden="1">
      <c r="A1720" s="6" t="str">
        <f>IFERROR(__xludf.DUMMYFUNCTION("""COMPUTED_VALUE"""),"elias delgado (proyecto freelance front end)")</f>
        <v>elias delgado (proyecto freelance front end)</v>
      </c>
      <c r="B1720" s="4"/>
      <c r="C1720" s="4"/>
    </row>
    <row r="1721" hidden="1">
      <c r="A1721" s="6" t="str">
        <f>IFERROR(__xludf.DUMMYFUNCTION("""COMPUTED_VALUE"""),"qendar")</f>
        <v>qendar</v>
      </c>
      <c r="B1721" s="6" t="str">
        <f>IFERROR(__xludf.DUMMYFUNCTION("""COMPUTED_VALUE"""),"Argentina")</f>
        <v>Argentina</v>
      </c>
      <c r="C1721" s="6" t="str">
        <f>IFERROR(__xludf.DUMMYFUNCTION("""COMPUTED_VALUE"""),"Marketing &amp; Advertising")</f>
        <v>Marketing &amp; Advertising</v>
      </c>
    </row>
    <row r="1722" hidden="1">
      <c r="A1722" s="6" t="str">
        <f>IFERROR(__xludf.DUMMYFUNCTION("""COMPUTED_VALUE"""),"sencamer")</f>
        <v>sencamer</v>
      </c>
      <c r="B1722" s="4"/>
      <c r="C1722" s="6" t="str">
        <f>IFERROR(__xludf.DUMMYFUNCTION("""COMPUTED_VALUE"""),"Energy")</f>
        <v>Energy</v>
      </c>
    </row>
    <row r="1723" hidden="1">
      <c r="A1723" s="6" t="str">
        <f>IFERROR(__xludf.DUMMYFUNCTION("""COMPUTED_VALUE"""),"pudo argentina")</f>
        <v>pudo argentina</v>
      </c>
      <c r="B1723" s="6" t="str">
        <f>IFERROR(__xludf.DUMMYFUNCTION("""COMPUTED_VALUE"""),"Argentina")</f>
        <v>Argentina</v>
      </c>
      <c r="C1723" s="6" t="str">
        <f>IFERROR(__xludf.DUMMYFUNCTION("""COMPUTED_VALUE"""),"Logistics")</f>
        <v>Logistics</v>
      </c>
    </row>
    <row r="1724" hidden="1">
      <c r="A1724" s="6" t="str">
        <f>IFERROR(__xludf.DUMMYFUNCTION("""COMPUTED_VALUE"""),"aak")</f>
        <v>aak</v>
      </c>
      <c r="B1724" s="4"/>
      <c r="C1724" s="6" t="str">
        <f>IFERROR(__xludf.DUMMYFUNCTION("""COMPUTED_VALUE"""),"FMCG / Consumo masivo")</f>
        <v>FMCG / Consumo masivo</v>
      </c>
    </row>
    <row r="1725" hidden="1">
      <c r="A1725" s="6" t="str">
        <f>IFERROR(__xludf.DUMMYFUNCTION("""COMPUTED_VALUE"""),"global brands")</f>
        <v>global brands</v>
      </c>
      <c r="B1725" s="4"/>
      <c r="C1725" s="6" t="str">
        <f>IFERROR(__xludf.DUMMYFUNCTION("""COMPUTED_VALUE"""),"Other")</f>
        <v>Other</v>
      </c>
    </row>
    <row r="1726" hidden="1">
      <c r="A1726" s="6" t="str">
        <f>IFERROR(__xludf.DUMMYFUNCTION("""COMPUTED_VALUE"""),"mc group")</f>
        <v>mc group</v>
      </c>
      <c r="B1726" s="6" t="str">
        <f>IFERROR(__xludf.DUMMYFUNCTION("""COMPUTED_VALUE"""),"Estados Unidos")</f>
        <v>Estados Unidos</v>
      </c>
      <c r="C1726" s="6" t="str">
        <f>IFERROR(__xludf.DUMMYFUNCTION("""COMPUTED_VALUE"""),"Other")</f>
        <v>Other</v>
      </c>
    </row>
    <row r="1727" hidden="1">
      <c r="A1727" s="6" t="str">
        <f>IFERROR(__xludf.DUMMYFUNCTION("""COMPUTED_VALUE"""),"hi solus")</f>
        <v>hi solus</v>
      </c>
      <c r="B1727" s="6" t="str">
        <f>IFERROR(__xludf.DUMMYFUNCTION("""COMPUTED_VALUE"""),"Argentina")</f>
        <v>Argentina</v>
      </c>
      <c r="C1727" s="6" t="str">
        <f>IFERROR(__xludf.DUMMYFUNCTION("""COMPUTED_VALUE"""),"Blockchain, Crypto &amp; NFT")</f>
        <v>Blockchain, Crypto &amp; NFT</v>
      </c>
    </row>
    <row r="1728" hidden="1">
      <c r="A1728" s="6" t="str">
        <f>IFERROR(__xludf.DUMMYFUNCTION("""COMPUTED_VALUE"""),"almacafé")</f>
        <v>almacafé</v>
      </c>
      <c r="B1728" s="4"/>
      <c r="C1728" s="6" t="str">
        <f>IFERROR(__xludf.DUMMYFUNCTION("""COMPUTED_VALUE"""),"Other")</f>
        <v>Other</v>
      </c>
    </row>
    <row r="1729" hidden="1">
      <c r="A1729" s="6" t="str">
        <f>IFERROR(__xludf.DUMMYFUNCTION("""COMPUTED_VALUE"""),"dirección de vialidad provincial (chaco - arg)")</f>
        <v>dirección de vialidad provincial (chaco - arg)</v>
      </c>
      <c r="B1729" s="6" t="str">
        <f>IFERROR(__xludf.DUMMYFUNCTION("""COMPUTED_VALUE"""),"Argentina")</f>
        <v>Argentina</v>
      </c>
      <c r="C1729" s="6" t="str">
        <f>IFERROR(__xludf.DUMMYFUNCTION("""COMPUTED_VALUE"""),"Public Center")</f>
        <v>Public Center</v>
      </c>
    </row>
    <row r="1730">
      <c r="A1730" s="6" t="str">
        <f>IFERROR(__xludf.DUMMYFUNCTION("""COMPUTED_VALUE"""),"roadr")</f>
        <v>roadr</v>
      </c>
      <c r="B1730" s="6" t="str">
        <f>IFERROR(__xludf.DUMMYFUNCTION("""COMPUTED_VALUE"""),"Estados Unidos")</f>
        <v>Estados Unidos</v>
      </c>
      <c r="C1730" s="6" t="str">
        <f>IFERROR(__xludf.DUMMYFUNCTION("""COMPUTED_VALUE"""),"Estados Unidos")</f>
        <v>Estados Unidos</v>
      </c>
    </row>
    <row r="1731" hidden="1">
      <c r="A1731" s="6" t="str">
        <f>IFERROR(__xludf.DUMMYFUNCTION("""COMPUTED_VALUE"""),"adcentral")</f>
        <v>adcentral</v>
      </c>
      <c r="B1731" s="6" t="str">
        <f>IFERROR(__xludf.DUMMYFUNCTION("""COMPUTED_VALUE"""),"Mexico")</f>
        <v>Mexico</v>
      </c>
      <c r="C1731" s="6" t="str">
        <f>IFERROR(__xludf.DUMMYFUNCTION("""COMPUTED_VALUE"""),"Marketing &amp; Advertising")</f>
        <v>Marketing &amp; Advertising</v>
      </c>
    </row>
    <row r="1732" hidden="1">
      <c r="A1732" s="6" t="str">
        <f>IFERROR(__xludf.DUMMYFUNCTION("""COMPUTED_VALUE"""),"odisi")</f>
        <v>odisi</v>
      </c>
      <c r="B1732" s="6" t="str">
        <f>IFERROR(__xludf.DUMMYFUNCTION("""COMPUTED_VALUE"""),"Estados Unidos")</f>
        <v>Estados Unidos</v>
      </c>
      <c r="C1732" s="6" t="str">
        <f>IFERROR(__xludf.DUMMYFUNCTION("""COMPUTED_VALUE"""),"Software Factory / Staffing")</f>
        <v>Software Factory / Staffing</v>
      </c>
    </row>
    <row r="1733" hidden="1">
      <c r="A1733" s="6" t="str">
        <f>IFERROR(__xludf.DUMMYFUNCTION("""COMPUTED_VALUE"""),"elevate business colombia")</f>
        <v>elevate business colombia</v>
      </c>
      <c r="B1733" s="6" t="str">
        <f>IFERROR(__xludf.DUMMYFUNCTION("""COMPUTED_VALUE"""),"Emiratos Árabes Unidos")</f>
        <v>Emiratos Árabes Unidos</v>
      </c>
      <c r="C1733" s="6" t="str">
        <f>IFERROR(__xludf.DUMMYFUNCTION("""COMPUTED_VALUE"""),"Accounting")</f>
        <v>Accounting</v>
      </c>
    </row>
    <row r="1734" hidden="1">
      <c r="A1734" s="6" t="str">
        <f>IFERROR(__xludf.DUMMYFUNCTION("""COMPUTED_VALUE"""),"needzaio")</f>
        <v>needzaio</v>
      </c>
      <c r="B1734" s="4"/>
      <c r="C1734" s="6" t="str">
        <f>IFERROR(__xludf.DUMMYFUNCTION("""COMPUTED_VALUE"""),"Software Factory / Staffing")</f>
        <v>Software Factory / Staffing</v>
      </c>
    </row>
    <row r="1735" hidden="1">
      <c r="A1735" s="6" t="str">
        <f>IFERROR(__xludf.DUMMYFUNCTION("""COMPUTED_VALUE"""),"rumzer")</f>
        <v>rumzer</v>
      </c>
      <c r="B1735" s="6" t="str">
        <f>IFERROR(__xludf.DUMMYFUNCTION("""COMPUTED_VALUE"""),"Estados Unidos")</f>
        <v>Estados Unidos</v>
      </c>
      <c r="C1735" s="6" t="str">
        <f>IFERROR(__xludf.DUMMYFUNCTION("""COMPUTED_VALUE"""),"Other")</f>
        <v>Other</v>
      </c>
    </row>
    <row r="1736" hidden="1">
      <c r="A1736" s="6" t="str">
        <f>IFERROR(__xludf.DUMMYFUNCTION("""COMPUTED_VALUE"""),"woowup")</f>
        <v>woowup</v>
      </c>
      <c r="B1736" s="6" t="str">
        <f>IFERROR(__xludf.DUMMYFUNCTION("""COMPUTED_VALUE"""),"Argentina")</f>
        <v>Argentina</v>
      </c>
      <c r="C1736" s="6" t="str">
        <f>IFERROR(__xludf.DUMMYFUNCTION("""COMPUTED_VALUE"""),"Marketing &amp; Advertising")</f>
        <v>Marketing &amp; Advertising</v>
      </c>
    </row>
    <row r="1737" hidden="1">
      <c r="A1737" s="6" t="str">
        <f>IFERROR(__xludf.DUMMYFUNCTION("""COMPUTED_VALUE"""),"sicomoro teleservices sa de cv")</f>
        <v>sicomoro teleservices sa de cv</v>
      </c>
      <c r="B1737" s="4"/>
      <c r="C1737" s="4"/>
    </row>
    <row r="1738" hidden="1">
      <c r="A1738" s="6" t="str">
        <f>IFERROR(__xludf.DUMMYFUNCTION("""COMPUTED_VALUE"""),"epec")</f>
        <v>epec</v>
      </c>
      <c r="B1738" s="6" t="str">
        <f>IFERROR(__xludf.DUMMYFUNCTION("""COMPUTED_VALUE"""),"Australia")</f>
        <v>Australia</v>
      </c>
      <c r="C1738" s="6" t="str">
        <f>IFERROR(__xludf.DUMMYFUNCTION("""COMPUTED_VALUE"""),"Energy")</f>
        <v>Energy</v>
      </c>
    </row>
    <row r="1739">
      <c r="A1739" s="6" t="str">
        <f>IFERROR(__xludf.DUMMYFUNCTION("""COMPUTED_VALUE"""),"tob group solutions")</f>
        <v>tob group solutions</v>
      </c>
      <c r="B1739" s="4"/>
      <c r="C1739" s="6" t="str">
        <f>IFERROR(__xludf.DUMMYFUNCTION("""COMPUTED_VALUE"""),"Software Factory / Staffing")</f>
        <v>Software Factory / Staffing</v>
      </c>
    </row>
    <row r="1740" hidden="1">
      <c r="A1740" s="6" t="str">
        <f>IFERROR(__xludf.DUMMYFUNCTION("""COMPUTED_VALUE"""),"itr")</f>
        <v>itr</v>
      </c>
      <c r="B1740" s="6" t="str">
        <f>IFERROR(__xludf.DUMMYFUNCTION("""COMPUTED_VALUE"""),"Argentina")</f>
        <v>Argentina</v>
      </c>
      <c r="C1740" s="6" t="str">
        <f>IFERROR(__xludf.DUMMYFUNCTION("""COMPUTED_VALUE"""),"Software Factory / Staffing")</f>
        <v>Software Factory / Staffing</v>
      </c>
    </row>
    <row r="1741" hidden="1">
      <c r="A1741" s="6" t="str">
        <f>IFERROR(__xludf.DUMMYFUNCTION("""COMPUTED_VALUE"""),"flexit")</f>
        <v>flexit</v>
      </c>
      <c r="B1741" s="6" t="str">
        <f>IFERROR(__xludf.DUMMYFUNCTION("""COMPUTED_VALUE"""),"Argentina")</f>
        <v>Argentina</v>
      </c>
      <c r="C1741" s="6" t="str">
        <f>IFERROR(__xludf.DUMMYFUNCTION("""COMPUTED_VALUE"""),"Other")</f>
        <v>Other</v>
      </c>
    </row>
    <row r="1742" hidden="1">
      <c r="A1742" s="6" t="str">
        <f>IFERROR(__xludf.DUMMYFUNCTION("""COMPUTED_VALUE"""),"teiki")</f>
        <v>teiki</v>
      </c>
      <c r="B1742" s="6" t="str">
        <f>IFERROR(__xludf.DUMMYFUNCTION("""COMPUTED_VALUE"""),"Brasil")</f>
        <v>Brasil</v>
      </c>
      <c r="C1742" s="6" t="str">
        <f>IFERROR(__xludf.DUMMYFUNCTION("""COMPUTED_VALUE"""),"Other")</f>
        <v>Other</v>
      </c>
    </row>
    <row r="1743" hidden="1">
      <c r="A1743" s="6" t="str">
        <f>IFERROR(__xludf.DUMMYFUNCTION("""COMPUTED_VALUE"""),"digitalia")</f>
        <v>digitalia</v>
      </c>
      <c r="B1743" s="6" t="str">
        <f>IFERROR(__xludf.DUMMYFUNCTION("""COMPUTED_VALUE"""),"Argentina")</f>
        <v>Argentina</v>
      </c>
      <c r="C1743" s="6" t="str">
        <f>IFERROR(__xludf.DUMMYFUNCTION("""COMPUTED_VALUE"""),"Marketing &amp; Advertising")</f>
        <v>Marketing &amp; Advertising</v>
      </c>
    </row>
    <row r="1744" hidden="1">
      <c r="A1744" s="6" t="str">
        <f>IFERROR(__xludf.DUMMYFUNCTION("""COMPUTED_VALUE"""),"asofty")</f>
        <v>asofty</v>
      </c>
      <c r="B1744" s="6" t="str">
        <f>IFERROR(__xludf.DUMMYFUNCTION("""COMPUTED_VALUE"""),"Colombia")</f>
        <v>Colombia</v>
      </c>
      <c r="C1744" s="6" t="str">
        <f>IFERROR(__xludf.DUMMYFUNCTION("""COMPUTED_VALUE"""),"Software Factory / Staffing")</f>
        <v>Software Factory / Staffing</v>
      </c>
    </row>
    <row r="1745" hidden="1">
      <c r="A1745" s="6" t="str">
        <f>IFERROR(__xludf.DUMMYFUNCTION("""COMPUTED_VALUE"""),"justo")</f>
        <v>justo</v>
      </c>
      <c r="B1745" s="4"/>
      <c r="C1745" s="6" t="str">
        <f>IFERROR(__xludf.DUMMYFUNCTION("""COMPUTED_VALUE"""),"Software Factory / Staffing")</f>
        <v>Software Factory / Staffing</v>
      </c>
    </row>
    <row r="1746" hidden="1">
      <c r="A1746" s="6" t="str">
        <f>IFERROR(__xludf.DUMMYFUNCTION("""COMPUTED_VALUE"""),"carbonbase")</f>
        <v>carbonbase</v>
      </c>
      <c r="B1746" s="6" t="str">
        <f>IFERROR(__xludf.DUMMYFUNCTION("""COMPUTED_VALUE"""),"Argentina")</f>
        <v>Argentina</v>
      </c>
      <c r="C1746" s="6" t="str">
        <f>IFERROR(__xludf.DUMMYFUNCTION("""COMPUTED_VALUE"""),"Messaging and Telecommunications")</f>
        <v>Messaging and Telecommunications</v>
      </c>
    </row>
    <row r="1747" hidden="1">
      <c r="A1747" s="6" t="str">
        <f>IFERROR(__xludf.DUMMYFUNCTION("""COMPUTED_VALUE"""),"leapsight")</f>
        <v>leapsight</v>
      </c>
      <c r="B1747" s="4"/>
      <c r="C1747" s="4"/>
    </row>
    <row r="1748">
      <c r="A1748" s="6" t="str">
        <f>IFERROR(__xludf.DUMMYFUNCTION("""COMPUTED_VALUE"""),"dux software")</f>
        <v>dux software</v>
      </c>
      <c r="B1748" s="6" t="str">
        <f>IFERROR(__xludf.DUMMYFUNCTION("""COMPUTED_VALUE"""),"Argentina")</f>
        <v>Argentina</v>
      </c>
      <c r="C1748" s="6" t="str">
        <f>IFERROR(__xludf.DUMMYFUNCTION("""COMPUTED_VALUE"""),"Software Factory / Staffing")</f>
        <v>Software Factory / Staffing</v>
      </c>
    </row>
    <row r="1749">
      <c r="A1749" s="6" t="str">
        <f>IFERROR(__xludf.DUMMYFUNCTION("""COMPUTED_VALUE"""),"futit services")</f>
        <v>futit services</v>
      </c>
      <c r="B1749" s="6" t="str">
        <f>IFERROR(__xludf.DUMMYFUNCTION("""COMPUTED_VALUE"""),"Argentina")</f>
        <v>Argentina</v>
      </c>
      <c r="C1749" s="6" t="str">
        <f>IFERROR(__xludf.DUMMYFUNCTION("""COMPUTED_VALUE"""),"Software Factory / Staffing")</f>
        <v>Software Factory / Staffing</v>
      </c>
    </row>
    <row r="1750" hidden="1">
      <c r="A1750" s="7" t="str">
        <f>IFERROR(__xludf.DUMMYFUNCTION("""COMPUTED_VALUE"""),"destacados.cl")</f>
        <v>destacados.cl</v>
      </c>
      <c r="B1750" s="4"/>
      <c r="C1750" s="6" t="str">
        <f>IFERROR(__xludf.DUMMYFUNCTION("""COMPUTED_VALUE"""),"Marketing &amp; Advertising")</f>
        <v>Marketing &amp; Advertising</v>
      </c>
    </row>
    <row r="1751" hidden="1">
      <c r="A1751" s="6" t="str">
        <f>IFERROR(__xludf.DUMMYFUNCTION("""COMPUTED_VALUE"""),"vertix")</f>
        <v>vertix</v>
      </c>
      <c r="B1751" s="4"/>
      <c r="C1751" s="6" t="str">
        <f>IFERROR(__xludf.DUMMYFUNCTION("""COMPUTED_VALUE"""),"PropTech / Real State")</f>
        <v>PropTech / Real State</v>
      </c>
    </row>
    <row r="1752" hidden="1">
      <c r="A1752" s="6" t="str">
        <f>IFERROR(__xludf.DUMMYFUNCTION("""COMPUTED_VALUE"""),"eversys de mario otero")</f>
        <v>eversys de mario otero</v>
      </c>
      <c r="B1752" s="6" t="str">
        <f>IFERROR(__xludf.DUMMYFUNCTION("""COMPUTED_VALUE"""),"Suiza")</f>
        <v>Suiza</v>
      </c>
      <c r="C1752" s="6" t="str">
        <f>IFERROR(__xludf.DUMMYFUNCTION("""COMPUTED_VALUE"""),"Mechanical/Industrial Engineering")</f>
        <v>Mechanical/Industrial Engineering</v>
      </c>
    </row>
    <row r="1753" hidden="1">
      <c r="A1753" s="6" t="str">
        <f>IFERROR(__xludf.DUMMYFUNCTION("""COMPUTED_VALUE"""),"ifibyne")</f>
        <v>ifibyne</v>
      </c>
      <c r="B1753" s="6" t="str">
        <f>IFERROR(__xludf.DUMMYFUNCTION("""COMPUTED_VALUE"""),"Argentina")</f>
        <v>Argentina</v>
      </c>
      <c r="C1753" s="6" t="str">
        <f>IFERROR(__xludf.DUMMYFUNCTION("""COMPUTED_VALUE"""),"Public Center")</f>
        <v>Public Center</v>
      </c>
    </row>
    <row r="1754" hidden="1">
      <c r="A1754" s="6" t="str">
        <f>IFERROR(__xludf.DUMMYFUNCTION("""COMPUTED_VALUE"""),"e-contact")</f>
        <v>e-contact</v>
      </c>
      <c r="B1754" s="4"/>
      <c r="C1754" s="4"/>
    </row>
    <row r="1755" hidden="1">
      <c r="A1755" s="6" t="str">
        <f>IFERROR(__xludf.DUMMYFUNCTION("""COMPUTED_VALUE"""),"elevated")</f>
        <v>elevated</v>
      </c>
      <c r="B1755" s="6" t="str">
        <f>IFERROR(__xludf.DUMMYFUNCTION("""COMPUTED_VALUE"""),"Estados Unidos")</f>
        <v>Estados Unidos</v>
      </c>
      <c r="C1755" s="6" t="str">
        <f>IFERROR(__xludf.DUMMYFUNCTION("""COMPUTED_VALUE"""),"Marketing &amp; Advertising")</f>
        <v>Marketing &amp; Advertising</v>
      </c>
    </row>
    <row r="1756" hidden="1">
      <c r="A1756" s="6" t="str">
        <f>IFERROR(__xludf.DUMMYFUNCTION("""COMPUTED_VALUE"""),"borea studio")</f>
        <v>borea studio</v>
      </c>
      <c r="B1756" s="6" t="str">
        <f>IFERROR(__xludf.DUMMYFUNCTION("""COMPUTED_VALUE"""),"Argentina")</f>
        <v>Argentina</v>
      </c>
      <c r="C1756" s="6" t="str">
        <f>IFERROR(__xludf.DUMMYFUNCTION("""COMPUTED_VALUE"""),"Other")</f>
        <v>Other</v>
      </c>
    </row>
    <row r="1757" hidden="1">
      <c r="A1757" s="6" t="str">
        <f>IFERROR(__xludf.DUMMYFUNCTION("""COMPUTED_VALUE"""),"rava bursátil")</f>
        <v>rava bursátil</v>
      </c>
      <c r="B1757" s="6" t="str">
        <f>IFERROR(__xludf.DUMMYFUNCTION("""COMPUTED_VALUE"""),"Argentina")</f>
        <v>Argentina</v>
      </c>
      <c r="C1757" s="6" t="str">
        <f>IFERROR(__xludf.DUMMYFUNCTION("""COMPUTED_VALUE"""),"Banking &amp; Financial Servicies")</f>
        <v>Banking &amp; Financial Servicies</v>
      </c>
    </row>
    <row r="1758" hidden="1">
      <c r="A1758" s="6" t="str">
        <f>IFERROR(__xludf.DUMMYFUNCTION("""COMPUTED_VALUE"""),"invorious")</f>
        <v>invorious</v>
      </c>
      <c r="B1758" s="6" t="str">
        <f>IFERROR(__xludf.DUMMYFUNCTION("""COMPUTED_VALUE"""),"Australia")</f>
        <v>Australia</v>
      </c>
      <c r="C1758" s="6" t="str">
        <f>IFERROR(__xludf.DUMMYFUNCTION("""COMPUTED_VALUE"""),"Software Factory / Staffing")</f>
        <v>Software Factory / Staffing</v>
      </c>
    </row>
    <row r="1759" hidden="1">
      <c r="A1759" s="6" t="str">
        <f>IFERROR(__xludf.DUMMYFUNCTION("""COMPUTED_VALUE"""),"ministerio de educación de corrientes")</f>
        <v>ministerio de educación de corrientes</v>
      </c>
      <c r="B1759" s="6" t="str">
        <f>IFERROR(__xludf.DUMMYFUNCTION("""COMPUTED_VALUE"""),"Argentina")</f>
        <v>Argentina</v>
      </c>
      <c r="C1759" s="6" t="str">
        <f>IFERROR(__xludf.DUMMYFUNCTION("""COMPUTED_VALUE"""),"Public Center")</f>
        <v>Public Center</v>
      </c>
    </row>
    <row r="1760" hidden="1">
      <c r="A1760" s="6" t="str">
        <f>IFERROR(__xludf.DUMMYFUNCTION("""COMPUTED_VALUE"""),"gbsys")</f>
        <v>gbsys</v>
      </c>
      <c r="B1760" s="6" t="str">
        <f>IFERROR(__xludf.DUMMYFUNCTION("""COMPUTED_VALUE"""),"Costa Rica")</f>
        <v>Costa Rica</v>
      </c>
      <c r="C1760" s="6" t="str">
        <f>IFERROR(__xludf.DUMMYFUNCTION("""COMPUTED_VALUE"""),"Software Factory / Staffing")</f>
        <v>Software Factory / Staffing</v>
      </c>
    </row>
    <row r="1761" hidden="1">
      <c r="A1761" s="6" t="str">
        <f>IFERROR(__xludf.DUMMYFUNCTION("""COMPUTED_VALUE"""),"lab9")</f>
        <v>lab9</v>
      </c>
      <c r="B1761" s="6" t="str">
        <f>IFERROR(__xludf.DUMMYFUNCTION("""COMPUTED_VALUE"""),"Bélgica")</f>
        <v>Bélgica</v>
      </c>
      <c r="C1761" s="6" t="str">
        <f>IFERROR(__xludf.DUMMYFUNCTION("""COMPUTED_VALUE"""),"Mechanical/Industrial Engineering")</f>
        <v>Mechanical/Industrial Engineering</v>
      </c>
    </row>
    <row r="1762" hidden="1">
      <c r="A1762" s="6" t="str">
        <f>IFERROR(__xludf.DUMMYFUNCTION("""COMPUTED_VALUE"""),"milazzo jewelry")</f>
        <v>milazzo jewelry</v>
      </c>
      <c r="B1762" s="6" t="str">
        <f>IFERROR(__xludf.DUMMYFUNCTION("""COMPUTED_VALUE"""),"Estados Unidos")</f>
        <v>Estados Unidos</v>
      </c>
      <c r="C1762" s="6" t="str">
        <f>IFERROR(__xludf.DUMMYFUNCTION("""COMPUTED_VALUE"""),"Other")</f>
        <v>Other</v>
      </c>
    </row>
    <row r="1763" hidden="1">
      <c r="A1763" s="6" t="str">
        <f>IFERROR(__xludf.DUMMYFUNCTION("""COMPUTED_VALUE"""),"valiticket")</f>
        <v>valiticket</v>
      </c>
      <c r="B1763" s="4"/>
      <c r="C1763" s="4"/>
    </row>
    <row r="1764" hidden="1">
      <c r="A1764" s="6" t="str">
        <f>IFERROR(__xludf.DUMMYFUNCTION("""COMPUTED_VALUE"""),"grupo akr")</f>
        <v>grupo akr</v>
      </c>
      <c r="B1764" s="6" t="str">
        <f>IFERROR(__xludf.DUMMYFUNCTION("""COMPUTED_VALUE"""),"Venezuela")</f>
        <v>Venezuela</v>
      </c>
      <c r="C1764" s="6" t="str">
        <f>IFERROR(__xludf.DUMMYFUNCTION("""COMPUTED_VALUE"""),"Other")</f>
        <v>Other</v>
      </c>
    </row>
    <row r="1765" hidden="1">
      <c r="A1765" s="6" t="str">
        <f>IFERROR(__xludf.DUMMYFUNCTION("""COMPUTED_VALUE"""),"tesseract")</f>
        <v>tesseract</v>
      </c>
      <c r="B1765" s="4"/>
      <c r="C1765" s="6" t="str">
        <f>IFERROR(__xludf.DUMMYFUNCTION("""COMPUTED_VALUE"""),"Mechanical/Industrial Engineering")</f>
        <v>Mechanical/Industrial Engineering</v>
      </c>
    </row>
    <row r="1766" hidden="1">
      <c r="A1766" s="6" t="str">
        <f>IFERROR(__xludf.DUMMYFUNCTION("""COMPUTED_VALUE"""),"vauxoo")</f>
        <v>vauxoo</v>
      </c>
      <c r="B1766" s="6" t="str">
        <f>IFERROR(__xludf.DUMMYFUNCTION("""COMPUTED_VALUE"""),"Mexico")</f>
        <v>Mexico</v>
      </c>
      <c r="C1766" s="6" t="str">
        <f>IFERROR(__xludf.DUMMYFUNCTION("""COMPUTED_VALUE"""),"Software Factory / Staffing")</f>
        <v>Software Factory / Staffing</v>
      </c>
    </row>
    <row r="1767" hidden="1">
      <c r="A1767" s="6" t="str">
        <f>IFERROR(__xludf.DUMMYFUNCTION("""COMPUTED_VALUE"""),"swagcharm llc")</f>
        <v>swagcharm llc</v>
      </c>
      <c r="B1767" s="6" t="str">
        <f>IFERROR(__xludf.DUMMYFUNCTION("""COMPUTED_VALUE"""),"Argentina")</f>
        <v>Argentina</v>
      </c>
      <c r="C1767" s="6" t="str">
        <f>IFERROR(__xludf.DUMMYFUNCTION("""COMPUTED_VALUE"""),"Marketing &amp; Advertising")</f>
        <v>Marketing &amp; Advertising</v>
      </c>
    </row>
    <row r="1768" hidden="1">
      <c r="A1768" s="6" t="str">
        <f>IFERROR(__xludf.DUMMYFUNCTION("""COMPUTED_VALUE"""),"luminosity, inc")</f>
        <v>luminosity, inc</v>
      </c>
      <c r="B1768" s="6" t="str">
        <f>IFERROR(__xludf.DUMMYFUNCTION("""COMPUTED_VALUE"""),"Estados Unidos")</f>
        <v>Estados Unidos</v>
      </c>
      <c r="C1768" s="6" t="str">
        <f>IFERROR(__xludf.DUMMYFUNCTION("""COMPUTED_VALUE"""),"Management Consulting")</f>
        <v>Management Consulting</v>
      </c>
    </row>
    <row r="1769" hidden="1">
      <c r="A1769" s="6" t="str">
        <f>IFERROR(__xludf.DUMMYFUNCTION("""COMPUTED_VALUE"""),"giselle gomez fraire")</f>
        <v>giselle gomez fraire</v>
      </c>
      <c r="B1769" s="6" t="str">
        <f>IFERROR(__xludf.DUMMYFUNCTION("""COMPUTED_VALUE"""),"Estados Unidos")</f>
        <v>Estados Unidos</v>
      </c>
      <c r="C1769" s="6" t="str">
        <f>IFERROR(__xludf.DUMMYFUNCTION("""COMPUTED_VALUE"""),"Other")</f>
        <v>Other</v>
      </c>
    </row>
    <row r="1770" hidden="1">
      <c r="A1770" s="6" t="str">
        <f>IFERROR(__xludf.DUMMYFUNCTION("""COMPUTED_VALUE"""),"singular design")</f>
        <v>singular design</v>
      </c>
      <c r="B1770" s="6" t="str">
        <f>IFERROR(__xludf.DUMMYFUNCTION("""COMPUTED_VALUE"""),"Estados Unidos")</f>
        <v>Estados Unidos</v>
      </c>
      <c r="C1770" s="6" t="str">
        <f>IFERROR(__xludf.DUMMYFUNCTION("""COMPUTED_VALUE"""),"Software Factory / Staffing")</f>
        <v>Software Factory / Staffing</v>
      </c>
    </row>
    <row r="1771" hidden="1">
      <c r="A1771" s="6" t="str">
        <f>IFERROR(__xludf.DUMMYFUNCTION("""COMPUTED_VALUE"""),"technologies for business")</f>
        <v>technologies for business</v>
      </c>
      <c r="B1771" s="4"/>
      <c r="C1771" s="4"/>
    </row>
    <row r="1772" hidden="1">
      <c r="A1772" s="6" t="str">
        <f>IFERROR(__xludf.DUMMYFUNCTION("""COMPUTED_VALUE"""),"pl4nner")</f>
        <v>pl4nner</v>
      </c>
      <c r="B1772" s="6" t="str">
        <f>IFERROR(__xludf.DUMMYFUNCTION("""COMPUTED_VALUE"""),"Peru")</f>
        <v>Peru</v>
      </c>
      <c r="C1772" s="6" t="str">
        <f>IFERROR(__xludf.DUMMYFUNCTION("""COMPUTED_VALUE"""),"Software Factory / Staffing")</f>
        <v>Software Factory / Staffing</v>
      </c>
    </row>
    <row r="1773" hidden="1">
      <c r="A1773" s="6" t="str">
        <f>IFERROR(__xludf.DUMMYFUNCTION("""COMPUTED_VALUE"""),"msd soft c.a.")</f>
        <v>msd soft c.a.</v>
      </c>
      <c r="B1773" s="4"/>
      <c r="C1773" s="4"/>
    </row>
    <row r="1774" hidden="1">
      <c r="A1774" s="6" t="str">
        <f>IFERROR(__xludf.DUMMYFUNCTION("""COMPUTED_VALUE"""),"centro de investigaciones médicas de mar del plata")</f>
        <v>centro de investigaciones médicas de mar del plata</v>
      </c>
      <c r="B1774" s="6" t="str">
        <f>IFERROR(__xludf.DUMMYFUNCTION("""COMPUTED_VALUE"""),"Argentina")</f>
        <v>Argentina</v>
      </c>
      <c r="C1774" s="6" t="str">
        <f>IFERROR(__xludf.DUMMYFUNCTION("""COMPUTED_VALUE"""),"Health")</f>
        <v>Health</v>
      </c>
    </row>
    <row r="1775" hidden="1">
      <c r="A1775" s="6" t="str">
        <f>IFERROR(__xludf.DUMMYFUNCTION("""COMPUTED_VALUE"""),"sgb information services")</f>
        <v>sgb information services</v>
      </c>
      <c r="B1775" s="6" t="str">
        <f>IFERROR(__xludf.DUMMYFUNCTION("""COMPUTED_VALUE"""),"Argentina")</f>
        <v>Argentina</v>
      </c>
      <c r="C1775" s="6" t="str">
        <f>IFERROR(__xludf.DUMMYFUNCTION("""COMPUTED_VALUE"""),"Software Factory / Staffing")</f>
        <v>Software Factory / Staffing</v>
      </c>
    </row>
    <row r="1776" hidden="1">
      <c r="A1776" s="6" t="str">
        <f>IFERROR(__xludf.DUMMYFUNCTION("""COMPUTED_VALUE"""),"maquinario spa")</f>
        <v>maquinario spa</v>
      </c>
      <c r="B1776" s="6" t="str">
        <f>IFERROR(__xludf.DUMMYFUNCTION("""COMPUTED_VALUE"""),"Argentina")</f>
        <v>Argentina</v>
      </c>
      <c r="C1776" s="6" t="str">
        <f>IFERROR(__xludf.DUMMYFUNCTION("""COMPUTED_VALUE"""),"Mechanical/Industrial Engineering")</f>
        <v>Mechanical/Industrial Engineering</v>
      </c>
    </row>
    <row r="1777" hidden="1">
      <c r="A1777" s="6" t="str">
        <f>IFERROR(__xludf.DUMMYFUNCTION("""COMPUTED_VALUE"""),"cedeira")</f>
        <v>cedeira</v>
      </c>
      <c r="B1777" s="6" t="str">
        <f>IFERROR(__xludf.DUMMYFUNCTION("""COMPUTED_VALUE"""),"Argentina")</f>
        <v>Argentina</v>
      </c>
      <c r="C1777" s="6" t="str">
        <f>IFERROR(__xludf.DUMMYFUNCTION("""COMPUTED_VALUE"""),"Software Factory / Staffing")</f>
        <v>Software Factory / Staffing</v>
      </c>
    </row>
    <row r="1778" hidden="1">
      <c r="A1778" s="6" t="str">
        <f>IFERROR(__xludf.DUMMYFUNCTION("""COMPUTED_VALUE"""),"jelou")</f>
        <v>jelou</v>
      </c>
      <c r="B1778" s="6" t="str">
        <f>IFERROR(__xludf.DUMMYFUNCTION("""COMPUTED_VALUE"""),"Mexico")</f>
        <v>Mexico</v>
      </c>
      <c r="C1778" s="6" t="str">
        <f>IFERROR(__xludf.DUMMYFUNCTION("""COMPUTED_VALUE"""),"Other")</f>
        <v>Other</v>
      </c>
    </row>
    <row r="1779" hidden="1">
      <c r="A1779" s="6" t="str">
        <f>IFERROR(__xludf.DUMMYFUNCTION("""COMPUTED_VALUE"""),"farmaloop")</f>
        <v>farmaloop</v>
      </c>
      <c r="B1779" s="4"/>
      <c r="C1779" s="6" t="str">
        <f>IFERROR(__xludf.DUMMYFUNCTION("""COMPUTED_VALUE"""),"Health")</f>
        <v>Health</v>
      </c>
    </row>
    <row r="1780" hidden="1">
      <c r="A1780" s="6" t="str">
        <f>IFERROR(__xludf.DUMMYFUNCTION("""COMPUTED_VALUE"""),"atento")</f>
        <v>atento</v>
      </c>
      <c r="B1780" s="6" t="str">
        <f>IFERROR(__xludf.DUMMYFUNCTION("""COMPUTED_VALUE"""),"España")</f>
        <v>España</v>
      </c>
      <c r="C1780" s="6" t="str">
        <f>IFERROR(__xludf.DUMMYFUNCTION("""COMPUTED_VALUE"""),"Other")</f>
        <v>Other</v>
      </c>
    </row>
    <row r="1781" hidden="1">
      <c r="A1781" s="6" t="str">
        <f>IFERROR(__xludf.DUMMYFUNCTION("""COMPUTED_VALUE"""),"handelbay (ignite technologies sas)")</f>
        <v>handelbay (ignite technologies sas)</v>
      </c>
      <c r="B1781" s="4"/>
      <c r="C1781" s="4"/>
    </row>
    <row r="1782" hidden="1">
      <c r="A1782" s="6" t="str">
        <f>IFERROR(__xludf.DUMMYFUNCTION("""COMPUTED_VALUE"""),"t-evolvers")</f>
        <v>t-evolvers</v>
      </c>
      <c r="B1782" s="6" t="str">
        <f>IFERROR(__xludf.DUMMYFUNCTION("""COMPUTED_VALUE"""),"Colombia")</f>
        <v>Colombia</v>
      </c>
      <c r="C1782" s="6" t="str">
        <f>IFERROR(__xludf.DUMMYFUNCTION("""COMPUTED_VALUE"""),"Software Factory / Staffing")</f>
        <v>Software Factory / Staffing</v>
      </c>
    </row>
    <row r="1783" hidden="1">
      <c r="A1783" s="6" t="str">
        <f>IFERROR(__xludf.DUMMYFUNCTION("""COMPUTED_VALUE"""),"profesor x")</f>
        <v>profesor x</v>
      </c>
      <c r="B1783" s="4"/>
      <c r="C1783" s="6" t="str">
        <f>IFERROR(__xludf.DUMMYFUNCTION("""COMPUTED_VALUE"""),"Other")</f>
        <v>Other</v>
      </c>
    </row>
    <row r="1784" hidden="1">
      <c r="A1784" s="6" t="str">
        <f>IFERROR(__xludf.DUMMYFUNCTION("""COMPUTED_VALUE"""),"daniel mateo ibagon rodriguez")</f>
        <v>daniel mateo ibagon rodriguez</v>
      </c>
      <c r="B1784" s="4"/>
      <c r="C1784" s="4"/>
    </row>
    <row r="1785" hidden="1">
      <c r="A1785" s="6" t="str">
        <f>IFERROR(__xludf.DUMMYFUNCTION("""COMPUTED_VALUE"""),"tropicalmedia")</f>
        <v>tropicalmedia</v>
      </c>
      <c r="B1785" s="4"/>
      <c r="C1785" s="4"/>
    </row>
    <row r="1786" hidden="1">
      <c r="A1786" s="6" t="str">
        <f>IFERROR(__xludf.DUMMYFUNCTION("""COMPUTED_VALUE"""),"cirion technologies colombia")</f>
        <v>cirion technologies colombia</v>
      </c>
      <c r="B1786" s="6" t="str">
        <f>IFERROR(__xludf.DUMMYFUNCTION("""COMPUTED_VALUE"""),"Colombia")</f>
        <v>Colombia</v>
      </c>
      <c r="C1786" s="6" t="str">
        <f>IFERROR(__xludf.DUMMYFUNCTION("""COMPUTED_VALUE"""),"Software Factory / Staffing")</f>
        <v>Software Factory / Staffing</v>
      </c>
    </row>
    <row r="1787" hidden="1">
      <c r="A1787" s="6" t="str">
        <f>IFERROR(__xludf.DUMMYFUNCTION("""COMPUTED_VALUE"""),"gearthlogic")</f>
        <v>gearthlogic</v>
      </c>
      <c r="B1787" s="6" t="str">
        <f>IFERROR(__xludf.DUMMYFUNCTION("""COMPUTED_VALUE"""),"Argentina")</f>
        <v>Argentina</v>
      </c>
      <c r="C1787" s="6" t="str">
        <f>IFERROR(__xludf.DUMMYFUNCTION("""COMPUTED_VALUE"""),"Software Factory / Staffing")</f>
        <v>Software Factory / Staffing</v>
      </c>
    </row>
    <row r="1788">
      <c r="A1788" s="6" t="str">
        <f>IFERROR(__xludf.DUMMYFUNCTION("""COMPUTED_VALUE"""),"sophos solutions")</f>
        <v>sophos solutions</v>
      </c>
      <c r="B1788" s="6" t="str">
        <f>IFERROR(__xludf.DUMMYFUNCTION("""COMPUTED_VALUE"""),"Colombia")</f>
        <v>Colombia</v>
      </c>
      <c r="C1788" s="6" t="str">
        <f>IFERROR(__xludf.DUMMYFUNCTION("""COMPUTED_VALUE"""),"Software Factory / Staffing")</f>
        <v>Software Factory / Staffing</v>
      </c>
    </row>
    <row r="1789" hidden="1">
      <c r="A1789" s="6" t="str">
        <f>IFERROR(__xludf.DUMMYFUNCTION("""COMPUTED_VALUE"""),"dreamsys s.r.l")</f>
        <v>dreamsys s.r.l</v>
      </c>
      <c r="B1789" s="6" t="str">
        <f>IFERROR(__xludf.DUMMYFUNCTION("""COMPUTED_VALUE"""),"Argentina")</f>
        <v>Argentina</v>
      </c>
      <c r="C1789" s="6" t="str">
        <f>IFERROR(__xludf.DUMMYFUNCTION("""COMPUTED_VALUE"""),"Software Factory / Staffing")</f>
        <v>Software Factory / Staffing</v>
      </c>
    </row>
    <row r="1790" hidden="1">
      <c r="A1790" s="6" t="str">
        <f>IFERROR(__xludf.DUMMYFUNCTION("""COMPUTED_VALUE"""),"stable")</f>
        <v>stable</v>
      </c>
      <c r="B1790" s="6" t="str">
        <f>IFERROR(__xludf.DUMMYFUNCTION("""COMPUTED_VALUE"""),"Estados Unidos")</f>
        <v>Estados Unidos</v>
      </c>
      <c r="C1790" s="6" t="str">
        <f>IFERROR(__xludf.DUMMYFUNCTION("""COMPUTED_VALUE"""),"Banking &amp; Financial Servicies")</f>
        <v>Banking &amp; Financial Servicies</v>
      </c>
    </row>
    <row r="1791" hidden="1">
      <c r="A1791" s="6" t="str">
        <f>IFERROR(__xludf.DUMMYFUNCTION("""COMPUTED_VALUE"""),"sistema siges sa")</f>
        <v>sistema siges sa</v>
      </c>
      <c r="B1791" s="6" t="str">
        <f>IFERROR(__xludf.DUMMYFUNCTION("""COMPUTED_VALUE"""),"Argentina")</f>
        <v>Argentina</v>
      </c>
      <c r="C1791" s="6" t="str">
        <f>IFERROR(__xludf.DUMMYFUNCTION("""COMPUTED_VALUE"""),"Software Factory / Staffing")</f>
        <v>Software Factory / Staffing</v>
      </c>
    </row>
    <row r="1792" hidden="1">
      <c r="A1792" s="6" t="str">
        <f>IFERROR(__xludf.DUMMYFUNCTION("""COMPUTED_VALUE"""),"25/7 media llc")</f>
        <v>25/7 media llc</v>
      </c>
      <c r="B1792" s="6" t="str">
        <f>IFERROR(__xludf.DUMMYFUNCTION("""COMPUTED_VALUE"""),"Francia")</f>
        <v>Francia</v>
      </c>
      <c r="C1792" s="6" t="str">
        <f>IFERROR(__xludf.DUMMYFUNCTION("""COMPUTED_VALUE"""),"Media &amp; Communication")</f>
        <v>Media &amp; Communication</v>
      </c>
    </row>
    <row r="1793" hidden="1">
      <c r="A1793" s="6" t="str">
        <f>IFERROR(__xludf.DUMMYFUNCTION("""COMPUTED_VALUE"""),"ingenea srl")</f>
        <v>ingenea srl</v>
      </c>
      <c r="B1793" s="6" t="str">
        <f>IFERROR(__xludf.DUMMYFUNCTION("""COMPUTED_VALUE"""),"Argentina")</f>
        <v>Argentina</v>
      </c>
      <c r="C1793" s="6" t="str">
        <f>IFERROR(__xludf.DUMMYFUNCTION("""COMPUTED_VALUE"""),"Mechanical/Industrial Engineering")</f>
        <v>Mechanical/Industrial Engineering</v>
      </c>
    </row>
    <row r="1794" hidden="1">
      <c r="A1794" s="6" t="str">
        <f>IFERROR(__xludf.DUMMYFUNCTION("""COMPUTED_VALUE"""),"dinamo it")</f>
        <v>dinamo it</v>
      </c>
      <c r="B1794" s="6" t="str">
        <f>IFERROR(__xludf.DUMMYFUNCTION("""COMPUTED_VALUE"""),"Argentina")</f>
        <v>Argentina</v>
      </c>
      <c r="C1794" s="6" t="str">
        <f>IFERROR(__xludf.DUMMYFUNCTION("""COMPUTED_VALUE"""),"Software Factory / Staffing")</f>
        <v>Software Factory / Staffing</v>
      </c>
    </row>
    <row r="1795" hidden="1">
      <c r="A1795" s="6" t="str">
        <f>IFERROR(__xludf.DUMMYFUNCTION("""COMPUTED_VALUE"""),"id-health")</f>
        <v>id-health</v>
      </c>
      <c r="B1795" s="6" t="str">
        <f>IFERROR(__xludf.DUMMYFUNCTION("""COMPUTED_VALUE"""),"Estados Unidos")</f>
        <v>Estados Unidos</v>
      </c>
      <c r="C1795" s="6" t="str">
        <f>IFERROR(__xludf.DUMMYFUNCTION("""COMPUTED_VALUE"""),"Health")</f>
        <v>Health</v>
      </c>
    </row>
    <row r="1796" hidden="1">
      <c r="A1796" s="6" t="str">
        <f>IFERROR(__xludf.DUMMYFUNCTION("""COMPUTED_VALUE"""),"sioma")</f>
        <v>sioma</v>
      </c>
      <c r="B1796" s="6" t="str">
        <f>IFERROR(__xludf.DUMMYFUNCTION("""COMPUTED_VALUE"""),"Colombia")</f>
        <v>Colombia</v>
      </c>
      <c r="C1796" s="6" t="str">
        <f>IFERROR(__xludf.DUMMYFUNCTION("""COMPUTED_VALUE"""),"Software Factory / Staffing")</f>
        <v>Software Factory / Staffing</v>
      </c>
    </row>
    <row r="1797" hidden="1">
      <c r="A1797" s="6" t="str">
        <f>IFERROR(__xludf.DUMMYFUNCTION("""COMPUTED_VALUE"""),"visionaris")</f>
        <v>visionaris</v>
      </c>
      <c r="B1797" s="6" t="str">
        <f>IFERROR(__xludf.DUMMYFUNCTION("""COMPUTED_VALUE"""),"Argentina")</f>
        <v>Argentina</v>
      </c>
      <c r="C1797" s="6" t="str">
        <f>IFERROR(__xludf.DUMMYFUNCTION("""COMPUTED_VALUE"""),"Software Factory / Staffing")</f>
        <v>Software Factory / Staffing</v>
      </c>
    </row>
    <row r="1798" hidden="1">
      <c r="A1798" s="6" t="str">
        <f>IFERROR(__xludf.DUMMYFUNCTION("""COMPUTED_VALUE"""),"gobierno de la ciudad")</f>
        <v>gobierno de la ciudad</v>
      </c>
      <c r="B1798" s="6" t="str">
        <f>IFERROR(__xludf.DUMMYFUNCTION("""COMPUTED_VALUE"""),"Argentina")</f>
        <v>Argentina</v>
      </c>
      <c r="C1798" s="6" t="str">
        <f>IFERROR(__xludf.DUMMYFUNCTION("""COMPUTED_VALUE"""),"Public Center")</f>
        <v>Public Center</v>
      </c>
    </row>
    <row r="1799" hidden="1">
      <c r="A1799" s="6" t="str">
        <f>IFERROR(__xludf.DUMMYFUNCTION("""COMPUTED_VALUE"""),"panamerican solutions bpo")</f>
        <v>panamerican solutions bpo</v>
      </c>
      <c r="B1799" s="6" t="str">
        <f>IFERROR(__xludf.DUMMYFUNCTION("""COMPUTED_VALUE"""),"Estados Unidos")</f>
        <v>Estados Unidos</v>
      </c>
      <c r="C1799" s="6" t="str">
        <f>IFERROR(__xludf.DUMMYFUNCTION("""COMPUTED_VALUE"""),"Software Factory / Staffing")</f>
        <v>Software Factory / Staffing</v>
      </c>
    </row>
    <row r="1800" hidden="1">
      <c r="A1800" s="6" t="str">
        <f>IFERROR(__xludf.DUMMYFUNCTION("""COMPUTED_VALUE"""),"instituto educativo cristiano")</f>
        <v>instituto educativo cristiano</v>
      </c>
      <c r="B1800" s="4"/>
      <c r="C1800" s="6" t="str">
        <f>IFERROR(__xludf.DUMMYFUNCTION("""COMPUTED_VALUE"""),"Education &amp; Edtech")</f>
        <v>Education &amp; Edtech</v>
      </c>
    </row>
    <row r="1801" hidden="1">
      <c r="A1801" s="6" t="str">
        <f>IFERROR(__xludf.DUMMYFUNCTION("""COMPUTED_VALUE"""),"omg")</f>
        <v>omg</v>
      </c>
      <c r="B1801" s="6" t="str">
        <f>IFERROR(__xludf.DUMMYFUNCTION("""COMPUTED_VALUE"""),"Estados Unidos")</f>
        <v>Estados Unidos</v>
      </c>
      <c r="C1801" s="6" t="str">
        <f>IFERROR(__xludf.DUMMYFUNCTION("""COMPUTED_VALUE"""),"Software Factory / Staffing")</f>
        <v>Software Factory / Staffing</v>
      </c>
    </row>
    <row r="1802" hidden="1">
      <c r="A1802" s="6" t="str">
        <f>IFERROR(__xludf.DUMMYFUNCTION("""COMPUTED_VALUE"""),"cw strategic solutions group")</f>
        <v>cw strategic solutions group</v>
      </c>
      <c r="B1802" s="6" t="str">
        <f>IFERROR(__xludf.DUMMYFUNCTION("""COMPUTED_VALUE"""),"Estados Unidos")</f>
        <v>Estados Unidos</v>
      </c>
      <c r="C1802" s="6" t="str">
        <f>IFERROR(__xludf.DUMMYFUNCTION("""COMPUTED_VALUE"""),"Software Factory / Staffing")</f>
        <v>Software Factory / Staffing</v>
      </c>
    </row>
    <row r="1803" hidden="1">
      <c r="A1803" s="6" t="str">
        <f>IFERROR(__xludf.DUMMYFUNCTION("""COMPUTED_VALUE"""),"otros")</f>
        <v>otros</v>
      </c>
      <c r="B1803" s="4"/>
      <c r="C1803" s="4"/>
    </row>
    <row r="1804" hidden="1">
      <c r="A1804" s="6" t="str">
        <f>IFERROR(__xludf.DUMMYFUNCTION("""COMPUTED_VALUE"""),"wkb gaming")</f>
        <v>wkb gaming</v>
      </c>
      <c r="B1804" s="6" t="str">
        <f>IFERROR(__xludf.DUMMYFUNCTION("""COMPUTED_VALUE"""),"Argentina")</f>
        <v>Argentina</v>
      </c>
      <c r="C1804" s="6" t="str">
        <f>IFERROR(__xludf.DUMMYFUNCTION("""COMPUTED_VALUE"""),"Software Factory / Staffing")</f>
        <v>Software Factory / Staffing</v>
      </c>
    </row>
    <row r="1805" hidden="1">
      <c r="A1805" s="6" t="str">
        <f>IFERROR(__xludf.DUMMYFUNCTION("""COMPUTED_VALUE"""),"ministerio de seguridad de la provincia de buenos aires")</f>
        <v>ministerio de seguridad de la provincia de buenos aires</v>
      </c>
      <c r="B1805" s="6" t="str">
        <f>IFERROR(__xludf.DUMMYFUNCTION("""COMPUTED_VALUE"""),"Argentina")</f>
        <v>Argentina</v>
      </c>
      <c r="C1805" s="6" t="str">
        <f>IFERROR(__xludf.DUMMYFUNCTION("""COMPUTED_VALUE"""),"Public Center")</f>
        <v>Public Center</v>
      </c>
    </row>
    <row r="1806" hidden="1">
      <c r="A1806" s="6" t="str">
        <f>IFERROR(__xludf.DUMMYFUNCTION("""COMPUTED_VALUE"""),"martin gonzalez")</f>
        <v>martin gonzalez</v>
      </c>
      <c r="B1806" s="6" t="str">
        <f>IFERROR(__xludf.DUMMYFUNCTION("""COMPUTED_VALUE"""),"España")</f>
        <v>España</v>
      </c>
      <c r="C1806" s="6" t="str">
        <f>IFERROR(__xludf.DUMMYFUNCTION("""COMPUTED_VALUE"""),"Law/Legal Services")</f>
        <v>Law/Legal Services</v>
      </c>
    </row>
    <row r="1807" hidden="1">
      <c r="A1807" s="6" t="str">
        <f>IFERROR(__xludf.DUMMYFUNCTION("""COMPUTED_VALUE"""),"arquia")</f>
        <v>arquia</v>
      </c>
      <c r="B1807" s="6" t="str">
        <f>IFERROR(__xludf.DUMMYFUNCTION("""COMPUTED_VALUE"""),"Argentina")</f>
        <v>Argentina</v>
      </c>
      <c r="C1807" s="6" t="str">
        <f>IFERROR(__xludf.DUMMYFUNCTION("""COMPUTED_VALUE"""),"Software Factory / Staffing")</f>
        <v>Software Factory / Staffing</v>
      </c>
    </row>
    <row r="1808" hidden="1">
      <c r="A1808" s="6" t="str">
        <f>IFERROR(__xludf.DUMMYFUNCTION("""COMPUTED_VALUE"""),"mundar digital")</f>
        <v>mundar digital</v>
      </c>
      <c r="B1808" s="6" t="str">
        <f>IFERROR(__xludf.DUMMYFUNCTION("""COMPUTED_VALUE"""),"Argentina")</f>
        <v>Argentina</v>
      </c>
      <c r="C1808" s="6" t="str">
        <f>IFERROR(__xludf.DUMMYFUNCTION("""COMPUTED_VALUE"""),"Software Factory / Staffing")</f>
        <v>Software Factory / Staffing</v>
      </c>
    </row>
    <row r="1809" hidden="1">
      <c r="A1809" s="6" t="str">
        <f>IFERROR(__xludf.DUMMYFUNCTION("""COMPUTED_VALUE"""),"grupo defa")</f>
        <v>grupo defa</v>
      </c>
      <c r="B1809" s="4"/>
      <c r="C1809" s="4"/>
    </row>
    <row r="1810" hidden="1">
      <c r="A1810" s="6" t="str">
        <f>IFERROR(__xludf.DUMMYFUNCTION("""COMPUTED_VALUE"""),"follow hub digital logístico")</f>
        <v>follow hub digital logístico</v>
      </c>
      <c r="B1810" s="6" t="str">
        <f>IFERROR(__xludf.DUMMYFUNCTION("""COMPUTED_VALUE"""),"Argentina")</f>
        <v>Argentina</v>
      </c>
      <c r="C1810" s="6" t="str">
        <f>IFERROR(__xludf.DUMMYFUNCTION("""COMPUTED_VALUE"""),"Software Factory / Staffing")</f>
        <v>Software Factory / Staffing</v>
      </c>
    </row>
    <row r="1811" hidden="1">
      <c r="A1811" s="6" t="str">
        <f>IFERROR(__xludf.DUMMYFUNCTION("""COMPUTED_VALUE"""),"crossracer airport services s.a")</f>
        <v>crossracer airport services s.a</v>
      </c>
      <c r="B1811" s="6" t="str">
        <f>IFERROR(__xludf.DUMMYFUNCTION("""COMPUTED_VALUE"""),"Argentina")</f>
        <v>Argentina</v>
      </c>
      <c r="C1811" s="6" t="str">
        <f>IFERROR(__xludf.DUMMYFUNCTION("""COMPUTED_VALUE"""),"Mechanical/Industrial Engineering")</f>
        <v>Mechanical/Industrial Engineering</v>
      </c>
    </row>
    <row r="1812" hidden="1">
      <c r="A1812" s="6" t="str">
        <f>IFERROR(__xludf.DUMMYFUNCTION("""COMPUTED_VALUE"""),"prixet technology")</f>
        <v>prixet technology</v>
      </c>
      <c r="B1812" s="6" t="str">
        <f>IFERROR(__xludf.DUMMYFUNCTION("""COMPUTED_VALUE"""),"República Dominicana")</f>
        <v>República Dominicana</v>
      </c>
      <c r="C1812" s="6" t="str">
        <f>IFERROR(__xludf.DUMMYFUNCTION("""COMPUTED_VALUE"""),"Software Factory / Staffing")</f>
        <v>Software Factory / Staffing</v>
      </c>
    </row>
    <row r="1813" hidden="1">
      <c r="A1813" s="6" t="str">
        <f>IFERROR(__xludf.DUMMYFUNCTION("""COMPUTED_VALUE"""),"visualmedica")</f>
        <v>visualmedica</v>
      </c>
      <c r="B1813" s="4"/>
      <c r="C1813" s="4"/>
    </row>
    <row r="1814" hidden="1">
      <c r="A1814" s="6" t="str">
        <f>IFERROR(__xludf.DUMMYFUNCTION("""COMPUTED_VALUE"""),"clarín")</f>
        <v>clarín</v>
      </c>
      <c r="B1814" s="6" t="str">
        <f>IFERROR(__xludf.DUMMYFUNCTION("""COMPUTED_VALUE"""),"Argentina")</f>
        <v>Argentina</v>
      </c>
      <c r="C1814" s="6" t="str">
        <f>IFERROR(__xludf.DUMMYFUNCTION("""COMPUTED_VALUE"""),"Media &amp; Communication")</f>
        <v>Media &amp; Communication</v>
      </c>
    </row>
    <row r="1815" hidden="1">
      <c r="A1815" s="7" t="str">
        <f>IFERROR(__xludf.DUMMYFUNCTION("""COMPUTED_VALUE"""),"educ.ar")</f>
        <v>educ.ar</v>
      </c>
      <c r="B1815" s="6" t="str">
        <f>IFERROR(__xludf.DUMMYFUNCTION("""COMPUTED_VALUE"""),"Argentina")</f>
        <v>Argentina</v>
      </c>
      <c r="C1815" s="6" t="str">
        <f>IFERROR(__xludf.DUMMYFUNCTION("""COMPUTED_VALUE"""),"Public Center")</f>
        <v>Public Center</v>
      </c>
    </row>
    <row r="1816" hidden="1">
      <c r="A1816" s="6" t="str">
        <f>IFERROR(__xludf.DUMMYFUNCTION("""COMPUTED_VALUE"""),"innovamat education sl")</f>
        <v>innovamat education sl</v>
      </c>
      <c r="B1816" s="4"/>
      <c r="C1816" s="4"/>
    </row>
    <row r="1817" hidden="1">
      <c r="A1817" s="6" t="str">
        <f>IFERROR(__xludf.DUMMYFUNCTION("""COMPUTED_VALUE"""),"interbank")</f>
        <v>interbank</v>
      </c>
      <c r="B1817" s="4"/>
      <c r="C1817" s="6" t="str">
        <f>IFERROR(__xludf.DUMMYFUNCTION("""COMPUTED_VALUE"""),"Banking &amp; Financial Servicies")</f>
        <v>Banking &amp; Financial Servicies</v>
      </c>
    </row>
    <row r="1818" hidden="1">
      <c r="A1818" s="6" t="str">
        <f>IFERROR(__xludf.DUMMYFUNCTION("""COMPUTED_VALUE"""),"devocamp")</f>
        <v>devocamp</v>
      </c>
      <c r="B1818" s="6" t="str">
        <f>IFERROR(__xludf.DUMMYFUNCTION("""COMPUTED_VALUE"""),"Estados Unidos")</f>
        <v>Estados Unidos</v>
      </c>
      <c r="C1818" s="6" t="str">
        <f>IFERROR(__xludf.DUMMYFUNCTION("""COMPUTED_VALUE"""),"Software Factory / Staffing")</f>
        <v>Software Factory / Staffing</v>
      </c>
    </row>
    <row r="1819" hidden="1">
      <c r="A1819" s="6" t="str">
        <f>IFERROR(__xludf.DUMMYFUNCTION("""COMPUTED_VALUE"""),"consultora")</f>
        <v>consultora</v>
      </c>
      <c r="B1819" s="4"/>
      <c r="C1819" s="6" t="str">
        <f>IFERROR(__xludf.DUMMYFUNCTION("""COMPUTED_VALUE"""),"Management Consulting")</f>
        <v>Management Consulting</v>
      </c>
    </row>
    <row r="1820" hidden="1">
      <c r="A1820" s="6" t="str">
        <f>IFERROR(__xludf.DUMMYFUNCTION("""COMPUTED_VALUE"""),"it procesos")</f>
        <v>it procesos</v>
      </c>
      <c r="B1820" s="6" t="str">
        <f>IFERROR(__xludf.DUMMYFUNCTION("""COMPUTED_VALUE"""),"Chile")</f>
        <v>Chile</v>
      </c>
      <c r="C1820" s="6" t="str">
        <f>IFERROR(__xludf.DUMMYFUNCTION("""COMPUTED_VALUE"""),"Software Factory / Staffing")</f>
        <v>Software Factory / Staffing</v>
      </c>
    </row>
    <row r="1821" hidden="1">
      <c r="A1821" s="6" t="str">
        <f>IFERROR(__xludf.DUMMYFUNCTION("""COMPUTED_VALUE"""),"devoteam")</f>
        <v>devoteam</v>
      </c>
      <c r="B1821" s="6" t="str">
        <f>IFERROR(__xludf.DUMMYFUNCTION("""COMPUTED_VALUE"""),"Francia")</f>
        <v>Francia</v>
      </c>
      <c r="C1821" s="6" t="str">
        <f>IFERROR(__xludf.DUMMYFUNCTION("""COMPUTED_VALUE"""),"Software Factory / Staffing")</f>
        <v>Software Factory / Staffing</v>
      </c>
    </row>
    <row r="1822" hidden="1">
      <c r="A1822" s="6" t="str">
        <f>IFERROR(__xludf.DUMMYFUNCTION("""COMPUTED_VALUE"""),"grupo backup")</f>
        <v>grupo backup</v>
      </c>
      <c r="B1822" s="6" t="str">
        <f>IFERROR(__xludf.DUMMYFUNCTION("""COMPUTED_VALUE"""),"España")</f>
        <v>España</v>
      </c>
      <c r="C1822" s="6" t="str">
        <f>IFERROR(__xludf.DUMMYFUNCTION("""COMPUTED_VALUE"""),"Software Factory / Staffing")</f>
        <v>Software Factory / Staffing</v>
      </c>
    </row>
    <row r="1823" hidden="1">
      <c r="A1823" s="6" t="str">
        <f>IFERROR(__xludf.DUMMYFUNCTION("""COMPUTED_VALUE"""),"kingo")</f>
        <v>kingo</v>
      </c>
      <c r="B1823" s="6" t="str">
        <f>IFERROR(__xludf.DUMMYFUNCTION("""COMPUTED_VALUE"""),"Guatemala")</f>
        <v>Guatemala</v>
      </c>
      <c r="C1823" s="6" t="str">
        <f>IFERROR(__xludf.DUMMYFUNCTION("""COMPUTED_VALUE"""),"Energy")</f>
        <v>Energy</v>
      </c>
    </row>
    <row r="1824" hidden="1">
      <c r="A1824" s="6" t="str">
        <f>IFERROR(__xludf.DUMMYFUNCTION("""COMPUTED_VALUE"""),"inmobiliaria franzoni")</f>
        <v>inmobiliaria franzoni</v>
      </c>
      <c r="B1824" s="6" t="str">
        <f>IFERROR(__xludf.DUMMYFUNCTION("""COMPUTED_VALUE"""),"Argentina")</f>
        <v>Argentina</v>
      </c>
      <c r="C1824" s="6" t="str">
        <f>IFERROR(__xludf.DUMMYFUNCTION("""COMPUTED_VALUE"""),"Other")</f>
        <v>Other</v>
      </c>
    </row>
    <row r="1825" hidden="1">
      <c r="A1825" s="6" t="str">
        <f>IFERROR(__xludf.DUMMYFUNCTION("""COMPUTED_VALUE"""),"kraitt")</f>
        <v>kraitt</v>
      </c>
      <c r="B1825" s="6" t="str">
        <f>IFERROR(__xludf.DUMMYFUNCTION("""COMPUTED_VALUE"""),"Estados Unidos")</f>
        <v>Estados Unidos</v>
      </c>
      <c r="C1825" s="6" t="str">
        <f>IFERROR(__xludf.DUMMYFUNCTION("""COMPUTED_VALUE"""),"Software Factory / Staffing")</f>
        <v>Software Factory / Staffing</v>
      </c>
    </row>
    <row r="1826" hidden="1">
      <c r="A1826" s="6" t="str">
        <f>IFERROR(__xludf.DUMMYFUNCTION("""COMPUTED_VALUE"""),"canari studio")</f>
        <v>canari studio</v>
      </c>
      <c r="B1826" s="6" t="str">
        <f>IFERROR(__xludf.DUMMYFUNCTION("""COMPUTED_VALUE"""),"Francia")</f>
        <v>Francia</v>
      </c>
      <c r="C1826" s="6" t="str">
        <f>IFERROR(__xludf.DUMMYFUNCTION("""COMPUTED_VALUE"""),"Marketing &amp; Advertising")</f>
        <v>Marketing &amp; Advertising</v>
      </c>
    </row>
    <row r="1827" hidden="1">
      <c r="A1827" s="6" t="str">
        <f>IFERROR(__xludf.DUMMYFUNCTION("""COMPUTED_VALUE"""),"medexis srl")</f>
        <v>medexis srl</v>
      </c>
      <c r="B1827" s="6" t="str">
        <f>IFERROR(__xludf.DUMMYFUNCTION("""COMPUTED_VALUE"""),"Argentina")</f>
        <v>Argentina</v>
      </c>
      <c r="C1827" s="6" t="str">
        <f>IFERROR(__xludf.DUMMYFUNCTION("""COMPUTED_VALUE"""),"Software Factory / Staffing")</f>
        <v>Software Factory / Staffing</v>
      </c>
    </row>
    <row r="1828" hidden="1">
      <c r="A1828" s="6" t="str">
        <f>IFERROR(__xludf.DUMMYFUNCTION("""COMPUTED_VALUE"""),"covalto")</f>
        <v>covalto</v>
      </c>
      <c r="B1828" s="6" t="str">
        <f>IFERROR(__xludf.DUMMYFUNCTION("""COMPUTED_VALUE"""),"Mexico")</f>
        <v>Mexico</v>
      </c>
      <c r="C1828" s="6" t="str">
        <f>IFERROR(__xludf.DUMMYFUNCTION("""COMPUTED_VALUE"""),"Banking &amp; Financial Servicies")</f>
        <v>Banking &amp; Financial Servicies</v>
      </c>
    </row>
    <row r="1829" hidden="1">
      <c r="A1829" s="6" t="str">
        <f>IFERROR(__xludf.DUMMYFUNCTION("""COMPUTED_VALUE"""),"enviopack s.a.")</f>
        <v>enviopack s.a.</v>
      </c>
      <c r="B1829" s="6" t="str">
        <f>IFERROR(__xludf.DUMMYFUNCTION("""COMPUTED_VALUE"""),"Argentina")</f>
        <v>Argentina</v>
      </c>
      <c r="C1829" s="6" t="str">
        <f>IFERROR(__xludf.DUMMYFUNCTION("""COMPUTED_VALUE"""),"Logistics")</f>
        <v>Logistics</v>
      </c>
    </row>
    <row r="1830" hidden="1">
      <c r="A1830" s="6" t="str">
        <f>IFERROR(__xludf.DUMMYFUNCTION("""COMPUTED_VALUE"""),"strata analytics")</f>
        <v>strata analytics</v>
      </c>
      <c r="B1830" s="6" t="str">
        <f>IFERROR(__xludf.DUMMYFUNCTION("""COMPUTED_VALUE"""),"Estados Unidos")</f>
        <v>Estados Unidos</v>
      </c>
      <c r="C1830" s="6" t="str">
        <f>IFERROR(__xludf.DUMMYFUNCTION("""COMPUTED_VALUE"""),"Data &amp; Analytics")</f>
        <v>Data &amp; Analytics</v>
      </c>
    </row>
    <row r="1831" hidden="1">
      <c r="A1831" s="6" t="str">
        <f>IFERROR(__xludf.DUMMYFUNCTION("""COMPUTED_VALUE"""),"búho gestión")</f>
        <v>búho gestión</v>
      </c>
      <c r="B1831" s="6" t="str">
        <f>IFERROR(__xludf.DUMMYFUNCTION("""COMPUTED_VALUE"""),"Argentina")</f>
        <v>Argentina</v>
      </c>
      <c r="C1831" s="6" t="str">
        <f>IFERROR(__xludf.DUMMYFUNCTION("""COMPUTED_VALUE"""),"Travel and Tourism")</f>
        <v>Travel and Tourism</v>
      </c>
    </row>
    <row r="1832" hidden="1">
      <c r="A1832" s="6" t="str">
        <f>IFERROR(__xludf.DUMMYFUNCTION("""COMPUTED_VALUE"""),"distribuidora muller srl")</f>
        <v>distribuidora muller srl</v>
      </c>
      <c r="B1832" s="6" t="str">
        <f>IFERROR(__xludf.DUMMYFUNCTION("""COMPUTED_VALUE"""),"Argentina")</f>
        <v>Argentina</v>
      </c>
      <c r="C1832" s="6" t="str">
        <f>IFERROR(__xludf.DUMMYFUNCTION("""COMPUTED_VALUE"""),"Health")</f>
        <v>Health</v>
      </c>
    </row>
    <row r="1833" hidden="1">
      <c r="A1833" s="6" t="str">
        <f>IFERROR(__xludf.DUMMYFUNCTION("""COMPUTED_VALUE"""),"zion")</f>
        <v>zion</v>
      </c>
      <c r="B1833" s="6" t="str">
        <f>IFERROR(__xludf.DUMMYFUNCTION("""COMPUTED_VALUE"""),"Estados Unidos")</f>
        <v>Estados Unidos</v>
      </c>
      <c r="C1833" s="6" t="str">
        <f>IFERROR(__xludf.DUMMYFUNCTION("""COMPUTED_VALUE"""),"Other")</f>
        <v>Other</v>
      </c>
    </row>
    <row r="1834" hidden="1">
      <c r="A1834" s="6" t="str">
        <f>IFERROR(__xludf.DUMMYFUNCTION("""COMPUTED_VALUE"""),"res non verba asociacion civil")</f>
        <v>res non verba asociacion civil</v>
      </c>
      <c r="B1834" s="4"/>
      <c r="C1834" s="6" t="str">
        <f>IFERROR(__xludf.DUMMYFUNCTION("""COMPUTED_VALUE"""),"Public Center")</f>
        <v>Public Center</v>
      </c>
    </row>
    <row r="1835" hidden="1">
      <c r="A1835" s="6" t="str">
        <f>IFERROR(__xludf.DUMMYFUNCTION("""COMPUTED_VALUE"""),"bm soluciones")</f>
        <v>bm soluciones</v>
      </c>
      <c r="B1835" s="6" t="str">
        <f>IFERROR(__xludf.DUMMYFUNCTION("""COMPUTED_VALUE"""),"Argentina")</f>
        <v>Argentina</v>
      </c>
      <c r="C1835" s="6" t="str">
        <f>IFERROR(__xludf.DUMMYFUNCTION("""COMPUTED_VALUE"""),"Banking &amp; Financial Servicies")</f>
        <v>Banking &amp; Financial Servicies</v>
      </c>
    </row>
    <row r="1836" hidden="1">
      <c r="A1836" s="6" t="str">
        <f>IFERROR(__xludf.DUMMYFUNCTION("""COMPUTED_VALUE"""),"daewoo")</f>
        <v>daewoo</v>
      </c>
      <c r="B1836" s="6" t="str">
        <f>IFERROR(__xludf.DUMMYFUNCTION("""COMPUTED_VALUE"""),"Corea del Sur")</f>
        <v>Corea del Sur</v>
      </c>
      <c r="C1836" s="6" t="str">
        <f>IFERROR(__xludf.DUMMYFUNCTION("""COMPUTED_VALUE"""),"Other")</f>
        <v>Other</v>
      </c>
    </row>
    <row r="1837" hidden="1">
      <c r="A1837" s="6" t="str">
        <f>IFERROR(__xludf.DUMMYFUNCTION("""COMPUTED_VALUE"""),"potro lima")</f>
        <v>potro lima</v>
      </c>
      <c r="B1837" s="6" t="str">
        <f>IFERROR(__xludf.DUMMYFUNCTION("""COMPUTED_VALUE"""),"Peru")</f>
        <v>Peru</v>
      </c>
      <c r="C1837" s="6" t="str">
        <f>IFERROR(__xludf.DUMMYFUNCTION("""COMPUTED_VALUE"""),"Other")</f>
        <v>Other</v>
      </c>
    </row>
    <row r="1838" hidden="1">
      <c r="A1838" s="6" t="str">
        <f>IFERROR(__xludf.DUMMYFUNCTION("""COMPUTED_VALUE"""),"t1ne")</f>
        <v>t1ne</v>
      </c>
      <c r="B1838" s="6" t="str">
        <f>IFERROR(__xludf.DUMMYFUNCTION("""COMPUTED_VALUE"""),"Argentina")</f>
        <v>Argentina</v>
      </c>
      <c r="C1838" s="6" t="str">
        <f>IFERROR(__xludf.DUMMYFUNCTION("""COMPUTED_VALUE"""),"Software Factory / Staffing")</f>
        <v>Software Factory / Staffing</v>
      </c>
    </row>
    <row r="1839" hidden="1">
      <c r="A1839" s="6" t="str">
        <f>IFERROR(__xludf.DUMMYFUNCTION("""COMPUTED_VALUE"""),"grupo kobsa")</f>
        <v>grupo kobsa</v>
      </c>
      <c r="B1839" s="4"/>
      <c r="C1839" s="6" t="str">
        <f>IFERROR(__xludf.DUMMYFUNCTION("""COMPUTED_VALUE"""),"Banking &amp; Financial Servicies")</f>
        <v>Banking &amp; Financial Servicies</v>
      </c>
    </row>
    <row r="1840" hidden="1">
      <c r="A1840" s="6" t="str">
        <f>IFERROR(__xludf.DUMMYFUNCTION("""COMPUTED_VALUE"""),"inside dark studio")</f>
        <v>inside dark studio</v>
      </c>
      <c r="B1840" s="4"/>
      <c r="C1840" s="6" t="str">
        <f>IFERROR(__xludf.DUMMYFUNCTION("""COMPUTED_VALUE"""),"Gaming")</f>
        <v>Gaming</v>
      </c>
    </row>
    <row r="1841" hidden="1">
      <c r="A1841" s="6" t="str">
        <f>IFERROR(__xludf.DUMMYFUNCTION("""COMPUTED_VALUE"""),"isos group sac")</f>
        <v>isos group sac</v>
      </c>
      <c r="B1841" s="4"/>
      <c r="C1841" s="6" t="str">
        <f>IFERROR(__xludf.DUMMYFUNCTION("""COMPUTED_VALUE"""),"Management Consulting")</f>
        <v>Management Consulting</v>
      </c>
    </row>
    <row r="1842" hidden="1">
      <c r="A1842" s="6" t="str">
        <f>IFERROR(__xludf.DUMMYFUNCTION("""COMPUTED_VALUE"""),"servicios procure spa")</f>
        <v>servicios procure spa</v>
      </c>
      <c r="B1842" s="6" t="str">
        <f>IFERROR(__xludf.DUMMYFUNCTION("""COMPUTED_VALUE"""),"Chile")</f>
        <v>Chile</v>
      </c>
      <c r="C1842" s="6" t="str">
        <f>IFERROR(__xludf.DUMMYFUNCTION("""COMPUTED_VALUE"""),"Mechanical/Industrial Engineering")</f>
        <v>Mechanical/Industrial Engineering</v>
      </c>
    </row>
    <row r="1843" hidden="1">
      <c r="A1843" s="6" t="str">
        <f>IFERROR(__xludf.DUMMYFUNCTION("""COMPUTED_VALUE"""),"solvo rosario")</f>
        <v>solvo rosario</v>
      </c>
      <c r="B1843" s="6" t="str">
        <f>IFERROR(__xludf.DUMMYFUNCTION("""COMPUTED_VALUE"""),"Argentina")</f>
        <v>Argentina</v>
      </c>
      <c r="C1843" s="6" t="str">
        <f>IFERROR(__xludf.DUMMYFUNCTION("""COMPUTED_VALUE"""),"Software Factory / Staffing")</f>
        <v>Software Factory / Staffing</v>
      </c>
    </row>
    <row r="1844" hidden="1">
      <c r="A1844" s="6" t="str">
        <f>IFERROR(__xludf.DUMMYFUNCTION("""COMPUTED_VALUE"""),"experis")</f>
        <v>experis</v>
      </c>
      <c r="B1844" s="6" t="str">
        <f>IFERROR(__xludf.DUMMYFUNCTION("""COMPUTED_VALUE"""),"Argentina")</f>
        <v>Argentina</v>
      </c>
      <c r="C1844" s="6" t="str">
        <f>IFERROR(__xludf.DUMMYFUNCTION("""COMPUTED_VALUE"""),"Software Factory / Staffing")</f>
        <v>Software Factory / Staffing</v>
      </c>
    </row>
    <row r="1845" hidden="1">
      <c r="A1845" s="6" t="str">
        <f>IFERROR(__xludf.DUMMYFUNCTION("""COMPUTED_VALUE"""),"asofix")</f>
        <v>asofix</v>
      </c>
      <c r="B1845" s="6" t="str">
        <f>IFERROR(__xludf.DUMMYFUNCTION("""COMPUTED_VALUE"""),"Argentina")</f>
        <v>Argentina</v>
      </c>
      <c r="C1845" s="6" t="str">
        <f>IFERROR(__xludf.DUMMYFUNCTION("""COMPUTED_VALUE"""),"Software Factory / Staffing")</f>
        <v>Software Factory / Staffing</v>
      </c>
    </row>
    <row r="1846" hidden="1">
      <c r="A1846" s="6" t="str">
        <f>IFERROR(__xludf.DUMMYFUNCTION("""COMPUTED_VALUE"""),"outsource argentina")</f>
        <v>outsource argentina</v>
      </c>
      <c r="B1846" s="6" t="str">
        <f>IFERROR(__xludf.DUMMYFUNCTION("""COMPUTED_VALUE"""),"Estados Unidos")</f>
        <v>Estados Unidos</v>
      </c>
      <c r="C1846" s="6" t="str">
        <f>IFERROR(__xludf.DUMMYFUNCTION("""COMPUTED_VALUE"""),"Software Factory / Staffing")</f>
        <v>Software Factory / Staffing</v>
      </c>
    </row>
    <row r="1847" hidden="1">
      <c r="A1847" s="6" t="str">
        <f>IFERROR(__xludf.DUMMYFUNCTION("""COMPUTED_VALUE"""),"abatech")</f>
        <v>abatech</v>
      </c>
      <c r="B1847" s="6" t="str">
        <f>IFERROR(__xludf.DUMMYFUNCTION("""COMPUTED_VALUE"""),"Argentina")</f>
        <v>Argentina</v>
      </c>
      <c r="C1847" s="6" t="str">
        <f>IFERROR(__xludf.DUMMYFUNCTION("""COMPUTED_VALUE"""),"Agtech / Agro")</f>
        <v>Agtech / Agro</v>
      </c>
    </row>
    <row r="1848" hidden="1">
      <c r="A1848" s="6" t="str">
        <f>IFERROR(__xludf.DUMMYFUNCTION("""COMPUTED_VALUE"""),"tsg system")</f>
        <v>tsg system</v>
      </c>
      <c r="B1848" s="6" t="str">
        <f>IFERROR(__xludf.DUMMYFUNCTION("""COMPUTED_VALUE"""),"Marruecos")</f>
        <v>Marruecos</v>
      </c>
      <c r="C1848" s="6" t="str">
        <f>IFERROR(__xludf.DUMMYFUNCTION("""COMPUTED_VALUE"""),"Other")</f>
        <v>Other</v>
      </c>
    </row>
    <row r="1849" hidden="1">
      <c r="A1849" s="6" t="str">
        <f>IFERROR(__xludf.DUMMYFUNCTION("""COMPUTED_VALUE"""),"cima group")</f>
        <v>cima group</v>
      </c>
      <c r="B1849" s="6" t="str">
        <f>IFERROR(__xludf.DUMMYFUNCTION("""COMPUTED_VALUE"""),"Estados Unidos")</f>
        <v>Estados Unidos</v>
      </c>
      <c r="C1849" s="6" t="str">
        <f>IFERROR(__xludf.DUMMYFUNCTION("""COMPUTED_VALUE"""),"Messaging and Telecommunications")</f>
        <v>Messaging and Telecommunications</v>
      </c>
    </row>
    <row r="1850" hidden="1">
      <c r="A1850" s="6" t="str">
        <f>IFERROR(__xludf.DUMMYFUNCTION("""COMPUTED_VALUE"""),"atp sud")</f>
        <v>atp sud</v>
      </c>
      <c r="B1850" s="6" t="str">
        <f>IFERROR(__xludf.DUMMYFUNCTION("""COMPUTED_VALUE"""),"Francia")</f>
        <v>Francia</v>
      </c>
      <c r="C1850" s="6" t="str">
        <f>IFERROR(__xludf.DUMMYFUNCTION("""COMPUTED_VALUE"""),"Other")</f>
        <v>Other</v>
      </c>
    </row>
    <row r="1851" hidden="1">
      <c r="A1851" s="6" t="str">
        <f>IFERROR(__xludf.DUMMYFUNCTION("""COMPUTED_VALUE"""),"a-teamwork")</f>
        <v>a-teamwork</v>
      </c>
      <c r="B1851" s="6" t="str">
        <f>IFERROR(__xludf.DUMMYFUNCTION("""COMPUTED_VALUE"""),"Irlanda")</f>
        <v>Irlanda</v>
      </c>
      <c r="C1851" s="6" t="str">
        <f>IFERROR(__xludf.DUMMYFUNCTION("""COMPUTED_VALUE"""),"Software Factory / Staffing")</f>
        <v>Software Factory / Staffing</v>
      </c>
    </row>
    <row r="1852" hidden="1">
      <c r="A1852" s="6" t="str">
        <f>IFERROR(__xludf.DUMMYFUNCTION("""COMPUTED_VALUE"""),"dieboldnixdorf")</f>
        <v>dieboldnixdorf</v>
      </c>
      <c r="B1852" s="6" t="str">
        <f>IFERROR(__xludf.DUMMYFUNCTION("""COMPUTED_VALUE"""),"Estados Unidos")</f>
        <v>Estados Unidos</v>
      </c>
      <c r="C1852" s="6" t="str">
        <f>IFERROR(__xludf.DUMMYFUNCTION("""COMPUTED_VALUE"""),"Software Factory / Staffing")</f>
        <v>Software Factory / Staffing</v>
      </c>
    </row>
    <row r="1853" hidden="1">
      <c r="A1853" s="6" t="str">
        <f>IFERROR(__xludf.DUMMYFUNCTION("""COMPUTED_VALUE"""),"rackoot")</f>
        <v>rackoot</v>
      </c>
      <c r="B1853" s="6" t="str">
        <f>IFERROR(__xludf.DUMMYFUNCTION("""COMPUTED_VALUE"""),"Estados Unidos")</f>
        <v>Estados Unidos</v>
      </c>
      <c r="C1853" s="6" t="str">
        <f>IFERROR(__xludf.DUMMYFUNCTION("""COMPUTED_VALUE"""),"Software Factory / Staffing")</f>
        <v>Software Factory / Staffing</v>
      </c>
    </row>
    <row r="1854" hidden="1">
      <c r="A1854" s="6" t="str">
        <f>IFERROR(__xludf.DUMMYFUNCTION("""COMPUTED_VALUE"""),"kadima sa")</f>
        <v>kadima sa</v>
      </c>
      <c r="B1854" s="6" t="str">
        <f>IFERROR(__xludf.DUMMYFUNCTION("""COMPUTED_VALUE"""),"Estados Unidos")</f>
        <v>Estados Unidos</v>
      </c>
      <c r="C1854" s="6" t="str">
        <f>IFERROR(__xludf.DUMMYFUNCTION("""COMPUTED_VALUE"""),"Other")</f>
        <v>Other</v>
      </c>
    </row>
    <row r="1855" hidden="1">
      <c r="A1855" s="6" t="str">
        <f>IFERROR(__xludf.DUMMYFUNCTION("""COMPUTED_VALUE"""),"4geeksacademy")</f>
        <v>4geeksacademy</v>
      </c>
      <c r="B1855" s="4"/>
      <c r="C1855" s="4"/>
    </row>
    <row r="1856" hidden="1">
      <c r="A1856" s="6" t="str">
        <f>IFERROR(__xludf.DUMMYFUNCTION("""COMPUTED_VALUE"""),"candoit")</f>
        <v>candoit</v>
      </c>
      <c r="B1856" s="6" t="str">
        <f>IFERROR(__xludf.DUMMYFUNCTION("""COMPUTED_VALUE"""),"Argentina")</f>
        <v>Argentina</v>
      </c>
      <c r="C1856" s="6" t="str">
        <f>IFERROR(__xludf.DUMMYFUNCTION("""COMPUTED_VALUE"""),"Software Factory / Staffing")</f>
        <v>Software Factory / Staffing</v>
      </c>
    </row>
    <row r="1857" hidden="1">
      <c r="A1857" s="6" t="str">
        <f>IFERROR(__xludf.DUMMYFUNCTION("""COMPUTED_VALUE"""),"sabio")</f>
        <v>sabio</v>
      </c>
      <c r="B1857" s="6" t="str">
        <f>IFERROR(__xludf.DUMMYFUNCTION("""COMPUTED_VALUE"""),"Inglaterra")</f>
        <v>Inglaterra</v>
      </c>
      <c r="C1857" s="6" t="str">
        <f>IFERROR(__xludf.DUMMYFUNCTION("""COMPUTED_VALUE"""),"Software Factory / Staffing")</f>
        <v>Software Factory / Staffing</v>
      </c>
    </row>
    <row r="1858" hidden="1">
      <c r="A1858" s="6" t="str">
        <f>IFERROR(__xludf.DUMMYFUNCTION("""COMPUTED_VALUE"""),"netcom")</f>
        <v>netcom</v>
      </c>
      <c r="B1858" s="6" t="str">
        <f>IFERROR(__xludf.DUMMYFUNCTION("""COMPUTED_VALUE"""),"Uruguay")</f>
        <v>Uruguay</v>
      </c>
      <c r="C1858" s="6" t="str">
        <f>IFERROR(__xludf.DUMMYFUNCTION("""COMPUTED_VALUE"""),"Marketing &amp; Advertising")</f>
        <v>Marketing &amp; Advertising</v>
      </c>
    </row>
    <row r="1859" hidden="1">
      <c r="A1859" s="6" t="str">
        <f>IFERROR(__xludf.DUMMYFUNCTION("""COMPUTED_VALUE"""),"smart latam spa")</f>
        <v>smart latam spa</v>
      </c>
      <c r="B1859" s="4"/>
      <c r="C1859" s="6" t="str">
        <f>IFERROR(__xludf.DUMMYFUNCTION("""COMPUTED_VALUE"""),"Software Factory / Staffing")</f>
        <v>Software Factory / Staffing</v>
      </c>
    </row>
    <row r="1860" hidden="1">
      <c r="A1860" s="6" t="str">
        <f>IFERROR(__xludf.DUMMYFUNCTION("""COMPUTED_VALUE"""),"gilson software")</f>
        <v>gilson software</v>
      </c>
      <c r="B1860" s="6" t="str">
        <f>IFERROR(__xludf.DUMMYFUNCTION("""COMPUTED_VALUE"""),"Estados Unidos")</f>
        <v>Estados Unidos</v>
      </c>
      <c r="C1860" s="6" t="str">
        <f>IFERROR(__xludf.DUMMYFUNCTION("""COMPUTED_VALUE"""),"Software Factory / Staffing")</f>
        <v>Software Factory / Staffing</v>
      </c>
    </row>
    <row r="1861" hidden="1">
      <c r="A1861" s="6" t="str">
        <f>IFERROR(__xludf.DUMMYFUNCTION("""COMPUTED_VALUE"""),"cat")</f>
        <v>cat</v>
      </c>
      <c r="B1861" s="4"/>
      <c r="C1861" s="4"/>
    </row>
    <row r="1862" hidden="1">
      <c r="A1862" s="6" t="str">
        <f>IFERROR(__xludf.DUMMYFUNCTION("""COMPUTED_VALUE"""),"sisem")</f>
        <v>sisem</v>
      </c>
      <c r="B1862" s="6" t="str">
        <f>IFERROR(__xludf.DUMMYFUNCTION("""COMPUTED_VALUE"""),"Argentina")</f>
        <v>Argentina</v>
      </c>
      <c r="C1862" s="6" t="str">
        <f>IFERROR(__xludf.DUMMYFUNCTION("""COMPUTED_VALUE"""),"Software Factory / Staffing")</f>
        <v>Software Factory / Staffing</v>
      </c>
    </row>
    <row r="1863" hidden="1">
      <c r="A1863" s="6" t="str">
        <f>IFERROR(__xludf.DUMMYFUNCTION("""COMPUTED_VALUE"""),"getback")</f>
        <v>getback</v>
      </c>
      <c r="B1863" s="6" t="str">
        <f>IFERROR(__xludf.DUMMYFUNCTION("""COMPUTED_VALUE"""),"Chile")</f>
        <v>Chile</v>
      </c>
      <c r="C1863" s="6" t="str">
        <f>IFERROR(__xludf.DUMMYFUNCTION("""COMPUTED_VALUE"""),"E-commerce")</f>
        <v>E-commerce</v>
      </c>
    </row>
    <row r="1864" hidden="1">
      <c r="A1864" s="6" t="str">
        <f>IFERROR(__xludf.DUMMYFUNCTION("""COMPUTED_VALUE"""),"openlifter")</f>
        <v>openlifter</v>
      </c>
      <c r="B1864" s="6" t="str">
        <f>IFERROR(__xludf.DUMMYFUNCTION("""COMPUTED_VALUE"""),"Argentina")</f>
        <v>Argentina</v>
      </c>
      <c r="C1864" s="6" t="str">
        <f>IFERROR(__xludf.DUMMYFUNCTION("""COMPUTED_VALUE"""),"Marketing &amp; Advertising")</f>
        <v>Marketing &amp; Advertising</v>
      </c>
    </row>
    <row r="1865" hidden="1">
      <c r="A1865" s="6" t="str">
        <f>IFERROR(__xludf.DUMMYFUNCTION("""COMPUTED_VALUE"""),"municipalidad de mendoza")</f>
        <v>municipalidad de mendoza</v>
      </c>
      <c r="B1865" s="6" t="str">
        <f>IFERROR(__xludf.DUMMYFUNCTION("""COMPUTED_VALUE"""),"Argentina")</f>
        <v>Argentina</v>
      </c>
      <c r="C1865" s="6" t="str">
        <f>IFERROR(__xludf.DUMMYFUNCTION("""COMPUTED_VALUE"""),"Public Center")</f>
        <v>Public Center</v>
      </c>
    </row>
    <row r="1866" hidden="1">
      <c r="A1866" s="6" t="str">
        <f>IFERROR(__xludf.DUMMYFUNCTION("""COMPUTED_VALUE"""),"cpem n°34")</f>
        <v>cpem n°34</v>
      </c>
      <c r="B1866" s="6" t="str">
        <f>IFERROR(__xludf.DUMMYFUNCTION("""COMPUTED_VALUE"""),"Argentina")</f>
        <v>Argentina</v>
      </c>
      <c r="C1866" s="6" t="str">
        <f>IFERROR(__xludf.DUMMYFUNCTION("""COMPUTED_VALUE"""),"Public Center")</f>
        <v>Public Center</v>
      </c>
    </row>
    <row r="1867" hidden="1">
      <c r="A1867" s="6" t="str">
        <f>IFERROR(__xludf.DUMMYFUNCTION("""COMPUTED_VALUE"""),"finnix")</f>
        <v>finnix</v>
      </c>
      <c r="B1867" s="6" t="str">
        <f>IFERROR(__xludf.DUMMYFUNCTION("""COMPUTED_VALUE"""),"Estados Unidos")</f>
        <v>Estados Unidos</v>
      </c>
      <c r="C1867" s="6" t="str">
        <f>IFERROR(__xludf.DUMMYFUNCTION("""COMPUTED_VALUE"""),"Fintech")</f>
        <v>Fintech</v>
      </c>
    </row>
    <row r="1868" hidden="1">
      <c r="A1868" s="6" t="str">
        <f>IFERROR(__xludf.DUMMYFUNCTION("""COMPUTED_VALUE"""),"webstarted")</f>
        <v>webstarted</v>
      </c>
      <c r="B1868" s="6" t="str">
        <f>IFERROR(__xludf.DUMMYFUNCTION("""COMPUTED_VALUE"""),"Estados Unidos")</f>
        <v>Estados Unidos</v>
      </c>
      <c r="C1868" s="6" t="str">
        <f>IFERROR(__xludf.DUMMYFUNCTION("""COMPUTED_VALUE"""),"Software Factory / Staffing")</f>
        <v>Software Factory / Staffing</v>
      </c>
    </row>
    <row r="1869" hidden="1">
      <c r="A1869" s="6" t="str">
        <f>IFERROR(__xludf.DUMMYFUNCTION("""COMPUTED_VALUE"""),"cms group")</f>
        <v>cms group</v>
      </c>
      <c r="B1869" s="4"/>
      <c r="C1869" s="6" t="str">
        <f>IFERROR(__xludf.DUMMYFUNCTION("""COMPUTED_VALUE"""),"Mechanical/Industrial Engineering")</f>
        <v>Mechanical/Industrial Engineering</v>
      </c>
    </row>
    <row r="1870">
      <c r="A1870" s="6" t="str">
        <f>IFERROR(__xludf.DUMMYFUNCTION("""COMPUTED_VALUE"""),"municipalidad de villa allende")</f>
        <v>municipalidad de villa allende</v>
      </c>
      <c r="B1870" s="6" t="str">
        <f>IFERROR(__xludf.DUMMYFUNCTION("""COMPUTED_VALUE"""),"Argentina")</f>
        <v>Argentina</v>
      </c>
      <c r="C1870" s="6" t="str">
        <f>IFERROR(__xludf.DUMMYFUNCTION("""COMPUTED_VALUE"""),"Public Center")</f>
        <v>Public Center</v>
      </c>
    </row>
    <row r="1871" hidden="1">
      <c r="A1871" s="6" t="str">
        <f>IFERROR(__xludf.DUMMYFUNCTION("""COMPUTED_VALUE"""),"gemma holding group")</f>
        <v>gemma holding group</v>
      </c>
      <c r="B1871" s="4"/>
      <c r="C1871" s="4"/>
    </row>
    <row r="1872" hidden="1">
      <c r="A1872" s="6" t="str">
        <f>IFERROR(__xludf.DUMMYFUNCTION("""COMPUTED_VALUE"""),"tradesorg")</f>
        <v>tradesorg</v>
      </c>
      <c r="B1872" s="4"/>
      <c r="C1872" s="4"/>
    </row>
    <row r="1873" hidden="1">
      <c r="A1873" s="6" t="str">
        <f>IFERROR(__xludf.DUMMYFUNCTION("""COMPUTED_VALUE"""),"ads factory")</f>
        <v>ads factory</v>
      </c>
      <c r="B1873" s="4"/>
      <c r="C1873" s="6" t="str">
        <f>IFERROR(__xludf.DUMMYFUNCTION("""COMPUTED_VALUE"""),"Marketing &amp; Advertising")</f>
        <v>Marketing &amp; Advertising</v>
      </c>
    </row>
    <row r="1874" hidden="1">
      <c r="A1874" s="6" t="str">
        <f>IFERROR(__xludf.DUMMYFUNCTION("""COMPUTED_VALUE"""),"yuno")</f>
        <v>yuno</v>
      </c>
      <c r="B1874" s="4"/>
      <c r="C1874" s="6" t="str">
        <f>IFERROR(__xludf.DUMMYFUNCTION("""COMPUTED_VALUE"""),"Software Factory / Staffing")</f>
        <v>Software Factory / Staffing</v>
      </c>
    </row>
    <row r="1875" hidden="1">
      <c r="A1875" s="6" t="str">
        <f>IFERROR(__xludf.DUMMYFUNCTION("""COMPUTED_VALUE"""),"timesolution")</f>
        <v>timesolution</v>
      </c>
      <c r="B1875" s="6" t="str">
        <f>IFERROR(__xludf.DUMMYFUNCTION("""COMPUTED_VALUE"""),"Italia")</f>
        <v>Italia</v>
      </c>
      <c r="C1875" s="6" t="str">
        <f>IFERROR(__xludf.DUMMYFUNCTION("""COMPUTED_VALUE"""),"Software Factory / Staffing")</f>
        <v>Software Factory / Staffing</v>
      </c>
    </row>
    <row r="1876" hidden="1">
      <c r="A1876" s="6" t="str">
        <f>IFERROR(__xludf.DUMMYFUNCTION("""COMPUTED_VALUE"""),"hotglue")</f>
        <v>hotglue</v>
      </c>
      <c r="B1876" s="6" t="str">
        <f>IFERROR(__xludf.DUMMYFUNCTION("""COMPUTED_VALUE"""),"Australia")</f>
        <v>Australia</v>
      </c>
      <c r="C1876" s="6" t="str">
        <f>IFERROR(__xludf.DUMMYFUNCTION("""COMPUTED_VALUE"""),"Marketing &amp; Advertising")</f>
        <v>Marketing &amp; Advertising</v>
      </c>
    </row>
    <row r="1877" hidden="1">
      <c r="A1877" s="6" t="str">
        <f>IFERROR(__xludf.DUMMYFUNCTION("""COMPUTED_VALUE"""),"alphagroup express")</f>
        <v>alphagroup express</v>
      </c>
      <c r="B1877" s="6" t="str">
        <f>IFERROR(__xludf.DUMMYFUNCTION("""COMPUTED_VALUE"""),"Chile")</f>
        <v>Chile</v>
      </c>
      <c r="C1877" s="6" t="str">
        <f>IFERROR(__xludf.DUMMYFUNCTION("""COMPUTED_VALUE"""),"Logistics")</f>
        <v>Logistics</v>
      </c>
    </row>
    <row r="1878" hidden="1">
      <c r="A1878" s="6" t="str">
        <f>IFERROR(__xludf.DUMMYFUNCTION("""COMPUTED_VALUE"""),"helipagos")</f>
        <v>helipagos</v>
      </c>
      <c r="B1878" s="6" t="str">
        <f>IFERROR(__xludf.DUMMYFUNCTION("""COMPUTED_VALUE"""),"Argentina")</f>
        <v>Argentina</v>
      </c>
      <c r="C1878" s="6" t="str">
        <f>IFERROR(__xludf.DUMMYFUNCTION("""COMPUTED_VALUE"""),"Banking &amp; Financial Servicies")</f>
        <v>Banking &amp; Financial Servicies</v>
      </c>
    </row>
    <row r="1879" hidden="1">
      <c r="A1879" s="6" t="str">
        <f>IFERROR(__xludf.DUMMYFUNCTION("""COMPUTED_VALUE"""),"interinnovacion")</f>
        <v>interinnovacion</v>
      </c>
      <c r="B1879" s="6" t="str">
        <f>IFERROR(__xludf.DUMMYFUNCTION("""COMPUTED_VALUE"""),"Argentina")</f>
        <v>Argentina</v>
      </c>
      <c r="C1879" s="6" t="str">
        <f>IFERROR(__xludf.DUMMYFUNCTION("""COMPUTED_VALUE"""),"Software Factory / Staffing")</f>
        <v>Software Factory / Staffing</v>
      </c>
    </row>
    <row r="1880" hidden="1">
      <c r="A1880" s="6" t="str">
        <f>IFERROR(__xludf.DUMMYFUNCTION("""COMPUTED_VALUE"""),"ministerio de educación de la provincia de córdoba")</f>
        <v>ministerio de educación de la provincia de córdoba</v>
      </c>
      <c r="B1880" s="6" t="str">
        <f>IFERROR(__xludf.DUMMYFUNCTION("""COMPUTED_VALUE"""),"Argentina")</f>
        <v>Argentina</v>
      </c>
      <c r="C1880" s="6" t="str">
        <f>IFERROR(__xludf.DUMMYFUNCTION("""COMPUTED_VALUE"""),"Public Center")</f>
        <v>Public Center</v>
      </c>
    </row>
    <row r="1881" hidden="1">
      <c r="A1881" s="6" t="str">
        <f>IFERROR(__xludf.DUMMYFUNCTION("""COMPUTED_VALUE"""),"grupo dfarm")</f>
        <v>grupo dfarm</v>
      </c>
      <c r="B1881" s="4"/>
      <c r="C1881" s="4"/>
    </row>
    <row r="1882" hidden="1">
      <c r="A1882" s="6" t="str">
        <f>IFERROR(__xludf.DUMMYFUNCTION("""COMPUTED_VALUE"""),"finnegans")</f>
        <v>finnegans</v>
      </c>
      <c r="B1882" s="6" t="str">
        <f>IFERROR(__xludf.DUMMYFUNCTION("""COMPUTED_VALUE"""),"Argentina")</f>
        <v>Argentina</v>
      </c>
      <c r="C1882" s="6" t="str">
        <f>IFERROR(__xludf.DUMMYFUNCTION("""COMPUTED_VALUE"""),"Software Factory / Staffing")</f>
        <v>Software Factory / Staffing</v>
      </c>
    </row>
    <row r="1883" hidden="1">
      <c r="A1883" s="6" t="str">
        <f>IFERROR(__xludf.DUMMYFUNCTION("""COMPUTED_VALUE"""),"constructora morán")</f>
        <v>constructora morán</v>
      </c>
      <c r="B1883" s="4"/>
      <c r="C1883" s="4"/>
    </row>
    <row r="1884" hidden="1">
      <c r="A1884" s="6" t="str">
        <f>IFERROR(__xludf.DUMMYFUNCTION("""COMPUTED_VALUE"""),"rosario didziulis")</f>
        <v>rosario didziulis</v>
      </c>
      <c r="B1884" s="4"/>
      <c r="C1884" s="4"/>
    </row>
    <row r="1885" hidden="1">
      <c r="A1885" s="6" t="str">
        <f>IFERROR(__xludf.DUMMYFUNCTION("""COMPUTED_VALUE"""),"alstra technologies llc")</f>
        <v>alstra technologies llc</v>
      </c>
      <c r="B1885" s="6" t="str">
        <f>IFERROR(__xludf.DUMMYFUNCTION("""COMPUTED_VALUE"""),"Brasil")</f>
        <v>Brasil</v>
      </c>
      <c r="C1885" s="6" t="str">
        <f>IFERROR(__xludf.DUMMYFUNCTION("""COMPUTED_VALUE"""),"Software Factory / Staffing")</f>
        <v>Software Factory / Staffing</v>
      </c>
    </row>
    <row r="1886" hidden="1">
      <c r="A1886" s="6" t="str">
        <f>IFERROR(__xludf.DUMMYFUNCTION("""COMPUTED_VALUE"""),"instituto argentino de compitación")</f>
        <v>instituto argentino de compitación</v>
      </c>
      <c r="B1886" s="6" t="str">
        <f>IFERROR(__xludf.DUMMYFUNCTION("""COMPUTED_VALUE"""),"Argentina")</f>
        <v>Argentina</v>
      </c>
      <c r="C1886" s="6" t="str">
        <f>IFERROR(__xludf.DUMMYFUNCTION("""COMPUTED_VALUE"""),"Public Center")</f>
        <v>Public Center</v>
      </c>
    </row>
    <row r="1887" hidden="1">
      <c r="A1887" s="6" t="str">
        <f>IFERROR(__xludf.DUMMYFUNCTION("""COMPUTED_VALUE"""),"applevel")</f>
        <v>applevel</v>
      </c>
      <c r="B1887" s="6" t="str">
        <f>IFERROR(__xludf.DUMMYFUNCTION("""COMPUTED_VALUE"""),"Estados Unidos")</f>
        <v>Estados Unidos</v>
      </c>
      <c r="C1887" s="6" t="str">
        <f>IFERROR(__xludf.DUMMYFUNCTION("""COMPUTED_VALUE"""),"Software Factory / Staffing")</f>
        <v>Software Factory / Staffing</v>
      </c>
    </row>
    <row r="1888" hidden="1">
      <c r="A1888" s="6" t="str">
        <f>IFERROR(__xludf.DUMMYFUNCTION("""COMPUTED_VALUE"""),"olaclick")</f>
        <v>olaclick</v>
      </c>
      <c r="B1888" s="6" t="str">
        <f>IFERROR(__xludf.DUMMYFUNCTION("""COMPUTED_VALUE"""),"Peru")</f>
        <v>Peru</v>
      </c>
      <c r="C1888" s="6" t="str">
        <f>IFERROR(__xludf.DUMMYFUNCTION("""COMPUTED_VALUE"""),"Software Factory / Staffing")</f>
        <v>Software Factory / Staffing</v>
      </c>
    </row>
    <row r="1889" hidden="1">
      <c r="A1889" s="6" t="str">
        <f>IFERROR(__xludf.DUMMYFUNCTION("""COMPUTED_VALUE"""),"utn")</f>
        <v>utn</v>
      </c>
      <c r="B1889" s="6" t="str">
        <f>IFERROR(__xludf.DUMMYFUNCTION("""COMPUTED_VALUE"""),"Argentina")</f>
        <v>Argentina</v>
      </c>
      <c r="C1889" s="6" t="str">
        <f>IFERROR(__xludf.DUMMYFUNCTION("""COMPUTED_VALUE"""),"Education &amp; Edtech")</f>
        <v>Education &amp; Edtech</v>
      </c>
    </row>
    <row r="1890" hidden="1">
      <c r="A1890" s="6" t="str">
        <f>IFERROR(__xludf.DUMMYFUNCTION("""COMPUTED_VALUE"""),"owo app")</f>
        <v>owo app</v>
      </c>
      <c r="B1890" s="6" t="str">
        <f>IFERROR(__xludf.DUMMYFUNCTION("""COMPUTED_VALUE"""),"Colombia")</f>
        <v>Colombia</v>
      </c>
      <c r="C1890" s="6" t="str">
        <f>IFERROR(__xludf.DUMMYFUNCTION("""COMPUTED_VALUE"""),"Fintech")</f>
        <v>Fintech</v>
      </c>
    </row>
    <row r="1891" hidden="1">
      <c r="A1891" s="6" t="str">
        <f>IFERROR(__xludf.DUMMYFUNCTION("""COMPUTED_VALUE"""),"taggify")</f>
        <v>taggify</v>
      </c>
      <c r="B1891" s="6" t="str">
        <f>IFERROR(__xludf.DUMMYFUNCTION("""COMPUTED_VALUE"""),"Argentina")</f>
        <v>Argentina</v>
      </c>
      <c r="C1891" s="6" t="str">
        <f>IFERROR(__xludf.DUMMYFUNCTION("""COMPUTED_VALUE"""),"Software Factory / Staffing")</f>
        <v>Software Factory / Staffing</v>
      </c>
    </row>
    <row r="1892" hidden="1">
      <c r="A1892" s="6" t="str">
        <f>IFERROR(__xludf.DUMMYFUNCTION("""COMPUTED_VALUE"""),"bluetech")</f>
        <v>bluetech</v>
      </c>
      <c r="B1892" s="4"/>
      <c r="C1892" s="6" t="str">
        <f>IFERROR(__xludf.DUMMYFUNCTION("""COMPUTED_VALUE"""),"Software Factory / Staffing")</f>
        <v>Software Factory / Staffing</v>
      </c>
    </row>
    <row r="1893" hidden="1">
      <c r="A1893" s="6" t="str">
        <f>IFERROR(__xludf.DUMMYFUNCTION("""COMPUTED_VALUE"""),"mas customs broker")</f>
        <v>mas customs broker</v>
      </c>
      <c r="B1893" s="6" t="str">
        <f>IFERROR(__xludf.DUMMYFUNCTION("""COMPUTED_VALUE"""),"Argentina")</f>
        <v>Argentina</v>
      </c>
      <c r="C1893" s="6" t="str">
        <f>IFERROR(__xludf.DUMMYFUNCTION("""COMPUTED_VALUE"""),"Banking &amp; Financial Servicies")</f>
        <v>Banking &amp; Financial Servicies</v>
      </c>
    </row>
    <row r="1894" hidden="1">
      <c r="A1894" s="6" t="str">
        <f>IFERROR(__xludf.DUMMYFUNCTION("""COMPUTED_VALUE"""),"innotest")</f>
        <v>innotest</v>
      </c>
      <c r="B1894" s="4"/>
      <c r="C1894" s="6" t="str">
        <f>IFERROR(__xludf.DUMMYFUNCTION("""COMPUTED_VALUE"""),"Education &amp; Edtech")</f>
        <v>Education &amp; Edtech</v>
      </c>
    </row>
    <row r="1895" hidden="1">
      <c r="A1895" s="6" t="str">
        <f>IFERROR(__xludf.DUMMYFUNCTION("""COMPUTED_VALUE"""),"pidedirecto")</f>
        <v>pidedirecto</v>
      </c>
      <c r="B1895" s="4"/>
      <c r="C1895" s="4"/>
    </row>
    <row r="1896" hidden="1">
      <c r="A1896" s="6" t="str">
        <f>IFERROR(__xludf.DUMMYFUNCTION("""COMPUTED_VALUE"""),"cladd")</f>
        <v>cladd</v>
      </c>
      <c r="B1896" s="6" t="str">
        <f>IFERROR(__xludf.DUMMYFUNCTION("""COMPUTED_VALUE"""),"Argentina")</f>
        <v>Argentina</v>
      </c>
      <c r="C1896" s="6" t="str">
        <f>IFERROR(__xludf.DUMMYFUNCTION("""COMPUTED_VALUE"""),"Other")</f>
        <v>Other</v>
      </c>
    </row>
    <row r="1897" hidden="1">
      <c r="A1897" s="6" t="str">
        <f>IFERROR(__xludf.DUMMYFUNCTION("""COMPUTED_VALUE"""),"toptive")</f>
        <v>toptive</v>
      </c>
      <c r="B1897" s="4"/>
      <c r="C1897" s="6" t="str">
        <f>IFERROR(__xludf.DUMMYFUNCTION("""COMPUTED_VALUE"""),"Software Factory / Staffing")</f>
        <v>Software Factory / Staffing</v>
      </c>
    </row>
    <row r="1898" hidden="1">
      <c r="A1898" s="6" t="str">
        <f>IFERROR(__xludf.DUMMYFUNCTION("""COMPUTED_VALUE"""),"semprovec")</f>
        <v>semprovec</v>
      </c>
      <c r="B1898" s="6" t="str">
        <f>IFERROR(__xludf.DUMMYFUNCTION("""COMPUTED_VALUE"""),"Ecuador")</f>
        <v>Ecuador</v>
      </c>
      <c r="C1898" s="6" t="str">
        <f>IFERROR(__xludf.DUMMYFUNCTION("""COMPUTED_VALUE"""),"Software Factory / Staffing")</f>
        <v>Software Factory / Staffing</v>
      </c>
    </row>
    <row r="1899" hidden="1">
      <c r="A1899" s="6" t="str">
        <f>IFERROR(__xludf.DUMMYFUNCTION("""COMPUTED_VALUE"""),"urbano express srl")</f>
        <v>urbano express srl</v>
      </c>
      <c r="B1899" s="4"/>
      <c r="C1899" s="4"/>
    </row>
    <row r="1900" hidden="1">
      <c r="A1900" s="6" t="str">
        <f>IFERROR(__xludf.DUMMYFUNCTION("""COMPUTED_VALUE"""),"errepar sistemas sa")</f>
        <v>errepar sistemas sa</v>
      </c>
      <c r="B1900" s="4"/>
      <c r="C1900" s="4"/>
    </row>
    <row r="1901" hidden="1">
      <c r="A1901" s="6" t="str">
        <f>IFERROR(__xludf.DUMMYFUNCTION("""COMPUTED_VALUE"""),"fusion house wines &amp; drinks")</f>
        <v>fusion house wines &amp; drinks</v>
      </c>
      <c r="B1901" s="4"/>
      <c r="C1901" s="6" t="str">
        <f>IFERROR(__xludf.DUMMYFUNCTION("""COMPUTED_VALUE"""),"Travel and Tourism")</f>
        <v>Travel and Tourism</v>
      </c>
    </row>
    <row r="1902" hidden="1">
      <c r="A1902" s="6" t="str">
        <f>IFERROR(__xludf.DUMMYFUNCTION("""COMPUTED_VALUE"""),"bluenergy")</f>
        <v>bluenergy</v>
      </c>
      <c r="B1902" s="6" t="str">
        <f>IFERROR(__xludf.DUMMYFUNCTION("""COMPUTED_VALUE"""),"Inglaterra")</f>
        <v>Inglaterra</v>
      </c>
      <c r="C1902" s="6" t="str">
        <f>IFERROR(__xludf.DUMMYFUNCTION("""COMPUTED_VALUE"""),"Energy")</f>
        <v>Energy</v>
      </c>
    </row>
    <row r="1903" hidden="1">
      <c r="A1903" s="6" t="str">
        <f>IFERROR(__xludf.DUMMYFUNCTION("""COMPUTED_VALUE"""),"mims tech corp")</f>
        <v>mims tech corp</v>
      </c>
      <c r="B1903" s="6" t="str">
        <f>IFERROR(__xludf.DUMMYFUNCTION("""COMPUTED_VALUE"""),"India")</f>
        <v>India</v>
      </c>
      <c r="C1903" s="6" t="str">
        <f>IFERROR(__xludf.DUMMYFUNCTION("""COMPUTED_VALUE"""),"Health")</f>
        <v>Health</v>
      </c>
    </row>
    <row r="1904" hidden="1">
      <c r="A1904" s="6" t="str">
        <f>IFERROR(__xludf.DUMMYFUNCTION("""COMPUTED_VALUE"""),"factoria creativa")</f>
        <v>factoria creativa</v>
      </c>
      <c r="B1904" s="6" t="str">
        <f>IFERROR(__xludf.DUMMYFUNCTION("""COMPUTED_VALUE"""),"España")</f>
        <v>España</v>
      </c>
      <c r="C1904" s="6" t="str">
        <f>IFERROR(__xludf.DUMMYFUNCTION("""COMPUTED_VALUE"""),"Messaging and Telecommunications")</f>
        <v>Messaging and Telecommunications</v>
      </c>
    </row>
    <row r="1905" hidden="1">
      <c r="A1905" s="6" t="str">
        <f>IFERROR(__xludf.DUMMYFUNCTION("""COMPUTED_VALUE"""),"byte4bit")</f>
        <v>byte4bit</v>
      </c>
      <c r="B1905" s="6" t="str">
        <f>IFERROR(__xludf.DUMMYFUNCTION("""COMPUTED_VALUE"""),"Estados Unidos")</f>
        <v>Estados Unidos</v>
      </c>
      <c r="C1905" s="6" t="str">
        <f>IFERROR(__xludf.DUMMYFUNCTION("""COMPUTED_VALUE"""),"Software Factory / Staffing")</f>
        <v>Software Factory / Staffing</v>
      </c>
    </row>
    <row r="1906" hidden="1">
      <c r="A1906" s="6" t="str">
        <f>IFERROR(__xludf.DUMMYFUNCTION("""COMPUTED_VALUE"""),"desarsoft")</f>
        <v>desarsoft</v>
      </c>
      <c r="B1906" s="6" t="str">
        <f>IFERROR(__xludf.DUMMYFUNCTION("""COMPUTED_VALUE"""),"Ecuador")</f>
        <v>Ecuador</v>
      </c>
      <c r="C1906" s="6" t="str">
        <f>IFERROR(__xludf.DUMMYFUNCTION("""COMPUTED_VALUE"""),"Software Factory / Staffing")</f>
        <v>Software Factory / Staffing</v>
      </c>
    </row>
    <row r="1907" hidden="1">
      <c r="A1907" s="6" t="str">
        <f>IFERROR(__xludf.DUMMYFUNCTION("""COMPUTED_VALUE"""),"bambú bpo")</f>
        <v>bambú bpo</v>
      </c>
      <c r="B1907" s="6" t="str">
        <f>IFERROR(__xludf.DUMMYFUNCTION("""COMPUTED_VALUE"""),"Chile")</f>
        <v>Chile</v>
      </c>
      <c r="C1907" s="6" t="str">
        <f>IFERROR(__xludf.DUMMYFUNCTION("""COMPUTED_VALUE"""),"Software Factory / Staffing")</f>
        <v>Software Factory / Staffing</v>
      </c>
    </row>
    <row r="1908" hidden="1">
      <c r="A1908" s="6" t="str">
        <f>IFERROR(__xludf.DUMMYFUNCTION("""COMPUTED_VALUE"""),"avanxo technologies sas")</f>
        <v>avanxo technologies sas</v>
      </c>
      <c r="B1908" s="6" t="str">
        <f>IFERROR(__xludf.DUMMYFUNCTION("""COMPUTED_VALUE"""),"Colombia")</f>
        <v>Colombia</v>
      </c>
      <c r="C1908" s="6" t="str">
        <f>IFERROR(__xludf.DUMMYFUNCTION("""COMPUTED_VALUE"""),"Software Factory / Staffing")</f>
        <v>Software Factory / Staffing</v>
      </c>
    </row>
    <row r="1909" hidden="1">
      <c r="A1909" s="6" t="str">
        <f>IFERROR(__xludf.DUMMYFUNCTION("""COMPUTED_VALUE"""),"libgot")</f>
        <v>libgot</v>
      </c>
      <c r="B1909" s="6" t="str">
        <f>IFERROR(__xludf.DUMMYFUNCTION("""COMPUTED_VALUE"""),"Argentina")</f>
        <v>Argentina</v>
      </c>
      <c r="C1909" s="6" t="str">
        <f>IFERROR(__xludf.DUMMYFUNCTION("""COMPUTED_VALUE"""),"Banking &amp; Financial Servicies")</f>
        <v>Banking &amp; Financial Servicies</v>
      </c>
    </row>
    <row r="1910" hidden="1">
      <c r="A1910" s="6" t="str">
        <f>IFERROR(__xludf.DUMMYFUNCTION("""COMPUTED_VALUE"""),"veritran")</f>
        <v>veritran</v>
      </c>
      <c r="B1910" s="6" t="str">
        <f>IFERROR(__xludf.DUMMYFUNCTION("""COMPUTED_VALUE"""),"Argentina")</f>
        <v>Argentina</v>
      </c>
      <c r="C1910" s="6" t="str">
        <f>IFERROR(__xludf.DUMMYFUNCTION("""COMPUTED_VALUE"""),"Software Factory / Staffing")</f>
        <v>Software Factory / Staffing</v>
      </c>
    </row>
    <row r="1911" hidden="1">
      <c r="A1911" s="6" t="str">
        <f>IFERROR(__xludf.DUMMYFUNCTION("""COMPUTED_VALUE"""),"julius commerce")</f>
        <v>julius commerce</v>
      </c>
      <c r="B1911" s="6" t="str">
        <f>IFERROR(__xludf.DUMMYFUNCTION("""COMPUTED_VALUE"""),"Colombia")</f>
        <v>Colombia</v>
      </c>
      <c r="C1911" s="6" t="str">
        <f>IFERROR(__xludf.DUMMYFUNCTION("""COMPUTED_VALUE"""),"Marketing &amp; Advertising")</f>
        <v>Marketing &amp; Advertising</v>
      </c>
    </row>
    <row r="1912" hidden="1">
      <c r="A1912" s="6" t="str">
        <f>IFERROR(__xludf.DUMMYFUNCTION("""COMPUTED_VALUE"""),"tekne")</f>
        <v>tekne</v>
      </c>
      <c r="B1912" s="6" t="str">
        <f>IFERROR(__xludf.DUMMYFUNCTION("""COMPUTED_VALUE"""),"Argentina")</f>
        <v>Argentina</v>
      </c>
      <c r="C1912" s="6" t="str">
        <f>IFERROR(__xludf.DUMMYFUNCTION("""COMPUTED_VALUE"""),"Software Factory / Staffing")</f>
        <v>Software Factory / Staffing</v>
      </c>
    </row>
    <row r="1913" hidden="1">
      <c r="A1913" s="6" t="str">
        <f>IFERROR(__xludf.DUMMYFUNCTION("""COMPUTED_VALUE"""),"grupo ingenium")</f>
        <v>grupo ingenium</v>
      </c>
      <c r="B1913" s="6" t="str">
        <f>IFERROR(__xludf.DUMMYFUNCTION("""COMPUTED_VALUE"""),"España")</f>
        <v>España</v>
      </c>
      <c r="C1913" s="6" t="str">
        <f>IFERROR(__xludf.DUMMYFUNCTION("""COMPUTED_VALUE"""),"Messaging and Telecommunications")</f>
        <v>Messaging and Telecommunications</v>
      </c>
    </row>
    <row r="1914" hidden="1">
      <c r="A1914" s="6" t="str">
        <f>IFERROR(__xludf.DUMMYFUNCTION("""COMPUTED_VALUE"""),"intertron")</f>
        <v>intertron</v>
      </c>
      <c r="B1914" s="6" t="str">
        <f>IFERROR(__xludf.DUMMYFUNCTION("""COMPUTED_VALUE"""),"Argentina")</f>
        <v>Argentina</v>
      </c>
      <c r="C1914" s="6" t="str">
        <f>IFERROR(__xludf.DUMMYFUNCTION("""COMPUTED_VALUE"""),"Software Factory / Staffing")</f>
        <v>Software Factory / Staffing</v>
      </c>
    </row>
    <row r="1915" hidden="1">
      <c r="A1915" s="6" t="str">
        <f>IFERROR(__xludf.DUMMYFUNCTION("""COMPUTED_VALUE"""),"e-cruce s.a.")</f>
        <v>e-cruce s.a.</v>
      </c>
      <c r="B1915" s="6" t="str">
        <f>IFERROR(__xludf.DUMMYFUNCTION("""COMPUTED_VALUE"""),"Argentina")</f>
        <v>Argentina</v>
      </c>
      <c r="C1915" s="6" t="str">
        <f>IFERROR(__xludf.DUMMYFUNCTION("""COMPUTED_VALUE"""),"Software Factory / Staffing")</f>
        <v>Software Factory / Staffing</v>
      </c>
    </row>
    <row r="1916" hidden="1">
      <c r="A1916" s="6" t="str">
        <f>IFERROR(__xludf.DUMMYFUNCTION("""COMPUTED_VALUE"""),"ciadti")</f>
        <v>ciadti</v>
      </c>
      <c r="B1916" s="6" t="str">
        <f>IFERROR(__xludf.DUMMYFUNCTION("""COMPUTED_VALUE"""),"Colombia")</f>
        <v>Colombia</v>
      </c>
      <c r="C1916" s="6" t="str">
        <f>IFERROR(__xludf.DUMMYFUNCTION("""COMPUTED_VALUE"""),"Public Center")</f>
        <v>Public Center</v>
      </c>
    </row>
    <row r="1917" hidden="1">
      <c r="A1917" s="6" t="str">
        <f>IFERROR(__xludf.DUMMYFUNCTION("""COMPUTED_VALUE"""),"jakemate")</f>
        <v>jakemate</v>
      </c>
      <c r="B1917" s="4"/>
      <c r="C1917" s="6" t="str">
        <f>IFERROR(__xludf.DUMMYFUNCTION("""COMPUTED_VALUE"""),"Messaging and Telecommunications")</f>
        <v>Messaging and Telecommunications</v>
      </c>
    </row>
    <row r="1918" hidden="1">
      <c r="A1918" s="6" t="str">
        <f>IFERROR(__xludf.DUMMYFUNCTION("""COMPUTED_VALUE"""),"utriper")</f>
        <v>utriper</v>
      </c>
      <c r="B1918" s="6" t="str">
        <f>IFERROR(__xludf.DUMMYFUNCTION("""COMPUTED_VALUE"""),"Colombia")</f>
        <v>Colombia</v>
      </c>
      <c r="C1918" s="6" t="str">
        <f>IFERROR(__xludf.DUMMYFUNCTION("""COMPUTED_VALUE"""),"Travel and Tourism")</f>
        <v>Travel and Tourism</v>
      </c>
    </row>
    <row r="1919" hidden="1">
      <c r="A1919" s="6" t="str">
        <f>IFERROR(__xludf.DUMMYFUNCTION("""COMPUTED_VALUE"""),"3rd time")</f>
        <v>3rd time</v>
      </c>
      <c r="B1919" s="4"/>
      <c r="C1919" s="6" t="str">
        <f>IFERROR(__xludf.DUMMYFUNCTION("""COMPUTED_VALUE"""),"Marketing &amp; Advertising")</f>
        <v>Marketing &amp; Advertising</v>
      </c>
    </row>
    <row r="1920" hidden="1">
      <c r="A1920" s="6" t="str">
        <f>IFERROR(__xludf.DUMMYFUNCTION("""COMPUTED_VALUE"""),"pharmware")</f>
        <v>pharmware</v>
      </c>
      <c r="B1920" s="6" t="str">
        <f>IFERROR(__xludf.DUMMYFUNCTION("""COMPUTED_VALUE"""),"Argentina")</f>
        <v>Argentina</v>
      </c>
      <c r="C1920" s="6" t="str">
        <f>IFERROR(__xludf.DUMMYFUNCTION("""COMPUTED_VALUE"""),"Software Factory / Staffing")</f>
        <v>Software Factory / Staffing</v>
      </c>
    </row>
    <row r="1921" hidden="1">
      <c r="A1921" s="6" t="str">
        <f>IFERROR(__xludf.DUMMYFUNCTION("""COMPUTED_VALUE"""),"shine mktg")</f>
        <v>shine mktg</v>
      </c>
      <c r="B1921" s="6" t="str">
        <f>IFERROR(__xludf.DUMMYFUNCTION("""COMPUTED_VALUE"""),"Mexico")</f>
        <v>Mexico</v>
      </c>
      <c r="C1921" s="6" t="str">
        <f>IFERROR(__xludf.DUMMYFUNCTION("""COMPUTED_VALUE"""),"Marketing &amp; Advertising")</f>
        <v>Marketing &amp; Advertising</v>
      </c>
    </row>
    <row r="1922" hidden="1">
      <c r="A1922" s="6" t="str">
        <f>IFERROR(__xludf.DUMMYFUNCTION("""COMPUTED_VALUE"""),"tras home")</f>
        <v>tras home</v>
      </c>
      <c r="B1922" s="6" t="str">
        <f>IFERROR(__xludf.DUMMYFUNCTION("""COMPUTED_VALUE"""),"México")</f>
        <v>México</v>
      </c>
      <c r="C1922" s="6" t="str">
        <f>IFERROR(__xludf.DUMMYFUNCTION("""COMPUTED_VALUE"""),"Other")</f>
        <v>Other</v>
      </c>
    </row>
    <row r="1923" hidden="1">
      <c r="A1923" s="6" t="str">
        <f>IFERROR(__xludf.DUMMYFUNCTION("""COMPUTED_VALUE"""),"gsm tech")</f>
        <v>gsm tech</v>
      </c>
      <c r="B1923" s="6" t="str">
        <f>IFERROR(__xludf.DUMMYFUNCTION("""COMPUTED_VALUE"""),"España")</f>
        <v>España</v>
      </c>
      <c r="C1923" s="6" t="str">
        <f>IFERROR(__xludf.DUMMYFUNCTION("""COMPUTED_VALUE"""),"Software Factory / Staffing")</f>
        <v>Software Factory / Staffing</v>
      </c>
    </row>
    <row r="1924" hidden="1">
      <c r="A1924" s="6" t="str">
        <f>IFERROR(__xludf.DUMMYFUNCTION("""COMPUTED_VALUE"""),"colmancol s.a.s")</f>
        <v>colmancol s.a.s</v>
      </c>
      <c r="B1924" s="6" t="str">
        <f>IFERROR(__xludf.DUMMYFUNCTION("""COMPUTED_VALUE"""),"Colombia")</f>
        <v>Colombia</v>
      </c>
      <c r="C1924" s="6" t="str">
        <f>IFERROR(__xludf.DUMMYFUNCTION("""COMPUTED_VALUE"""),"Other")</f>
        <v>Other</v>
      </c>
    </row>
    <row r="1925" hidden="1">
      <c r="A1925" s="6" t="str">
        <f>IFERROR(__xludf.DUMMYFUNCTION("""COMPUTED_VALUE"""),"valor percibido")</f>
        <v>valor percibido</v>
      </c>
      <c r="B1925" s="6" t="str">
        <f>IFERROR(__xludf.DUMMYFUNCTION("""COMPUTED_VALUE"""),"Colombia")</f>
        <v>Colombia</v>
      </c>
      <c r="C1925" s="6" t="str">
        <f>IFERROR(__xludf.DUMMYFUNCTION("""COMPUTED_VALUE"""),"Banking &amp; Financial Servicies")</f>
        <v>Banking &amp; Financial Servicies</v>
      </c>
    </row>
    <row r="1926" hidden="1">
      <c r="A1926" s="6" t="str">
        <f>IFERROR(__xludf.DUMMYFUNCTION("""COMPUTED_VALUE"""),"avvy")</f>
        <v>avvy</v>
      </c>
      <c r="B1926" s="6" t="str">
        <f>IFERROR(__xludf.DUMMYFUNCTION("""COMPUTED_VALUE"""),"Estados Unidos")</f>
        <v>Estados Unidos</v>
      </c>
      <c r="C1926" s="6" t="str">
        <f>IFERROR(__xludf.DUMMYFUNCTION("""COMPUTED_VALUE"""),"Software Factory / Staffing")</f>
        <v>Software Factory / Staffing</v>
      </c>
    </row>
    <row r="1927" hidden="1">
      <c r="A1927" s="6" t="str">
        <f>IFERROR(__xludf.DUMMYFUNCTION("""COMPUTED_VALUE"""),"cpqi tecnología financiera")</f>
        <v>cpqi tecnología financiera</v>
      </c>
      <c r="B1927" s="6" t="str">
        <f>IFERROR(__xludf.DUMMYFUNCTION("""COMPUTED_VALUE"""),"Canada")</f>
        <v>Canada</v>
      </c>
      <c r="C1927" s="6" t="str">
        <f>IFERROR(__xludf.DUMMYFUNCTION("""COMPUTED_VALUE"""),"Fintech")</f>
        <v>Fintech</v>
      </c>
    </row>
    <row r="1928" hidden="1">
      <c r="A1928" s="6" t="str">
        <f>IFERROR(__xludf.DUMMYFUNCTION("""COMPUTED_VALUE"""),"city returns")</f>
        <v>city returns</v>
      </c>
      <c r="B1928" s="6" t="str">
        <f>IFERROR(__xludf.DUMMYFUNCTION("""COMPUTED_VALUE"""),"India")</f>
        <v>India</v>
      </c>
      <c r="C1928" s="6" t="str">
        <f>IFERROR(__xludf.DUMMYFUNCTION("""COMPUTED_VALUE"""),"PropTech / Real State")</f>
        <v>PropTech / Real State</v>
      </c>
    </row>
    <row r="1929" hidden="1">
      <c r="A1929" s="6" t="str">
        <f>IFERROR(__xludf.DUMMYFUNCTION("""COMPUTED_VALUE"""),"my seven suite")</f>
        <v>my seven suite</v>
      </c>
      <c r="B1929" s="6" t="str">
        <f>IFERROR(__xludf.DUMMYFUNCTION("""COMPUTED_VALUE"""),"Costa Rica")</f>
        <v>Costa Rica</v>
      </c>
      <c r="C1929" s="6" t="str">
        <f>IFERROR(__xludf.DUMMYFUNCTION("""COMPUTED_VALUE"""),"Software Factory / Staffing")</f>
        <v>Software Factory / Staffing</v>
      </c>
    </row>
    <row r="1930">
      <c r="A1930" s="6" t="str">
        <f>IFERROR(__xludf.DUMMYFUNCTION("""COMPUTED_VALUE"""),"agrired")</f>
        <v>agrired</v>
      </c>
      <c r="B1930" s="4"/>
      <c r="C1930" s="4"/>
    </row>
    <row r="1931" hidden="1">
      <c r="A1931" s="6" t="str">
        <f>IFERROR(__xludf.DUMMYFUNCTION("""COMPUTED_VALUE"""),"omnix")</f>
        <v>omnix</v>
      </c>
      <c r="B1931" s="6" t="str">
        <f>IFERROR(__xludf.DUMMYFUNCTION("""COMPUTED_VALUE"""),"Chile")</f>
        <v>Chile</v>
      </c>
      <c r="C1931" s="6" t="str">
        <f>IFERROR(__xludf.DUMMYFUNCTION("""COMPUTED_VALUE"""),"Logistics")</f>
        <v>Logistics</v>
      </c>
    </row>
    <row r="1932" hidden="1">
      <c r="A1932" s="6" t="str">
        <f>IFERROR(__xludf.DUMMYFUNCTION("""COMPUTED_VALUE"""),"escola sorvete")</f>
        <v>escola sorvete</v>
      </c>
      <c r="B1932" s="6" t="str">
        <f>IFERROR(__xludf.DUMMYFUNCTION("""COMPUTED_VALUE"""),"Brasil")</f>
        <v>Brasil</v>
      </c>
      <c r="C1932" s="6" t="str">
        <f>IFERROR(__xludf.DUMMYFUNCTION("""COMPUTED_VALUE"""),"Software Factory / Staffing")</f>
        <v>Software Factory / Staffing</v>
      </c>
    </row>
    <row r="1933" hidden="1">
      <c r="A1933" s="6" t="str">
        <f>IFERROR(__xludf.DUMMYFUNCTION("""COMPUTED_VALUE"""),"beesion technologies")</f>
        <v>beesion technologies</v>
      </c>
      <c r="B1933" s="6" t="str">
        <f>IFERROR(__xludf.DUMMYFUNCTION("""COMPUTED_VALUE"""),"Estados Unidos")</f>
        <v>Estados Unidos</v>
      </c>
      <c r="C1933" s="6" t="str">
        <f>IFERROR(__xludf.DUMMYFUNCTION("""COMPUTED_VALUE"""),"Software Factory / Staffing")</f>
        <v>Software Factory / Staffing</v>
      </c>
    </row>
    <row r="1934" hidden="1">
      <c r="A1934" s="6" t="str">
        <f>IFERROR(__xludf.DUMMYFUNCTION("""COMPUTED_VALUE"""),"cruzmedika")</f>
        <v>cruzmedika</v>
      </c>
      <c r="B1934" s="6" t="str">
        <f>IFERROR(__xludf.DUMMYFUNCTION("""COMPUTED_VALUE"""),"Estados Unidos")</f>
        <v>Estados Unidos</v>
      </c>
      <c r="C1934" s="6" t="str">
        <f>IFERROR(__xludf.DUMMYFUNCTION("""COMPUTED_VALUE"""),"Health")</f>
        <v>Health</v>
      </c>
    </row>
    <row r="1935" hidden="1">
      <c r="A1935" s="6" t="str">
        <f>IFERROR(__xludf.DUMMYFUNCTION("""COMPUTED_VALUE"""),"origin s.a.s")</f>
        <v>origin s.a.s</v>
      </c>
      <c r="B1935" s="6" t="str">
        <f>IFERROR(__xludf.DUMMYFUNCTION("""COMPUTED_VALUE"""),"España")</f>
        <v>España</v>
      </c>
      <c r="C1935" s="6" t="str">
        <f>IFERROR(__xludf.DUMMYFUNCTION("""COMPUTED_VALUE"""),"FMCG / Consumo masivo")</f>
        <v>FMCG / Consumo masivo</v>
      </c>
    </row>
    <row r="1936" hidden="1">
      <c r="A1936" s="6" t="str">
        <f>IFERROR(__xludf.DUMMYFUNCTION("""COMPUTED_VALUE"""),"vertebra soluciones")</f>
        <v>vertebra soluciones</v>
      </c>
      <c r="B1936" s="6" t="str">
        <f>IFERROR(__xludf.DUMMYFUNCTION("""COMPUTED_VALUE"""),"Colombia")</f>
        <v>Colombia</v>
      </c>
      <c r="C1936" s="6" t="str">
        <f>IFERROR(__xludf.DUMMYFUNCTION("""COMPUTED_VALUE"""),"Energy")</f>
        <v>Energy</v>
      </c>
    </row>
    <row r="1937" hidden="1">
      <c r="A1937" s="6" t="str">
        <f>IFERROR(__xludf.DUMMYFUNCTION("""COMPUTED_VALUE"""),"wam creativo")</f>
        <v>wam creativo</v>
      </c>
      <c r="B1937" s="6" t="str">
        <f>IFERROR(__xludf.DUMMYFUNCTION("""COMPUTED_VALUE"""),"Argentina")</f>
        <v>Argentina</v>
      </c>
      <c r="C1937" s="6" t="str">
        <f>IFERROR(__xludf.DUMMYFUNCTION("""COMPUTED_VALUE"""),"Marketing &amp; Advertising")</f>
        <v>Marketing &amp; Advertising</v>
      </c>
    </row>
    <row r="1938" hidden="1">
      <c r="A1938" s="6" t="str">
        <f>IFERROR(__xludf.DUMMYFUNCTION("""COMPUTED_VALUE"""),"yamanatech")</f>
        <v>yamanatech</v>
      </c>
      <c r="B1938" s="6" t="str">
        <f>IFERROR(__xludf.DUMMYFUNCTION("""COMPUTED_VALUE"""),"Argentina")</f>
        <v>Argentina</v>
      </c>
      <c r="C1938" s="6" t="str">
        <f>IFERROR(__xludf.DUMMYFUNCTION("""COMPUTED_VALUE"""),"Software Factory / Staffing")</f>
        <v>Software Factory / Staffing</v>
      </c>
    </row>
    <row r="1939" hidden="1">
      <c r="A1939" s="6" t="str">
        <f>IFERROR(__xludf.DUMMYFUNCTION("""COMPUTED_VALUE"""),"channeladvisor")</f>
        <v>channeladvisor</v>
      </c>
      <c r="B1939" s="6" t="str">
        <f>IFERROR(__xludf.DUMMYFUNCTION("""COMPUTED_VALUE"""),"Estados Unidos")</f>
        <v>Estados Unidos</v>
      </c>
      <c r="C1939" s="6" t="str">
        <f>IFERROR(__xludf.DUMMYFUNCTION("""COMPUTED_VALUE"""),"Software Factory / Staffing")</f>
        <v>Software Factory / Staffing</v>
      </c>
    </row>
    <row r="1940" hidden="1">
      <c r="A1940" s="6" t="str">
        <f>IFERROR(__xludf.DUMMYFUNCTION("""COMPUTED_VALUE"""),"mail americas")</f>
        <v>mail americas</v>
      </c>
      <c r="B1940" s="4"/>
      <c r="C1940" s="6" t="str">
        <f>IFERROR(__xludf.DUMMYFUNCTION("""COMPUTED_VALUE"""),"Logistics")</f>
        <v>Logistics</v>
      </c>
    </row>
    <row r="1941" hidden="1">
      <c r="A1941" s="6" t="str">
        <f>IFERROR(__xludf.DUMMYFUNCTION("""COMPUTED_VALUE"""),"packar")</f>
        <v>packar</v>
      </c>
      <c r="B1941" s="6" t="str">
        <f>IFERROR(__xludf.DUMMYFUNCTION("""COMPUTED_VALUE"""),"España")</f>
        <v>España</v>
      </c>
      <c r="C1941" s="6" t="str">
        <f>IFERROR(__xludf.DUMMYFUNCTION("""COMPUTED_VALUE"""),"Logistics")</f>
        <v>Logistics</v>
      </c>
    </row>
    <row r="1942" hidden="1">
      <c r="A1942" s="6" t="str">
        <f>IFERROR(__xludf.DUMMYFUNCTION("""COMPUTED_VALUE"""),"arli s.a.")</f>
        <v>arli s.a.</v>
      </c>
      <c r="B1942" s="6" t="str">
        <f>IFERROR(__xludf.DUMMYFUNCTION("""COMPUTED_VALUE"""),"España")</f>
        <v>España</v>
      </c>
      <c r="C1942" s="6" t="str">
        <f>IFERROR(__xludf.DUMMYFUNCTION("""COMPUTED_VALUE"""),"Other")</f>
        <v>Other</v>
      </c>
    </row>
    <row r="1943" hidden="1">
      <c r="A1943" s="6" t="str">
        <f>IFERROR(__xludf.DUMMYFUNCTION("""COMPUTED_VALUE"""),"akui")</f>
        <v>akui</v>
      </c>
      <c r="B1943" s="6" t="str">
        <f>IFERROR(__xludf.DUMMYFUNCTION("""COMPUTED_VALUE"""),"España")</f>
        <v>España</v>
      </c>
      <c r="C1943" s="6" t="str">
        <f>IFERROR(__xludf.DUMMYFUNCTION("""COMPUTED_VALUE"""),"Other")</f>
        <v>Other</v>
      </c>
    </row>
    <row r="1944" hidden="1">
      <c r="A1944" s="6" t="str">
        <f>IFERROR(__xludf.DUMMYFUNCTION("""COMPUTED_VALUE"""),"funcacorr")</f>
        <v>funcacorr</v>
      </c>
      <c r="B1944" s="6" t="str">
        <f>IFERROR(__xludf.DUMMYFUNCTION("""COMPUTED_VALUE"""),"Argentina")</f>
        <v>Argentina</v>
      </c>
      <c r="C1944" s="6" t="str">
        <f>IFERROR(__xludf.DUMMYFUNCTION("""COMPUTED_VALUE"""),"Health")</f>
        <v>Health</v>
      </c>
    </row>
    <row r="1945" hidden="1">
      <c r="A1945" s="6" t="str">
        <f>IFERROR(__xludf.DUMMYFUNCTION("""COMPUTED_VALUE"""),"veryfi")</f>
        <v>veryfi</v>
      </c>
      <c r="B1945" s="6" t="str">
        <f>IFERROR(__xludf.DUMMYFUNCTION("""COMPUTED_VALUE"""),"Estados Unidos")</f>
        <v>Estados Unidos</v>
      </c>
      <c r="C1945" s="6" t="str">
        <f>IFERROR(__xludf.DUMMYFUNCTION("""COMPUTED_VALUE"""),"Software Factory / Staffing")</f>
        <v>Software Factory / Staffing</v>
      </c>
    </row>
    <row r="1946" hidden="1">
      <c r="A1946" s="6" t="str">
        <f>IFERROR(__xludf.DUMMYFUNCTION("""COMPUTED_VALUE"""),"coradir sa")</f>
        <v>coradir sa</v>
      </c>
      <c r="B1946" s="6" t="str">
        <f>IFERROR(__xludf.DUMMYFUNCTION("""COMPUTED_VALUE"""),"Argentina")</f>
        <v>Argentina</v>
      </c>
      <c r="C1946" s="6" t="str">
        <f>IFERROR(__xludf.DUMMYFUNCTION("""COMPUTED_VALUE"""),"Other")</f>
        <v>Other</v>
      </c>
    </row>
    <row r="1947" hidden="1">
      <c r="A1947" s="6" t="str">
        <f>IFERROR(__xludf.DUMMYFUNCTION("""COMPUTED_VALUE"""),"fundación ñande reko ha")</f>
        <v>fundación ñande reko ha</v>
      </c>
      <c r="B1947" s="6" t="str">
        <f>IFERROR(__xludf.DUMMYFUNCTION("""COMPUTED_VALUE"""),"Argentina")</f>
        <v>Argentina</v>
      </c>
      <c r="C1947" s="6" t="str">
        <f>IFERROR(__xludf.DUMMYFUNCTION("""COMPUTED_VALUE"""),"Other")</f>
        <v>Other</v>
      </c>
    </row>
    <row r="1948" hidden="1">
      <c r="A1948" s="6" t="str">
        <f>IFERROR(__xludf.DUMMYFUNCTION("""COMPUTED_VALUE"""),"cantera digital")</f>
        <v>cantera digital</v>
      </c>
      <c r="B1948" s="6" t="str">
        <f>IFERROR(__xludf.DUMMYFUNCTION("""COMPUTED_VALUE"""),"Mexico")</f>
        <v>Mexico</v>
      </c>
      <c r="C1948" s="6" t="str">
        <f>IFERROR(__xludf.DUMMYFUNCTION("""COMPUTED_VALUE"""),"Software Factory / Staffing")</f>
        <v>Software Factory / Staffing</v>
      </c>
    </row>
    <row r="1949" hidden="1">
      <c r="A1949" s="6" t="str">
        <f>IFERROR(__xludf.DUMMYFUNCTION("""COMPUTED_VALUE"""),"whitebox")</f>
        <v>whitebox</v>
      </c>
      <c r="B1949" s="6" t="str">
        <f>IFERROR(__xludf.DUMMYFUNCTION("""COMPUTED_VALUE"""),"España")</f>
        <v>España</v>
      </c>
      <c r="C1949" s="6" t="str">
        <f>IFERROR(__xludf.DUMMYFUNCTION("""COMPUTED_VALUE"""),"Artificil Intelligence
")</f>
        <v>Artificil Intelligence
</v>
      </c>
    </row>
    <row r="1950" hidden="1">
      <c r="A1950" s="6" t="str">
        <f>IFERROR(__xludf.DUMMYFUNCTION("""COMPUTED_VALUE"""),"unlimited world")</f>
        <v>unlimited world</v>
      </c>
      <c r="B1950" s="6" t="str">
        <f>IFERROR(__xludf.DUMMYFUNCTION("""COMPUTED_VALUE"""),"Argentina")</f>
        <v>Argentina</v>
      </c>
      <c r="C1950" s="6" t="str">
        <f>IFERROR(__xludf.DUMMYFUNCTION("""COMPUTED_VALUE"""),"Logistics")</f>
        <v>Logistics</v>
      </c>
    </row>
    <row r="1951" hidden="1">
      <c r="A1951" s="6" t="str">
        <f>IFERROR(__xludf.DUMMYFUNCTION("""COMPUTED_VALUE"""),"seidor")</f>
        <v>seidor</v>
      </c>
      <c r="B1951" s="6" t="str">
        <f>IFERROR(__xludf.DUMMYFUNCTION("""COMPUTED_VALUE"""),"Argentina")</f>
        <v>Argentina</v>
      </c>
      <c r="C1951" s="6" t="str">
        <f>IFERROR(__xludf.DUMMYFUNCTION("""COMPUTED_VALUE"""),"Software Factory / Staffing")</f>
        <v>Software Factory / Staffing</v>
      </c>
    </row>
    <row r="1952" hidden="1">
      <c r="A1952" s="6" t="str">
        <f>IFERROR(__xludf.DUMMYFUNCTION("""COMPUTED_VALUE"""),"dc mayorista")</f>
        <v>dc mayorista</v>
      </c>
      <c r="B1952" s="6" t="str">
        <f>IFERROR(__xludf.DUMMYFUNCTION("""COMPUTED_VALUE"""),"Mexico")</f>
        <v>Mexico</v>
      </c>
      <c r="C1952" s="6" t="str">
        <f>IFERROR(__xludf.DUMMYFUNCTION("""COMPUTED_VALUE"""),"Logistics")</f>
        <v>Logistics</v>
      </c>
    </row>
    <row r="1953" hidden="1">
      <c r="A1953" s="6" t="str">
        <f>IFERROR(__xludf.DUMMYFUNCTION("""COMPUTED_VALUE"""),"decsef sistemas")</f>
        <v>decsef sistemas</v>
      </c>
      <c r="B1953" s="6" t="str">
        <f>IFERROR(__xludf.DUMMYFUNCTION("""COMPUTED_VALUE"""),"Mexico")</f>
        <v>Mexico</v>
      </c>
      <c r="C1953" s="6" t="str">
        <f>IFERROR(__xludf.DUMMYFUNCTION("""COMPUTED_VALUE"""),"Messaging and Telecommunications")</f>
        <v>Messaging and Telecommunications</v>
      </c>
    </row>
    <row r="1954" hidden="1">
      <c r="A1954" s="6" t="str">
        <f>IFERROR(__xludf.DUMMYFUNCTION("""COMPUTED_VALUE"""),"colegio martilleros lomas")</f>
        <v>colegio martilleros lomas</v>
      </c>
      <c r="B1954" s="6" t="str">
        <f>IFERROR(__xludf.DUMMYFUNCTION("""COMPUTED_VALUE"""),"Argentina")</f>
        <v>Argentina</v>
      </c>
      <c r="C1954" s="6" t="str">
        <f>IFERROR(__xludf.DUMMYFUNCTION("""COMPUTED_VALUE"""),"Public Center")</f>
        <v>Public Center</v>
      </c>
    </row>
    <row r="1955" hidden="1">
      <c r="A1955" s="6" t="str">
        <f>IFERROR(__xludf.DUMMYFUNCTION("""COMPUTED_VALUE"""),"encora")</f>
        <v>encora</v>
      </c>
      <c r="B1955" s="6" t="str">
        <f>IFERROR(__xludf.DUMMYFUNCTION("""COMPUTED_VALUE"""),"Estados Unidos")</f>
        <v>Estados Unidos</v>
      </c>
      <c r="C1955" s="6" t="str">
        <f>IFERROR(__xludf.DUMMYFUNCTION("""COMPUTED_VALUE"""),"Software Factory / Staffing")</f>
        <v>Software Factory / Staffing</v>
      </c>
    </row>
    <row r="1956" hidden="1">
      <c r="A1956" s="6" t="str">
        <f>IFERROR(__xludf.DUMMYFUNCTION("""COMPUTED_VALUE"""),"monster auto garage s.a.c")</f>
        <v>monster auto garage s.a.c</v>
      </c>
      <c r="B1956" s="4"/>
      <c r="C1956" s="4"/>
    </row>
    <row r="1957" hidden="1">
      <c r="A1957" s="6" t="str">
        <f>IFERROR(__xludf.DUMMYFUNCTION("""COMPUTED_VALUE"""),"go global agency")</f>
        <v>go global agency</v>
      </c>
      <c r="B1957" s="6" t="str">
        <f>IFERROR(__xludf.DUMMYFUNCTION("""COMPUTED_VALUE"""),"Estados Unidos")</f>
        <v>Estados Unidos</v>
      </c>
      <c r="C1957" s="6" t="str">
        <f>IFERROR(__xludf.DUMMYFUNCTION("""COMPUTED_VALUE"""),"Marketing &amp; Advertising")</f>
        <v>Marketing &amp; Advertising</v>
      </c>
    </row>
    <row r="1958" hidden="1">
      <c r="A1958" s="6" t="str">
        <f>IFERROR(__xludf.DUMMYFUNCTION("""COMPUTED_VALUE"""),"amg peru")</f>
        <v>amg peru</v>
      </c>
      <c r="B1958" s="6" t="str">
        <f>IFERROR(__xludf.DUMMYFUNCTION("""COMPUTED_VALUE"""),"Peru")</f>
        <v>Peru</v>
      </c>
      <c r="C1958" s="6" t="str">
        <f>IFERROR(__xludf.DUMMYFUNCTION("""COMPUTED_VALUE"""),"Banking &amp; Financial Servicies")</f>
        <v>Banking &amp; Financial Servicies</v>
      </c>
    </row>
    <row r="1959" hidden="1">
      <c r="A1959" s="6" t="str">
        <f>IFERROR(__xludf.DUMMYFUNCTION("""COMPUTED_VALUE"""),"tridente distribuidora")</f>
        <v>tridente distribuidora</v>
      </c>
      <c r="B1959" s="6" t="str">
        <f>IFERROR(__xludf.DUMMYFUNCTION("""COMPUTED_VALUE"""),"Perú")</f>
        <v>Perú</v>
      </c>
      <c r="C1959" s="6" t="str">
        <f>IFERROR(__xludf.DUMMYFUNCTION("""COMPUTED_VALUE"""),"FMCG / Consumo masivo")</f>
        <v>FMCG / Consumo masivo</v>
      </c>
    </row>
    <row r="1960" hidden="1">
      <c r="A1960" s="6" t="str">
        <f>IFERROR(__xludf.DUMMYFUNCTION("""COMPUTED_VALUE"""),"trabajo en digital")</f>
        <v>trabajo en digital</v>
      </c>
      <c r="B1960" s="4"/>
      <c r="C1960" s="6" t="str">
        <f>IFERROR(__xludf.DUMMYFUNCTION("""COMPUTED_VALUE"""),"Human Resources")</f>
        <v>Human Resources</v>
      </c>
    </row>
    <row r="1961" hidden="1">
      <c r="A1961" s="6" t="str">
        <f>IFERROR(__xludf.DUMMYFUNCTION("""COMPUTED_VALUE"""),"target marketing outsourcing force")</f>
        <v>target marketing outsourcing force</v>
      </c>
      <c r="B1961" s="6" t="str">
        <f>IFERROR(__xludf.DUMMYFUNCTION("""COMPUTED_VALUE"""),"Perú")</f>
        <v>Perú</v>
      </c>
      <c r="C1961" s="6" t="str">
        <f>IFERROR(__xludf.DUMMYFUNCTION("""COMPUTED_VALUE"""),"Messaging and Telecommunications")</f>
        <v>Messaging and Telecommunications</v>
      </c>
    </row>
    <row r="1962" hidden="1">
      <c r="A1962" s="6" t="str">
        <f>IFERROR(__xludf.DUMMYFUNCTION("""COMPUTED_VALUE"""),"crazy llama")</f>
        <v>crazy llama</v>
      </c>
      <c r="B1962" s="6" t="str">
        <f>IFERROR(__xludf.DUMMYFUNCTION("""COMPUTED_VALUE"""),"Israel")</f>
        <v>Israel</v>
      </c>
      <c r="C1962" s="6" t="str">
        <f>IFERROR(__xludf.DUMMYFUNCTION("""COMPUTED_VALUE"""),"Travel and Tourism")</f>
        <v>Travel and Tourism</v>
      </c>
    </row>
    <row r="1963" hidden="1">
      <c r="A1963" s="6" t="str">
        <f>IFERROR(__xludf.DUMMYFUNCTION("""COMPUTED_VALUE"""),"lexim solutions")</f>
        <v>lexim solutions</v>
      </c>
      <c r="B1963" s="6" t="str">
        <f>IFERROR(__xludf.DUMMYFUNCTION("""COMPUTED_VALUE"""),"Argentina")</f>
        <v>Argentina</v>
      </c>
      <c r="C1963" s="6" t="str">
        <f>IFERROR(__xludf.DUMMYFUNCTION("""COMPUTED_VALUE"""),"Software Factory / Staffing")</f>
        <v>Software Factory / Staffing</v>
      </c>
    </row>
    <row r="1964" hidden="1">
      <c r="A1964" s="6" t="str">
        <f>IFERROR(__xludf.DUMMYFUNCTION("""COMPUTED_VALUE"""),"escuela iberoamericana del docente s.a.c")</f>
        <v>escuela iberoamericana del docente s.a.c</v>
      </c>
      <c r="B1964" s="4"/>
      <c r="C1964" s="4"/>
    </row>
    <row r="1965" hidden="1">
      <c r="A1965" s="6" t="str">
        <f>IFERROR(__xludf.DUMMYFUNCTION("""COMPUTED_VALUE"""),"markovations")</f>
        <v>markovations</v>
      </c>
      <c r="B1965" s="6" t="str">
        <f>IFERROR(__xludf.DUMMYFUNCTION("""COMPUTED_VALUE"""),"Perú")</f>
        <v>Perú</v>
      </c>
      <c r="C1965" s="6" t="str">
        <f>IFERROR(__xludf.DUMMYFUNCTION("""COMPUTED_VALUE"""),"Mechanical/Industrial Engineering")</f>
        <v>Mechanical/Industrial Engineering</v>
      </c>
    </row>
    <row r="1966" hidden="1">
      <c r="A1966" s="6" t="str">
        <f>IFERROR(__xludf.DUMMYFUNCTION("""COMPUTED_VALUE"""),"evol")</f>
        <v>evol</v>
      </c>
      <c r="B1966" s="6" t="str">
        <f>IFERROR(__xludf.DUMMYFUNCTION("""COMPUTED_VALUE"""),"Colombia")</f>
        <v>Colombia</v>
      </c>
      <c r="C1966" s="6" t="str">
        <f>IFERROR(__xludf.DUMMYFUNCTION("""COMPUTED_VALUE"""),"Marketing &amp; Advertising")</f>
        <v>Marketing &amp; Advertising</v>
      </c>
    </row>
    <row r="1967" hidden="1">
      <c r="A1967" s="6" t="str">
        <f>IFERROR(__xludf.DUMMYFUNCTION("""COMPUTED_VALUE"""),"codys sa")</f>
        <v>codys sa</v>
      </c>
      <c r="B1967" s="6" t="str">
        <f>IFERROR(__xludf.DUMMYFUNCTION("""COMPUTED_VALUE"""),"Paraguay")</f>
        <v>Paraguay</v>
      </c>
      <c r="C1967" s="6" t="str">
        <f>IFERROR(__xludf.DUMMYFUNCTION("""COMPUTED_VALUE"""),"Software Factory / Staffing")</f>
        <v>Software Factory / Staffing</v>
      </c>
    </row>
    <row r="1968" hidden="1">
      <c r="A1968" s="6" t="str">
        <f>IFERROR(__xludf.DUMMYFUNCTION("""COMPUTED_VALUE"""),"iciva technology")</f>
        <v>iciva technology</v>
      </c>
      <c r="B1968" s="6" t="str">
        <f>IFERROR(__xludf.DUMMYFUNCTION("""COMPUTED_VALUE"""),"Venezuela")</f>
        <v>Venezuela</v>
      </c>
      <c r="C1968" s="6" t="str">
        <f>IFERROR(__xludf.DUMMYFUNCTION("""COMPUTED_VALUE"""),"Software Factory / Staffing")</f>
        <v>Software Factory / Staffing</v>
      </c>
    </row>
    <row r="1969" hidden="1">
      <c r="A1969" s="6" t="str">
        <f>IFERROR(__xludf.DUMMYFUNCTION("""COMPUTED_VALUE"""),"aeroterra")</f>
        <v>aeroterra</v>
      </c>
      <c r="B1969" s="6" t="str">
        <f>IFERROR(__xludf.DUMMYFUNCTION("""COMPUTED_VALUE"""),"Argentina")</f>
        <v>Argentina</v>
      </c>
      <c r="C1969" s="6" t="str">
        <f>IFERROR(__xludf.DUMMYFUNCTION("""COMPUTED_VALUE"""),"Software Factory / Staffing")</f>
        <v>Software Factory / Staffing</v>
      </c>
    </row>
    <row r="1970" hidden="1">
      <c r="A1970" s="6" t="str">
        <f>IFERROR(__xludf.DUMMYFUNCTION("""COMPUTED_VALUE"""),"promotive")</f>
        <v>promotive</v>
      </c>
      <c r="B1970" s="6" t="str">
        <f>IFERROR(__xludf.DUMMYFUNCTION("""COMPUTED_VALUE"""),"Argentina")</f>
        <v>Argentina</v>
      </c>
      <c r="C1970" s="6" t="str">
        <f>IFERROR(__xludf.DUMMYFUNCTION("""COMPUTED_VALUE"""),"Mechanical/Industrial Engineering")</f>
        <v>Mechanical/Industrial Engineering</v>
      </c>
    </row>
    <row r="1971">
      <c r="A1971" s="6" t="str">
        <f>IFERROR(__xludf.DUMMYFUNCTION("""COMPUTED_VALUE"""),"jose luis abreu")</f>
        <v>jose luis abreu</v>
      </c>
      <c r="B1971" s="4"/>
      <c r="C1971" s="4"/>
    </row>
    <row r="1972" hidden="1">
      <c r="A1972" s="6" t="str">
        <f>IFERROR(__xludf.DUMMYFUNCTION("""COMPUTED_VALUE"""),"ixalab")</f>
        <v>ixalab</v>
      </c>
      <c r="B1972" s="6" t="str">
        <f>IFERROR(__xludf.DUMMYFUNCTION("""COMPUTED_VALUE"""),"Uruguay")</f>
        <v>Uruguay</v>
      </c>
      <c r="C1972" s="6" t="str">
        <f>IFERROR(__xludf.DUMMYFUNCTION("""COMPUTED_VALUE"""),"Software Factory / Staffing")</f>
        <v>Software Factory / Staffing</v>
      </c>
    </row>
    <row r="1973" hidden="1">
      <c r="A1973" s="6" t="str">
        <f>IFERROR(__xludf.DUMMYFUNCTION("""COMPUTED_VALUE"""),"x-data")</f>
        <v>x-data</v>
      </c>
      <c r="B1973" s="6" t="str">
        <f>IFERROR(__xludf.DUMMYFUNCTION("""COMPUTED_VALUE"""),"Mexico")</f>
        <v>Mexico</v>
      </c>
      <c r="C1973" s="6" t="str">
        <f>IFERROR(__xludf.DUMMYFUNCTION("""COMPUTED_VALUE"""),"Software Factory / Staffing")</f>
        <v>Software Factory / Staffing</v>
      </c>
    </row>
    <row r="1974" hidden="1">
      <c r="A1974" s="6" t="str">
        <f>IFERROR(__xludf.DUMMYFUNCTION("""COMPUTED_VALUE"""),"mansuera")</f>
        <v>mansuera</v>
      </c>
      <c r="B1974" s="6" t="str">
        <f>IFERROR(__xludf.DUMMYFUNCTION("""COMPUTED_VALUE"""),"Ecuador")</f>
        <v>Ecuador</v>
      </c>
      <c r="C1974" s="6" t="str">
        <f>IFERROR(__xludf.DUMMYFUNCTION("""COMPUTED_VALUE"""),"Mechanical/Industrial Engineering")</f>
        <v>Mechanical/Industrial Engineering</v>
      </c>
    </row>
    <row r="1975" hidden="1">
      <c r="A1975" s="6" t="str">
        <f>IFERROR(__xludf.DUMMYFUNCTION("""COMPUTED_VALUE"""),"sacale mote")</f>
        <v>sacale mote</v>
      </c>
      <c r="B1975" s="4"/>
      <c r="C1975" s="4"/>
    </row>
    <row r="1976" hidden="1">
      <c r="A1976" s="6" t="str">
        <f>IFERROR(__xludf.DUMMYFUNCTION("""COMPUTED_VALUE"""),"english4kids")</f>
        <v>english4kids</v>
      </c>
      <c r="B1976" s="6" t="str">
        <f>IFERROR(__xludf.DUMMYFUNCTION("""COMPUTED_VALUE"""),"Estados Unidos")</f>
        <v>Estados Unidos</v>
      </c>
      <c r="C1976" s="6" t="str">
        <f>IFERROR(__xludf.DUMMYFUNCTION("""COMPUTED_VALUE"""),"Education &amp; Edtech")</f>
        <v>Education &amp; Edtech</v>
      </c>
    </row>
    <row r="1977" hidden="1">
      <c r="A1977" s="6" t="str">
        <f>IFERROR(__xludf.DUMMYFUNCTION("""COMPUTED_VALUE"""),"subsecretaria de ciudad inteligente caba")</f>
        <v>subsecretaria de ciudad inteligente caba</v>
      </c>
      <c r="B1977" s="6" t="str">
        <f>IFERROR(__xludf.DUMMYFUNCTION("""COMPUTED_VALUE"""),"Argentina")</f>
        <v>Argentina</v>
      </c>
      <c r="C1977" s="6" t="str">
        <f>IFERROR(__xludf.DUMMYFUNCTION("""COMPUTED_VALUE"""),"Public Center")</f>
        <v>Public Center</v>
      </c>
    </row>
    <row r="1978" hidden="1">
      <c r="A1978" s="6" t="str">
        <f>IFERROR(__xludf.DUMMYFUNCTION("""COMPUTED_VALUE"""),"posada el encuentro")</f>
        <v>posada el encuentro</v>
      </c>
      <c r="B1978" s="4"/>
      <c r="C1978" s="6" t="str">
        <f>IFERROR(__xludf.DUMMYFUNCTION("""COMPUTED_VALUE"""),"Travel and Tourism")</f>
        <v>Travel and Tourism</v>
      </c>
    </row>
    <row r="1979" hidden="1">
      <c r="A1979" s="6" t="str">
        <f>IFERROR(__xludf.DUMMYFUNCTION("""COMPUTED_VALUE"""),"technology for business")</f>
        <v>technology for business</v>
      </c>
      <c r="B1979" s="6" t="str">
        <f>IFERROR(__xludf.DUMMYFUNCTION("""COMPUTED_VALUE"""),"Estados Unidos")</f>
        <v>Estados Unidos</v>
      </c>
      <c r="C1979" s="6" t="str">
        <f>IFERROR(__xludf.DUMMYFUNCTION("""COMPUTED_VALUE"""),"Software Factory / Staffing")</f>
        <v>Software Factory / Staffing</v>
      </c>
    </row>
    <row r="1980">
      <c r="A1980" s="6" t="str">
        <f>IFERROR(__xludf.DUMMYFUNCTION("""COMPUTED_VALUE"""),"jdiaz business llc")</f>
        <v>jdiaz business llc</v>
      </c>
      <c r="B1980" s="6" t="str">
        <f>IFERROR(__xludf.DUMMYFUNCTION("""COMPUTED_VALUE"""),"Estados Unidos")</f>
        <v>Estados Unidos</v>
      </c>
      <c r="C1980" s="6" t="str">
        <f>IFERROR(__xludf.DUMMYFUNCTION("""COMPUTED_VALUE"""),"Software Factory / Staffing")</f>
        <v>Software Factory / Staffing</v>
      </c>
    </row>
    <row r="1981" hidden="1">
      <c r="A1981" s="6" t="str">
        <f>IFERROR(__xludf.DUMMYFUNCTION("""COMPUTED_VALUE"""),"vates")</f>
        <v>vates</v>
      </c>
      <c r="B1981" s="6" t="str">
        <f>IFERROR(__xludf.DUMMYFUNCTION("""COMPUTED_VALUE"""),"Estados Unidos")</f>
        <v>Estados Unidos</v>
      </c>
      <c r="C1981" s="6" t="str">
        <f>IFERROR(__xludf.DUMMYFUNCTION("""COMPUTED_VALUE"""),"Software Factory / Staffing")</f>
        <v>Software Factory / Staffing</v>
      </c>
    </row>
    <row r="1982" hidden="1">
      <c r="A1982" s="6" t="str">
        <f>IFERROR(__xludf.DUMMYFUNCTION("""COMPUTED_VALUE"""),"reba")</f>
        <v>reba</v>
      </c>
      <c r="B1982" s="6" t="str">
        <f>IFERROR(__xludf.DUMMYFUNCTION("""COMPUTED_VALUE"""),"Argentina")</f>
        <v>Argentina</v>
      </c>
      <c r="C1982" s="6" t="str">
        <f>IFERROR(__xludf.DUMMYFUNCTION("""COMPUTED_VALUE"""),"Banking &amp; Financial Servicies")</f>
        <v>Banking &amp; Financial Servicies</v>
      </c>
    </row>
    <row r="1983" hidden="1">
      <c r="A1983" s="6" t="str">
        <f>IFERROR(__xludf.DUMMYFUNCTION("""COMPUTED_VALUE"""),"mimstechcorp")</f>
        <v>mimstechcorp</v>
      </c>
      <c r="B1983" s="6" t="str">
        <f>IFERROR(__xludf.DUMMYFUNCTION("""COMPUTED_VALUE"""),"España")</f>
        <v>España</v>
      </c>
      <c r="C1983" s="6" t="str">
        <f>IFERROR(__xludf.DUMMYFUNCTION("""COMPUTED_VALUE"""),"Health")</f>
        <v>Health</v>
      </c>
    </row>
    <row r="1984">
      <c r="A1984" s="6" t="str">
        <f>IFERROR(__xludf.DUMMYFUNCTION("""COMPUTED_VALUE"""),"emote care")</f>
        <v>emote care</v>
      </c>
      <c r="B1984" s="6" t="str">
        <f>IFERROR(__xludf.DUMMYFUNCTION("""COMPUTED_VALUE"""),"Inglaterra")</f>
        <v>Inglaterra</v>
      </c>
      <c r="C1984" s="6" t="str">
        <f>IFERROR(__xludf.DUMMYFUNCTION("""COMPUTED_VALUE"""),"Health")</f>
        <v>Health</v>
      </c>
    </row>
    <row r="1985">
      <c r="A1985" s="6" t="str">
        <f>IFERROR(__xludf.DUMMYFUNCTION("""COMPUTED_VALUE"""),"elconix inc")</f>
        <v>elconix inc</v>
      </c>
      <c r="B1985" s="4"/>
      <c r="C1985" s="6" t="str">
        <f>IFERROR(__xludf.DUMMYFUNCTION("""COMPUTED_VALUE"""),"Software Factory / Staffing")</f>
        <v>Software Factory / Staffing</v>
      </c>
    </row>
    <row r="1986" hidden="1">
      <c r="A1986" s="6" t="str">
        <f>IFERROR(__xludf.DUMMYFUNCTION("""COMPUTED_VALUE"""),"multicompras qn ltda")</f>
        <v>multicompras qn ltda</v>
      </c>
      <c r="B1986" s="6" t="str">
        <f>IFERROR(__xludf.DUMMYFUNCTION("""COMPUTED_VALUE"""),"Bolivia")</f>
        <v>Bolivia</v>
      </c>
      <c r="C1986" s="6" t="str">
        <f>IFERROR(__xludf.DUMMYFUNCTION("""COMPUTED_VALUE"""),"Other")</f>
        <v>Other</v>
      </c>
    </row>
    <row r="1987" hidden="1">
      <c r="A1987" s="6" t="str">
        <f>IFERROR(__xludf.DUMMYFUNCTION("""COMPUTED_VALUE"""),"axel gualda")</f>
        <v>axel gualda</v>
      </c>
      <c r="B1987" s="4"/>
      <c r="C1987" s="4"/>
    </row>
    <row r="1988" hidden="1">
      <c r="A1988" s="6" t="str">
        <f>IFERROR(__xludf.DUMMYFUNCTION("""COMPUTED_VALUE"""),"tienda quick")</f>
        <v>tienda quick</v>
      </c>
      <c r="B1988" s="4"/>
      <c r="C1988" s="4"/>
    </row>
    <row r="1989" hidden="1">
      <c r="A1989" s="6" t="str">
        <f>IFERROR(__xludf.DUMMYFUNCTION("""COMPUTED_VALUE"""),"proyment")</f>
        <v>proyment</v>
      </c>
      <c r="B1989" s="6" t="str">
        <f>IFERROR(__xludf.DUMMYFUNCTION("""COMPUTED_VALUE"""),"Peru")</f>
        <v>Peru</v>
      </c>
      <c r="C1989" s="6" t="str">
        <f>IFERROR(__xludf.DUMMYFUNCTION("""COMPUTED_VALUE"""),"Management Consulting")</f>
        <v>Management Consulting</v>
      </c>
    </row>
    <row r="1990" hidden="1">
      <c r="A1990" s="6" t="str">
        <f>IFERROR(__xludf.DUMMYFUNCTION("""COMPUTED_VALUE"""),"scloud consulting")</f>
        <v>scloud consulting</v>
      </c>
      <c r="B1990" s="6" t="str">
        <f>IFERROR(__xludf.DUMMYFUNCTION("""COMPUTED_VALUE"""),"Estados Unidos")</f>
        <v>Estados Unidos</v>
      </c>
      <c r="C1990" s="6" t="str">
        <f>IFERROR(__xludf.DUMMYFUNCTION("""COMPUTED_VALUE"""),"Software Factory / Staffing")</f>
        <v>Software Factory / Staffing</v>
      </c>
    </row>
    <row r="1991" hidden="1">
      <c r="A1991" s="6" t="str">
        <f>IFERROR(__xludf.DUMMYFUNCTION("""COMPUTED_VALUE"""),"verifarma")</f>
        <v>verifarma</v>
      </c>
      <c r="B1991" s="6" t="str">
        <f>IFERROR(__xludf.DUMMYFUNCTION("""COMPUTED_VALUE"""),"España")</f>
        <v>España</v>
      </c>
      <c r="C1991" s="6" t="str">
        <f>IFERROR(__xludf.DUMMYFUNCTION("""COMPUTED_VALUE"""),"Software Factory / Staffing")</f>
        <v>Software Factory / Staffing</v>
      </c>
    </row>
    <row r="1992" hidden="1">
      <c r="A1992" s="6" t="str">
        <f>IFERROR(__xludf.DUMMYFUNCTION("""COMPUTED_VALUE"""),"quares srl")</f>
        <v>quares srl</v>
      </c>
      <c r="B1992" s="6" t="str">
        <f>IFERROR(__xludf.DUMMYFUNCTION("""COMPUTED_VALUE"""),"Argentina")</f>
        <v>Argentina</v>
      </c>
      <c r="C1992" s="6" t="str">
        <f>IFERROR(__xludf.DUMMYFUNCTION("""COMPUTED_VALUE"""),"Software Factory / Staffing")</f>
        <v>Software Factory / Staffing</v>
      </c>
    </row>
    <row r="1993" hidden="1">
      <c r="A1993" s="6" t="str">
        <f>IFERROR(__xludf.DUMMYFUNCTION("""COMPUTED_VALUE"""),"the best connection s.a.s")</f>
        <v>the best connection s.a.s</v>
      </c>
      <c r="B1993" s="6" t="str">
        <f>IFERROR(__xludf.DUMMYFUNCTION("""COMPUTED_VALUE"""),"Argentina")</f>
        <v>Argentina</v>
      </c>
      <c r="C1993" s="6" t="str">
        <f>IFERROR(__xludf.DUMMYFUNCTION("""COMPUTED_VALUE"""),"Messaging and Telecommunications")</f>
        <v>Messaging and Telecommunications</v>
      </c>
    </row>
    <row r="1994" hidden="1">
      <c r="A1994" s="6" t="str">
        <f>IFERROR(__xludf.DUMMYFUNCTION("""COMPUTED_VALUE"""),"idoneo")</f>
        <v>idoneo</v>
      </c>
      <c r="B1994" s="6" t="str">
        <f>IFERROR(__xludf.DUMMYFUNCTION("""COMPUTED_VALUE"""),"España")</f>
        <v>España</v>
      </c>
      <c r="C1994" s="6" t="str">
        <f>IFERROR(__xludf.DUMMYFUNCTION("""COMPUTED_VALUE"""),"Mechanical/Industrial Engineering")</f>
        <v>Mechanical/Industrial Engineering</v>
      </c>
    </row>
    <row r="1995" hidden="1">
      <c r="A1995" s="6" t="str">
        <f>IFERROR(__xludf.DUMMYFUNCTION("""COMPUTED_VALUE"""),"macamedia")</f>
        <v>macamedia</v>
      </c>
      <c r="B1995" s="6" t="str">
        <f>IFERROR(__xludf.DUMMYFUNCTION("""COMPUTED_VALUE"""),"Argentina")</f>
        <v>Argentina</v>
      </c>
      <c r="C1995" s="6" t="str">
        <f>IFERROR(__xludf.DUMMYFUNCTION("""COMPUTED_VALUE"""),"Software Factory / Staffing")</f>
        <v>Software Factory / Staffing</v>
      </c>
    </row>
    <row r="1996" hidden="1">
      <c r="A1996" s="6" t="str">
        <f>IFERROR(__xludf.DUMMYFUNCTION("""COMPUTED_VALUE"""),"cmpc")</f>
        <v>cmpc</v>
      </c>
      <c r="B1996" s="6" t="str">
        <f>IFERROR(__xludf.DUMMYFUNCTION("""COMPUTED_VALUE"""),"Chile")</f>
        <v>Chile</v>
      </c>
      <c r="C1996" s="6" t="str">
        <f>IFERROR(__xludf.DUMMYFUNCTION("""COMPUTED_VALUE"""),"Other")</f>
        <v>Other</v>
      </c>
    </row>
    <row r="1997" hidden="1">
      <c r="A1997" s="6" t="str">
        <f>IFERROR(__xludf.DUMMYFUNCTION("""COMPUTED_VALUE"""),"nextdet")</f>
        <v>nextdet</v>
      </c>
      <c r="B1997" s="6" t="str">
        <f>IFERROR(__xludf.DUMMYFUNCTION("""COMPUTED_VALUE"""),"Mexico")</f>
        <v>Mexico</v>
      </c>
      <c r="C1997" s="6" t="str">
        <f>IFERROR(__xludf.DUMMYFUNCTION("""COMPUTED_VALUE"""),"Other")</f>
        <v>Other</v>
      </c>
    </row>
    <row r="1998" hidden="1">
      <c r="A1998" s="6" t="str">
        <f>IFERROR(__xludf.DUMMYFUNCTION("""COMPUTED_VALUE"""),"legendaryum")</f>
        <v>legendaryum</v>
      </c>
      <c r="B1998" s="6" t="str">
        <f>IFERROR(__xludf.DUMMYFUNCTION("""COMPUTED_VALUE"""),"Portugal")</f>
        <v>Portugal</v>
      </c>
      <c r="C1998" s="6" t="str">
        <f>IFERROR(__xludf.DUMMYFUNCTION("""COMPUTED_VALUE"""),"Software Factory / Staffing")</f>
        <v>Software Factory / Staffing</v>
      </c>
    </row>
    <row r="1999" hidden="1">
      <c r="A1999" s="6" t="str">
        <f>IFERROR(__xludf.DUMMYFUNCTION("""COMPUTED_VALUE"""),"zoo development")</f>
        <v>zoo development</v>
      </c>
      <c r="B1999" s="6" t="str">
        <f>IFERROR(__xludf.DUMMYFUNCTION("""COMPUTED_VALUE"""),"Uruguay")</f>
        <v>Uruguay</v>
      </c>
      <c r="C1999" s="6" t="str">
        <f>IFERROR(__xludf.DUMMYFUNCTION("""COMPUTED_VALUE"""),"Management Consulting")</f>
        <v>Management Consulting</v>
      </c>
    </row>
    <row r="2000" hidden="1">
      <c r="A2000" s="6" t="str">
        <f>IFERROR(__xludf.DUMMYFUNCTION("""COMPUTED_VALUE"""),"go up cloud")</f>
        <v>go up cloud</v>
      </c>
      <c r="B2000" s="6" t="str">
        <f>IFERROR(__xludf.DUMMYFUNCTION("""COMPUTED_VALUE"""),"Chile")</f>
        <v>Chile</v>
      </c>
      <c r="C2000" s="6" t="str">
        <f>IFERROR(__xludf.DUMMYFUNCTION("""COMPUTED_VALUE"""),"Software Factory / Staffing")</f>
        <v>Software Factory / Staffing</v>
      </c>
    </row>
    <row r="2001" hidden="1">
      <c r="A2001" s="6" t="str">
        <f>IFERROR(__xludf.DUMMYFUNCTION("""COMPUTED_VALUE"""),"geosystems sa")</f>
        <v>geosystems sa</v>
      </c>
      <c r="B2001" s="6" t="str">
        <f>IFERROR(__xludf.DUMMYFUNCTION("""COMPUTED_VALUE"""),"Argentina")</f>
        <v>Argentina</v>
      </c>
      <c r="C2001" s="6" t="str">
        <f>IFERROR(__xludf.DUMMYFUNCTION("""COMPUTED_VALUE"""),"Other")</f>
        <v>Other</v>
      </c>
    </row>
    <row r="2002" hidden="1">
      <c r="A2002" s="6" t="str">
        <f>IFERROR(__xludf.DUMMYFUNCTION("""COMPUTED_VALUE"""),"i-aps")</f>
        <v>i-aps</v>
      </c>
      <c r="B2002" s="6" t="str">
        <f>IFERROR(__xludf.DUMMYFUNCTION("""COMPUTED_VALUE"""),"Mexico")</f>
        <v>Mexico</v>
      </c>
      <c r="C2002" s="6" t="str">
        <f>IFERROR(__xludf.DUMMYFUNCTION("""COMPUTED_VALUE"""),"Software Factory / Staffing")</f>
        <v>Software Factory / Staffing</v>
      </c>
    </row>
    <row r="2003" hidden="1">
      <c r="A2003" s="6" t="str">
        <f>IFERROR(__xludf.DUMMYFUNCTION("""COMPUTED_VALUE"""),"611digital")</f>
        <v>611digital</v>
      </c>
      <c r="B2003" s="4"/>
      <c r="C2003" s="4"/>
    </row>
    <row r="2004" hidden="1">
      <c r="A2004" s="6" t="str">
        <f>IFERROR(__xludf.DUMMYFUNCTION("""COMPUTED_VALUE"""),"ancientmx")</f>
        <v>ancientmx</v>
      </c>
      <c r="B2004" s="4"/>
      <c r="C2004" s="4"/>
    </row>
    <row r="2005" hidden="1">
      <c r="A2005" s="6" t="str">
        <f>IFERROR(__xludf.DUMMYFUNCTION("""COMPUTED_VALUE"""),"edt")</f>
        <v>edt</v>
      </c>
      <c r="B2005" s="6" t="str">
        <f>IFERROR(__xludf.DUMMYFUNCTION("""COMPUTED_VALUE"""),"Estados Unidos")</f>
        <v>Estados Unidos</v>
      </c>
      <c r="C2005" s="6" t="str">
        <f>IFERROR(__xludf.DUMMYFUNCTION("""COMPUTED_VALUE"""),"Construction")</f>
        <v>Construction</v>
      </c>
    </row>
    <row r="2006" hidden="1">
      <c r="A2006" s="6" t="str">
        <f>IFERROR(__xludf.DUMMYFUNCTION("""COMPUTED_VALUE"""),"centro pequeños gigantes")</f>
        <v>centro pequeños gigantes</v>
      </c>
      <c r="B2006" s="4"/>
      <c r="C2006" s="4"/>
    </row>
    <row r="2007" hidden="1">
      <c r="A2007" s="6" t="str">
        <f>IFERROR(__xludf.DUMMYFUNCTION("""COMPUTED_VALUE"""),"ioma")</f>
        <v>ioma</v>
      </c>
      <c r="B2007" s="6" t="str">
        <f>IFERROR(__xludf.DUMMYFUNCTION("""COMPUTED_VALUE"""),"Estados Unidos")</f>
        <v>Estados Unidos</v>
      </c>
      <c r="C2007" s="6" t="str">
        <f>IFERROR(__xludf.DUMMYFUNCTION("""COMPUTED_VALUE"""),"Other")</f>
        <v>Other</v>
      </c>
    </row>
    <row r="2008" hidden="1">
      <c r="A2008" s="6" t="str">
        <f>IFERROR(__xludf.DUMMYFUNCTION("""COMPUTED_VALUE"""),"redesip")</f>
        <v>redesip</v>
      </c>
      <c r="B2008" s="4"/>
      <c r="C2008" s="4"/>
    </row>
    <row r="2009" hidden="1">
      <c r="A2009" s="6" t="str">
        <f>IFERROR(__xludf.DUMMYFUNCTION("""COMPUTED_VALUE"""),"apn")</f>
        <v>apn</v>
      </c>
      <c r="B2009" s="6" t="str">
        <f>IFERROR(__xludf.DUMMYFUNCTION("""COMPUTED_VALUE"""),"Argentina")</f>
        <v>Argentina</v>
      </c>
      <c r="C2009" s="6" t="str">
        <f>IFERROR(__xludf.DUMMYFUNCTION("""COMPUTED_VALUE"""),"Public Center")</f>
        <v>Public Center</v>
      </c>
    </row>
    <row r="2010" hidden="1">
      <c r="A2010" s="6" t="str">
        <f>IFERROR(__xludf.DUMMYFUNCTION("""COMPUTED_VALUE"""),"devsafio latam")</f>
        <v>devsafio latam</v>
      </c>
      <c r="B2010" s="6" t="str">
        <f>IFERROR(__xludf.DUMMYFUNCTION("""COMPUTED_VALUE"""),"Chile")</f>
        <v>Chile</v>
      </c>
      <c r="C2010" s="6" t="str">
        <f>IFERROR(__xludf.DUMMYFUNCTION("""COMPUTED_VALUE"""),"Other")</f>
        <v>Other</v>
      </c>
    </row>
    <row r="2011" hidden="1">
      <c r="A2011" s="6" t="str">
        <f>IFERROR(__xludf.DUMMYFUNCTION("""COMPUTED_VALUE"""),"univ")</f>
        <v>univ</v>
      </c>
      <c r="B2011" s="6" t="str">
        <f>IFERROR(__xludf.DUMMYFUNCTION("""COMPUTED_VALUE"""),"Israel")</f>
        <v>Israel</v>
      </c>
      <c r="C2011" s="6" t="str">
        <f>IFERROR(__xludf.DUMMYFUNCTION("""COMPUTED_VALUE"""),"Messaging and Telecommunications")</f>
        <v>Messaging and Telecommunications</v>
      </c>
    </row>
    <row r="2012" hidden="1">
      <c r="A2012" s="6" t="str">
        <f>IFERROR(__xludf.DUMMYFUNCTION("""COMPUTED_VALUE"""),"onikom")</f>
        <v>onikom</v>
      </c>
      <c r="B2012" s="6" t="str">
        <f>IFERROR(__xludf.DUMMYFUNCTION("""COMPUTED_VALUE"""),"Estados Unidos")</f>
        <v>Estados Unidos</v>
      </c>
      <c r="C2012" s="6" t="str">
        <f>IFERROR(__xludf.DUMMYFUNCTION("""COMPUTED_VALUE"""),"Software Factory / Staffing")</f>
        <v>Software Factory / Staffing</v>
      </c>
    </row>
    <row r="2013" hidden="1">
      <c r="A2013" s="6" t="str">
        <f>IFERROR(__xludf.DUMMYFUNCTION("""COMPUTED_VALUE"""),"apli")</f>
        <v>apli</v>
      </c>
      <c r="B2013" s="6" t="str">
        <f>IFERROR(__xludf.DUMMYFUNCTION("""COMPUTED_VALUE"""),"Mexico")</f>
        <v>Mexico</v>
      </c>
      <c r="C2013" s="6" t="str">
        <f>IFERROR(__xludf.DUMMYFUNCTION("""COMPUTED_VALUE"""),"Software Factory / Staffing")</f>
        <v>Software Factory / Staffing</v>
      </c>
    </row>
    <row r="2014" hidden="1">
      <c r="A2014" s="6" t="str">
        <f>IFERROR(__xludf.DUMMYFUNCTION("""COMPUTED_VALUE"""),"ikatech")</f>
        <v>ikatech</v>
      </c>
      <c r="B2014" s="6" t="str">
        <f>IFERROR(__xludf.DUMMYFUNCTION("""COMPUTED_VALUE"""),"México")</f>
        <v>México</v>
      </c>
      <c r="C2014" s="6" t="str">
        <f>IFERROR(__xludf.DUMMYFUNCTION("""COMPUTED_VALUE"""),"Software Factory / Staffing")</f>
        <v>Software Factory / Staffing</v>
      </c>
    </row>
    <row r="2015" hidden="1">
      <c r="A2015" s="6" t="str">
        <f>IFERROR(__xludf.DUMMYFUNCTION("""COMPUTED_VALUE"""),"hbl")</f>
        <v>hbl</v>
      </c>
      <c r="B2015" s="6" t="str">
        <f>IFERROR(__xludf.DUMMYFUNCTION("""COMPUTED_VALUE"""),"Pakistán")</f>
        <v>Pakistán</v>
      </c>
      <c r="C2015" s="6" t="str">
        <f>IFERROR(__xludf.DUMMYFUNCTION("""COMPUTED_VALUE"""),"Banking &amp; Financial Servicies")</f>
        <v>Banking &amp; Financial Servicies</v>
      </c>
    </row>
    <row r="2016" hidden="1">
      <c r="A2016" s="6" t="str">
        <f>IFERROR(__xludf.DUMMYFUNCTION("""COMPUTED_VALUE"""),"eventys")</f>
        <v>eventys</v>
      </c>
      <c r="B2016" s="6" t="str">
        <f>IFERROR(__xludf.DUMMYFUNCTION("""COMPUTED_VALUE"""),"Chile")</f>
        <v>Chile</v>
      </c>
      <c r="C2016" s="6" t="str">
        <f>IFERROR(__xludf.DUMMYFUNCTION("""COMPUTED_VALUE"""),"Other")</f>
        <v>Other</v>
      </c>
    </row>
    <row r="2017" hidden="1">
      <c r="A2017" s="6" t="str">
        <f>IFERROR(__xludf.DUMMYFUNCTION("""COMPUTED_VALUE"""),"hospital universitario austral")</f>
        <v>hospital universitario austral</v>
      </c>
      <c r="B2017" s="6" t="str">
        <f>IFERROR(__xludf.DUMMYFUNCTION("""COMPUTED_VALUE"""),"Argentina")</f>
        <v>Argentina</v>
      </c>
      <c r="C2017" s="6" t="str">
        <f>IFERROR(__xludf.DUMMYFUNCTION("""COMPUTED_VALUE"""),"Health")</f>
        <v>Health</v>
      </c>
    </row>
    <row r="2018" hidden="1">
      <c r="A2018" s="6" t="str">
        <f>IFERROR(__xludf.DUMMYFUNCTION("""COMPUTED_VALUE"""),"axovia")</f>
        <v>axovia</v>
      </c>
      <c r="B2018" s="6" t="str">
        <f>IFERROR(__xludf.DUMMYFUNCTION("""COMPUTED_VALUE"""),"Mexico")</f>
        <v>Mexico</v>
      </c>
      <c r="C2018" s="6" t="str">
        <f>IFERROR(__xludf.DUMMYFUNCTION("""COMPUTED_VALUE"""),"Marketing &amp; Advertising")</f>
        <v>Marketing &amp; Advertising</v>
      </c>
    </row>
    <row r="2019" hidden="1">
      <c r="A2019" s="7" t="str">
        <f>IFERROR(__xludf.DUMMYFUNCTION("""COMPUTED_VALUE"""),"dating.com")</f>
        <v>dating.com</v>
      </c>
      <c r="B2019" s="4"/>
      <c r="C2019" s="6" t="str">
        <f>IFERROR(__xludf.DUMMYFUNCTION("""COMPUTED_VALUE"""),"Media &amp; Communication")</f>
        <v>Media &amp; Communication</v>
      </c>
    </row>
    <row r="2020" hidden="1">
      <c r="A2020" s="6" t="str">
        <f>IFERROR(__xludf.DUMMYFUNCTION("""COMPUTED_VALUE"""),"ogilvy")</f>
        <v>ogilvy</v>
      </c>
      <c r="B2020" s="6" t="str">
        <f>IFERROR(__xludf.DUMMYFUNCTION("""COMPUTED_VALUE"""),"Argentina")</f>
        <v>Argentina</v>
      </c>
      <c r="C2020" s="6" t="str">
        <f>IFERROR(__xludf.DUMMYFUNCTION("""COMPUTED_VALUE"""),"Marketing &amp; Advertising")</f>
        <v>Marketing &amp; Advertising</v>
      </c>
    </row>
    <row r="2021" hidden="1">
      <c r="A2021" s="6" t="str">
        <f>IFERROR(__xludf.DUMMYFUNCTION("""COMPUTED_VALUE"""),"certuit")</f>
        <v>certuit</v>
      </c>
      <c r="B2021" s="6" t="str">
        <f>IFERROR(__xludf.DUMMYFUNCTION("""COMPUTED_VALUE"""),"Mexico")</f>
        <v>Mexico</v>
      </c>
      <c r="C2021" s="6" t="str">
        <f>IFERROR(__xludf.DUMMYFUNCTION("""COMPUTED_VALUE"""),"Software Factory / Staffing")</f>
        <v>Software Factory / Staffing</v>
      </c>
    </row>
    <row r="2022" hidden="1">
      <c r="A2022" s="6" t="str">
        <f>IFERROR(__xludf.DUMMYFUNCTION("""COMPUTED_VALUE"""),"finalis")</f>
        <v>finalis</v>
      </c>
      <c r="B2022" s="6" t="str">
        <f>IFERROR(__xludf.DUMMYFUNCTION("""COMPUTED_VALUE"""),"Estados Unidos")</f>
        <v>Estados Unidos</v>
      </c>
      <c r="C2022" s="6" t="str">
        <f>IFERROR(__xludf.DUMMYFUNCTION("""COMPUTED_VALUE"""),"Fintech")</f>
        <v>Fintech</v>
      </c>
    </row>
    <row r="2023" hidden="1">
      <c r="A2023" s="6" t="str">
        <f>IFERROR(__xludf.DUMMYFUNCTION("""COMPUTED_VALUE"""),"nexitus")</f>
        <v>nexitus</v>
      </c>
      <c r="B2023" s="6" t="str">
        <f>IFERROR(__xludf.DUMMYFUNCTION("""COMPUTED_VALUE"""),"Costa Rica")</f>
        <v>Costa Rica</v>
      </c>
      <c r="C2023" s="6" t="str">
        <f>IFERROR(__xludf.DUMMYFUNCTION("""COMPUTED_VALUE"""),"Software Factory / Staffing")</f>
        <v>Software Factory / Staffing</v>
      </c>
    </row>
    <row r="2024" hidden="1">
      <c r="A2024" s="6" t="str">
        <f>IFERROR(__xludf.DUMMYFUNCTION("""COMPUTED_VALUE"""),"pignoora")</f>
        <v>pignoora</v>
      </c>
      <c r="B2024" s="6" t="str">
        <f>IFERROR(__xludf.DUMMYFUNCTION("""COMPUTED_VALUE"""),"Ecuador")</f>
        <v>Ecuador</v>
      </c>
      <c r="C2024" s="6" t="str">
        <f>IFERROR(__xludf.DUMMYFUNCTION("""COMPUTED_VALUE"""),"Other")</f>
        <v>Other</v>
      </c>
    </row>
    <row r="2025" hidden="1">
      <c r="A2025" s="6" t="str">
        <f>IFERROR(__xludf.DUMMYFUNCTION("""COMPUTED_VALUE"""),"fundacion ñande reko ha")</f>
        <v>fundacion ñande reko ha</v>
      </c>
      <c r="B2025" s="4"/>
      <c r="C2025" s="4"/>
    </row>
    <row r="2026" hidden="1">
      <c r="A2026" s="6" t="str">
        <f>IFERROR(__xludf.DUMMYFUNCTION("""COMPUTED_VALUE"""),"yellow patito")</f>
        <v>yellow patito</v>
      </c>
      <c r="B2026" s="6" t="str">
        <f>IFERROR(__xludf.DUMMYFUNCTION("""COMPUTED_VALUE"""),"Argentina")</f>
        <v>Argentina</v>
      </c>
      <c r="C2026" s="6" t="str">
        <f>IFERROR(__xludf.DUMMYFUNCTION("""COMPUTED_VALUE"""),"Software Factory / Staffing")</f>
        <v>Software Factory / Staffing</v>
      </c>
    </row>
    <row r="2027" hidden="1">
      <c r="A2027" s="6" t="str">
        <f>IFERROR(__xludf.DUMMYFUNCTION("""COMPUTED_VALUE"""),"entreverde")</f>
        <v>entreverde</v>
      </c>
      <c r="B2027" s="4"/>
      <c r="C2027" s="6" t="str">
        <f>IFERROR(__xludf.DUMMYFUNCTION("""COMPUTED_VALUE"""),"FMCG / Consumo masivo")</f>
        <v>FMCG / Consumo masivo</v>
      </c>
    </row>
    <row r="2028" hidden="1">
      <c r="A2028" s="6" t="str">
        <f>IFERROR(__xludf.DUMMYFUNCTION("""COMPUTED_VALUE"""),"sistemas esco s.a")</f>
        <v>sistemas esco s.a</v>
      </c>
      <c r="B2028" s="6" t="str">
        <f>IFERROR(__xludf.DUMMYFUNCTION("""COMPUTED_VALUE"""),"Argentina")</f>
        <v>Argentina</v>
      </c>
      <c r="C2028" s="6" t="str">
        <f>IFERROR(__xludf.DUMMYFUNCTION("""COMPUTED_VALUE"""),"Banking &amp; Financial Servicies")</f>
        <v>Banking &amp; Financial Servicies</v>
      </c>
    </row>
    <row r="2029" hidden="1">
      <c r="A2029" s="6" t="str">
        <f>IFERROR(__xludf.DUMMYFUNCTION("""COMPUTED_VALUE"""),"go sur")</f>
        <v>go sur</v>
      </c>
      <c r="B2029" s="6" t="str">
        <f>IFERROR(__xludf.DUMMYFUNCTION("""COMPUTED_VALUE"""),"Argentina")</f>
        <v>Argentina</v>
      </c>
      <c r="C2029" s="6" t="str">
        <f>IFERROR(__xludf.DUMMYFUNCTION("""COMPUTED_VALUE"""),"Data &amp; Analytics")</f>
        <v>Data &amp; Analytics</v>
      </c>
    </row>
    <row r="2030">
      <c r="A2030" s="6" t="str">
        <f>IFERROR(__xludf.DUMMYFUNCTION("""COMPUTED_VALUE"""),"axovia marketing &amp; technologies")</f>
        <v>axovia marketing &amp; technologies</v>
      </c>
      <c r="B2030" s="6" t="str">
        <f>IFERROR(__xludf.DUMMYFUNCTION("""COMPUTED_VALUE"""),"Mexico")</f>
        <v>Mexico</v>
      </c>
      <c r="C2030" s="6" t="str">
        <f>IFERROR(__xludf.DUMMYFUNCTION("""COMPUTED_VALUE"""),"Marketing &amp; Advertising")</f>
        <v>Marketing &amp; Advertising</v>
      </c>
    </row>
    <row r="2031" hidden="1">
      <c r="A2031" s="6" t="str">
        <f>IFERROR(__xludf.DUMMYFUNCTION("""COMPUTED_VALUE"""),"learsoft")</f>
        <v>learsoft</v>
      </c>
      <c r="B2031" s="6" t="str">
        <f>IFERROR(__xludf.DUMMYFUNCTION("""COMPUTED_VALUE"""),"Argentina")</f>
        <v>Argentina</v>
      </c>
      <c r="C2031" s="6" t="str">
        <f>IFERROR(__xludf.DUMMYFUNCTION("""COMPUTED_VALUE"""),"Software Factory / Staffing")</f>
        <v>Software Factory / Staffing</v>
      </c>
    </row>
    <row r="2032" hidden="1">
      <c r="A2032" s="6" t="str">
        <f>IFERROR(__xludf.DUMMYFUNCTION("""COMPUTED_VALUE"""),"guane enterprises")</f>
        <v>guane enterprises</v>
      </c>
      <c r="B2032" s="6" t="str">
        <f>IFERROR(__xludf.DUMMYFUNCTION("""COMPUTED_VALUE"""),"Colombia")</f>
        <v>Colombia</v>
      </c>
      <c r="C2032" s="6" t="str">
        <f>IFERROR(__xludf.DUMMYFUNCTION("""COMPUTED_VALUE"""),"Software Factory / Staffing")</f>
        <v>Software Factory / Staffing</v>
      </c>
    </row>
    <row r="2033" hidden="1">
      <c r="A2033" s="6" t="str">
        <f>IFERROR(__xludf.DUMMYFUNCTION("""COMPUTED_VALUE"""),"santex america")</f>
        <v>santex america</v>
      </c>
      <c r="B2033" s="6" t="str">
        <f>IFERROR(__xludf.DUMMYFUNCTION("""COMPUTED_VALUE"""),"Estados Unidos")</f>
        <v>Estados Unidos</v>
      </c>
      <c r="C2033" s="6" t="str">
        <f>IFERROR(__xludf.DUMMYFUNCTION("""COMPUTED_VALUE"""),"Artificil Intelligence
")</f>
        <v>Artificil Intelligence
</v>
      </c>
    </row>
    <row r="2034" hidden="1">
      <c r="A2034" s="6" t="str">
        <f>IFERROR(__xludf.DUMMYFUNCTION("""COMPUTED_VALUE"""),"mdq le sport s.a")</f>
        <v>mdq le sport s.a</v>
      </c>
      <c r="B2034" s="6" t="str">
        <f>IFERROR(__xludf.DUMMYFUNCTION("""COMPUTED_VALUE"""),"Argentina")</f>
        <v>Argentina</v>
      </c>
      <c r="C2034" s="6" t="str">
        <f>IFERROR(__xludf.DUMMYFUNCTION("""COMPUTED_VALUE"""),"FMCG / Consumo masivo")</f>
        <v>FMCG / Consumo masivo</v>
      </c>
    </row>
    <row r="2035" hidden="1">
      <c r="A2035" s="6" t="str">
        <f>IFERROR(__xludf.DUMMYFUNCTION("""COMPUTED_VALUE"""),"arche software studio")</f>
        <v>arche software studio</v>
      </c>
      <c r="B2035" s="6" t="str">
        <f>IFERROR(__xludf.DUMMYFUNCTION("""COMPUTED_VALUE"""),"Argentina")</f>
        <v>Argentina</v>
      </c>
      <c r="C2035" s="6" t="str">
        <f>IFERROR(__xludf.DUMMYFUNCTION("""COMPUTED_VALUE"""),"Software Factory / Staffing")</f>
        <v>Software Factory / Staffing</v>
      </c>
    </row>
    <row r="2036" hidden="1">
      <c r="A2036" s="6" t="str">
        <f>IFERROR(__xludf.DUMMYFUNCTION("""COMPUTED_VALUE"""),"marketlogic")</f>
        <v>marketlogic</v>
      </c>
      <c r="B2036" s="6" t="str">
        <f>IFERROR(__xludf.DUMMYFUNCTION("""COMPUTED_VALUE"""),"Estados Unidos")</f>
        <v>Estados Unidos</v>
      </c>
      <c r="C2036" s="6" t="str">
        <f>IFERROR(__xludf.DUMMYFUNCTION("""COMPUTED_VALUE"""),"Marketing &amp; Advertising")</f>
        <v>Marketing &amp; Advertising</v>
      </c>
    </row>
    <row r="2037">
      <c r="A2037" s="6" t="str">
        <f>IFERROR(__xludf.DUMMYFUNCTION("""COMPUTED_VALUE"""),"freepack")</f>
        <v>freepack</v>
      </c>
      <c r="B2037" s="6" t="str">
        <f>IFERROR(__xludf.DUMMYFUNCTION("""COMPUTED_VALUE"""),"Países Bajos")</f>
        <v>Países Bajos</v>
      </c>
      <c r="C2037" s="6" t="str">
        <f>IFERROR(__xludf.DUMMYFUNCTION("""COMPUTED_VALUE"""),"Software Factory / Staffing")</f>
        <v>Software Factory / Staffing</v>
      </c>
    </row>
    <row r="2038" hidden="1">
      <c r="A2038" s="6" t="str">
        <f>IFERROR(__xludf.DUMMYFUNCTION("""COMPUTED_VALUE"""),"entretramites")</f>
        <v>entretramites</v>
      </c>
      <c r="B2038" s="6" t="str">
        <f>IFERROR(__xludf.DUMMYFUNCTION("""COMPUTED_VALUE"""),"España")</f>
        <v>España</v>
      </c>
      <c r="C2038" s="6" t="str">
        <f>IFERROR(__xludf.DUMMYFUNCTION("""COMPUTED_VALUE"""),"Management Consulting")</f>
        <v>Management Consulting</v>
      </c>
    </row>
    <row r="2039" hidden="1">
      <c r="A2039" s="6" t="str">
        <f>IFERROR(__xludf.DUMMYFUNCTION("""COMPUTED_VALUE"""),"win&amp;winnow")</f>
        <v>win&amp;winnow</v>
      </c>
      <c r="B2039" s="6" t="str">
        <f>IFERROR(__xludf.DUMMYFUNCTION("""COMPUTED_VALUE"""),"Argentina")</f>
        <v>Argentina</v>
      </c>
      <c r="C2039" s="6" t="str">
        <f>IFERROR(__xludf.DUMMYFUNCTION("""COMPUTED_VALUE"""),"Other")</f>
        <v>Other</v>
      </c>
    </row>
    <row r="2040" hidden="1">
      <c r="A2040" s="6" t="str">
        <f>IFERROR(__xludf.DUMMYFUNCTION("""COMPUTED_VALUE"""),"aprueba xtreme")</f>
        <v>aprueba xtreme</v>
      </c>
      <c r="B2040" s="4"/>
      <c r="C2040" s="6" t="str">
        <f>IFERROR(__xludf.DUMMYFUNCTION("""COMPUTED_VALUE"""),"Education &amp; Edtech")</f>
        <v>Education &amp; Edtech</v>
      </c>
    </row>
    <row r="2041" hidden="1">
      <c r="A2041" s="6" t="str">
        <f>IFERROR(__xludf.DUMMYFUNCTION("""COMPUTED_VALUE"""),"other")</f>
        <v>other</v>
      </c>
      <c r="B2041" s="6" t="str">
        <f>IFERROR(__xludf.DUMMYFUNCTION("""COMPUTED_VALUE"""),"Canadá")</f>
        <v>Canadá</v>
      </c>
      <c r="C2041" s="6" t="str">
        <f>IFERROR(__xludf.DUMMYFUNCTION("""COMPUTED_VALUE"""),"Marketing &amp; Advertising")</f>
        <v>Marketing &amp; Advertising</v>
      </c>
    </row>
    <row r="2042" hidden="1">
      <c r="A2042" s="6" t="str">
        <f>IFERROR(__xludf.DUMMYFUNCTION("""COMPUTED_VALUE"""),"talentpitch")</f>
        <v>talentpitch</v>
      </c>
      <c r="B2042" s="6" t="str">
        <f>IFERROR(__xludf.DUMMYFUNCTION("""COMPUTED_VALUE"""),"Colombia")</f>
        <v>Colombia</v>
      </c>
      <c r="C2042" s="6" t="str">
        <f>IFERROR(__xludf.DUMMYFUNCTION("""COMPUTED_VALUE"""),"Education &amp; Edtech")</f>
        <v>Education &amp; Edtech</v>
      </c>
    </row>
    <row r="2043" hidden="1">
      <c r="A2043" s="6" t="str">
        <f>IFERROR(__xludf.DUMMYFUNCTION("""COMPUTED_VALUE"""),"win &amp; winnow")</f>
        <v>win &amp; winnow</v>
      </c>
      <c r="B2043" s="6" t="str">
        <f>IFERROR(__xludf.DUMMYFUNCTION("""COMPUTED_VALUE"""),"Estados Unidos")</f>
        <v>Estados Unidos</v>
      </c>
      <c r="C2043" s="6" t="str">
        <f>IFERROR(__xludf.DUMMYFUNCTION("""COMPUTED_VALUE"""),"Other")</f>
        <v>Other</v>
      </c>
    </row>
    <row r="2044" hidden="1">
      <c r="A2044" s="6" t="str">
        <f>IFERROR(__xludf.DUMMYFUNCTION("""COMPUTED_VALUE"""),"contabilium sa")</f>
        <v>contabilium sa</v>
      </c>
      <c r="B2044" s="4"/>
      <c r="C2044" s="4"/>
    </row>
    <row r="2045">
      <c r="A2045" s="6" t="str">
        <f>IFERROR(__xludf.DUMMYFUNCTION("""COMPUTED_VALUE"""),"madryn repuestos")</f>
        <v>madryn repuestos</v>
      </c>
      <c r="B2045" s="6" t="str">
        <f>IFERROR(__xludf.DUMMYFUNCTION("""COMPUTED_VALUE"""),"Argentina")</f>
        <v>Argentina</v>
      </c>
      <c r="C2045" s="6" t="str">
        <f>IFERROR(__xludf.DUMMYFUNCTION("""COMPUTED_VALUE"""),"Other")</f>
        <v>Other</v>
      </c>
    </row>
    <row r="2046">
      <c r="A2046" s="6" t="str">
        <f>IFERROR(__xludf.DUMMYFUNCTION("""COMPUTED_VALUE"""),"bolsa de comercio de rosario")</f>
        <v>bolsa de comercio de rosario</v>
      </c>
      <c r="B2046" s="6" t="str">
        <f>IFERROR(__xludf.DUMMYFUNCTION("""COMPUTED_VALUE"""),"Argentina")</f>
        <v>Argentina</v>
      </c>
      <c r="C2046" s="6" t="str">
        <f>IFERROR(__xludf.DUMMYFUNCTION("""COMPUTED_VALUE"""),"Agtech / Agro")</f>
        <v>Agtech / Agro</v>
      </c>
    </row>
    <row r="2047" hidden="1">
      <c r="A2047" s="6" t="str">
        <f>IFERROR(__xludf.DUMMYFUNCTION("""COMPUTED_VALUE"""),"tribier")</f>
        <v>tribier</v>
      </c>
      <c r="B2047" s="6" t="str">
        <f>IFERROR(__xludf.DUMMYFUNCTION("""COMPUTED_VALUE"""),"Colombia")</f>
        <v>Colombia</v>
      </c>
      <c r="C2047" s="6" t="str">
        <f>IFERROR(__xludf.DUMMYFUNCTION("""COMPUTED_VALUE"""),"Software Factory / Staffing")</f>
        <v>Software Factory / Staffing</v>
      </c>
    </row>
    <row r="2048" hidden="1">
      <c r="A2048" s="6" t="str">
        <f>IFERROR(__xludf.DUMMYFUNCTION("""COMPUTED_VALUE"""),"pwc acceleration center")</f>
        <v>pwc acceleration center</v>
      </c>
      <c r="B2048" s="6" t="str">
        <f>IFERROR(__xludf.DUMMYFUNCTION("""COMPUTED_VALUE"""),"Estados Unidos")</f>
        <v>Estados Unidos</v>
      </c>
      <c r="C2048" s="6" t="str">
        <f>IFERROR(__xludf.DUMMYFUNCTION("""COMPUTED_VALUE"""),"Management Consulting")</f>
        <v>Management Consulting</v>
      </c>
    </row>
    <row r="2049">
      <c r="A2049" s="6" t="str">
        <f>IFERROR(__xludf.DUMMYFUNCTION("""COMPUTED_VALUE"""),"novoideas")</f>
        <v>novoideas</v>
      </c>
      <c r="B2049" s="6" t="str">
        <f>IFERROR(__xludf.DUMMYFUNCTION("""COMPUTED_VALUE"""),"España")</f>
        <v>España</v>
      </c>
      <c r="C2049" s="6" t="str">
        <f>IFERROR(__xludf.DUMMYFUNCTION("""COMPUTED_VALUE"""),"Other")</f>
        <v>Other</v>
      </c>
    </row>
    <row r="2050" hidden="1">
      <c r="A2050" s="6" t="str">
        <f>IFERROR(__xludf.DUMMYFUNCTION("""COMPUTED_VALUE"""),"grupo consultores de empresas")</f>
        <v>grupo consultores de empresas</v>
      </c>
      <c r="B2050" s="6" t="str">
        <f>IFERROR(__xludf.DUMMYFUNCTION("""COMPUTED_VALUE"""),"Argentina")</f>
        <v>Argentina</v>
      </c>
      <c r="C2050" s="6" t="str">
        <f>IFERROR(__xludf.DUMMYFUNCTION("""COMPUTED_VALUE"""),"Management Consulting")</f>
        <v>Management Consulting</v>
      </c>
    </row>
    <row r="2051" hidden="1">
      <c r="A2051" s="6" t="str">
        <f>IFERROR(__xludf.DUMMYFUNCTION("""COMPUTED_VALUE"""),"corporacion talentum")</f>
        <v>corporacion talentum</v>
      </c>
      <c r="B2051" s="6" t="str">
        <f>IFERROR(__xludf.DUMMYFUNCTION("""COMPUTED_VALUE"""),"Estados Unidos")</f>
        <v>Estados Unidos</v>
      </c>
      <c r="C2051" s="6" t="str">
        <f>IFERROR(__xludf.DUMMYFUNCTION("""COMPUTED_VALUE"""),"Banking &amp; Financial Servicies")</f>
        <v>Banking &amp; Financial Servicies</v>
      </c>
    </row>
    <row r="2052" hidden="1">
      <c r="A2052" s="6" t="str">
        <f>IFERROR(__xludf.DUMMYFUNCTION("""COMPUTED_VALUE"""),"latech")</f>
        <v>latech</v>
      </c>
      <c r="B2052" s="6" t="str">
        <f>IFERROR(__xludf.DUMMYFUNCTION("""COMPUTED_VALUE"""),"Estados Unidos")</f>
        <v>Estados Unidos</v>
      </c>
      <c r="C2052" s="6" t="str">
        <f>IFERROR(__xludf.DUMMYFUNCTION("""COMPUTED_VALUE"""),"Education &amp; Edtech")</f>
        <v>Education &amp; Edtech</v>
      </c>
    </row>
    <row r="2053">
      <c r="A2053" s="6" t="str">
        <f>IFERROR(__xludf.DUMMYFUNCTION("""COMPUTED_VALUE"""),"wompi")</f>
        <v>wompi</v>
      </c>
      <c r="B2053" s="6" t="str">
        <f>IFERROR(__xludf.DUMMYFUNCTION("""COMPUTED_VALUE"""),"Colombia")</f>
        <v>Colombia</v>
      </c>
      <c r="C2053" s="6" t="str">
        <f>IFERROR(__xludf.DUMMYFUNCTION("""COMPUTED_VALUE"""),"Banking &amp; Financial Servicies")</f>
        <v>Banking &amp; Financial Servicies</v>
      </c>
    </row>
    <row r="2054" hidden="1">
      <c r="A2054" s="6" t="str">
        <f>IFERROR(__xludf.DUMMYFUNCTION("""COMPUTED_VALUE"""),"nacionalidades bn")</f>
        <v>nacionalidades bn</v>
      </c>
      <c r="B2054" s="6" t="str">
        <f>IFERROR(__xludf.DUMMYFUNCTION("""COMPUTED_VALUE"""),"Colombia")</f>
        <v>Colombia</v>
      </c>
      <c r="C2054" s="6" t="str">
        <f>IFERROR(__xludf.DUMMYFUNCTION("""COMPUTED_VALUE"""),"Law/Legal Services")</f>
        <v>Law/Legal Services</v>
      </c>
    </row>
    <row r="2055" hidden="1">
      <c r="A2055" s="6" t="str">
        <f>IFERROR(__xludf.DUMMYFUNCTION("""COMPUTED_VALUE"""),"mowomo")</f>
        <v>mowomo</v>
      </c>
      <c r="B2055" s="6" t="str">
        <f>IFERROR(__xludf.DUMMYFUNCTION("""COMPUTED_VALUE"""),"España")</f>
        <v>España</v>
      </c>
      <c r="C2055" s="6" t="str">
        <f>IFERROR(__xludf.DUMMYFUNCTION("""COMPUTED_VALUE"""),"Other")</f>
        <v>Other</v>
      </c>
    </row>
    <row r="2056" hidden="1">
      <c r="A2056" s="6" t="str">
        <f>IFERROR(__xludf.DUMMYFUNCTION("""COMPUTED_VALUE"""),"renovo")</f>
        <v>renovo</v>
      </c>
      <c r="B2056" s="6" t="str">
        <f>IFERROR(__xludf.DUMMYFUNCTION("""COMPUTED_VALUE"""),"Estados Unidos")</f>
        <v>Estados Unidos</v>
      </c>
      <c r="C2056" s="6" t="str">
        <f>IFERROR(__xludf.DUMMYFUNCTION("""COMPUTED_VALUE"""),"Health")</f>
        <v>Health</v>
      </c>
    </row>
    <row r="2057" hidden="1">
      <c r="A2057" s="6" t="str">
        <f>IFERROR(__xludf.DUMMYFUNCTION("""COMPUTED_VALUE"""),"bechsud")</f>
        <v>bechsud</v>
      </c>
      <c r="B2057" s="6" t="str">
        <f>IFERROR(__xludf.DUMMYFUNCTION("""COMPUTED_VALUE"""),"Argentina")</f>
        <v>Argentina</v>
      </c>
      <c r="C2057" s="6" t="str">
        <f>IFERROR(__xludf.DUMMYFUNCTION("""COMPUTED_VALUE"""),"Mechanical/Industrial Engineering")</f>
        <v>Mechanical/Industrial Engineering</v>
      </c>
    </row>
    <row r="2058" hidden="1">
      <c r="A2058" s="6" t="str">
        <f>IFERROR(__xludf.DUMMYFUNCTION("""COMPUTED_VALUE"""),"zegen dispositivos médicos")</f>
        <v>zegen dispositivos médicos</v>
      </c>
      <c r="B2058" s="4"/>
      <c r="C2058" s="4"/>
    </row>
    <row r="2059" hidden="1">
      <c r="A2059" s="6" t="str">
        <f>IFERROR(__xludf.DUMMYFUNCTION("""COMPUTED_VALUE"""),"zoologic")</f>
        <v>zoologic</v>
      </c>
      <c r="B2059" s="6" t="str">
        <f>IFERROR(__xludf.DUMMYFUNCTION("""COMPUTED_VALUE"""),"Argentina")</f>
        <v>Argentina</v>
      </c>
      <c r="C2059" s="6" t="str">
        <f>IFERROR(__xludf.DUMMYFUNCTION("""COMPUTED_VALUE"""),"Software Factory / Staffing")</f>
        <v>Software Factory / Staffing</v>
      </c>
    </row>
    <row r="2060" hidden="1">
      <c r="A2060" s="6" t="str">
        <f>IFERROR(__xludf.DUMMYFUNCTION("""COMPUTED_VALUE"""),"dlconsultores")</f>
        <v>dlconsultores</v>
      </c>
      <c r="B2060" s="6" t="str">
        <f>IFERROR(__xludf.DUMMYFUNCTION("""COMPUTED_VALUE"""),"Argentina")</f>
        <v>Argentina</v>
      </c>
      <c r="C2060" s="6" t="str">
        <f>IFERROR(__xludf.DUMMYFUNCTION("""COMPUTED_VALUE"""),"Software Factory / Staffing")</f>
        <v>Software Factory / Staffing</v>
      </c>
    </row>
    <row r="2061" hidden="1">
      <c r="A2061" s="6" t="str">
        <f>IFERROR(__xludf.DUMMYFUNCTION("""COMPUTED_VALUE"""),"desafiolatam")</f>
        <v>desafiolatam</v>
      </c>
      <c r="B2061" s="4"/>
      <c r="C2061" s="4"/>
    </row>
    <row r="2062" hidden="1">
      <c r="A2062" s="6" t="str">
        <f>IFERROR(__xludf.DUMMYFUNCTION("""COMPUTED_VALUE"""),"searchrebel")</f>
        <v>searchrebel</v>
      </c>
      <c r="B2062" s="6" t="str">
        <f>IFERROR(__xludf.DUMMYFUNCTION("""COMPUTED_VALUE"""),"Estados Unidos")</f>
        <v>Estados Unidos</v>
      </c>
      <c r="C2062" s="6" t="str">
        <f>IFERROR(__xludf.DUMMYFUNCTION("""COMPUTED_VALUE"""),"Software Factory / Staffing")</f>
        <v>Software Factory / Staffing</v>
      </c>
    </row>
    <row r="2063" hidden="1">
      <c r="A2063" s="6" t="str">
        <f>IFERROR(__xludf.DUMMYFUNCTION("""COMPUTED_VALUE"""),"gse - gestión de seguridad electrónica")</f>
        <v>gse - gestión de seguridad electrónica</v>
      </c>
      <c r="B2063" s="6" t="str">
        <f>IFERROR(__xludf.DUMMYFUNCTION("""COMPUTED_VALUE"""),"Colombia")</f>
        <v>Colombia</v>
      </c>
      <c r="C2063" s="6" t="str">
        <f>IFERROR(__xludf.DUMMYFUNCTION("""COMPUTED_VALUE"""),"Software Factory / Staffing")</f>
        <v>Software Factory / Staffing</v>
      </c>
    </row>
    <row r="2064" hidden="1">
      <c r="A2064" s="6" t="str">
        <f>IFERROR(__xludf.DUMMYFUNCTION("""COMPUTED_VALUE"""),"wallypos")</f>
        <v>wallypos</v>
      </c>
      <c r="B2064" s="4"/>
      <c r="C2064" s="4"/>
    </row>
    <row r="2065" hidden="1">
      <c r="A2065" s="6" t="str">
        <f>IFERROR(__xludf.DUMMYFUNCTION("""COMPUTED_VALUE"""),"heka")</f>
        <v>heka</v>
      </c>
      <c r="B2065" s="6" t="str">
        <f>IFERROR(__xludf.DUMMYFUNCTION("""COMPUTED_VALUE"""),"Ecuador")</f>
        <v>Ecuador</v>
      </c>
      <c r="C2065" s="6" t="str">
        <f>IFERROR(__xludf.DUMMYFUNCTION("""COMPUTED_VALUE"""),"Law/Legal Services")</f>
        <v>Law/Legal Services</v>
      </c>
    </row>
    <row r="2066" hidden="1">
      <c r="A2066" s="6" t="str">
        <f>IFERROR(__xludf.DUMMYFUNCTION("""COMPUTED_VALUE"""),"izertis")</f>
        <v>izertis</v>
      </c>
      <c r="B2066" s="6" t="str">
        <f>IFERROR(__xludf.DUMMYFUNCTION("""COMPUTED_VALUE"""),"España")</f>
        <v>España</v>
      </c>
      <c r="C2066" s="6" t="str">
        <f>IFERROR(__xludf.DUMMYFUNCTION("""COMPUTED_VALUE"""),"Software Factory / Staffing")</f>
        <v>Software Factory / Staffing</v>
      </c>
    </row>
    <row r="2067">
      <c r="A2067" s="6" t="str">
        <f>IFERROR(__xludf.DUMMYFUNCTION("""COMPUTED_VALUE"""),"poder judicial de santiago del estero")</f>
        <v>poder judicial de santiago del estero</v>
      </c>
      <c r="B2067" s="6" t="str">
        <f>IFERROR(__xludf.DUMMYFUNCTION("""COMPUTED_VALUE"""),"Argentina")</f>
        <v>Argentina</v>
      </c>
      <c r="C2067" s="6" t="str">
        <f>IFERROR(__xludf.DUMMYFUNCTION("""COMPUTED_VALUE"""),"Public Center")</f>
        <v>Public Center</v>
      </c>
    </row>
    <row r="2068">
      <c r="A2068" s="6" t="str">
        <f>IFERROR(__xludf.DUMMYFUNCTION("""COMPUTED_VALUE"""),"iqor")</f>
        <v>iqor</v>
      </c>
      <c r="B2068" s="6" t="str">
        <f>IFERROR(__xludf.DUMMYFUNCTION("""COMPUTED_VALUE"""),"Estados Unidos")</f>
        <v>Estados Unidos</v>
      </c>
      <c r="C2068" s="6" t="str">
        <f>IFERROR(__xludf.DUMMYFUNCTION("""COMPUTED_VALUE"""),"Artificil Intelligence")</f>
        <v>Artificil Intelligence</v>
      </c>
    </row>
    <row r="2069" hidden="1">
      <c r="A2069" s="6" t="str">
        <f>IFERROR(__xludf.DUMMYFUNCTION("""COMPUTED_VALUE"""),"oversoft")</f>
        <v>oversoft</v>
      </c>
      <c r="B2069" s="6" t="str">
        <f>IFERROR(__xludf.DUMMYFUNCTION("""COMPUTED_VALUE"""),"Argentina")</f>
        <v>Argentina</v>
      </c>
      <c r="C2069" s="6" t="str">
        <f>IFERROR(__xludf.DUMMYFUNCTION("""COMPUTED_VALUE"""),"Software Factory / Staffing")</f>
        <v>Software Factory / Staffing</v>
      </c>
    </row>
    <row r="2070" hidden="1">
      <c r="A2070" s="6" t="str">
        <f>IFERROR(__xludf.DUMMYFUNCTION("""COMPUTED_VALUE"""),"social media lab")</f>
        <v>social media lab</v>
      </c>
      <c r="B2070" s="6" t="str">
        <f>IFERROR(__xludf.DUMMYFUNCTION("""COMPUTED_VALUE"""),"Mexico")</f>
        <v>Mexico</v>
      </c>
      <c r="C2070" s="6" t="str">
        <f>IFERROR(__xludf.DUMMYFUNCTION("""COMPUTED_VALUE"""),"Marketing &amp; Advertising")</f>
        <v>Marketing &amp; Advertising</v>
      </c>
    </row>
    <row r="2071" hidden="1">
      <c r="A2071" s="6" t="str">
        <f>IFERROR(__xludf.DUMMYFUNCTION("""COMPUTED_VALUE"""),"simple black sas.")</f>
        <v>simple black sas.</v>
      </c>
      <c r="B2071" s="6" t="str">
        <f>IFERROR(__xludf.DUMMYFUNCTION("""COMPUTED_VALUE"""),"Argentina")</f>
        <v>Argentina</v>
      </c>
      <c r="C2071" s="6" t="str">
        <f>IFERROR(__xludf.DUMMYFUNCTION("""COMPUTED_VALUE"""),"Other")</f>
        <v>Other</v>
      </c>
    </row>
    <row r="2072" hidden="1">
      <c r="A2072" s="6" t="str">
        <f>IFERROR(__xludf.DUMMYFUNCTION("""COMPUTED_VALUE"""),"stylish international inc.")</f>
        <v>stylish international inc.</v>
      </c>
      <c r="B2072" s="6" t="str">
        <f>IFERROR(__xludf.DUMMYFUNCTION("""COMPUTED_VALUE"""),"Argentina")</f>
        <v>Argentina</v>
      </c>
      <c r="C2072" s="6" t="str">
        <f>IFERROR(__xludf.DUMMYFUNCTION("""COMPUTED_VALUE"""),"Construction")</f>
        <v>Construction</v>
      </c>
    </row>
    <row r="2073" hidden="1">
      <c r="A2073" s="6" t="str">
        <f>IFERROR(__xludf.DUMMYFUNCTION("""COMPUTED_VALUE"""),"ayco automotores")</f>
        <v>ayco automotores</v>
      </c>
      <c r="B2073" s="6" t="str">
        <f>IFERROR(__xludf.DUMMYFUNCTION("""COMPUTED_VALUE"""),"Argentina")</f>
        <v>Argentina</v>
      </c>
      <c r="C2073" s="6" t="str">
        <f>IFERROR(__xludf.DUMMYFUNCTION("""COMPUTED_VALUE"""),"Mechanical/Industrial Engineering")</f>
        <v>Mechanical/Industrial Engineering</v>
      </c>
    </row>
    <row r="2074" hidden="1">
      <c r="A2074" s="6" t="str">
        <f>IFERROR(__xludf.DUMMYFUNCTION("""COMPUTED_VALUE"""),"movinova ip&amp;t sas")</f>
        <v>movinova ip&amp;t sas</v>
      </c>
      <c r="B2074" s="6" t="str">
        <f>IFERROR(__xludf.DUMMYFUNCTION("""COMPUTED_VALUE"""),"Colombia")</f>
        <v>Colombia</v>
      </c>
      <c r="C2074" s="6" t="str">
        <f>IFERROR(__xludf.DUMMYFUNCTION("""COMPUTED_VALUE"""),"Software Factory / Staffing")</f>
        <v>Software Factory / Staffing</v>
      </c>
    </row>
    <row r="2075" hidden="1">
      <c r="A2075" s="6" t="str">
        <f>IFERROR(__xludf.DUMMYFUNCTION("""COMPUTED_VALUE"""),"edsi trend")</f>
        <v>edsi trend</v>
      </c>
      <c r="B2075" s="6" t="str">
        <f>IFERROR(__xludf.DUMMYFUNCTION("""COMPUTED_VALUE"""),"Argentina")</f>
        <v>Argentina</v>
      </c>
      <c r="C2075" s="6" t="str">
        <f>IFERROR(__xludf.DUMMYFUNCTION("""COMPUTED_VALUE"""),"Software Factory / Staffing")</f>
        <v>Software Factory / Staffing</v>
      </c>
    </row>
    <row r="2076" hidden="1">
      <c r="A2076" s="7" t="str">
        <f>IFERROR(__xludf.DUMMYFUNCTION("""COMPUTED_VALUE"""),"contractorstest.com")</f>
        <v>contractorstest.com</v>
      </c>
      <c r="B2076" s="4"/>
      <c r="C2076" s="4"/>
    </row>
    <row r="2077" hidden="1">
      <c r="A2077" s="6" t="str">
        <f>IFERROR(__xludf.DUMMYFUNCTION("""COMPUTED_VALUE"""),"celuweb")</f>
        <v>celuweb</v>
      </c>
      <c r="B2077" s="6" t="str">
        <f>IFERROR(__xludf.DUMMYFUNCTION("""COMPUTED_VALUE"""),"Colombia")</f>
        <v>Colombia</v>
      </c>
      <c r="C2077" s="6" t="str">
        <f>IFERROR(__xludf.DUMMYFUNCTION("""COMPUTED_VALUE"""),"Software Factory / Staffing")</f>
        <v>Software Factory / Staffing</v>
      </c>
    </row>
    <row r="2078" hidden="1">
      <c r="A2078" s="6" t="str">
        <f>IFERROR(__xludf.DUMMYFUNCTION("""COMPUTED_VALUE"""),"redes humanas")</f>
        <v>redes humanas</v>
      </c>
      <c r="B2078" s="6" t="str">
        <f>IFERROR(__xludf.DUMMYFUNCTION("""COMPUTED_VALUE"""),"Colombia")</f>
        <v>Colombia</v>
      </c>
      <c r="C2078" s="6" t="str">
        <f>IFERROR(__xludf.DUMMYFUNCTION("""COMPUTED_VALUE"""),"Software Factory / Staffing")</f>
        <v>Software Factory / Staffing</v>
      </c>
    </row>
    <row r="2079" hidden="1">
      <c r="A2079" s="6" t="str">
        <f>IFERROR(__xludf.DUMMYFUNCTION("""COMPUTED_VALUE"""),"autonomic mind")</f>
        <v>autonomic mind</v>
      </c>
      <c r="B2079" s="6" t="str">
        <f>IFERROR(__xludf.DUMMYFUNCTION("""COMPUTED_VALUE"""),"Colombia")</f>
        <v>Colombia</v>
      </c>
      <c r="C2079" s="6" t="str">
        <f>IFERROR(__xludf.DUMMYFUNCTION("""COMPUTED_VALUE"""),"Human Resources")</f>
        <v>Human Resources</v>
      </c>
    </row>
    <row r="2080" hidden="1">
      <c r="A2080" s="6" t="str">
        <f>IFERROR(__xludf.DUMMYFUNCTION("""COMPUTED_VALUE"""),"inter rapidisimo")</f>
        <v>inter rapidisimo</v>
      </c>
      <c r="B2080" s="6" t="str">
        <f>IFERROR(__xludf.DUMMYFUNCTION("""COMPUTED_VALUE"""),"Colombia")</f>
        <v>Colombia</v>
      </c>
      <c r="C2080" s="6" t="str">
        <f>IFERROR(__xludf.DUMMYFUNCTION("""COMPUTED_VALUE"""),"Logistics")</f>
        <v>Logistics</v>
      </c>
    </row>
    <row r="2081" hidden="1">
      <c r="A2081" s="6" t="str">
        <f>IFERROR(__xludf.DUMMYFUNCTION("""COMPUTED_VALUE"""),"acciona it")</f>
        <v>acciona it</v>
      </c>
      <c r="B2081" s="6" t="str">
        <f>IFERROR(__xludf.DUMMYFUNCTION("""COMPUTED_VALUE"""),"Argentina")</f>
        <v>Argentina</v>
      </c>
      <c r="C2081" s="6" t="str">
        <f>IFERROR(__xludf.DUMMYFUNCTION("""COMPUTED_VALUE"""),"Management Consulting")</f>
        <v>Management Consulting</v>
      </c>
    </row>
    <row r="2082" hidden="1">
      <c r="A2082" s="6" t="str">
        <f>IFERROR(__xludf.DUMMYFUNCTION("""COMPUTED_VALUE"""),"social media lab ai")</f>
        <v>social media lab ai</v>
      </c>
      <c r="B2082" s="6" t="str">
        <f>IFERROR(__xludf.DUMMYFUNCTION("""COMPUTED_VALUE"""),"España")</f>
        <v>España</v>
      </c>
      <c r="C2082" s="6" t="str">
        <f>IFERROR(__xludf.DUMMYFUNCTION("""COMPUTED_VALUE"""),"Marketing &amp; Advertising")</f>
        <v>Marketing &amp; Advertising</v>
      </c>
    </row>
    <row r="2083" hidden="1">
      <c r="A2083" s="6" t="str">
        <f>IFERROR(__xludf.DUMMYFUNCTION("""COMPUTED_VALUE"""),"blue zone")</f>
        <v>blue zone</v>
      </c>
      <c r="B2083" s="6" t="str">
        <f>IFERROR(__xludf.DUMMYFUNCTION("""COMPUTED_VALUE"""),"España")</f>
        <v>España</v>
      </c>
      <c r="C2083" s="6" t="str">
        <f>IFERROR(__xludf.DUMMYFUNCTION("""COMPUTED_VALUE"""),"Media &amp; Communication")</f>
        <v>Media &amp; Communication</v>
      </c>
    </row>
    <row r="2084" hidden="1">
      <c r="A2084" s="6" t="str">
        <f>IFERROR(__xludf.DUMMYFUNCTION("""COMPUTED_VALUE"""),"tate")</f>
        <v>tate</v>
      </c>
      <c r="B2084" s="6" t="str">
        <f>IFERROR(__xludf.DUMMYFUNCTION("""COMPUTED_VALUE"""),"Inglaterra")</f>
        <v>Inglaterra</v>
      </c>
      <c r="C2084" s="6" t="str">
        <f>IFERROR(__xludf.DUMMYFUNCTION("""COMPUTED_VALUE"""),"Other")</f>
        <v>Other</v>
      </c>
    </row>
    <row r="2085" hidden="1">
      <c r="A2085" s="6" t="str">
        <f>IFERROR(__xludf.DUMMYFUNCTION("""COMPUTED_VALUE"""),"prototype-devs")</f>
        <v>prototype-devs</v>
      </c>
      <c r="B2085" s="6" t="str">
        <f>IFERROR(__xludf.DUMMYFUNCTION("""COMPUTED_VALUE"""),"Paises Bajos")</f>
        <v>Paises Bajos</v>
      </c>
      <c r="C2085" s="6" t="str">
        <f>IFERROR(__xludf.DUMMYFUNCTION("""COMPUTED_VALUE"""),"Software Factory / Staffing")</f>
        <v>Software Factory / Staffing</v>
      </c>
    </row>
    <row r="2086" hidden="1">
      <c r="A2086" s="6" t="str">
        <f>IFERROR(__xludf.DUMMYFUNCTION("""COMPUTED_VALUE"""),"barcelona quality services")</f>
        <v>barcelona quality services</v>
      </c>
      <c r="B2086" s="6" t="str">
        <f>IFERROR(__xludf.DUMMYFUNCTION("""COMPUTED_VALUE"""),"Estados Unidos")</f>
        <v>Estados Unidos</v>
      </c>
      <c r="C2086" s="6" t="str">
        <f>IFERROR(__xludf.DUMMYFUNCTION("""COMPUTED_VALUE"""),"Energy")</f>
        <v>Energy</v>
      </c>
    </row>
    <row r="2087" hidden="1">
      <c r="A2087" s="6" t="str">
        <f>IFERROR(__xludf.DUMMYFUNCTION("""COMPUTED_VALUE"""),"solera")</f>
        <v>solera</v>
      </c>
      <c r="B2087" s="6" t="str">
        <f>IFERROR(__xludf.DUMMYFUNCTION("""COMPUTED_VALUE"""),"Estados Unidos")</f>
        <v>Estados Unidos</v>
      </c>
      <c r="C2087" s="6" t="str">
        <f>IFERROR(__xludf.DUMMYFUNCTION("""COMPUTED_VALUE"""),"Software Factory / Staffing")</f>
        <v>Software Factory / Staffing</v>
      </c>
    </row>
    <row r="2088" hidden="1">
      <c r="A2088" s="6" t="str">
        <f>IFERROR(__xludf.DUMMYFUNCTION("""COMPUTED_VALUE"""),"luna&amp;asociados")</f>
        <v>luna&amp;asociados</v>
      </c>
      <c r="B2088" s="6" t="str">
        <f>IFERROR(__xludf.DUMMYFUNCTION("""COMPUTED_VALUE"""),"Argentina")</f>
        <v>Argentina</v>
      </c>
      <c r="C2088" s="6" t="str">
        <f>IFERROR(__xludf.DUMMYFUNCTION("""COMPUTED_VALUE"""),"Law/Legal Services")</f>
        <v>Law/Legal Services</v>
      </c>
    </row>
    <row r="2089" hidden="1">
      <c r="A2089" s="6" t="str">
        <f>IFERROR(__xludf.DUMMYFUNCTION("""COMPUTED_VALUE"""),"1nnovation")</f>
        <v>1nnovation</v>
      </c>
      <c r="B2089" s="6" t="str">
        <f>IFERROR(__xludf.DUMMYFUNCTION("""COMPUTED_VALUE"""),"Inglaterra")</f>
        <v>Inglaterra</v>
      </c>
      <c r="C2089" s="6" t="str">
        <f>IFERROR(__xludf.DUMMYFUNCTION("""COMPUTED_VALUE"""),"Management Consulting")</f>
        <v>Management Consulting</v>
      </c>
    </row>
    <row r="2090" hidden="1">
      <c r="A2090" s="6" t="str">
        <f>IFERROR(__xludf.DUMMYFUNCTION("""COMPUTED_VALUE"""),"mol solutions")</f>
        <v>mol solutions</v>
      </c>
      <c r="B2090" s="6" t="str">
        <f>IFERROR(__xludf.DUMMYFUNCTION("""COMPUTED_VALUE"""),"Argentina")</f>
        <v>Argentina</v>
      </c>
      <c r="C2090" s="6" t="str">
        <f>IFERROR(__xludf.DUMMYFUNCTION("""COMPUTED_VALUE"""),"Software Factory / Staffing")</f>
        <v>Software Factory / Staffing</v>
      </c>
    </row>
    <row r="2091" hidden="1">
      <c r="A2091" s="6" t="str">
        <f>IFERROR(__xludf.DUMMYFUNCTION("""COMPUTED_VALUE"""),"gualda proyects")</f>
        <v>gualda proyects</v>
      </c>
      <c r="B2091" s="4"/>
      <c r="C2091" s="4"/>
    </row>
    <row r="2092" hidden="1">
      <c r="A2092" s="6" t="str">
        <f>IFERROR(__xludf.DUMMYFUNCTION("""COMPUTED_VALUE"""),"gc-track")</f>
        <v>gc-track</v>
      </c>
      <c r="B2092" s="6" t="str">
        <f>IFERROR(__xludf.DUMMYFUNCTION("""COMPUTED_VALUE"""),"México")</f>
        <v>México</v>
      </c>
      <c r="C2092" s="6" t="str">
        <f>IFERROR(__xludf.DUMMYFUNCTION("""COMPUTED_VALUE"""),"Mechanical/Industrial Engineering")</f>
        <v>Mechanical/Industrial Engineering</v>
      </c>
    </row>
    <row r="2093" hidden="1">
      <c r="A2093" s="6" t="str">
        <f>IFERROR(__xludf.DUMMYFUNCTION("""COMPUTED_VALUE"""),"ardaby tec")</f>
        <v>ardaby tec</v>
      </c>
      <c r="B2093" s="6" t="str">
        <f>IFERROR(__xludf.DUMMYFUNCTION("""COMPUTED_VALUE"""),"Not found")</f>
        <v>Not found</v>
      </c>
      <c r="C2093" s="6" t="str">
        <f>IFERROR(__xludf.DUMMYFUNCTION("""COMPUTED_VALUE"""),"Software Factory / Staffing")</f>
        <v>Software Factory / Staffing</v>
      </c>
    </row>
    <row r="2094" hidden="1">
      <c r="A2094" s="6" t="str">
        <f>IFERROR(__xludf.DUMMYFUNCTION("""COMPUTED_VALUE"""),"heyhom")</f>
        <v>heyhom</v>
      </c>
      <c r="B2094" s="6" t="str">
        <f>IFERROR(__xludf.DUMMYFUNCTION("""COMPUTED_VALUE"""),"Mexico")</f>
        <v>Mexico</v>
      </c>
      <c r="C2094" s="6" t="str">
        <f>IFERROR(__xludf.DUMMYFUNCTION("""COMPUTED_VALUE"""),"PropTech / Real State")</f>
        <v>PropTech / Real State</v>
      </c>
    </row>
    <row r="2095" hidden="1">
      <c r="A2095" s="6" t="str">
        <f>IFERROR(__xludf.DUMMYFUNCTION("""COMPUTED_VALUE"""),"lionbridge")</f>
        <v>lionbridge</v>
      </c>
      <c r="B2095" s="6" t="str">
        <f>IFERROR(__xludf.DUMMYFUNCTION("""COMPUTED_VALUE"""),"Estados Unidos")</f>
        <v>Estados Unidos</v>
      </c>
      <c r="C2095" s="6" t="str">
        <f>IFERROR(__xludf.DUMMYFUNCTION("""COMPUTED_VALUE"""),"Other")</f>
        <v>Other</v>
      </c>
    </row>
    <row r="2096" hidden="1">
      <c r="A2096" s="6" t="str">
        <f>IFERROR(__xludf.DUMMYFUNCTION("""COMPUTED_VALUE"""),"iem data")</f>
        <v>iem data</v>
      </c>
      <c r="B2096" s="6" t="str">
        <f>IFERROR(__xludf.DUMMYFUNCTION("""COMPUTED_VALUE"""),"Italia")</f>
        <v>Italia</v>
      </c>
      <c r="C2096" s="6" t="str">
        <f>IFERROR(__xludf.DUMMYFUNCTION("""COMPUTED_VALUE"""),"Data &amp; Analytics")</f>
        <v>Data &amp; Analytics</v>
      </c>
    </row>
    <row r="2097" hidden="1">
      <c r="A2097" s="6" t="str">
        <f>IFERROR(__xludf.DUMMYFUNCTION("""COMPUTED_VALUE"""),"ecogas")</f>
        <v>ecogas</v>
      </c>
      <c r="B2097" s="6" t="str">
        <f>IFERROR(__xludf.DUMMYFUNCTION("""COMPUTED_VALUE"""),"Argentina")</f>
        <v>Argentina</v>
      </c>
      <c r="C2097" s="6" t="str">
        <f>IFERROR(__xludf.DUMMYFUNCTION("""COMPUTED_VALUE"""),"Energy")</f>
        <v>Energy</v>
      </c>
    </row>
    <row r="2098" hidden="1">
      <c r="A2098" s="6" t="str">
        <f>IFERROR(__xludf.DUMMYFUNCTION("""COMPUTED_VALUE"""),"hova net")</f>
        <v>hova net</v>
      </c>
      <c r="B2098" s="6" t="str">
        <f>IFERROR(__xludf.DUMMYFUNCTION("""COMPUTED_VALUE"""),"Mexico")</f>
        <v>Mexico</v>
      </c>
      <c r="C2098" s="6" t="str">
        <f>IFERROR(__xludf.DUMMYFUNCTION("""COMPUTED_VALUE"""),"Software Factory / Staffing")</f>
        <v>Software Factory / Staffing</v>
      </c>
    </row>
    <row r="2099" hidden="1">
      <c r="A2099" s="6" t="str">
        <f>IFERROR(__xludf.DUMMYFUNCTION("""COMPUTED_VALUE"""),"desafio latam")</f>
        <v>desafio latam</v>
      </c>
      <c r="B2099" s="6" t="str">
        <f>IFERROR(__xludf.DUMMYFUNCTION("""COMPUTED_VALUE"""),"Chile")</f>
        <v>Chile</v>
      </c>
      <c r="C2099" s="6" t="str">
        <f>IFERROR(__xludf.DUMMYFUNCTION("""COMPUTED_VALUE"""),"Education &amp; Edtech")</f>
        <v>Education &amp; Edtech</v>
      </c>
    </row>
    <row r="2100">
      <c r="A2100" s="6" t="str">
        <f>IFERROR(__xludf.DUMMYFUNCTION("""COMPUTED_VALUE"""),"gualda proyect")</f>
        <v>gualda proyect</v>
      </c>
      <c r="B2100" s="4"/>
      <c r="C2100" s="6" t="str">
        <f>IFERROR(__xludf.DUMMYFUNCTION("""COMPUTED_VALUE"""),"Other")</f>
        <v>Other</v>
      </c>
    </row>
    <row r="2101" hidden="1">
      <c r="A2101" s="6" t="str">
        <f>IFERROR(__xludf.DUMMYFUNCTION("""COMPUTED_VALUE"""),"inversiones virgen de guadalupe c.a.")</f>
        <v>inversiones virgen de guadalupe c.a.</v>
      </c>
      <c r="B2101" s="4"/>
      <c r="C2101" s="4"/>
    </row>
    <row r="2102" hidden="1">
      <c r="A2102" s="6" t="str">
        <f>IFERROR(__xludf.DUMMYFUNCTION("""COMPUTED_VALUE"""),"netwey")</f>
        <v>netwey</v>
      </c>
      <c r="B2102" s="6" t="str">
        <f>IFERROR(__xludf.DUMMYFUNCTION("""COMPUTED_VALUE"""),"Mexico")</f>
        <v>Mexico</v>
      </c>
      <c r="C2102" s="6" t="str">
        <f>IFERROR(__xludf.DUMMYFUNCTION("""COMPUTED_VALUE"""),"Other")</f>
        <v>Other</v>
      </c>
    </row>
    <row r="2103" hidden="1">
      <c r="A2103" s="6" t="str">
        <f>IFERROR(__xludf.DUMMYFUNCTION("""COMPUTED_VALUE"""),"vn global")</f>
        <v>vn global</v>
      </c>
      <c r="B2103" s="6" t="str">
        <f>IFERROR(__xludf.DUMMYFUNCTION("""COMPUTED_VALUE"""),"India")</f>
        <v>India</v>
      </c>
      <c r="C2103" s="6" t="str">
        <f>IFERROR(__xludf.DUMMYFUNCTION("""COMPUTED_VALUE"""),"Mechanical/Industrial Engineering")</f>
        <v>Mechanical/Industrial Engineering</v>
      </c>
    </row>
    <row r="2104" hidden="1">
      <c r="A2104" s="6" t="str">
        <f>IFERROR(__xludf.DUMMYFUNCTION("""COMPUTED_VALUE"""),"innovadores")</f>
        <v>innovadores</v>
      </c>
      <c r="B2104" s="6" t="str">
        <f>IFERROR(__xludf.DUMMYFUNCTION("""COMPUTED_VALUE"""),"España")</f>
        <v>España</v>
      </c>
      <c r="C2104" s="6" t="str">
        <f>IFERROR(__xludf.DUMMYFUNCTION("""COMPUTED_VALUE"""),"Education &amp; Edtech")</f>
        <v>Education &amp; Edtech</v>
      </c>
    </row>
    <row r="2105" hidden="1">
      <c r="A2105" s="6" t="str">
        <f>IFERROR(__xludf.DUMMYFUNCTION("""COMPUTED_VALUE"""),"cri congresos y convenciones")</f>
        <v>cri congresos y convenciones</v>
      </c>
      <c r="B2105" s="6" t="str">
        <f>IFERROR(__xludf.DUMMYFUNCTION("""COMPUTED_VALUE"""),"Mexico")</f>
        <v>Mexico</v>
      </c>
      <c r="C2105" s="6" t="str">
        <f>IFERROR(__xludf.DUMMYFUNCTION("""COMPUTED_VALUE"""),"Travel and Tourism")</f>
        <v>Travel and Tourism</v>
      </c>
    </row>
    <row r="2106" hidden="1">
      <c r="A2106" s="6" t="str">
        <f>IFERROR(__xludf.DUMMYFUNCTION("""COMPUTED_VALUE"""),"ingoe orchards ltd")</f>
        <v>ingoe orchards ltd</v>
      </c>
      <c r="B2106" s="4"/>
      <c r="C2106" s="4"/>
    </row>
    <row r="2107" hidden="1">
      <c r="A2107" s="6" t="str">
        <f>IFERROR(__xludf.DUMMYFUNCTION("""COMPUTED_VALUE"""),"awg")</f>
        <v>awg</v>
      </c>
      <c r="B2107" s="6" t="str">
        <f>IFERROR(__xludf.DUMMYFUNCTION("""COMPUTED_VALUE"""),"Argentina")</f>
        <v>Argentina</v>
      </c>
      <c r="C2107" s="6" t="str">
        <f>IFERROR(__xludf.DUMMYFUNCTION("""COMPUTED_VALUE"""),"Messaging and Telecommunications")</f>
        <v>Messaging and Telecommunications</v>
      </c>
    </row>
    <row r="2108" hidden="1">
      <c r="A2108" s="6" t="str">
        <f>IFERROR(__xludf.DUMMYFUNCTION("""COMPUTED_VALUE"""),"etf s.a.")</f>
        <v>etf s.a.</v>
      </c>
      <c r="B2108" s="6" t="str">
        <f>IFERROR(__xludf.DUMMYFUNCTION("""COMPUTED_VALUE"""),"Estados Unidos")</f>
        <v>Estados Unidos</v>
      </c>
      <c r="C2108" s="6" t="str">
        <f>IFERROR(__xludf.DUMMYFUNCTION("""COMPUTED_VALUE"""),"Banking &amp; Financial Servicies")</f>
        <v>Banking &amp; Financial Servicies</v>
      </c>
    </row>
    <row r="2109" hidden="1">
      <c r="A2109" s="6" t="str">
        <f>IFERROR(__xludf.DUMMYFUNCTION("""COMPUTED_VALUE"""),"idom")</f>
        <v>idom</v>
      </c>
      <c r="B2109" s="6" t="str">
        <f>IFERROR(__xludf.DUMMYFUNCTION("""COMPUTED_VALUE"""),"España")</f>
        <v>España</v>
      </c>
      <c r="C2109" s="6" t="str">
        <f>IFERROR(__xludf.DUMMYFUNCTION("""COMPUTED_VALUE"""),"Mechanical/Industrial Engineering")</f>
        <v>Mechanical/Industrial Engineering</v>
      </c>
    </row>
    <row r="2110" hidden="1">
      <c r="A2110" s="6" t="str">
        <f>IFERROR(__xludf.DUMMYFUNCTION("""COMPUTED_VALUE"""),"central zone")</f>
        <v>central zone</v>
      </c>
      <c r="B2110" s="6" t="str">
        <f>IFERROR(__xludf.DUMMYFUNCTION("""COMPUTED_VALUE"""),"Inglaterra")</f>
        <v>Inglaterra</v>
      </c>
      <c r="C2110" s="6" t="str">
        <f>IFERROR(__xludf.DUMMYFUNCTION("""COMPUTED_VALUE"""),"Management Consulting")</f>
        <v>Management Consulting</v>
      </c>
    </row>
    <row r="2111" hidden="1">
      <c r="A2111" s="6" t="str">
        <f>IFERROR(__xludf.DUMMYFUNCTION("""COMPUTED_VALUE"""),"mall service")</f>
        <v>mall service</v>
      </c>
      <c r="B2111" s="6" t="str">
        <f>IFERROR(__xludf.DUMMYFUNCTION("""COMPUTED_VALUE"""),"Estados Unidos")</f>
        <v>Estados Unidos</v>
      </c>
      <c r="C2111" s="6" t="str">
        <f>IFERROR(__xludf.DUMMYFUNCTION("""COMPUTED_VALUE"""),"Messaging and Telecommunications")</f>
        <v>Messaging and Telecommunications</v>
      </c>
    </row>
    <row r="2112" hidden="1">
      <c r="A2112" s="6" t="str">
        <f>IFERROR(__xludf.DUMMYFUNCTION("""COMPUTED_VALUE"""),"green pillows")</f>
        <v>green pillows</v>
      </c>
      <c r="B2112" s="6" t="str">
        <f>IFERROR(__xludf.DUMMYFUNCTION("""COMPUTED_VALUE"""),"Brasil")</f>
        <v>Brasil</v>
      </c>
      <c r="C2112" s="6" t="str">
        <f>IFERROR(__xludf.DUMMYFUNCTION("""COMPUTED_VALUE"""),"Gaming")</f>
        <v>Gaming</v>
      </c>
    </row>
    <row r="2113" hidden="1">
      <c r="A2113" s="6" t="str">
        <f>IFERROR(__xludf.DUMMYFUNCTION("""COMPUTED_VALUE"""),"aplay sa")</f>
        <v>aplay sa</v>
      </c>
      <c r="B2113" s="6" t="str">
        <f>IFERROR(__xludf.DUMMYFUNCTION("""COMPUTED_VALUE"""),"Brasil")</f>
        <v>Brasil</v>
      </c>
      <c r="C2113" s="6" t="str">
        <f>IFERROR(__xludf.DUMMYFUNCTION("""COMPUTED_VALUE"""),"Gaming")</f>
        <v>Gaming</v>
      </c>
    </row>
    <row r="2114" hidden="1">
      <c r="A2114" s="6" t="str">
        <f>IFERROR(__xludf.DUMMYFUNCTION("""COMPUTED_VALUE"""),"mdp")</f>
        <v>mdp</v>
      </c>
      <c r="B2114" s="6" t="str">
        <f>IFERROR(__xludf.DUMMYFUNCTION("""COMPUTED_VALUE"""),"Estados Unidos")</f>
        <v>Estados Unidos</v>
      </c>
      <c r="C2114" s="6" t="str">
        <f>IFERROR(__xludf.DUMMYFUNCTION("""COMPUTED_VALUE"""),"Other")</f>
        <v>Other</v>
      </c>
    </row>
    <row r="2115" hidden="1">
      <c r="A2115" s="6" t="str">
        <f>IFERROR(__xludf.DUMMYFUNCTION("""COMPUTED_VALUE"""),"charco")</f>
        <v>charco</v>
      </c>
      <c r="B2115" s="6" t="str">
        <f>IFERROR(__xludf.DUMMYFUNCTION("""COMPUTED_VALUE"""),"España")</f>
        <v>España</v>
      </c>
      <c r="C2115" s="6" t="str">
        <f>IFERROR(__xludf.DUMMYFUNCTION("""COMPUTED_VALUE"""),"Management Consulting")</f>
        <v>Management Consulting</v>
      </c>
    </row>
    <row r="2116" hidden="1">
      <c r="A2116" s="6" t="str">
        <f>IFERROR(__xludf.DUMMYFUNCTION("""COMPUTED_VALUE"""),"llatan s.a.c")</f>
        <v>llatan s.a.c</v>
      </c>
      <c r="B2116" s="6" t="str">
        <f>IFERROR(__xludf.DUMMYFUNCTION("""COMPUTED_VALUE"""),"Peru")</f>
        <v>Peru</v>
      </c>
      <c r="C2116" s="6" t="str">
        <f>IFERROR(__xludf.DUMMYFUNCTION("""COMPUTED_VALUE"""),"Software Factory / Staffing")</f>
        <v>Software Factory / Staffing</v>
      </c>
    </row>
    <row r="2117" hidden="1">
      <c r="A2117" s="6" t="str">
        <f>IFERROR(__xludf.DUMMYFUNCTION("""COMPUTED_VALUE"""),"coolbox")</f>
        <v>coolbox</v>
      </c>
      <c r="B2117" s="4"/>
      <c r="C2117" s="6" t="str">
        <f>IFERROR(__xludf.DUMMYFUNCTION("""COMPUTED_VALUE"""),"Other")</f>
        <v>Other</v>
      </c>
    </row>
    <row r="2118" hidden="1">
      <c r="A2118" s="6" t="str">
        <f>IFERROR(__xludf.DUMMYFUNCTION("""COMPUTED_VALUE"""),"rompecabeza")</f>
        <v>rompecabeza</v>
      </c>
      <c r="B2118" s="6" t="str">
        <f>IFERROR(__xludf.DUMMYFUNCTION("""COMPUTED_VALUE"""),"Chile")</f>
        <v>Chile</v>
      </c>
      <c r="C2118" s="6" t="str">
        <f>IFERROR(__xludf.DUMMYFUNCTION("""COMPUTED_VALUE"""),"Marketing &amp; Advertising")</f>
        <v>Marketing &amp; Advertising</v>
      </c>
    </row>
    <row r="2119" hidden="1">
      <c r="A2119" s="6" t="str">
        <f>IFERROR(__xludf.DUMMYFUNCTION("""COMPUTED_VALUE"""),"suministra")</f>
        <v>suministra</v>
      </c>
      <c r="B2119" s="6" t="str">
        <f>IFERROR(__xludf.DUMMYFUNCTION("""COMPUTED_VALUE"""),"Argentina")</f>
        <v>Argentina</v>
      </c>
      <c r="C2119" s="6" t="str">
        <f>IFERROR(__xludf.DUMMYFUNCTION("""COMPUTED_VALUE"""),"Human Resources")</f>
        <v>Human Resources</v>
      </c>
    </row>
    <row r="2120" hidden="1">
      <c r="A2120" s="6" t="str">
        <f>IFERROR(__xludf.DUMMYFUNCTION("""COMPUTED_VALUE"""),"techx")</f>
        <v>techx</v>
      </c>
      <c r="B2120" s="4"/>
      <c r="C2120" s="6" t="str">
        <f>IFERROR(__xludf.DUMMYFUNCTION("""COMPUTED_VALUE"""),"Other")</f>
        <v>Other</v>
      </c>
    </row>
    <row r="2121" hidden="1">
      <c r="A2121" s="6" t="str">
        <f>IFERROR(__xludf.DUMMYFUNCTION("""COMPUTED_VALUE"""),"titasa")</f>
        <v>titasa</v>
      </c>
      <c r="B2121" s="4"/>
      <c r="C2121" s="6" t="str">
        <f>IFERROR(__xludf.DUMMYFUNCTION("""COMPUTED_VALUE"""),"PropTech / Real State")</f>
        <v>PropTech / Real State</v>
      </c>
    </row>
    <row r="2122" hidden="1">
      <c r="A2122" s="6" t="str">
        <f>IFERROR(__xludf.DUMMYFUNCTION("""COMPUTED_VALUE"""),"zafiro labs")</f>
        <v>zafiro labs</v>
      </c>
      <c r="B2122" s="6" t="str">
        <f>IFERROR(__xludf.DUMMYFUNCTION("""COMPUTED_VALUE"""),"Peru")</f>
        <v>Peru</v>
      </c>
      <c r="C2122" s="6" t="str">
        <f>IFERROR(__xludf.DUMMYFUNCTION("""COMPUTED_VALUE"""),"Software Factory / Staffing")</f>
        <v>Software Factory / Staffing</v>
      </c>
    </row>
    <row r="2123" hidden="1">
      <c r="A2123" s="6" t="str">
        <f>IFERROR(__xludf.DUMMYFUNCTION("""COMPUTED_VALUE"""),"cloudbeds")</f>
        <v>cloudbeds</v>
      </c>
      <c r="B2123" s="6" t="str">
        <f>IFERROR(__xludf.DUMMYFUNCTION("""COMPUTED_VALUE"""),"Estados Unidos")</f>
        <v>Estados Unidos</v>
      </c>
      <c r="C2123" s="6" t="str">
        <f>IFERROR(__xludf.DUMMYFUNCTION("""COMPUTED_VALUE"""),"Management Consulting")</f>
        <v>Management Consulting</v>
      </c>
    </row>
    <row r="2124" hidden="1">
      <c r="A2124" s="6" t="str">
        <f>IFERROR(__xludf.DUMMYFUNCTION("""COMPUTED_VALUE"""),"pukiebook")</f>
        <v>pukiebook</v>
      </c>
      <c r="B2124" s="4"/>
      <c r="C2124" s="4"/>
    </row>
    <row r="2125" hidden="1">
      <c r="A2125" s="6" t="str">
        <f>IFERROR(__xludf.DUMMYFUNCTION("""COMPUTED_VALUE"""),"id business inteligence")</f>
        <v>id business inteligence</v>
      </c>
      <c r="B2125" s="6" t="str">
        <f>IFERROR(__xludf.DUMMYFUNCTION("""COMPUTED_VALUE"""),"Peru")</f>
        <v>Peru</v>
      </c>
      <c r="C2125" s="6" t="str">
        <f>IFERROR(__xludf.DUMMYFUNCTION("""COMPUTED_VALUE"""),"Software Factory / Staffing")</f>
        <v>Software Factory / Staffing</v>
      </c>
    </row>
    <row r="2126" hidden="1">
      <c r="A2126" s="6" t="str">
        <f>IFERROR(__xludf.DUMMYFUNCTION("""COMPUTED_VALUE"""),"aconcagua software")</f>
        <v>aconcagua software</v>
      </c>
      <c r="B2126" s="6" t="str">
        <f>IFERROR(__xludf.DUMMYFUNCTION("""COMPUTED_VALUE"""),"España")</f>
        <v>España</v>
      </c>
      <c r="C2126" s="6" t="str">
        <f>IFERROR(__xludf.DUMMYFUNCTION("""COMPUTED_VALUE"""),"Software Factory / Staffing")</f>
        <v>Software Factory / Staffing</v>
      </c>
    </row>
    <row r="2127" hidden="1">
      <c r="A2127" s="6" t="str">
        <f>IFERROR(__xludf.DUMMYFUNCTION("""COMPUTED_VALUE"""),"chiang s.a")</f>
        <v>chiang s.a</v>
      </c>
      <c r="B2127" s="6" t="str">
        <f>IFERROR(__xludf.DUMMYFUNCTION("""COMPUTED_VALUE"""),"Ecuador")</f>
        <v>Ecuador</v>
      </c>
      <c r="C2127" s="6" t="str">
        <f>IFERROR(__xludf.DUMMYFUNCTION("""COMPUTED_VALUE"""),"Other")</f>
        <v>Other</v>
      </c>
    </row>
    <row r="2128" hidden="1">
      <c r="A2128" s="6" t="str">
        <f>IFERROR(__xludf.DUMMYFUNCTION("""COMPUTED_VALUE"""),"combustibles del norte s.a.")</f>
        <v>combustibles del norte s.a.</v>
      </c>
      <c r="B2128" s="6" t="str">
        <f>IFERROR(__xludf.DUMMYFUNCTION("""COMPUTED_VALUE"""),"Argentina")</f>
        <v>Argentina</v>
      </c>
      <c r="C2128" s="6" t="str">
        <f>IFERROR(__xludf.DUMMYFUNCTION("""COMPUTED_VALUE"""),"Energy")</f>
        <v>Energy</v>
      </c>
    </row>
    <row r="2129" hidden="1">
      <c r="A2129" s="6" t="str">
        <f>IFERROR(__xludf.DUMMYFUNCTION("""COMPUTED_VALUE"""),"entropy")</f>
        <v>entropy</v>
      </c>
      <c r="B2129" s="6" t="str">
        <f>IFERROR(__xludf.DUMMYFUNCTION("""COMPUTED_VALUE"""),"Argentina")</f>
        <v>Argentina</v>
      </c>
      <c r="C2129" s="6" t="str">
        <f>IFERROR(__xludf.DUMMYFUNCTION("""COMPUTED_VALUE"""),"Software Factory / Staffing")</f>
        <v>Software Factory / Staffing</v>
      </c>
    </row>
    <row r="2130" hidden="1">
      <c r="A2130" s="6" t="str">
        <f>IFERROR(__xludf.DUMMYFUNCTION("""COMPUTED_VALUE"""),"digisolution srl")</f>
        <v>digisolution srl</v>
      </c>
      <c r="B2130" s="4"/>
      <c r="C2130" s="4"/>
    </row>
    <row r="2131" hidden="1">
      <c r="A2131" s="6" t="str">
        <f>IFERROR(__xludf.DUMMYFUNCTION("""COMPUTED_VALUE"""),"ventana digital")</f>
        <v>ventana digital</v>
      </c>
      <c r="B2131" s="6" t="str">
        <f>IFERROR(__xludf.DUMMYFUNCTION("""COMPUTED_VALUE"""),"Venezuela")</f>
        <v>Venezuela</v>
      </c>
      <c r="C2131" s="6" t="str">
        <f>IFERROR(__xludf.DUMMYFUNCTION("""COMPUTED_VALUE"""),"Marketing &amp; Advertising")</f>
        <v>Marketing &amp; Advertising</v>
      </c>
    </row>
    <row r="2132" hidden="1">
      <c r="A2132" s="6" t="str">
        <f>IFERROR(__xludf.DUMMYFUNCTION("""COMPUTED_VALUE"""),"two to tango")</f>
        <v>two to tango</v>
      </c>
      <c r="B2132" s="6" t="str">
        <f>IFERROR(__xludf.DUMMYFUNCTION("""COMPUTED_VALUE"""),"India")</f>
        <v>India</v>
      </c>
      <c r="C2132" s="6" t="str">
        <f>IFERROR(__xludf.DUMMYFUNCTION("""COMPUTED_VALUE"""),"Other")</f>
        <v>Other</v>
      </c>
    </row>
    <row r="2133" hidden="1">
      <c r="A2133" s="6" t="str">
        <f>IFERROR(__xludf.DUMMYFUNCTION("""COMPUTED_VALUE"""),"decampoacampo")</f>
        <v>decampoacampo</v>
      </c>
      <c r="B2133" s="6" t="str">
        <f>IFERROR(__xludf.DUMMYFUNCTION("""COMPUTED_VALUE"""),"Argentina")</f>
        <v>Argentina</v>
      </c>
      <c r="C2133" s="6" t="str">
        <f>IFERROR(__xludf.DUMMYFUNCTION("""COMPUTED_VALUE"""),"Agtech / Agro")</f>
        <v>Agtech / Agro</v>
      </c>
    </row>
    <row r="2134" hidden="1">
      <c r="A2134" s="6" t="str">
        <f>IFERROR(__xludf.DUMMYFUNCTION("""COMPUTED_VALUE"""),"ministerio de salud de la provincia de neuquen")</f>
        <v>ministerio de salud de la provincia de neuquen</v>
      </c>
      <c r="B2134" s="6" t="str">
        <f>IFERROR(__xludf.DUMMYFUNCTION("""COMPUTED_VALUE"""),"Argentina")</f>
        <v>Argentina</v>
      </c>
      <c r="C2134" s="6" t="str">
        <f>IFERROR(__xludf.DUMMYFUNCTION("""COMPUTED_VALUE"""),"Public Center")</f>
        <v>Public Center</v>
      </c>
    </row>
    <row r="2135" hidden="1">
      <c r="A2135" s="6" t="str">
        <f>IFERROR(__xludf.DUMMYFUNCTION("""COMPUTED_VALUE"""),"absti s.a.")</f>
        <v>absti s.a.</v>
      </c>
      <c r="B2135" s="4"/>
      <c r="C2135" s="4"/>
    </row>
    <row r="2136" hidden="1">
      <c r="A2136" s="6" t="str">
        <f>IFERROR(__xludf.DUMMYFUNCTION("""COMPUTED_VALUE"""),"bitnat redes y sistemas")</f>
        <v>bitnat redes y sistemas</v>
      </c>
      <c r="B2136" s="4"/>
      <c r="C2136" s="4"/>
    </row>
    <row r="2137" hidden="1">
      <c r="A2137" s="6" t="str">
        <f>IFERROR(__xludf.DUMMYFUNCTION("""COMPUTED_VALUE"""),"honorable legislatura de la provincia de neuquénn")</f>
        <v>honorable legislatura de la provincia de neuquénn</v>
      </c>
      <c r="B2137" s="6" t="str">
        <f>IFERROR(__xludf.DUMMYFUNCTION("""COMPUTED_VALUE"""),"Argentina")</f>
        <v>Argentina</v>
      </c>
      <c r="C2137" s="6" t="str">
        <f>IFERROR(__xludf.DUMMYFUNCTION("""COMPUTED_VALUE"""),"Public Center")</f>
        <v>Public Center</v>
      </c>
    </row>
    <row r="2138" hidden="1">
      <c r="A2138" s="6" t="str">
        <f>IFERROR(__xludf.DUMMYFUNCTION("""COMPUTED_VALUE"""),"storydots")</f>
        <v>storydots</v>
      </c>
      <c r="B2138" s="6" t="str">
        <f>IFERROR(__xludf.DUMMYFUNCTION("""COMPUTED_VALUE"""),"Argentina")</f>
        <v>Argentina</v>
      </c>
      <c r="C2138" s="6" t="str">
        <f>IFERROR(__xludf.DUMMYFUNCTION("""COMPUTED_VALUE"""),"Software Factory / Staffing")</f>
        <v>Software Factory / Staffing</v>
      </c>
    </row>
    <row r="2139" hidden="1">
      <c r="A2139" s="6" t="str">
        <f>IFERROR(__xludf.DUMMYFUNCTION("""COMPUTED_VALUE"""),"qu4nt")</f>
        <v>qu4nt</v>
      </c>
      <c r="B2139" s="6" t="str">
        <f>IFERROR(__xludf.DUMMYFUNCTION("""COMPUTED_VALUE"""),"Mexico")</f>
        <v>Mexico</v>
      </c>
      <c r="C2139" s="6" t="str">
        <f>IFERROR(__xludf.DUMMYFUNCTION("""COMPUTED_VALUE"""),"Other")</f>
        <v>Other</v>
      </c>
    </row>
    <row r="2140" hidden="1">
      <c r="A2140" s="6" t="str">
        <f>IFERROR(__xludf.DUMMYFUNCTION("""COMPUTED_VALUE"""),"teclab")</f>
        <v>teclab</v>
      </c>
      <c r="B2140" s="6" t="str">
        <f>IFERROR(__xludf.DUMMYFUNCTION("""COMPUTED_VALUE"""),"Argentina")</f>
        <v>Argentina</v>
      </c>
      <c r="C2140" s="6" t="str">
        <f>IFERROR(__xludf.DUMMYFUNCTION("""COMPUTED_VALUE"""),"Education &amp; Edtech")</f>
        <v>Education &amp; Edtech</v>
      </c>
    </row>
    <row r="2141" hidden="1">
      <c r="A2141" s="6" t="str">
        <f>IFERROR(__xludf.DUMMYFUNCTION("""COMPUTED_VALUE"""),"inswitch")</f>
        <v>inswitch</v>
      </c>
      <c r="B2141" s="6" t="str">
        <f>IFERROR(__xludf.DUMMYFUNCTION("""COMPUTED_VALUE"""),"Estados Unidos")</f>
        <v>Estados Unidos</v>
      </c>
      <c r="C2141" s="6" t="str">
        <f>IFERROR(__xludf.DUMMYFUNCTION("""COMPUTED_VALUE"""),"Banking &amp; Financial Servicies")</f>
        <v>Banking &amp; Financial Servicies</v>
      </c>
    </row>
    <row r="2142" hidden="1">
      <c r="A2142" s="6" t="str">
        <f>IFERROR(__xludf.DUMMYFUNCTION("""COMPUTED_VALUE"""),"kaizen2b")</f>
        <v>kaizen2b</v>
      </c>
      <c r="B2142" s="6" t="str">
        <f>IFERROR(__xludf.DUMMYFUNCTION("""COMPUTED_VALUE"""),"Argentina")</f>
        <v>Argentina</v>
      </c>
      <c r="C2142" s="6" t="str">
        <f>IFERROR(__xludf.DUMMYFUNCTION("""COMPUTED_VALUE"""),"Software Factory / Staffing")</f>
        <v>Software Factory / Staffing</v>
      </c>
    </row>
    <row r="2143" hidden="1">
      <c r="A2143" s="6" t="str">
        <f>IFERROR(__xludf.DUMMYFUNCTION("""COMPUTED_VALUE"""),"prosegur")</f>
        <v>prosegur</v>
      </c>
      <c r="B2143" s="6" t="str">
        <f>IFERROR(__xludf.DUMMYFUNCTION("""COMPUTED_VALUE"""),"España")</f>
        <v>España</v>
      </c>
      <c r="C2143" s="6" t="str">
        <f>IFERROR(__xludf.DUMMYFUNCTION("""COMPUTED_VALUE"""),"Logistics")</f>
        <v>Logistics</v>
      </c>
    </row>
    <row r="2144" hidden="1">
      <c r="A2144" s="6" t="str">
        <f>IFERROR(__xludf.DUMMYFUNCTION("""COMPUTED_VALUE"""),"bewise")</f>
        <v>bewise</v>
      </c>
      <c r="B2144" s="4"/>
      <c r="C2144" s="4"/>
    </row>
    <row r="2145" hidden="1">
      <c r="A2145" s="6" t="str">
        <f>IFERROR(__xludf.DUMMYFUNCTION("""COMPUTED_VALUE"""),"adminseg")</f>
        <v>adminseg</v>
      </c>
      <c r="B2145" s="6" t="str">
        <f>IFERROR(__xludf.DUMMYFUNCTION("""COMPUTED_VALUE"""),"Estados Unidos")</f>
        <v>Estados Unidos</v>
      </c>
      <c r="C2145" s="6" t="str">
        <f>IFERROR(__xludf.DUMMYFUNCTION("""COMPUTED_VALUE"""),"Insurance")</f>
        <v>Insurance</v>
      </c>
    </row>
    <row r="2146" hidden="1">
      <c r="A2146" s="6" t="str">
        <f>IFERROR(__xludf.DUMMYFUNCTION("""COMPUTED_VALUE"""),"embajada de estados unidos")</f>
        <v>embajada de estados unidos</v>
      </c>
      <c r="B2146" s="4"/>
      <c r="C2146" s="4"/>
    </row>
    <row r="2147" hidden="1">
      <c r="A2147" s="6" t="str">
        <f>IFERROR(__xludf.DUMMYFUNCTION("""COMPUTED_VALUE"""),"molokaih")</f>
        <v>molokaih</v>
      </c>
      <c r="B2147" s="6" t="str">
        <f>IFERROR(__xludf.DUMMYFUNCTION("""COMPUTED_VALUE"""),"Estados Unidos")</f>
        <v>Estados Unidos</v>
      </c>
      <c r="C2147" s="6" t="str">
        <f>IFERROR(__xludf.DUMMYFUNCTION("""COMPUTED_VALUE"""),"Software Factory / Staffing")</f>
        <v>Software Factory / Staffing</v>
      </c>
    </row>
    <row r="2148" hidden="1">
      <c r="A2148" s="6" t="str">
        <f>IFERROR(__xludf.DUMMYFUNCTION("""COMPUTED_VALUE"""),"megalabs")</f>
        <v>megalabs</v>
      </c>
      <c r="B2148" s="6" t="str">
        <f>IFERROR(__xludf.DUMMYFUNCTION("""COMPUTED_VALUE"""),"Argentina")</f>
        <v>Argentina</v>
      </c>
      <c r="C2148" s="6" t="str">
        <f>IFERROR(__xludf.DUMMYFUNCTION("""COMPUTED_VALUE"""),"Health")</f>
        <v>Health</v>
      </c>
    </row>
    <row r="2149" hidden="1">
      <c r="A2149" s="6" t="str">
        <f>IFERROR(__xludf.DUMMYFUNCTION("""COMPUTED_VALUE"""),"grupo eon")</f>
        <v>grupo eon</v>
      </c>
      <c r="B2149" s="6" t="str">
        <f>IFERROR(__xludf.DUMMYFUNCTION("""COMPUTED_VALUE"""),"Argentina")</f>
        <v>Argentina</v>
      </c>
      <c r="C2149" s="6" t="str">
        <f>IFERROR(__xludf.DUMMYFUNCTION("""COMPUTED_VALUE"""),"Marketing &amp; Advertising")</f>
        <v>Marketing &amp; Advertising</v>
      </c>
    </row>
    <row r="2150" hidden="1">
      <c r="A2150" s="6" t="str">
        <f>IFERROR(__xludf.DUMMYFUNCTION("""COMPUTED_VALUE"""),"fszk music")</f>
        <v>fszk music</v>
      </c>
      <c r="B2150" s="6" t="str">
        <f>IFERROR(__xludf.DUMMYFUNCTION("""COMPUTED_VALUE"""),"Argentina")</f>
        <v>Argentina</v>
      </c>
      <c r="C2150" s="6" t="str">
        <f>IFERROR(__xludf.DUMMYFUNCTION("""COMPUTED_VALUE"""),"Messaging and Telecommunications")</f>
        <v>Messaging and Telecommunications</v>
      </c>
    </row>
    <row r="2151" hidden="1">
      <c r="A2151" s="6" t="str">
        <f>IFERROR(__xludf.DUMMYFUNCTION("""COMPUTED_VALUE"""),"subrik")</f>
        <v>subrik</v>
      </c>
      <c r="B2151" s="4"/>
      <c r="C2151" s="6" t="str">
        <f>IFERROR(__xludf.DUMMYFUNCTION("""COMPUTED_VALUE"""),"Software Factory / Staffing")</f>
        <v>Software Factory / Staffing</v>
      </c>
    </row>
    <row r="2152" hidden="1">
      <c r="A2152" s="6" t="str">
        <f>IFERROR(__xludf.DUMMYFUNCTION("""COMPUTED_VALUE"""),"corven sacif")</f>
        <v>corven sacif</v>
      </c>
      <c r="B2152" s="6" t="str">
        <f>IFERROR(__xludf.DUMMYFUNCTION("""COMPUTED_VALUE"""),"Argentina")</f>
        <v>Argentina</v>
      </c>
      <c r="C2152" s="6" t="str">
        <f>IFERROR(__xludf.DUMMYFUNCTION("""COMPUTED_VALUE"""),"Mechanical/Industrial Engineering")</f>
        <v>Mechanical/Industrial Engineering</v>
      </c>
    </row>
    <row r="2153" hidden="1">
      <c r="A2153" s="6" t="str">
        <f>IFERROR(__xludf.DUMMYFUNCTION("""COMPUTED_VALUE"""),"trompo agencia")</f>
        <v>trompo agencia</v>
      </c>
      <c r="B2153" s="6" t="str">
        <f>IFERROR(__xludf.DUMMYFUNCTION("""COMPUTED_VALUE"""),"Argentina")</f>
        <v>Argentina</v>
      </c>
      <c r="C2153" s="6" t="str">
        <f>IFERROR(__xludf.DUMMYFUNCTION("""COMPUTED_VALUE"""),"Marketing &amp; Advertising")</f>
        <v>Marketing &amp; Advertising</v>
      </c>
    </row>
    <row r="2154" hidden="1">
      <c r="A2154" s="6" t="str">
        <f>IFERROR(__xludf.DUMMYFUNCTION("""COMPUTED_VALUE"""),"kalugni")</f>
        <v>kalugni</v>
      </c>
      <c r="B2154" s="6" t="str">
        <f>IFERROR(__xludf.DUMMYFUNCTION("""COMPUTED_VALUE"""),"Estados Unidos")</f>
        <v>Estados Unidos</v>
      </c>
      <c r="C2154" s="6" t="str">
        <f>IFERROR(__xludf.DUMMYFUNCTION("""COMPUTED_VALUE"""),"Marketing &amp; Advertising")</f>
        <v>Marketing &amp; Advertising</v>
      </c>
    </row>
    <row r="2155" hidden="1">
      <c r="A2155" s="6" t="str">
        <f>IFERROR(__xludf.DUMMYFUNCTION("""COMPUTED_VALUE"""),"eureka labs")</f>
        <v>eureka labs</v>
      </c>
      <c r="B2155" s="6" t="str">
        <f>IFERROR(__xludf.DUMMYFUNCTION("""COMPUTED_VALUE"""),"Estados Unidos")</f>
        <v>Estados Unidos</v>
      </c>
      <c r="C2155" s="6" t="str">
        <f>IFERROR(__xludf.DUMMYFUNCTION("""COMPUTED_VALUE"""),"Software Factory / Staffing")</f>
        <v>Software Factory / Staffing</v>
      </c>
    </row>
    <row r="2156" hidden="1">
      <c r="A2156" s="6" t="str">
        <f>IFERROR(__xludf.DUMMYFUNCTION("""COMPUTED_VALUE"""),"hybrido studio s.a.s.")</f>
        <v>hybrido studio s.a.s.</v>
      </c>
      <c r="B2156" s="4"/>
      <c r="C2156" s="4"/>
    </row>
    <row r="2157" hidden="1">
      <c r="A2157" s="6" t="str">
        <f>IFERROR(__xludf.DUMMYFUNCTION("""COMPUTED_VALUE"""),"nomination")</f>
        <v>nomination</v>
      </c>
      <c r="B2157" s="4"/>
      <c r="C2157" s="6" t="str">
        <f>IFERROR(__xludf.DUMMYFUNCTION("""COMPUTED_VALUE"""),"Software Factory / Staffing")</f>
        <v>Software Factory / Staffing</v>
      </c>
    </row>
    <row r="2158" hidden="1">
      <c r="A2158" s="6" t="str">
        <f>IFERROR(__xludf.DUMMYFUNCTION("""COMPUTED_VALUE"""),"semprovec cia ltda")</f>
        <v>semprovec cia ltda</v>
      </c>
      <c r="B2158" s="6" t="str">
        <f>IFERROR(__xludf.DUMMYFUNCTION("""COMPUTED_VALUE"""),"Ecuador")</f>
        <v>Ecuador</v>
      </c>
      <c r="C2158" s="6" t="str">
        <f>IFERROR(__xludf.DUMMYFUNCTION("""COMPUTED_VALUE"""),"Software Factory / Staffing")</f>
        <v>Software Factory / Staffing</v>
      </c>
    </row>
    <row r="2159" hidden="1">
      <c r="A2159" s="6" t="str">
        <f>IFERROR(__xludf.DUMMYFUNCTION("""COMPUTED_VALUE"""),"talentmovers")</f>
        <v>talentmovers</v>
      </c>
      <c r="B2159" s="4"/>
      <c r="C2159" s="6" t="str">
        <f>IFERROR(__xludf.DUMMYFUNCTION("""COMPUTED_VALUE"""),"Human Resources")</f>
        <v>Human Resources</v>
      </c>
    </row>
    <row r="2160" hidden="1">
      <c r="A2160" s="6" t="str">
        <f>IFERROR(__xludf.DUMMYFUNCTION("""COMPUTED_VALUE"""),"core properties")</f>
        <v>core properties</v>
      </c>
      <c r="B2160" s="6" t="str">
        <f>IFERROR(__xludf.DUMMYFUNCTION("""COMPUTED_VALUE"""),"Estados Unidos")</f>
        <v>Estados Unidos</v>
      </c>
      <c r="C2160" s="6" t="str">
        <f>IFERROR(__xludf.DUMMYFUNCTION("""COMPUTED_VALUE"""),"PropTech / Real State")</f>
        <v>PropTech / Real State</v>
      </c>
    </row>
    <row r="2161" hidden="1">
      <c r="A2161" s="6" t="str">
        <f>IFERROR(__xludf.DUMMYFUNCTION("""COMPUTED_VALUE"""),"strato earth")</f>
        <v>strato earth</v>
      </c>
      <c r="B2161" s="6" t="str">
        <f>IFERROR(__xludf.DUMMYFUNCTION("""COMPUTED_VALUE"""),"Canada")</f>
        <v>Canada</v>
      </c>
      <c r="C2161" s="6" t="str">
        <f>IFERROR(__xludf.DUMMYFUNCTION("""COMPUTED_VALUE"""),"Software Factory / Staffing")</f>
        <v>Software Factory / Staffing</v>
      </c>
    </row>
    <row r="2162" hidden="1">
      <c r="A2162" s="6" t="str">
        <f>IFERROR(__xludf.DUMMYFUNCTION("""COMPUTED_VALUE"""),"envwise")</f>
        <v>envwise</v>
      </c>
      <c r="B2162" s="6" t="str">
        <f>IFERROR(__xludf.DUMMYFUNCTION("""COMPUTED_VALUE"""),"Inglaterra")</f>
        <v>Inglaterra</v>
      </c>
      <c r="C2162" s="6" t="str">
        <f>IFERROR(__xludf.DUMMYFUNCTION("""COMPUTED_VALUE"""),"PropTech / Real State")</f>
        <v>PropTech / Real State</v>
      </c>
    </row>
    <row r="2163" hidden="1">
      <c r="A2163" s="6" t="str">
        <f>IFERROR(__xludf.DUMMYFUNCTION("""COMPUTED_VALUE"""),"lqqh sas")</f>
        <v>lqqh sas</v>
      </c>
      <c r="B2163" s="4"/>
      <c r="C2163" s="4"/>
    </row>
    <row r="2164" hidden="1">
      <c r="A2164" s="6" t="str">
        <f>IFERROR(__xludf.DUMMYFUNCTION("""COMPUTED_VALUE"""),"soluciones del sur sa")</f>
        <v>soluciones del sur sa</v>
      </c>
      <c r="B2164" s="4"/>
      <c r="C2164" s="6" t="str">
        <f>IFERROR(__xludf.DUMMYFUNCTION("""COMPUTED_VALUE"""),"Other")</f>
        <v>Other</v>
      </c>
    </row>
    <row r="2165" hidden="1">
      <c r="A2165" s="6" t="str">
        <f>IFERROR(__xludf.DUMMYFUNCTION("""COMPUTED_VALUE"""),"sdg group")</f>
        <v>sdg group</v>
      </c>
      <c r="B2165" s="4"/>
      <c r="C2165" s="6" t="str">
        <f>IFERROR(__xludf.DUMMYFUNCTION("""COMPUTED_VALUE"""),"Data &amp; Analytics")</f>
        <v>Data &amp; Analytics</v>
      </c>
    </row>
    <row r="2166" hidden="1">
      <c r="A2166" s="6" t="str">
        <f>IFERROR(__xludf.DUMMYFUNCTION("""COMPUTED_VALUE"""),"qm equipment")</f>
        <v>qm equipment</v>
      </c>
      <c r="B2166" s="6" t="str">
        <f>IFERROR(__xludf.DUMMYFUNCTION("""COMPUTED_VALUE"""),"Argentina")</f>
        <v>Argentina</v>
      </c>
      <c r="C2166" s="6" t="str">
        <f>IFERROR(__xludf.DUMMYFUNCTION("""COMPUTED_VALUE"""),"Mechanical/Industrial Engineering")</f>
        <v>Mechanical/Industrial Engineering</v>
      </c>
    </row>
    <row r="2167" hidden="1">
      <c r="A2167" s="6" t="str">
        <f>IFERROR(__xludf.DUMMYFUNCTION("""COMPUTED_VALUE"""),"borsos media")</f>
        <v>borsos media</v>
      </c>
      <c r="B2167" s="6" t="str">
        <f>IFERROR(__xludf.DUMMYFUNCTION("""COMPUTED_VALUE"""),"Canada")</f>
        <v>Canada</v>
      </c>
      <c r="C2167" s="6" t="str">
        <f>IFERROR(__xludf.DUMMYFUNCTION("""COMPUTED_VALUE"""),"Marketing &amp; Advertising")</f>
        <v>Marketing &amp; Advertising</v>
      </c>
    </row>
    <row r="2168" hidden="1">
      <c r="A2168" s="6" t="str">
        <f>IFERROR(__xludf.DUMMYFUNCTION("""COMPUTED_VALUE"""),"bakingdevs")</f>
        <v>bakingdevs</v>
      </c>
      <c r="B2168" s="6" t="str">
        <f>IFERROR(__xludf.DUMMYFUNCTION("""COMPUTED_VALUE"""),"Argentina")</f>
        <v>Argentina</v>
      </c>
      <c r="C2168" s="6" t="str">
        <f>IFERROR(__xludf.DUMMYFUNCTION("""COMPUTED_VALUE"""),"Human Resources")</f>
        <v>Human Resources</v>
      </c>
    </row>
    <row r="2169" hidden="1">
      <c r="A2169" s="6" t="str">
        <f>IFERROR(__xludf.DUMMYFUNCTION("""COMPUTED_VALUE"""),"acudir")</f>
        <v>acudir</v>
      </c>
      <c r="B2169" s="6" t="str">
        <f>IFERROR(__xludf.DUMMYFUNCTION("""COMPUTED_VALUE"""),"Argentina")</f>
        <v>Argentina</v>
      </c>
      <c r="C2169" s="6" t="str">
        <f>IFERROR(__xludf.DUMMYFUNCTION("""COMPUTED_VALUE"""),"Health")</f>
        <v>Health</v>
      </c>
    </row>
    <row r="2170" hidden="1">
      <c r="A2170" s="6" t="str">
        <f>IFERROR(__xludf.DUMMYFUNCTION("""COMPUTED_VALUE"""),"acl")</f>
        <v>acl</v>
      </c>
      <c r="B2170" s="6" t="str">
        <f>IFERROR(__xludf.DUMMYFUNCTION("""COMPUTED_VALUE"""),"Chile")</f>
        <v>Chile</v>
      </c>
      <c r="C2170" s="6" t="str">
        <f>IFERROR(__xludf.DUMMYFUNCTION("""COMPUTED_VALUE"""),"Software Factory / Staffing")</f>
        <v>Software Factory / Staffing</v>
      </c>
    </row>
    <row r="2171" hidden="1">
      <c r="A2171" s="6" t="str">
        <f>IFERROR(__xludf.DUMMYFUNCTION("""COMPUTED_VALUE"""),"direccion general de cultura y educacion")</f>
        <v>direccion general de cultura y educacion</v>
      </c>
      <c r="B2171" s="6" t="str">
        <f>IFERROR(__xludf.DUMMYFUNCTION("""COMPUTED_VALUE"""),"Argentina")</f>
        <v>Argentina</v>
      </c>
      <c r="C2171" s="6" t="str">
        <f>IFERROR(__xludf.DUMMYFUNCTION("""COMPUTED_VALUE"""),"Public Center")</f>
        <v>Public Center</v>
      </c>
    </row>
    <row r="2172" hidden="1">
      <c r="A2172" s="6" t="str">
        <f>IFERROR(__xludf.DUMMYFUNCTION("""COMPUTED_VALUE"""),"falabella")</f>
        <v>falabella</v>
      </c>
      <c r="B2172" s="6" t="str">
        <f>IFERROR(__xludf.DUMMYFUNCTION("""COMPUTED_VALUE"""),"Chile")</f>
        <v>Chile</v>
      </c>
      <c r="C2172" s="6" t="str">
        <f>IFERROR(__xludf.DUMMYFUNCTION("""COMPUTED_VALUE"""),"Other")</f>
        <v>Other</v>
      </c>
    </row>
    <row r="2173" hidden="1">
      <c r="A2173" s="6" t="str">
        <f>IFERROR(__xludf.DUMMYFUNCTION("""COMPUTED_VALUE"""),"powip")</f>
        <v>powip</v>
      </c>
      <c r="B2173" s="4"/>
      <c r="C2173" s="4"/>
    </row>
    <row r="2174" hidden="1">
      <c r="A2174" s="6" t="str">
        <f>IFERROR(__xludf.DUMMYFUNCTION("""COMPUTED_VALUE"""),"punto net soluciones")</f>
        <v>punto net soluciones</v>
      </c>
      <c r="B2174" s="6" t="str">
        <f>IFERROR(__xludf.DUMMYFUNCTION("""COMPUTED_VALUE"""),"Argentina")</f>
        <v>Argentina</v>
      </c>
      <c r="C2174" s="6" t="str">
        <f>IFERROR(__xludf.DUMMYFUNCTION("""COMPUTED_VALUE"""),"Cibersecurity")</f>
        <v>Cibersecurity</v>
      </c>
    </row>
    <row r="2175" hidden="1">
      <c r="A2175" s="6" t="str">
        <f>IFERROR(__xludf.DUMMYFUNCTION("""COMPUTED_VALUE"""),"shoksworks")</f>
        <v>shoksworks</v>
      </c>
      <c r="B2175" s="6" t="str">
        <f>IFERROR(__xludf.DUMMYFUNCTION("""COMPUTED_VALUE"""),"Estados Unidos")</f>
        <v>Estados Unidos</v>
      </c>
      <c r="C2175" s="6" t="str">
        <f>IFERROR(__xludf.DUMMYFUNCTION("""COMPUTED_VALUE"""),"Software Factory / Staffing")</f>
        <v>Software Factory / Staffing</v>
      </c>
    </row>
    <row r="2176">
      <c r="A2176" s="6" t="str">
        <f>IFERROR(__xludf.DUMMYFUNCTION("""COMPUTED_VALUE"""),"hey harvey")</f>
        <v>hey harvey</v>
      </c>
      <c r="B2176" s="6" t="str">
        <f>IFERROR(__xludf.DUMMYFUNCTION("""COMPUTED_VALUE"""),"Argentina")</f>
        <v>Argentina</v>
      </c>
      <c r="C2176" s="6" t="str">
        <f>IFERROR(__xludf.DUMMYFUNCTION("""COMPUTED_VALUE"""),"Marketing &amp; Advertising")</f>
        <v>Marketing &amp; Advertising</v>
      </c>
    </row>
    <row r="2177" hidden="1">
      <c r="A2177" s="6" t="str">
        <f>IFERROR(__xludf.DUMMYFUNCTION("""COMPUTED_VALUE"""),"toc")</f>
        <v>toc</v>
      </c>
      <c r="B2177" s="6" t="str">
        <f>IFERROR(__xludf.DUMMYFUNCTION("""COMPUTED_VALUE"""),"Peru")</f>
        <v>Peru</v>
      </c>
      <c r="C2177" s="6" t="str">
        <f>IFERROR(__xludf.DUMMYFUNCTION("""COMPUTED_VALUE"""),"Other")</f>
        <v>Other</v>
      </c>
    </row>
    <row r="2178" hidden="1">
      <c r="A2178" s="6" t="str">
        <f>IFERROR(__xludf.DUMMYFUNCTION("""COMPUTED_VALUE"""),"silicon access")</f>
        <v>silicon access</v>
      </c>
      <c r="B2178" s="6" t="str">
        <f>IFERROR(__xludf.DUMMYFUNCTION("""COMPUTED_VALUE"""),"Estados Unidos")</f>
        <v>Estados Unidos</v>
      </c>
      <c r="C2178" s="6" t="str">
        <f>IFERROR(__xludf.DUMMYFUNCTION("""COMPUTED_VALUE"""),"Education &amp; Edtech")</f>
        <v>Education &amp; Edtech</v>
      </c>
    </row>
    <row r="2179" hidden="1">
      <c r="A2179" s="6" t="str">
        <f>IFERROR(__xludf.DUMMYFUNCTION("""COMPUTED_VALUE"""),"connectis")</f>
        <v>connectis</v>
      </c>
      <c r="B2179" s="6" t="str">
        <f>IFERROR(__xludf.DUMMYFUNCTION("""COMPUTED_VALUE"""),"Paises Bajos")</f>
        <v>Paises Bajos</v>
      </c>
      <c r="C2179" s="6" t="str">
        <f>IFERROR(__xludf.DUMMYFUNCTION("""COMPUTED_VALUE"""),"Cibersecurity")</f>
        <v>Cibersecurity</v>
      </c>
    </row>
    <row r="2180" hidden="1">
      <c r="A2180" s="6" t="str">
        <f>IFERROR(__xludf.DUMMYFUNCTION("""COMPUTED_VALUE"""),"sportclub")</f>
        <v>sportclub</v>
      </c>
      <c r="B2180" s="6" t="str">
        <f>IFERROR(__xludf.DUMMYFUNCTION("""COMPUTED_VALUE"""),"Argentina")</f>
        <v>Argentina</v>
      </c>
      <c r="C2180" s="6" t="str">
        <f>IFERROR(__xludf.DUMMYFUNCTION("""COMPUTED_VALUE"""),"Health")</f>
        <v>Health</v>
      </c>
    </row>
    <row r="2181" hidden="1">
      <c r="A2181" s="6" t="str">
        <f>IFERROR(__xludf.DUMMYFUNCTION("""COMPUTED_VALUE"""),"nielseniq")</f>
        <v>nielseniq</v>
      </c>
      <c r="B2181" s="6" t="str">
        <f>IFERROR(__xludf.DUMMYFUNCTION("""COMPUTED_VALUE"""),"Estados Unidos")</f>
        <v>Estados Unidos</v>
      </c>
      <c r="C2181" s="6" t="str">
        <f>IFERROR(__xludf.DUMMYFUNCTION("""COMPUTED_VALUE"""),"Other")</f>
        <v>Other</v>
      </c>
    </row>
    <row r="2182" hidden="1">
      <c r="A2182" s="6" t="str">
        <f>IFERROR(__xludf.DUMMYFUNCTION("""COMPUTED_VALUE"""),"eppical")</f>
        <v>eppical</v>
      </c>
      <c r="B2182" s="4"/>
      <c r="C2182" s="4"/>
    </row>
    <row r="2183">
      <c r="A2183" s="6" t="str">
        <f>IFERROR(__xludf.DUMMYFUNCTION("""COMPUTED_VALUE"""),"ministerio de educacion de la nacion")</f>
        <v>ministerio de educacion de la nacion</v>
      </c>
      <c r="B2183" s="6" t="str">
        <f>IFERROR(__xludf.DUMMYFUNCTION("""COMPUTED_VALUE"""),"Argentina")</f>
        <v>Argentina</v>
      </c>
      <c r="C2183" s="6" t="str">
        <f>IFERROR(__xludf.DUMMYFUNCTION("""COMPUTED_VALUE"""),"Public Center")</f>
        <v>Public Center</v>
      </c>
    </row>
    <row r="2184" hidden="1">
      <c r="A2184" s="6" t="str">
        <f>IFERROR(__xludf.DUMMYFUNCTION("""COMPUTED_VALUE"""),"rakkau s.r.l.")</f>
        <v>rakkau s.r.l.</v>
      </c>
      <c r="B2184" s="6" t="str">
        <f>IFERROR(__xludf.DUMMYFUNCTION("""COMPUTED_VALUE"""),"Argentina")</f>
        <v>Argentina</v>
      </c>
      <c r="C2184" s="6" t="str">
        <f>IFERROR(__xludf.DUMMYFUNCTION("""COMPUTED_VALUE"""),"Software Factory / Staffing")</f>
        <v>Software Factory / Staffing</v>
      </c>
    </row>
    <row r="2185" hidden="1">
      <c r="A2185" s="6" t="str">
        <f>IFERROR(__xludf.DUMMYFUNCTION("""COMPUTED_VALUE"""),"bidcom")</f>
        <v>bidcom</v>
      </c>
      <c r="B2185" s="6" t="str">
        <f>IFERROR(__xludf.DUMMYFUNCTION("""COMPUTED_VALUE"""),"Argentina")</f>
        <v>Argentina</v>
      </c>
      <c r="C2185" s="6" t="str">
        <f>IFERROR(__xludf.DUMMYFUNCTION("""COMPUTED_VALUE"""),"PropTech / Real State")</f>
        <v>PropTech / Real State</v>
      </c>
    </row>
    <row r="2186" hidden="1">
      <c r="A2186" s="6" t="str">
        <f>IFERROR(__xludf.DUMMYFUNCTION("""COMPUTED_VALUE"""),"prosource solutions sa")</f>
        <v>prosource solutions sa</v>
      </c>
      <c r="B2186" s="6" t="str">
        <f>IFERROR(__xludf.DUMMYFUNCTION("""COMPUTED_VALUE"""),"Colombia")</f>
        <v>Colombia</v>
      </c>
      <c r="C2186" s="6" t="str">
        <f>IFERROR(__xludf.DUMMYFUNCTION("""COMPUTED_VALUE"""),"Other")</f>
        <v>Other</v>
      </c>
    </row>
    <row r="2187" hidden="1">
      <c r="A2187" s="6" t="str">
        <f>IFERROR(__xludf.DUMMYFUNCTION("""COMPUTED_VALUE"""),"scotiabankcolpatria")</f>
        <v>scotiabankcolpatria</v>
      </c>
      <c r="B2187" s="6" t="str">
        <f>IFERROR(__xludf.DUMMYFUNCTION("""COMPUTED_VALUE"""),"Colombia")</f>
        <v>Colombia</v>
      </c>
      <c r="C2187" s="6" t="str">
        <f>IFERROR(__xludf.DUMMYFUNCTION("""COMPUTED_VALUE"""),"Banking &amp; Financial Servicies")</f>
        <v>Banking &amp; Financial Servicies</v>
      </c>
    </row>
    <row r="2188" hidden="1">
      <c r="A2188" s="6" t="str">
        <f>IFERROR(__xludf.DUMMYFUNCTION("""COMPUTED_VALUE"""),"bdf")</f>
        <v>bdf</v>
      </c>
      <c r="B2188" s="6" t="str">
        <f>IFERROR(__xludf.DUMMYFUNCTION("""COMPUTED_VALUE"""),"Nicaragua")</f>
        <v>Nicaragua</v>
      </c>
      <c r="C2188" s="6" t="str">
        <f>IFERROR(__xludf.DUMMYFUNCTION("""COMPUTED_VALUE"""),"Banking &amp; Financial Servicies")</f>
        <v>Banking &amp; Financial Servicies</v>
      </c>
    </row>
    <row r="2189">
      <c r="A2189" s="6" t="str">
        <f>IFERROR(__xludf.DUMMYFUNCTION("""COMPUTED_VALUE"""),"edunext sas")</f>
        <v>edunext sas</v>
      </c>
      <c r="B2189" s="4"/>
      <c r="C2189" s="4"/>
    </row>
    <row r="2190" hidden="1">
      <c r="A2190" s="6" t="str">
        <f>IFERROR(__xludf.DUMMYFUNCTION("""COMPUTED_VALUE"""),"contabilium")</f>
        <v>contabilium</v>
      </c>
      <c r="B2190" s="6" t="str">
        <f>IFERROR(__xludf.DUMMYFUNCTION("""COMPUTED_VALUE"""),"Argentina")</f>
        <v>Argentina</v>
      </c>
      <c r="C2190" s="6" t="str">
        <f>IFERROR(__xludf.DUMMYFUNCTION("""COMPUTED_VALUE"""),"Software Factory / Staffing")</f>
        <v>Software Factory / Staffing</v>
      </c>
    </row>
    <row r="2191" hidden="1">
      <c r="A2191" s="6" t="str">
        <f>IFERROR(__xludf.DUMMYFUNCTION("""COMPUTED_VALUE"""),"gosur")</f>
        <v>gosur</v>
      </c>
      <c r="B2191" s="6" t="str">
        <f>IFERROR(__xludf.DUMMYFUNCTION("""COMPUTED_VALUE"""),"Argentina")</f>
        <v>Argentina</v>
      </c>
      <c r="C2191" s="6" t="str">
        <f>IFERROR(__xludf.DUMMYFUNCTION("""COMPUTED_VALUE"""),"Software Factory / Staffing")</f>
        <v>Software Factory / Staffing</v>
      </c>
    </row>
    <row r="2192" hidden="1">
      <c r="A2192" s="6" t="str">
        <f>IFERROR(__xludf.DUMMYFUNCTION("""COMPUTED_VALUE"""),"creatrs")</f>
        <v>creatrs</v>
      </c>
      <c r="B2192" s="6" t="str">
        <f>IFERROR(__xludf.DUMMYFUNCTION("""COMPUTED_VALUE"""),"Estados Unidos")</f>
        <v>Estados Unidos</v>
      </c>
      <c r="C2192" s="6" t="str">
        <f>IFERROR(__xludf.DUMMYFUNCTION("""COMPUTED_VALUE"""),"Media &amp; Communication")</f>
        <v>Media &amp; Communication</v>
      </c>
    </row>
    <row r="2193" hidden="1">
      <c r="A2193" s="6" t="str">
        <f>IFERROR(__xludf.DUMMYFUNCTION("""COMPUTED_VALUE"""),"hardware &amp; software solutions sas")</f>
        <v>hardware &amp; software solutions sas</v>
      </c>
      <c r="B2193" s="6" t="str">
        <f>IFERROR(__xludf.DUMMYFUNCTION("""COMPUTED_VALUE"""),"India")</f>
        <v>India</v>
      </c>
      <c r="C2193" s="6" t="str">
        <f>IFERROR(__xludf.DUMMYFUNCTION("""COMPUTED_VALUE"""),"Software Factory / Staffing")</f>
        <v>Software Factory / Staffing</v>
      </c>
    </row>
    <row r="2194" hidden="1">
      <c r="A2194" s="6" t="str">
        <f>IFERROR(__xludf.DUMMYFUNCTION("""COMPUTED_VALUE"""),"igalfer srl")</f>
        <v>igalfer srl</v>
      </c>
      <c r="B2194" s="4"/>
      <c r="C2194" s="4"/>
    </row>
    <row r="2195" hidden="1">
      <c r="A2195" s="6" t="str">
        <f>IFERROR(__xludf.DUMMYFUNCTION("""COMPUTED_VALUE"""),"omnicommander")</f>
        <v>omnicommander</v>
      </c>
      <c r="B2195" s="6" t="str">
        <f>IFERROR(__xludf.DUMMYFUNCTION("""COMPUTED_VALUE"""),"Estados Unidos")</f>
        <v>Estados Unidos</v>
      </c>
      <c r="C2195" s="6" t="str">
        <f>IFERROR(__xludf.DUMMYFUNCTION("""COMPUTED_VALUE"""),"Banking &amp; Financial Servicies")</f>
        <v>Banking &amp; Financial Servicies</v>
      </c>
    </row>
    <row r="2196" hidden="1">
      <c r="A2196" s="6" t="str">
        <f>IFERROR(__xludf.DUMMYFUNCTION("""COMPUTED_VALUE"""),"sommiercenter")</f>
        <v>sommiercenter</v>
      </c>
      <c r="B2196" s="6" t="str">
        <f>IFERROR(__xludf.DUMMYFUNCTION("""COMPUTED_VALUE"""),"Argentina")</f>
        <v>Argentina</v>
      </c>
      <c r="C2196" s="6" t="str">
        <f>IFERROR(__xludf.DUMMYFUNCTION("""COMPUTED_VALUE"""),"Other")</f>
        <v>Other</v>
      </c>
    </row>
    <row r="2197" hidden="1">
      <c r="A2197" s="6" t="str">
        <f>IFERROR(__xludf.DUMMYFUNCTION("""COMPUTED_VALUE"""),"opsi")</f>
        <v>opsi</v>
      </c>
      <c r="B2197" s="6" t="str">
        <f>IFERROR(__xludf.DUMMYFUNCTION("""COMPUTED_VALUE"""),"Argentina")</f>
        <v>Argentina</v>
      </c>
      <c r="C2197" s="6" t="str">
        <f>IFERROR(__xludf.DUMMYFUNCTION("""COMPUTED_VALUE"""),"Software Factory / Staffing")</f>
        <v>Software Factory / Staffing</v>
      </c>
    </row>
    <row r="2198" hidden="1">
      <c r="A2198" s="6" t="str">
        <f>IFERROR(__xludf.DUMMYFUNCTION("""COMPUTED_VALUE"""),"masivian sas")</f>
        <v>masivian sas</v>
      </c>
      <c r="B2198" s="4"/>
      <c r="C2198" s="4"/>
    </row>
    <row r="2199" hidden="1">
      <c r="A2199" s="6" t="str">
        <f>IFERROR(__xludf.DUMMYFUNCTION("""COMPUTED_VALUE"""),"yen tienda s.a.s")</f>
        <v>yen tienda s.a.s</v>
      </c>
      <c r="B2199" s="4"/>
      <c r="C2199" s="4"/>
    </row>
    <row r="2200" hidden="1">
      <c r="A2200" s="6" t="str">
        <f>IFERROR(__xludf.DUMMYFUNCTION("""COMPUTED_VALUE"""),"colegio gimnasio monteverde")</f>
        <v>colegio gimnasio monteverde</v>
      </c>
      <c r="B2200" s="4"/>
      <c r="C2200" s="4"/>
    </row>
    <row r="2201" hidden="1">
      <c r="A2201" s="6" t="str">
        <f>IFERROR(__xludf.DUMMYFUNCTION("""COMPUTED_VALUE"""),"fryos studios")</f>
        <v>fryos studios</v>
      </c>
      <c r="B2201" s="6" t="str">
        <f>IFERROR(__xludf.DUMMYFUNCTION("""COMPUTED_VALUE"""),"Colombia")</f>
        <v>Colombia</v>
      </c>
      <c r="C2201" s="6" t="str">
        <f>IFERROR(__xludf.DUMMYFUNCTION("""COMPUTED_VALUE"""),"Gaming")</f>
        <v>Gaming</v>
      </c>
    </row>
    <row r="2202" hidden="1">
      <c r="A2202" s="6" t="str">
        <f>IFERROR(__xludf.DUMMYFUNCTION("""COMPUTED_VALUE"""),"megatech s.a.")</f>
        <v>megatech s.a.</v>
      </c>
      <c r="B2202" s="6" t="str">
        <f>IFERROR(__xludf.DUMMYFUNCTION("""COMPUTED_VALUE"""),"Argentina")</f>
        <v>Argentina</v>
      </c>
      <c r="C2202" s="6" t="str">
        <f>IFERROR(__xludf.DUMMYFUNCTION("""COMPUTED_VALUE"""),"Software Factory / Staffing")</f>
        <v>Software Factory / Staffing</v>
      </c>
    </row>
    <row r="2203" hidden="1">
      <c r="A2203" s="6" t="str">
        <f>IFERROR(__xludf.DUMMYFUNCTION("""COMPUTED_VALUE"""),"von croften")</f>
        <v>von croften</v>
      </c>
      <c r="B2203" s="4"/>
      <c r="C2203" s="4"/>
    </row>
    <row r="2204">
      <c r="A2204" s="6" t="str">
        <f>IFERROR(__xludf.DUMMYFUNCTION("""COMPUTED_VALUE"""),"moneyfi")</f>
        <v>moneyfi</v>
      </c>
      <c r="B2204" s="6" t="str">
        <f>IFERROR(__xludf.DUMMYFUNCTION("""COMPUTED_VALUE"""),"Estados Unidos")</f>
        <v>Estados Unidos</v>
      </c>
      <c r="C2204" s="6" t="str">
        <f>IFERROR(__xludf.DUMMYFUNCTION("""COMPUTED_VALUE"""),"Banking &amp; Financial Servicies")</f>
        <v>Banking &amp; Financial Servicies</v>
      </c>
    </row>
    <row r="2205" hidden="1">
      <c r="A2205" s="6" t="str">
        <f>IFERROR(__xludf.DUMMYFUNCTION("""COMPUTED_VALUE"""),"pymedesk")</f>
        <v>pymedesk</v>
      </c>
      <c r="B2205" s="4"/>
      <c r="C2205" s="6" t="str">
        <f>IFERROR(__xludf.DUMMYFUNCTION("""COMPUTED_VALUE"""),"Software Factory / Staffing")</f>
        <v>Software Factory / Staffing</v>
      </c>
    </row>
    <row r="2206" hidden="1">
      <c r="A2206" s="6" t="str">
        <f>IFERROR(__xludf.DUMMYFUNCTION("""COMPUTED_VALUE"""),"servimercadeo")</f>
        <v>servimercadeo</v>
      </c>
      <c r="B2206" s="6" t="str">
        <f>IFERROR(__xludf.DUMMYFUNCTION("""COMPUTED_VALUE"""),"Colombia")</f>
        <v>Colombia</v>
      </c>
      <c r="C2206" s="6" t="str">
        <f>IFERROR(__xludf.DUMMYFUNCTION("""COMPUTED_VALUE"""),"Other")</f>
        <v>Other</v>
      </c>
    </row>
    <row r="2207" hidden="1">
      <c r="A2207" s="6" t="str">
        <f>IFERROR(__xludf.DUMMYFUNCTION("""COMPUTED_VALUE"""),"gracia lab")</f>
        <v>gracia lab</v>
      </c>
      <c r="B2207" s="4"/>
      <c r="C2207" s="4"/>
    </row>
    <row r="2208" hidden="1">
      <c r="A2208" s="6" t="str">
        <f>IFERROR(__xludf.DUMMYFUNCTION("""COMPUTED_VALUE"""),"grupo asd")</f>
        <v>grupo asd</v>
      </c>
      <c r="B2208" s="6" t="str">
        <f>IFERROR(__xludf.DUMMYFUNCTION("""COMPUTED_VALUE"""),"Colombia")</f>
        <v>Colombia</v>
      </c>
      <c r="C2208" s="6" t="str">
        <f>IFERROR(__xludf.DUMMYFUNCTION("""COMPUTED_VALUE"""),"Software Factory / Staffing")</f>
        <v>Software Factory / Staffing</v>
      </c>
    </row>
    <row r="2209" hidden="1">
      <c r="A2209" s="6" t="str">
        <f>IFERROR(__xludf.DUMMYFUNCTION("""COMPUTED_VALUE"""),"espinlabs")</f>
        <v>espinlabs</v>
      </c>
      <c r="B2209" s="6" t="str">
        <f>IFERROR(__xludf.DUMMYFUNCTION("""COMPUTED_VALUE"""),"Argentina")</f>
        <v>Argentina</v>
      </c>
      <c r="C2209" s="6" t="str">
        <f>IFERROR(__xludf.DUMMYFUNCTION("""COMPUTED_VALUE"""),"Software Factory / Staffing")</f>
        <v>Software Factory / Staffing</v>
      </c>
    </row>
    <row r="2210" hidden="1">
      <c r="A2210" s="6" t="str">
        <f>IFERROR(__xludf.DUMMYFUNCTION("""COMPUTED_VALUE"""),"geniorama")</f>
        <v>geniorama</v>
      </c>
      <c r="B2210" s="6" t="str">
        <f>IFERROR(__xludf.DUMMYFUNCTION("""COMPUTED_VALUE"""),"Colombia")</f>
        <v>Colombia</v>
      </c>
      <c r="C2210" s="6" t="str">
        <f>IFERROR(__xludf.DUMMYFUNCTION("""COMPUTED_VALUE"""),"Marketing &amp; Advertising")</f>
        <v>Marketing &amp; Advertising</v>
      </c>
    </row>
    <row r="2211" hidden="1">
      <c r="A2211" s="6" t="str">
        <f>IFERROR(__xludf.DUMMYFUNCTION("""COMPUTED_VALUE"""),"interlude viajes")</f>
        <v>interlude viajes</v>
      </c>
      <c r="B2211" s="6" t="str">
        <f>IFERROR(__xludf.DUMMYFUNCTION("""COMPUTED_VALUE"""),"Argentina")</f>
        <v>Argentina</v>
      </c>
      <c r="C2211" s="6" t="str">
        <f>IFERROR(__xludf.DUMMYFUNCTION("""COMPUTED_VALUE"""),"Travel and Tourism")</f>
        <v>Travel and Tourism</v>
      </c>
    </row>
    <row r="2212" hidden="1">
      <c r="A2212" s="6" t="str">
        <f>IFERROR(__xludf.DUMMYFUNCTION("""COMPUTED_VALUE"""),"gobierno de san luis")</f>
        <v>gobierno de san luis</v>
      </c>
      <c r="B2212" s="6" t="str">
        <f>IFERROR(__xludf.DUMMYFUNCTION("""COMPUTED_VALUE"""),"Argentina")</f>
        <v>Argentina</v>
      </c>
      <c r="C2212" s="6" t="str">
        <f>IFERROR(__xludf.DUMMYFUNCTION("""COMPUTED_VALUE"""),"Public Center")</f>
        <v>Public Center</v>
      </c>
    </row>
    <row r="2213" hidden="1">
      <c r="A2213" s="6" t="str">
        <f>IFERROR(__xludf.DUMMYFUNCTION("""COMPUTED_VALUE"""),"neardigital sl")</f>
        <v>neardigital sl</v>
      </c>
      <c r="B2213" s="6" t="str">
        <f>IFERROR(__xludf.DUMMYFUNCTION("""COMPUTED_VALUE"""),"España")</f>
        <v>España</v>
      </c>
      <c r="C2213" s="6" t="str">
        <f>IFERROR(__xludf.DUMMYFUNCTION("""COMPUTED_VALUE"""),"Human Resources")</f>
        <v>Human Resources</v>
      </c>
    </row>
    <row r="2214" hidden="1">
      <c r="A2214" s="6" t="str">
        <f>IFERROR(__xludf.DUMMYFUNCTION("""COMPUTED_VALUE"""),"wonderful 3d")</f>
        <v>wonderful 3d</v>
      </c>
      <c r="B2214" s="6" t="str">
        <f>IFERROR(__xludf.DUMMYFUNCTION("""COMPUTED_VALUE"""),"Estados Unidos")</f>
        <v>Estados Unidos</v>
      </c>
      <c r="C2214" s="6" t="str">
        <f>IFERROR(__xludf.DUMMYFUNCTION("""COMPUTED_VALUE"""),"Education &amp; Edtech")</f>
        <v>Education &amp; Edtech</v>
      </c>
    </row>
    <row r="2215" hidden="1">
      <c r="A2215" s="6" t="str">
        <f>IFERROR(__xludf.DUMMYFUNCTION("""COMPUTED_VALUE"""),"grúas san blas")</f>
        <v>grúas san blas</v>
      </c>
      <c r="B2215" s="6" t="str">
        <f>IFERROR(__xludf.DUMMYFUNCTION("""COMPUTED_VALUE"""),"Argentina")</f>
        <v>Argentina</v>
      </c>
      <c r="C2215" s="6" t="str">
        <f>IFERROR(__xludf.DUMMYFUNCTION("""COMPUTED_VALUE"""),"Other")</f>
        <v>Other</v>
      </c>
    </row>
    <row r="2216" hidden="1">
      <c r="A2216" s="6" t="str">
        <f>IFERROR(__xludf.DUMMYFUNCTION("""COMPUTED_VALUE"""),"canipol most s.i.")</f>
        <v>canipol most s.i.</v>
      </c>
      <c r="B2216" s="4"/>
      <c r="C2216" s="4"/>
    </row>
    <row r="2217" hidden="1">
      <c r="A2217" s="6" t="str">
        <f>IFERROR(__xludf.DUMMYFUNCTION("""COMPUTED_VALUE"""),"tecnosapiens")</f>
        <v>tecnosapiens</v>
      </c>
      <c r="B2217" s="6" t="str">
        <f>IFERROR(__xludf.DUMMYFUNCTION("""COMPUTED_VALUE"""),"Argentina")</f>
        <v>Argentina</v>
      </c>
      <c r="C2217" s="6" t="str">
        <f>IFERROR(__xludf.DUMMYFUNCTION("""COMPUTED_VALUE"""),"Software Factory / Staffing")</f>
        <v>Software Factory / Staffing</v>
      </c>
    </row>
    <row r="2218" hidden="1">
      <c r="A2218" s="6" t="str">
        <f>IFERROR(__xludf.DUMMYFUNCTION("""COMPUTED_VALUE"""),"maseldata")</f>
        <v>maseldata</v>
      </c>
      <c r="B2218" s="6" t="str">
        <f>IFERROR(__xludf.DUMMYFUNCTION("""COMPUTED_VALUE"""),"Argentina")</f>
        <v>Argentina</v>
      </c>
      <c r="C2218" s="6" t="str">
        <f>IFERROR(__xludf.DUMMYFUNCTION("""COMPUTED_VALUE"""),"Software Factory / Staffing")</f>
        <v>Software Factory / Staffing</v>
      </c>
    </row>
    <row r="2219" hidden="1">
      <c r="A2219" s="6" t="str">
        <f>IFERROR(__xludf.DUMMYFUNCTION("""COMPUTED_VALUE"""),"municipalidad de quilmes")</f>
        <v>municipalidad de quilmes</v>
      </c>
      <c r="B2219" s="6" t="str">
        <f>IFERROR(__xludf.DUMMYFUNCTION("""COMPUTED_VALUE"""),"Argentina")</f>
        <v>Argentina</v>
      </c>
      <c r="C2219" s="6" t="str">
        <f>IFERROR(__xludf.DUMMYFUNCTION("""COMPUTED_VALUE"""),"Public Center")</f>
        <v>Public Center</v>
      </c>
    </row>
    <row r="2220" hidden="1">
      <c r="A2220" s="6" t="str">
        <f>IFERROR(__xludf.DUMMYFUNCTION("""COMPUTED_VALUE"""),"intelygenz")</f>
        <v>intelygenz</v>
      </c>
      <c r="B2220" s="6" t="str">
        <f>IFERROR(__xludf.DUMMYFUNCTION("""COMPUTED_VALUE"""),"Estados Unidos")</f>
        <v>Estados Unidos</v>
      </c>
      <c r="C2220" s="6" t="str">
        <f>IFERROR(__xludf.DUMMYFUNCTION("""COMPUTED_VALUE"""),"Software Factory / Staffing")</f>
        <v>Software Factory / Staffing</v>
      </c>
    </row>
    <row r="2221">
      <c r="A2221" s="6" t="str">
        <f>IFERROR(__xludf.DUMMYFUNCTION("""COMPUTED_VALUE"""),"aventureza")</f>
        <v>aventureza</v>
      </c>
      <c r="B2221" s="4"/>
      <c r="C2221" s="6" t="str">
        <f>IFERROR(__xludf.DUMMYFUNCTION("""COMPUTED_VALUE"""),"Travel and Tourism")</f>
        <v>Travel and Tourism</v>
      </c>
    </row>
    <row r="2222" hidden="1">
      <c r="A2222" s="6" t="str">
        <f>IFERROR(__xludf.DUMMYFUNCTION("""COMPUTED_VALUE"""),"gecco")</f>
        <v>gecco</v>
      </c>
      <c r="B2222" s="6" t="str">
        <f>IFERROR(__xludf.DUMMYFUNCTION("""COMPUTED_VALUE"""),"Alemania")</f>
        <v>Alemania</v>
      </c>
      <c r="C2222" s="6" t="str">
        <f>IFERROR(__xludf.DUMMYFUNCTION("""COMPUTED_VALUE"""),"Banking &amp; Financial Servicies")</f>
        <v>Banking &amp; Financial Servicies</v>
      </c>
    </row>
    <row r="2223" hidden="1">
      <c r="A2223" s="6" t="str">
        <f>IFERROR(__xludf.DUMMYFUNCTION("""COMPUTED_VALUE"""),"eato mx")</f>
        <v>eato mx</v>
      </c>
      <c r="B2223" s="6" t="str">
        <f>IFERROR(__xludf.DUMMYFUNCTION("""COMPUTED_VALUE"""),"México")</f>
        <v>México</v>
      </c>
      <c r="C2223" s="6" t="str">
        <f>IFERROR(__xludf.DUMMYFUNCTION("""COMPUTED_VALUE"""),"Software Factory / Staffing")</f>
        <v>Software Factory / Staffing</v>
      </c>
    </row>
    <row r="2224" hidden="1">
      <c r="A2224" s="6" t="str">
        <f>IFERROR(__xludf.DUMMYFUNCTION("""COMPUTED_VALUE"""),"autoridad educativa federal en la ciudad de méxico")</f>
        <v>autoridad educativa federal en la ciudad de méxico</v>
      </c>
      <c r="B2224" s="6" t="str">
        <f>IFERROR(__xludf.DUMMYFUNCTION("""COMPUTED_VALUE"""),"Mexico")</f>
        <v>Mexico</v>
      </c>
      <c r="C2224" s="6" t="str">
        <f>IFERROR(__xludf.DUMMYFUNCTION("""COMPUTED_VALUE"""),"Public Center")</f>
        <v>Public Center</v>
      </c>
    </row>
    <row r="2225" hidden="1">
      <c r="A2225" s="6" t="str">
        <f>IFERROR(__xludf.DUMMYFUNCTION("""COMPUTED_VALUE"""),"ipsum technology")</f>
        <v>ipsum technology</v>
      </c>
      <c r="B2225" s="6" t="str">
        <f>IFERROR(__xludf.DUMMYFUNCTION("""COMPUTED_VALUE"""),"Mexico")</f>
        <v>Mexico</v>
      </c>
      <c r="C2225" s="6" t="str">
        <f>IFERROR(__xludf.DUMMYFUNCTION("""COMPUTED_VALUE"""),"Software Factory / Staffing")</f>
        <v>Software Factory / Staffing</v>
      </c>
    </row>
    <row r="2226" hidden="1">
      <c r="A2226" s="6" t="str">
        <f>IFERROR(__xludf.DUMMYFUNCTION("""COMPUTED_VALUE"""),"grupo sicoss")</f>
        <v>grupo sicoss</v>
      </c>
      <c r="B2226" s="6" t="str">
        <f>IFERROR(__xludf.DUMMYFUNCTION("""COMPUTED_VALUE"""),"México")</f>
        <v>México</v>
      </c>
      <c r="C2226" s="6" t="str">
        <f>IFERROR(__xludf.DUMMYFUNCTION("""COMPUTED_VALUE"""),"Software Factory / Staffing")</f>
        <v>Software Factory / Staffing</v>
      </c>
    </row>
    <row r="2227" hidden="1">
      <c r="A2227" s="6" t="str">
        <f>IFERROR(__xludf.DUMMYFUNCTION("""COMPUTED_VALUE"""),"niku")</f>
        <v>niku</v>
      </c>
      <c r="B2227" s="6" t="str">
        <f>IFERROR(__xludf.DUMMYFUNCTION("""COMPUTED_VALUE"""),"Estados Unidos")</f>
        <v>Estados Unidos</v>
      </c>
      <c r="C2227" s="6" t="str">
        <f>IFERROR(__xludf.DUMMYFUNCTION("""COMPUTED_VALUE"""),"Software Factory / Staffing")</f>
        <v>Software Factory / Staffing</v>
      </c>
    </row>
    <row r="2228" hidden="1">
      <c r="A2228" s="6" t="str">
        <f>IFERROR(__xludf.DUMMYFUNCTION("""COMPUTED_VALUE"""),"spot")</f>
        <v>spot</v>
      </c>
      <c r="B2228" s="6" t="str">
        <f>IFERROR(__xludf.DUMMYFUNCTION("""COMPUTED_VALUE"""),"Brasil")</f>
        <v>Brasil</v>
      </c>
      <c r="C2228" s="6" t="str">
        <f>IFERROR(__xludf.DUMMYFUNCTION("""COMPUTED_VALUE"""),"Marketing &amp; Advertising")</f>
        <v>Marketing &amp; Advertising</v>
      </c>
    </row>
    <row r="2229" hidden="1">
      <c r="A2229" s="6" t="str">
        <f>IFERROR(__xludf.DUMMYFUNCTION("""COMPUTED_VALUE"""),"digital solutions")</f>
        <v>digital solutions</v>
      </c>
      <c r="B2229" s="6" t="str">
        <f>IFERROR(__xludf.DUMMYFUNCTION("""COMPUTED_VALUE"""),"Mexico")</f>
        <v>Mexico</v>
      </c>
      <c r="C2229" s="6" t="str">
        <f>IFERROR(__xludf.DUMMYFUNCTION("""COMPUTED_VALUE"""),"Other")</f>
        <v>Other</v>
      </c>
    </row>
    <row r="2230" hidden="1">
      <c r="A2230" s="6" t="str">
        <f>IFERROR(__xludf.DUMMYFUNCTION("""COMPUTED_VALUE"""),"esperto services")</f>
        <v>esperto services</v>
      </c>
      <c r="B2230" s="6" t="str">
        <f>IFERROR(__xludf.DUMMYFUNCTION("""COMPUTED_VALUE"""),"Canadá")</f>
        <v>Canadá</v>
      </c>
      <c r="C2230" s="6" t="str">
        <f>IFERROR(__xludf.DUMMYFUNCTION("""COMPUTED_VALUE"""),"Software Factory / Staffing")</f>
        <v>Software Factory / Staffing</v>
      </c>
    </row>
    <row r="2231" hidden="1">
      <c r="A2231" s="6" t="str">
        <f>IFERROR(__xludf.DUMMYFUNCTION("""COMPUTED_VALUE"""),"cph")</f>
        <v>cph</v>
      </c>
      <c r="B2231" s="6" t="str">
        <f>IFERROR(__xludf.DUMMYFUNCTION("""COMPUTED_VALUE"""),"Estados Unidos")</f>
        <v>Estados Unidos</v>
      </c>
      <c r="C2231" s="6" t="str">
        <f>IFERROR(__xludf.DUMMYFUNCTION("""COMPUTED_VALUE"""),"Other")</f>
        <v>Other</v>
      </c>
    </row>
    <row r="2232" hidden="1">
      <c r="A2232" s="6" t="str">
        <f>IFERROR(__xludf.DUMMYFUNCTION("""COMPUTED_VALUE"""),"consejeros y corredores de seguros sac")</f>
        <v>consejeros y corredores de seguros sac</v>
      </c>
      <c r="B2232" s="6" t="str">
        <f>IFERROR(__xludf.DUMMYFUNCTION("""COMPUTED_VALUE"""),"Peru")</f>
        <v>Peru</v>
      </c>
      <c r="C2232" s="6" t="str">
        <f>IFERROR(__xludf.DUMMYFUNCTION("""COMPUTED_VALUE"""),"Insurance")</f>
        <v>Insurance</v>
      </c>
    </row>
    <row r="2233" hidden="1">
      <c r="A2233" s="6" t="str">
        <f>IFERROR(__xludf.DUMMYFUNCTION("""COMPUTED_VALUE"""),"fidooo")</f>
        <v>fidooo</v>
      </c>
      <c r="B2233" s="6" t="str">
        <f>IFERROR(__xludf.DUMMYFUNCTION("""COMPUTED_VALUE"""),"España")</f>
        <v>España</v>
      </c>
      <c r="C2233" s="6" t="str">
        <f>IFERROR(__xludf.DUMMYFUNCTION("""COMPUTED_VALUE"""),"Other")</f>
        <v>Other</v>
      </c>
    </row>
    <row r="2234" hidden="1">
      <c r="A2234" s="6" t="str">
        <f>IFERROR(__xludf.DUMMYFUNCTION("""COMPUTED_VALUE"""),"lubecatech")</f>
        <v>lubecatech</v>
      </c>
      <c r="B2234" s="6" t="str">
        <f>IFERROR(__xludf.DUMMYFUNCTION("""COMPUTED_VALUE"""),"Argentina")</f>
        <v>Argentina</v>
      </c>
      <c r="C2234" s="6" t="str">
        <f>IFERROR(__xludf.DUMMYFUNCTION("""COMPUTED_VALUE"""),"Software Factory / Staffing")</f>
        <v>Software Factory / Staffing</v>
      </c>
    </row>
    <row r="2235" hidden="1">
      <c r="A2235" s="6" t="str">
        <f>IFERROR(__xludf.DUMMYFUNCTION("""COMPUTED_VALUE"""),"silstech")</f>
        <v>silstech</v>
      </c>
      <c r="B2235" s="6" t="str">
        <f>IFERROR(__xludf.DUMMYFUNCTION("""COMPUTED_VALUE"""),"Argentina")</f>
        <v>Argentina</v>
      </c>
      <c r="C2235" s="6" t="str">
        <f>IFERROR(__xludf.DUMMYFUNCTION("""COMPUTED_VALUE"""),"Software Factory / Staffing")</f>
        <v>Software Factory / Staffing</v>
      </c>
    </row>
    <row r="2236" hidden="1">
      <c r="A2236" s="6" t="str">
        <f>IFERROR(__xludf.DUMMYFUNCTION("""COMPUTED_VALUE"""),"strategia visual consultoria y marketing s.r.l.")</f>
        <v>strategia visual consultoria y marketing s.r.l.</v>
      </c>
      <c r="B2236" s="4"/>
      <c r="C2236" s="4"/>
    </row>
    <row r="2237" hidden="1">
      <c r="A2237" s="6" t="str">
        <f>IFERROR(__xludf.DUMMYFUNCTION("""COMPUTED_VALUE"""),"grupo cobra perú s.a")</f>
        <v>grupo cobra perú s.a</v>
      </c>
      <c r="B2237" s="6" t="str">
        <f>IFERROR(__xludf.DUMMYFUNCTION("""COMPUTED_VALUE"""),"Peru")</f>
        <v>Peru</v>
      </c>
      <c r="C2237" s="6" t="str">
        <f>IFERROR(__xludf.DUMMYFUNCTION("""COMPUTED_VALUE"""),"Construction")</f>
        <v>Construction</v>
      </c>
    </row>
    <row r="2238">
      <c r="A2238" s="6" t="str">
        <f>IFERROR(__xludf.DUMMYFUNCTION("""COMPUTED_VALUE"""),"id bi")</f>
        <v>id bi</v>
      </c>
      <c r="B2238" s="6" t="str">
        <f>IFERROR(__xludf.DUMMYFUNCTION("""COMPUTED_VALUE"""),"Peru")</f>
        <v>Peru</v>
      </c>
      <c r="C2238" s="6" t="str">
        <f>IFERROR(__xludf.DUMMYFUNCTION("""COMPUTED_VALUE"""),"Software Factory / Staffing")</f>
        <v>Software Factory / Staffing</v>
      </c>
    </row>
    <row r="2239" hidden="1">
      <c r="A2239" s="6" t="str">
        <f>IFERROR(__xludf.DUMMYFUNCTION("""COMPUTED_VALUE"""),"agente oficial adt")</f>
        <v>agente oficial adt</v>
      </c>
      <c r="B2239" s="6" t="str">
        <f>IFERROR(__xludf.DUMMYFUNCTION("""COMPUTED_VALUE"""),"Argentina")</f>
        <v>Argentina</v>
      </c>
      <c r="C2239" s="6" t="str">
        <f>IFERROR(__xludf.DUMMYFUNCTION("""COMPUTED_VALUE"""),"Other")</f>
        <v>Other</v>
      </c>
    </row>
    <row r="2240" hidden="1">
      <c r="A2240" s="6" t="str">
        <f>IFERROR(__xludf.DUMMYFUNCTION("""COMPUTED_VALUE"""),"lider tecnico")</f>
        <v>lider tecnico</v>
      </c>
      <c r="B2240" s="6" t="str">
        <f>IFERROR(__xludf.DUMMYFUNCTION("""COMPUTED_VALUE"""),"Brasil")</f>
        <v>Brasil</v>
      </c>
      <c r="C2240" s="6" t="str">
        <f>IFERROR(__xludf.DUMMYFUNCTION("""COMPUTED_VALUE"""),"Accounting")</f>
        <v>Accounting</v>
      </c>
    </row>
    <row r="2241" hidden="1">
      <c r="A2241" s="6" t="str">
        <f>IFERROR(__xludf.DUMMYFUNCTION("""COMPUTED_VALUE"""),"nestlé")</f>
        <v>nestlé</v>
      </c>
      <c r="B2241" s="4"/>
      <c r="C2241" s="6" t="str">
        <f>IFERROR(__xludf.DUMMYFUNCTION("""COMPUTED_VALUE"""),"FMCG / Consumo masivo")</f>
        <v>FMCG / Consumo masivo</v>
      </c>
    </row>
    <row r="2242" hidden="1">
      <c r="A2242" s="6" t="str">
        <f>IFERROR(__xludf.DUMMYFUNCTION("""COMPUTED_VALUE"""),"croney")</f>
        <v>croney</v>
      </c>
      <c r="B2242" s="6" t="str">
        <f>IFERROR(__xludf.DUMMYFUNCTION("""COMPUTED_VALUE"""),"Polonia")</f>
        <v>Polonia</v>
      </c>
      <c r="C2242" s="6" t="str">
        <f>IFERROR(__xludf.DUMMYFUNCTION("""COMPUTED_VALUE"""),"Software Factory / Staffing")</f>
        <v>Software Factory / Staffing</v>
      </c>
    </row>
    <row r="2243" hidden="1">
      <c r="A2243" s="6" t="str">
        <f>IFERROR(__xludf.DUMMYFUNCTION("""COMPUTED_VALUE"""),"corralon aconquija")</f>
        <v>corralon aconquija</v>
      </c>
      <c r="B2243" s="6" t="str">
        <f>IFERROR(__xludf.DUMMYFUNCTION("""COMPUTED_VALUE"""),"Argentina")</f>
        <v>Argentina</v>
      </c>
      <c r="C2243" s="6" t="str">
        <f>IFERROR(__xludf.DUMMYFUNCTION("""COMPUTED_VALUE"""),"Construction")</f>
        <v>Construction</v>
      </c>
    </row>
    <row r="2244" hidden="1">
      <c r="A2244" s="6" t="str">
        <f>IFERROR(__xludf.DUMMYFUNCTION("""COMPUTED_VALUE"""),"international trade centre")</f>
        <v>international trade centre</v>
      </c>
      <c r="B2244" s="6" t="str">
        <f>IFERROR(__xludf.DUMMYFUNCTION("""COMPUTED_VALUE"""),"Ginebra")</f>
        <v>Ginebra</v>
      </c>
      <c r="C2244" s="6" t="str">
        <f>IFERROR(__xludf.DUMMYFUNCTION("""COMPUTED_VALUE"""),"Other")</f>
        <v>Other</v>
      </c>
    </row>
    <row r="2245" hidden="1">
      <c r="A2245" s="6" t="str">
        <f>IFERROR(__xludf.DUMMYFUNCTION("""COMPUTED_VALUE"""),"virtual sense")</f>
        <v>virtual sense</v>
      </c>
      <c r="B2245" s="6" t="str">
        <f>IFERROR(__xludf.DUMMYFUNCTION("""COMPUTED_VALUE"""),"Argentina")</f>
        <v>Argentina</v>
      </c>
      <c r="C2245" s="6" t="str">
        <f>IFERROR(__xludf.DUMMYFUNCTION("""COMPUTED_VALUE"""),"Health")</f>
        <v>Health</v>
      </c>
    </row>
    <row r="2246" hidden="1">
      <c r="A2246" s="6" t="str">
        <f>IFERROR(__xludf.DUMMYFUNCTION("""COMPUTED_VALUE"""),"calificadas")</f>
        <v>calificadas</v>
      </c>
      <c r="B2246" s="6" t="str">
        <f>IFERROR(__xludf.DUMMYFUNCTION("""COMPUTED_VALUE"""),"Argentina")</f>
        <v>Argentina</v>
      </c>
      <c r="C2246" s="6" t="str">
        <f>IFERROR(__xludf.DUMMYFUNCTION("""COMPUTED_VALUE"""),"Other")</f>
        <v>Other</v>
      </c>
    </row>
    <row r="2247" hidden="1">
      <c r="A2247" s="6" t="str">
        <f>IFERROR(__xludf.DUMMYFUNCTION("""COMPUTED_VALUE"""),"came")</f>
        <v>came</v>
      </c>
      <c r="B2247" s="6" t="str">
        <f>IFERROR(__xludf.DUMMYFUNCTION("""COMPUTED_VALUE"""),"Italia")</f>
        <v>Italia</v>
      </c>
      <c r="C2247" s="6" t="str">
        <f>IFERROR(__xludf.DUMMYFUNCTION("""COMPUTED_VALUE"""),"Mechanical/Industrial Engineering")</f>
        <v>Mechanical/Industrial Engineering</v>
      </c>
    </row>
    <row r="2248" hidden="1">
      <c r="A2248" s="6" t="str">
        <f>IFERROR(__xludf.DUMMYFUNCTION("""COMPUTED_VALUE"""),"chewed pixel studios")</f>
        <v>chewed pixel studios</v>
      </c>
      <c r="B2248" s="6" t="str">
        <f>IFERROR(__xludf.DUMMYFUNCTION("""COMPUTED_VALUE"""),"Estados Unidos")</f>
        <v>Estados Unidos</v>
      </c>
      <c r="C2248" s="6" t="str">
        <f>IFERROR(__xludf.DUMMYFUNCTION("""COMPUTED_VALUE"""),"Software Factory / Staffing")</f>
        <v>Software Factory / Staffing</v>
      </c>
    </row>
    <row r="2249" hidden="1">
      <c r="A2249" s="6" t="str">
        <f>IFERROR(__xludf.DUMMYFUNCTION("""COMPUTED_VALUE"""),"4d motion")</f>
        <v>4d motion</v>
      </c>
      <c r="B2249" s="6" t="str">
        <f>IFERROR(__xludf.DUMMYFUNCTION("""COMPUTED_VALUE"""),"Estados Unidos")</f>
        <v>Estados Unidos</v>
      </c>
      <c r="C2249" s="6" t="str">
        <f>IFERROR(__xludf.DUMMYFUNCTION("""COMPUTED_VALUE"""),"Other")</f>
        <v>Other</v>
      </c>
    </row>
    <row r="2250" hidden="1">
      <c r="A2250" s="6" t="str">
        <f>IFERROR(__xludf.DUMMYFUNCTION("""COMPUTED_VALUE"""),"alephee")</f>
        <v>alephee</v>
      </c>
      <c r="B2250" s="6" t="str">
        <f>IFERROR(__xludf.DUMMYFUNCTION("""COMPUTED_VALUE"""),"Argentina")</f>
        <v>Argentina</v>
      </c>
      <c r="C2250" s="6" t="str">
        <f>IFERROR(__xludf.DUMMYFUNCTION("""COMPUTED_VALUE"""),"Software Factory / Staffing")</f>
        <v>Software Factory / Staffing</v>
      </c>
    </row>
    <row r="2251" hidden="1">
      <c r="A2251" s="6" t="str">
        <f>IFERROR(__xludf.DUMMYFUNCTION("""COMPUTED_VALUE"""),"questas consulting")</f>
        <v>questas consulting</v>
      </c>
      <c r="B2251" s="4"/>
      <c r="C2251" s="6" t="str">
        <f>IFERROR(__xludf.DUMMYFUNCTION("""COMPUTED_VALUE"""),"Management Consulting")</f>
        <v>Management Consulting</v>
      </c>
    </row>
    <row r="2252" hidden="1">
      <c r="A2252" s="6" t="str">
        <f>IFERROR(__xludf.DUMMYFUNCTION("""COMPUTED_VALUE"""),"ministerio de salud")</f>
        <v>ministerio de salud</v>
      </c>
      <c r="B2252" s="6" t="str">
        <f>IFERROR(__xludf.DUMMYFUNCTION("""COMPUTED_VALUE"""),"Argentina")</f>
        <v>Argentina</v>
      </c>
      <c r="C2252" s="6" t="str">
        <f>IFERROR(__xludf.DUMMYFUNCTION("""COMPUTED_VALUE"""),"Public Center")</f>
        <v>Public Center</v>
      </c>
    </row>
    <row r="2253" hidden="1">
      <c r="A2253" s="6" t="str">
        <f>IFERROR(__xludf.DUMMYFUNCTION("""COMPUTED_VALUE"""),"kunzapp")</f>
        <v>kunzapp</v>
      </c>
      <c r="B2253" s="6" t="str">
        <f>IFERROR(__xludf.DUMMYFUNCTION("""COMPUTED_VALUE"""),"Mexico")</f>
        <v>Mexico</v>
      </c>
      <c r="C2253" s="6" t="str">
        <f>IFERROR(__xludf.DUMMYFUNCTION("""COMPUTED_VALUE"""),"Software Factory / Staffing")</f>
        <v>Software Factory / Staffing</v>
      </c>
    </row>
    <row r="2254" hidden="1">
      <c r="A2254" s="6" t="str">
        <f>IFERROR(__xludf.DUMMYFUNCTION("""COMPUTED_VALUE"""),"aysam")</f>
        <v>aysam</v>
      </c>
      <c r="B2254" s="6" t="str">
        <f>IFERROR(__xludf.DUMMYFUNCTION("""COMPUTED_VALUE"""),"Argentina")</f>
        <v>Argentina</v>
      </c>
      <c r="C2254" s="6" t="str">
        <f>IFERROR(__xludf.DUMMYFUNCTION("""COMPUTED_VALUE"""),"Public Center")</f>
        <v>Public Center</v>
      </c>
    </row>
    <row r="2255" hidden="1">
      <c r="A2255" s="6" t="str">
        <f>IFERROR(__xludf.DUMMYFUNCTION("""COMPUTED_VALUE"""),"propio language services")</f>
        <v>propio language services</v>
      </c>
      <c r="B2255" s="4"/>
      <c r="C2255" s="4"/>
    </row>
    <row r="2256" hidden="1">
      <c r="A2256" s="6" t="str">
        <f>IFERROR(__xludf.DUMMYFUNCTION("""COMPUTED_VALUE"""),"certa consulting")</f>
        <v>certa consulting</v>
      </c>
      <c r="B2256" s="6" t="str">
        <f>IFERROR(__xludf.DUMMYFUNCTION("""COMPUTED_VALUE"""),"Reino Unido")</f>
        <v>Reino Unido</v>
      </c>
      <c r="C2256" s="6" t="str">
        <f>IFERROR(__xludf.DUMMYFUNCTION("""COMPUTED_VALUE"""),"Management Consulting")</f>
        <v>Management Consulting</v>
      </c>
    </row>
    <row r="2257" hidden="1">
      <c r="A2257" s="6" t="str">
        <f>IFERROR(__xludf.DUMMYFUNCTION("""COMPUTED_VALUE"""),"valtx")</f>
        <v>valtx</v>
      </c>
      <c r="B2257" s="6" t="str">
        <f>IFERROR(__xludf.DUMMYFUNCTION("""COMPUTED_VALUE"""),"Peru")</f>
        <v>Peru</v>
      </c>
      <c r="C2257" s="6" t="str">
        <f>IFERROR(__xludf.DUMMYFUNCTION("""COMPUTED_VALUE"""),"Software Factory / Staffing")</f>
        <v>Software Factory / Staffing</v>
      </c>
    </row>
    <row r="2258" hidden="1">
      <c r="A2258" s="6" t="str">
        <f>IFERROR(__xludf.DUMMYFUNCTION("""COMPUTED_VALUE"""),"rhinolabs")</f>
        <v>rhinolabs</v>
      </c>
      <c r="B2258" s="6" t="str">
        <f>IFERROR(__xludf.DUMMYFUNCTION("""COMPUTED_VALUE"""),"Estados Unidos")</f>
        <v>Estados Unidos</v>
      </c>
      <c r="C2258" s="6" t="str">
        <f>IFERROR(__xludf.DUMMYFUNCTION("""COMPUTED_VALUE"""),"Software Factory / Staffing")</f>
        <v>Software Factory / Staffing</v>
      </c>
    </row>
    <row r="2259" hidden="1">
      <c r="A2259" s="6" t="str">
        <f>IFERROR(__xludf.DUMMYFUNCTION("""COMPUTED_VALUE"""),"ashi sa")</f>
        <v>ashi sa</v>
      </c>
      <c r="B2259" s="6" t="str">
        <f>IFERROR(__xludf.DUMMYFUNCTION("""COMPUTED_VALUE"""),"Argentina")</f>
        <v>Argentina</v>
      </c>
      <c r="C2259" s="6" t="str">
        <f>IFERROR(__xludf.DUMMYFUNCTION("""COMPUTED_VALUE"""),"Other")</f>
        <v>Other</v>
      </c>
    </row>
    <row r="2260" hidden="1">
      <c r="A2260" s="6" t="str">
        <f>IFERROR(__xludf.DUMMYFUNCTION("""COMPUTED_VALUE"""),"nucommerce international spa")</f>
        <v>nucommerce international spa</v>
      </c>
      <c r="B2260" s="6" t="str">
        <f>IFERROR(__xludf.DUMMYFUNCTION("""COMPUTED_VALUE"""),"Brasil")</f>
        <v>Brasil</v>
      </c>
      <c r="C2260" s="6" t="str">
        <f>IFERROR(__xludf.DUMMYFUNCTION("""COMPUTED_VALUE"""),"Software Factory / Staffing")</f>
        <v>Software Factory / Staffing</v>
      </c>
    </row>
    <row r="2261" hidden="1">
      <c r="A2261" s="6" t="str">
        <f>IFERROR(__xludf.DUMMYFUNCTION("""COMPUTED_VALUE"""),"replaceit")</f>
        <v>replaceit</v>
      </c>
      <c r="B2261" s="6" t="str">
        <f>IFERROR(__xludf.DUMMYFUNCTION("""COMPUTED_VALUE"""),"Argentina")</f>
        <v>Argentina</v>
      </c>
      <c r="C2261" s="6" t="str">
        <f>IFERROR(__xludf.DUMMYFUNCTION("""COMPUTED_VALUE"""),"Software Factory / Staffing")</f>
        <v>Software Factory / Staffing</v>
      </c>
    </row>
    <row r="2262" hidden="1">
      <c r="A2262" s="6" t="str">
        <f>IFERROR(__xludf.DUMMYFUNCTION("""COMPUTED_VALUE"""),"btl latino")</f>
        <v>btl latino</v>
      </c>
      <c r="B2262" s="6" t="str">
        <f>IFERROR(__xludf.DUMMYFUNCTION("""COMPUTED_VALUE"""),"Venezuela")</f>
        <v>Venezuela</v>
      </c>
      <c r="C2262" s="6" t="str">
        <f>IFERROR(__xludf.DUMMYFUNCTION("""COMPUTED_VALUE"""),"Marketing &amp; Advertising")</f>
        <v>Marketing &amp; Advertising</v>
      </c>
    </row>
    <row r="2263" hidden="1">
      <c r="A2263" s="6" t="str">
        <f>IFERROR(__xludf.DUMMYFUNCTION("""COMPUTED_VALUE"""),"siu")</f>
        <v>siu</v>
      </c>
      <c r="B2263" s="6" t="str">
        <f>IFERROR(__xludf.DUMMYFUNCTION("""COMPUTED_VALUE"""),"Argentina")</f>
        <v>Argentina</v>
      </c>
      <c r="C2263" s="6" t="str">
        <f>IFERROR(__xludf.DUMMYFUNCTION("""COMPUTED_VALUE"""),"Software Factory / Staffing")</f>
        <v>Software Factory / Staffing</v>
      </c>
    </row>
    <row r="2264" hidden="1">
      <c r="A2264" s="6" t="str">
        <f>IFERROR(__xludf.DUMMYFUNCTION("""COMPUTED_VALUE"""),"vmcloud solution - factureya!")</f>
        <v>vmcloud solution - factureya!</v>
      </c>
      <c r="B2264" s="4"/>
      <c r="C2264" s="4"/>
    </row>
    <row r="2265" hidden="1">
      <c r="A2265" s="6" t="str">
        <f>IFERROR(__xludf.DUMMYFUNCTION("""COMPUTED_VALUE"""),"ortopedia banfield")</f>
        <v>ortopedia banfield</v>
      </c>
      <c r="B2265" s="6" t="str">
        <f>IFERROR(__xludf.DUMMYFUNCTION("""COMPUTED_VALUE"""),"Argentina")</f>
        <v>Argentina</v>
      </c>
      <c r="C2265" s="4"/>
    </row>
    <row r="2266" hidden="1">
      <c r="A2266" s="6" t="str">
        <f>IFERROR(__xludf.DUMMYFUNCTION("""COMPUTED_VALUE"""),"14x tech")</f>
        <v>14x tech</v>
      </c>
      <c r="B2266" s="6" t="str">
        <f>IFERROR(__xludf.DUMMYFUNCTION("""COMPUTED_VALUE"""),"Argentina")</f>
        <v>Argentina</v>
      </c>
      <c r="C2266" s="6" t="str">
        <f>IFERROR(__xludf.DUMMYFUNCTION("""COMPUTED_VALUE"""),"Software Factory / Staffing")</f>
        <v>Software Factory / Staffing</v>
      </c>
    </row>
    <row r="2267" hidden="1">
      <c r="A2267" s="6" t="str">
        <f>IFERROR(__xludf.DUMMYFUNCTION("""COMPUTED_VALUE"""),"registro del automotor")</f>
        <v>registro del automotor</v>
      </c>
      <c r="B2267" s="4"/>
      <c r="C2267" s="6" t="str">
        <f>IFERROR(__xludf.DUMMYFUNCTION("""COMPUTED_VALUE"""),"Public Center")</f>
        <v>Public Center</v>
      </c>
    </row>
    <row r="2268" hidden="1">
      <c r="A2268" s="6" t="str">
        <f>IFERROR(__xludf.DUMMYFUNCTION("""COMPUTED_VALUE"""),"infini")</f>
        <v>infini</v>
      </c>
      <c r="B2268" s="6" t="str">
        <f>IFERROR(__xludf.DUMMYFUNCTION("""COMPUTED_VALUE"""),"España")</f>
        <v>España</v>
      </c>
      <c r="C2268" s="6" t="str">
        <f>IFERROR(__xludf.DUMMYFUNCTION("""COMPUTED_VALUE"""),"Software Factory / Staffing")</f>
        <v>Software Factory / Staffing</v>
      </c>
    </row>
    <row r="2269" hidden="1">
      <c r="A2269" s="6" t="str">
        <f>IFERROR(__xludf.DUMMYFUNCTION("""COMPUTED_VALUE"""),"datamark")</f>
        <v>datamark</v>
      </c>
      <c r="B2269" s="6" t="str">
        <f>IFERROR(__xludf.DUMMYFUNCTION("""COMPUTED_VALUE"""),"Estados Unidos")</f>
        <v>Estados Unidos</v>
      </c>
      <c r="C2269" s="6" t="str">
        <f>IFERROR(__xludf.DUMMYFUNCTION("""COMPUTED_VALUE"""),"Other")</f>
        <v>Other</v>
      </c>
    </row>
    <row r="2270" hidden="1">
      <c r="A2270" s="6" t="str">
        <f>IFERROR(__xludf.DUMMYFUNCTION("""COMPUTED_VALUE"""),"super web pros")</f>
        <v>super web pros</v>
      </c>
      <c r="B2270" s="6" t="str">
        <f>IFERROR(__xludf.DUMMYFUNCTION("""COMPUTED_VALUE"""),"Estados Unidos")</f>
        <v>Estados Unidos</v>
      </c>
      <c r="C2270" s="6" t="str">
        <f>IFERROR(__xludf.DUMMYFUNCTION("""COMPUTED_VALUE"""),"Other")</f>
        <v>Other</v>
      </c>
    </row>
    <row r="2271" hidden="1">
      <c r="A2271" s="6" t="str">
        <f>IFERROR(__xludf.DUMMYFUNCTION("""COMPUTED_VALUE"""),"ant automation")</f>
        <v>ant automation</v>
      </c>
      <c r="B2271" s="6" t="str">
        <f>IFERROR(__xludf.DUMMYFUNCTION("""COMPUTED_VALUE"""),"Estados Unidos")</f>
        <v>Estados Unidos</v>
      </c>
      <c r="C2271" s="6" t="str">
        <f>IFERROR(__xludf.DUMMYFUNCTION("""COMPUTED_VALUE"""),"Software Factory / Staffing")</f>
        <v>Software Factory / Staffing</v>
      </c>
    </row>
    <row r="2272" hidden="1">
      <c r="A2272" s="6" t="str">
        <f>IFERROR(__xludf.DUMMYFUNCTION("""COMPUTED_VALUE"""),"avature")</f>
        <v>avature</v>
      </c>
      <c r="B2272" s="6" t="str">
        <f>IFERROR(__xludf.DUMMYFUNCTION("""COMPUTED_VALUE"""),"Estados Unidos")</f>
        <v>Estados Unidos</v>
      </c>
      <c r="C2272" s="6" t="str">
        <f>IFERROR(__xludf.DUMMYFUNCTION("""COMPUTED_VALUE"""),"Software Factory / Staffing")</f>
        <v>Software Factory / Staffing</v>
      </c>
    </row>
    <row r="2273" hidden="1">
      <c r="A2273" s="6" t="str">
        <f>IFERROR(__xludf.DUMMYFUNCTION("""COMPUTED_VALUE"""),"kalungi")</f>
        <v>kalungi</v>
      </c>
      <c r="B2273" s="6" t="str">
        <f>IFERROR(__xludf.DUMMYFUNCTION("""COMPUTED_VALUE"""),"Estados Unidos")</f>
        <v>Estados Unidos</v>
      </c>
      <c r="C2273" s="6" t="str">
        <f>IFERROR(__xludf.DUMMYFUNCTION("""COMPUTED_VALUE"""),"Marketing &amp; Advertising")</f>
        <v>Marketing &amp; Advertising</v>
      </c>
    </row>
    <row r="2274" hidden="1">
      <c r="A2274" s="6" t="str">
        <f>IFERROR(__xludf.DUMMYFUNCTION("""COMPUTED_VALUE"""),"aoki tech")</f>
        <v>aoki tech</v>
      </c>
      <c r="B2274" s="6" t="str">
        <f>IFERROR(__xludf.DUMMYFUNCTION("""COMPUTED_VALUE"""),"Argentina")</f>
        <v>Argentina</v>
      </c>
      <c r="C2274" s="6" t="str">
        <f>IFERROR(__xludf.DUMMYFUNCTION("""COMPUTED_VALUE"""),"Software Factory / Staffing")</f>
        <v>Software Factory / Staffing</v>
      </c>
    </row>
    <row r="2275" hidden="1">
      <c r="A2275" s="6" t="str">
        <f>IFERROR(__xludf.DUMMYFUNCTION("""COMPUTED_VALUE"""),"crunch dna, inc")</f>
        <v>crunch dna, inc</v>
      </c>
      <c r="B2275" s="4"/>
      <c r="C2275" s="4"/>
    </row>
    <row r="2276" hidden="1">
      <c r="A2276" s="6" t="str">
        <f>IFERROR(__xludf.DUMMYFUNCTION("""COMPUTED_VALUE"""),"devsafio")</f>
        <v>devsafio</v>
      </c>
      <c r="B2276" s="4"/>
      <c r="C2276" s="4"/>
    </row>
    <row r="2277" hidden="1">
      <c r="A2277" s="6" t="str">
        <f>IFERROR(__xludf.DUMMYFUNCTION("""COMPUTED_VALUE"""),"simpliroute")</f>
        <v>simpliroute</v>
      </c>
      <c r="B2277" s="6" t="str">
        <f>IFERROR(__xludf.DUMMYFUNCTION("""COMPUTED_VALUE"""),"Chile")</f>
        <v>Chile</v>
      </c>
      <c r="C2277" s="6" t="str">
        <f>IFERROR(__xludf.DUMMYFUNCTION("""COMPUTED_VALUE"""),"Software Factory / Staffing")</f>
        <v>Software Factory / Staffing</v>
      </c>
    </row>
    <row r="2278" hidden="1">
      <c r="A2278" s="6" t="str">
        <f>IFERROR(__xludf.DUMMYFUNCTION("""COMPUTED_VALUE"""),"soluciones del litoral")</f>
        <v>soluciones del litoral</v>
      </c>
      <c r="B2278" s="6" t="str">
        <f>IFERROR(__xludf.DUMMYFUNCTION("""COMPUTED_VALUE"""),"Argentina")</f>
        <v>Argentina</v>
      </c>
      <c r="C2278" s="6" t="str">
        <f>IFERROR(__xludf.DUMMYFUNCTION("""COMPUTED_VALUE"""),"Software Factory / Staffing")</f>
        <v>Software Factory / Staffing</v>
      </c>
    </row>
    <row r="2279" hidden="1">
      <c r="A2279" s="6" t="str">
        <f>IFERROR(__xludf.DUMMYFUNCTION("""COMPUTED_VALUE"""),"newsan")</f>
        <v>newsan</v>
      </c>
      <c r="B2279" s="6" t="str">
        <f>IFERROR(__xludf.DUMMYFUNCTION("""COMPUTED_VALUE"""),"Argentina")</f>
        <v>Argentina</v>
      </c>
      <c r="C2279" s="6" t="str">
        <f>IFERROR(__xludf.DUMMYFUNCTION("""COMPUTED_VALUE"""),"PropTech / Real State")</f>
        <v>PropTech / Real State</v>
      </c>
    </row>
    <row r="2280" hidden="1">
      <c r="A2280" s="6" t="str">
        <f>IFERROR(__xludf.DUMMYFUNCTION("""COMPUTED_VALUE"""),"zion transaccional")</f>
        <v>zion transaccional</v>
      </c>
      <c r="B2280" s="6" t="str">
        <f>IFERROR(__xludf.DUMMYFUNCTION("""COMPUTED_VALUE"""),"Mexico")</f>
        <v>Mexico</v>
      </c>
      <c r="C2280" s="6" t="str">
        <f>IFERROR(__xludf.DUMMYFUNCTION("""COMPUTED_VALUE"""),"Other")</f>
        <v>Other</v>
      </c>
    </row>
    <row r="2281" hidden="1">
      <c r="A2281" s="6" t="str">
        <f>IFERROR(__xludf.DUMMYFUNCTION("""COMPUTED_VALUE"""),"hablax inc")</f>
        <v>hablax inc</v>
      </c>
      <c r="B2281" s="6" t="str">
        <f>IFERROR(__xludf.DUMMYFUNCTION("""COMPUTED_VALUE"""),"Estados Unidos")</f>
        <v>Estados Unidos</v>
      </c>
      <c r="C2281" s="6" t="str">
        <f>IFERROR(__xludf.DUMMYFUNCTION("""COMPUTED_VALUE"""),"Messaging and Telecommunications")</f>
        <v>Messaging and Telecommunications</v>
      </c>
    </row>
    <row r="2282" hidden="1">
      <c r="A2282" s="6" t="str">
        <f>IFERROR(__xludf.DUMMYFUNCTION("""COMPUTED_VALUE"""),"reply latam")</f>
        <v>reply latam</v>
      </c>
      <c r="B2282" s="6" t="str">
        <f>IFERROR(__xludf.DUMMYFUNCTION("""COMPUTED_VALUE"""),"Argentina")</f>
        <v>Argentina</v>
      </c>
      <c r="C2282" s="6" t="str">
        <f>IFERROR(__xludf.DUMMYFUNCTION("""COMPUTED_VALUE"""),"Management Consulting")</f>
        <v>Management Consulting</v>
      </c>
    </row>
    <row r="2283" hidden="1">
      <c r="A2283" s="6" t="str">
        <f>IFERROR(__xludf.DUMMYFUNCTION("""COMPUTED_VALUE"""),"unilink")</f>
        <v>unilink</v>
      </c>
      <c r="B2283" s="6" t="str">
        <f>IFERROR(__xludf.DUMMYFUNCTION("""COMPUTED_VALUE"""),"Estados Unidos")</f>
        <v>Estados Unidos</v>
      </c>
      <c r="C2283" s="6" t="str">
        <f>IFERROR(__xludf.DUMMYFUNCTION("""COMPUTED_VALUE"""),"Software Factory / Staffing")</f>
        <v>Software Factory / Staffing</v>
      </c>
    </row>
    <row r="2284" hidden="1">
      <c r="A2284" s="6" t="str">
        <f>IFERROR(__xludf.DUMMYFUNCTION("""COMPUTED_VALUE"""),"giglon")</f>
        <v>giglon</v>
      </c>
      <c r="B2284" s="6" t="str">
        <f>IFERROR(__xludf.DUMMYFUNCTION("""COMPUTED_VALUE"""),"España")</f>
        <v>España</v>
      </c>
      <c r="C2284" s="6" t="str">
        <f>IFERROR(__xludf.DUMMYFUNCTION("""COMPUTED_VALUE"""),"Other")</f>
        <v>Other</v>
      </c>
    </row>
    <row r="2285" hidden="1">
      <c r="A2285" s="6" t="str">
        <f>IFERROR(__xludf.DUMMYFUNCTION("""COMPUTED_VALUE"""),"kimobill")</f>
        <v>kimobill</v>
      </c>
      <c r="B2285" s="6" t="str">
        <f>IFERROR(__xludf.DUMMYFUNCTION("""COMPUTED_VALUE"""),"Ecuador")</f>
        <v>Ecuador</v>
      </c>
      <c r="C2285" s="6" t="str">
        <f>IFERROR(__xludf.DUMMYFUNCTION("""COMPUTED_VALUE"""),"Banking &amp; Financial Servicies")</f>
        <v>Banking &amp; Financial Servicies</v>
      </c>
    </row>
    <row r="2286" hidden="1">
      <c r="A2286" s="6" t="str">
        <f>IFERROR(__xludf.DUMMYFUNCTION("""COMPUTED_VALUE"""),"hoooman studio")</f>
        <v>hoooman studio</v>
      </c>
      <c r="B2286" s="6" t="str">
        <f>IFERROR(__xludf.DUMMYFUNCTION("""COMPUTED_VALUE"""),"Canadá")</f>
        <v>Canadá</v>
      </c>
      <c r="C2286" s="6" t="str">
        <f>IFERROR(__xludf.DUMMYFUNCTION("""COMPUTED_VALUE"""),"Other")</f>
        <v>Other</v>
      </c>
    </row>
    <row r="2287" hidden="1">
      <c r="A2287" s="6" t="str">
        <f>IFERROR(__xludf.DUMMYFUNCTION("""COMPUTED_VALUE"""),"bit solution group llc")</f>
        <v>bit solution group llc</v>
      </c>
      <c r="B2287" s="6" t="str">
        <f>IFERROR(__xludf.DUMMYFUNCTION("""COMPUTED_VALUE"""),"Estados Unidos")</f>
        <v>Estados Unidos</v>
      </c>
      <c r="C2287" s="6" t="str">
        <f>IFERROR(__xludf.DUMMYFUNCTION("""COMPUTED_VALUE"""),"Software Factory / Staffing")</f>
        <v>Software Factory / Staffing</v>
      </c>
    </row>
    <row r="2288" hidden="1">
      <c r="A2288" s="6" t="str">
        <f>IFERROR(__xludf.DUMMYFUNCTION("""COMPUTED_VALUE"""),"global assist group")</f>
        <v>global assist group</v>
      </c>
      <c r="B2288" s="6" t="str">
        <f>IFERROR(__xludf.DUMMYFUNCTION("""COMPUTED_VALUE"""),"Argentina")</f>
        <v>Argentina</v>
      </c>
      <c r="C2288" s="6" t="str">
        <f>IFERROR(__xludf.DUMMYFUNCTION("""COMPUTED_VALUE"""),"Messaging and Telecommunications")</f>
        <v>Messaging and Telecommunications</v>
      </c>
    </row>
    <row r="2289" hidden="1">
      <c r="A2289" s="6" t="str">
        <f>IFERROR(__xludf.DUMMYFUNCTION("""COMPUTED_VALUE"""),"consejo de educación de entre ríos")</f>
        <v>consejo de educación de entre ríos</v>
      </c>
      <c r="B2289" s="6" t="str">
        <f>IFERROR(__xludf.DUMMYFUNCTION("""COMPUTED_VALUE"""),"Argentina")</f>
        <v>Argentina</v>
      </c>
      <c r="C2289" s="6" t="str">
        <f>IFERROR(__xludf.DUMMYFUNCTION("""COMPUTED_VALUE"""),"Public Center")</f>
        <v>Public Center</v>
      </c>
    </row>
    <row r="2290" hidden="1">
      <c r="A2290" s="6" t="str">
        <f>IFERROR(__xludf.DUMMYFUNCTION("""COMPUTED_VALUE"""),"fidu")</f>
        <v>fidu</v>
      </c>
      <c r="B2290" s="6" t="str">
        <f>IFERROR(__xludf.DUMMYFUNCTION("""COMPUTED_VALUE"""),"Argentina")</f>
        <v>Argentina</v>
      </c>
      <c r="C2290" s="6" t="str">
        <f>IFERROR(__xludf.DUMMYFUNCTION("""COMPUTED_VALUE"""),"Education &amp; Edtech")</f>
        <v>Education &amp; Edtech</v>
      </c>
    </row>
    <row r="2291" hidden="1">
      <c r="A2291" s="6" t="str">
        <f>IFERROR(__xludf.DUMMYFUNCTION("""COMPUTED_VALUE"""),"devsafío")</f>
        <v>devsafío</v>
      </c>
      <c r="B2291" s="4"/>
      <c r="C2291" s="4"/>
    </row>
    <row r="2292" hidden="1">
      <c r="A2292" s="6" t="str">
        <f>IFERROR(__xludf.DUMMYFUNCTION("""COMPUTED_VALUE"""),"jll")</f>
        <v>jll</v>
      </c>
      <c r="B2292" s="6" t="str">
        <f>IFERROR(__xludf.DUMMYFUNCTION("""COMPUTED_VALUE"""),"Estados Unidos")</f>
        <v>Estados Unidos</v>
      </c>
      <c r="C2292" s="6" t="str">
        <f>IFERROR(__xludf.DUMMYFUNCTION("""COMPUTED_VALUE"""),"PropTech / Real State")</f>
        <v>PropTech / Real State</v>
      </c>
    </row>
    <row r="2293" hidden="1">
      <c r="A2293" s="6" t="str">
        <f>IFERROR(__xludf.DUMMYFUNCTION("""COMPUTED_VALUE"""),"team international")</f>
        <v>team international</v>
      </c>
      <c r="B2293" s="6" t="str">
        <f>IFERROR(__xludf.DUMMYFUNCTION("""COMPUTED_VALUE"""),"Estados Unidos")</f>
        <v>Estados Unidos</v>
      </c>
      <c r="C2293" s="6" t="str">
        <f>IFERROR(__xludf.DUMMYFUNCTION("""COMPUTED_VALUE"""),"Software Factory / Staffing")</f>
        <v>Software Factory / Staffing</v>
      </c>
    </row>
    <row r="2294" hidden="1">
      <c r="A2294" s="6" t="str">
        <f>IFERROR(__xludf.DUMMYFUNCTION("""COMPUTED_VALUE"""),"growker")</f>
        <v>growker</v>
      </c>
      <c r="B2294" s="6" t="str">
        <f>IFERROR(__xludf.DUMMYFUNCTION("""COMPUTED_VALUE"""),"Estados Unidos")</f>
        <v>Estados Unidos</v>
      </c>
      <c r="C2294" s="6" t="str">
        <f>IFERROR(__xludf.DUMMYFUNCTION("""COMPUTED_VALUE"""),"Software Factory / Staffing")</f>
        <v>Software Factory / Staffing</v>
      </c>
    </row>
    <row r="2295" hidden="1">
      <c r="A2295" s="6" t="str">
        <f>IFERROR(__xludf.DUMMYFUNCTION("""COMPUTED_VALUE"""),"cml exports")</f>
        <v>cml exports</v>
      </c>
      <c r="B2295" s="6" t="str">
        <f>IFERROR(__xludf.DUMMYFUNCTION("""COMPUTED_VALUE"""),"Estados Unidos")</f>
        <v>Estados Unidos</v>
      </c>
      <c r="C2295" s="6" t="str">
        <f>IFERROR(__xludf.DUMMYFUNCTION("""COMPUTED_VALUE"""),"Logistics")</f>
        <v>Logistics</v>
      </c>
    </row>
    <row r="2296" hidden="1">
      <c r="A2296" s="6" t="str">
        <f>IFERROR(__xludf.DUMMYFUNCTION("""COMPUTED_VALUE"""),"it sales")</f>
        <v>it sales</v>
      </c>
      <c r="B2296" s="4"/>
      <c r="C2296" s="6" t="str">
        <f>IFERROR(__xludf.DUMMYFUNCTION("""COMPUTED_VALUE"""),"Software Factory / Staffing")</f>
        <v>Software Factory / Staffing</v>
      </c>
    </row>
    <row r="2297" hidden="1">
      <c r="A2297" s="6" t="str">
        <f>IFERROR(__xludf.DUMMYFUNCTION("""COMPUTED_VALUE"""),"cereza soft")</f>
        <v>cereza soft</v>
      </c>
      <c r="B2297" s="6" t="str">
        <f>IFERROR(__xludf.DUMMYFUNCTION("""COMPUTED_VALUE"""),"Ecuador")</f>
        <v>Ecuador</v>
      </c>
      <c r="C2297" s="6" t="str">
        <f>IFERROR(__xludf.DUMMYFUNCTION("""COMPUTED_VALUE"""),"Cibersecurity")</f>
        <v>Cibersecurity</v>
      </c>
    </row>
    <row r="2298" hidden="1">
      <c r="A2298" s="6" t="str">
        <f>IFERROR(__xludf.DUMMYFUNCTION("""COMPUTED_VALUE"""),"s1 gateway")</f>
        <v>s1 gateway</v>
      </c>
      <c r="B2298" s="6" t="str">
        <f>IFERROR(__xludf.DUMMYFUNCTION("""COMPUTED_VALUE"""),"Argentina")</f>
        <v>Argentina</v>
      </c>
      <c r="C2298" s="6" t="str">
        <f>IFERROR(__xludf.DUMMYFUNCTION("""COMPUTED_VALUE"""),"Software Factory / Staffing")</f>
        <v>Software Factory / Staffing</v>
      </c>
    </row>
    <row r="2299" hidden="1">
      <c r="A2299" s="6" t="str">
        <f>IFERROR(__xludf.DUMMYFUNCTION("""COMPUTED_VALUE"""),"interlude")</f>
        <v>interlude</v>
      </c>
      <c r="B2299" s="6" t="str">
        <f>IFERROR(__xludf.DUMMYFUNCTION("""COMPUTED_VALUE"""),"Francia")</f>
        <v>Francia</v>
      </c>
      <c r="C2299" s="6" t="str">
        <f>IFERROR(__xludf.DUMMYFUNCTION("""COMPUTED_VALUE"""),"Gaming")</f>
        <v>Gaming</v>
      </c>
    </row>
    <row r="2300" hidden="1">
      <c r="A2300" s="6" t="str">
        <f>IFERROR(__xludf.DUMMYFUNCTION("""COMPUTED_VALUE"""),"anticancer360")</f>
        <v>anticancer360</v>
      </c>
      <c r="B2300" s="6" t="str">
        <f>IFERROR(__xludf.DUMMYFUNCTION("""COMPUTED_VALUE"""),"Estados Unidos")</f>
        <v>Estados Unidos</v>
      </c>
      <c r="C2300" s="6" t="str">
        <f>IFERROR(__xludf.DUMMYFUNCTION("""COMPUTED_VALUE"""),"Health")</f>
        <v>Health</v>
      </c>
    </row>
    <row r="2301" hidden="1">
      <c r="A2301" s="6" t="str">
        <f>IFERROR(__xludf.DUMMYFUNCTION("""COMPUTED_VALUE"""),"deepskill")</f>
        <v>deepskill</v>
      </c>
      <c r="B2301" s="6" t="str">
        <f>IFERROR(__xludf.DUMMYFUNCTION("""COMPUTED_VALUE"""),"Estados Unidos")</f>
        <v>Estados Unidos</v>
      </c>
      <c r="C2301" s="6" t="str">
        <f>IFERROR(__xludf.DUMMYFUNCTION("""COMPUTED_VALUE"""),"Education &amp; Edtech")</f>
        <v>Education &amp; Edtech</v>
      </c>
    </row>
    <row r="2302" hidden="1">
      <c r="A2302" s="6" t="str">
        <f>IFERROR(__xludf.DUMMYFUNCTION("""COMPUTED_VALUE"""),"amazon")</f>
        <v>amazon</v>
      </c>
      <c r="B2302" s="6" t="str">
        <f>IFERROR(__xludf.DUMMYFUNCTION("""COMPUTED_VALUE"""),"Estados Unidos")</f>
        <v>Estados Unidos</v>
      </c>
      <c r="C2302" s="6" t="str">
        <f>IFERROR(__xludf.DUMMYFUNCTION("""COMPUTED_VALUE"""),"E-commerce")</f>
        <v>E-commerce</v>
      </c>
    </row>
    <row r="2303" hidden="1">
      <c r="A2303" s="6" t="str">
        <f>IFERROR(__xludf.DUMMYFUNCTION("""COMPUTED_VALUE"""),"opcion")</f>
        <v>opcion</v>
      </c>
      <c r="B2303" s="4"/>
      <c r="C2303" s="4"/>
    </row>
    <row r="2304" hidden="1">
      <c r="A2304" s="6" t="str">
        <f>IFERROR(__xludf.DUMMYFUNCTION("""COMPUTED_VALUE"""),"sanatorio general sarmiento")</f>
        <v>sanatorio general sarmiento</v>
      </c>
      <c r="B2304" s="6" t="str">
        <f>IFERROR(__xludf.DUMMYFUNCTION("""COMPUTED_VALUE"""),"Argentina")</f>
        <v>Argentina</v>
      </c>
      <c r="C2304" s="6" t="str">
        <f>IFERROR(__xludf.DUMMYFUNCTION("""COMPUTED_VALUE"""),"Public Center")</f>
        <v>Public Center</v>
      </c>
    </row>
    <row r="2305" hidden="1">
      <c r="A2305" s="6" t="str">
        <f>IFERROR(__xludf.DUMMYFUNCTION("""COMPUTED_VALUE"""),"tandem digital")</f>
        <v>tandem digital</v>
      </c>
      <c r="B2305" s="6" t="str">
        <f>IFERROR(__xludf.DUMMYFUNCTION("""COMPUTED_VALUE"""),"Argentina")</f>
        <v>Argentina</v>
      </c>
      <c r="C2305" s="6" t="str">
        <f>IFERROR(__xludf.DUMMYFUNCTION("""COMPUTED_VALUE"""),"Software Factory / Staffing")</f>
        <v>Software Factory / Staffing</v>
      </c>
    </row>
    <row r="2306" hidden="1">
      <c r="A2306" s="6" t="str">
        <f>IFERROR(__xludf.DUMMYFUNCTION("""COMPUTED_VALUE"""),"educacion")</f>
        <v>educacion</v>
      </c>
      <c r="B2306" s="6" t="str">
        <f>IFERROR(__xludf.DUMMYFUNCTION("""COMPUTED_VALUE"""),"España")</f>
        <v>España</v>
      </c>
      <c r="C2306" s="6" t="str">
        <f>IFERROR(__xludf.DUMMYFUNCTION("""COMPUTED_VALUE"""),"Media &amp; Communication")</f>
        <v>Media &amp; Communication</v>
      </c>
    </row>
    <row r="2307" hidden="1">
      <c r="A2307" s="6" t="str">
        <f>IFERROR(__xludf.DUMMYFUNCTION("""COMPUTED_VALUE"""),"ministerio de hacienda de la provincia de san luis")</f>
        <v>ministerio de hacienda de la provincia de san luis</v>
      </c>
      <c r="B2307" s="6" t="str">
        <f>IFERROR(__xludf.DUMMYFUNCTION("""COMPUTED_VALUE"""),"Argentina")</f>
        <v>Argentina</v>
      </c>
      <c r="C2307" s="6" t="str">
        <f>IFERROR(__xludf.DUMMYFUNCTION("""COMPUTED_VALUE"""),"Public Center")</f>
        <v>Public Center</v>
      </c>
    </row>
    <row r="2308" hidden="1">
      <c r="A2308" s="6" t="str">
        <f>IFERROR(__xludf.DUMMYFUNCTION("""COMPUTED_VALUE"""),"universidad nacional de cuyo")</f>
        <v>universidad nacional de cuyo</v>
      </c>
      <c r="B2308" s="6" t="str">
        <f>IFERROR(__xludf.DUMMYFUNCTION("""COMPUTED_VALUE"""),"Argentina")</f>
        <v>Argentina</v>
      </c>
      <c r="C2308" s="6" t="str">
        <f>IFERROR(__xludf.DUMMYFUNCTION("""COMPUTED_VALUE"""),"Education &amp; Edtech")</f>
        <v>Education &amp; Edtech</v>
      </c>
    </row>
    <row r="2309" hidden="1">
      <c r="A2309" s="6" t="str">
        <f>IFERROR(__xludf.DUMMYFUNCTION("""COMPUTED_VALUE"""),"kuna")</f>
        <v>kuna</v>
      </c>
      <c r="B2309" s="4"/>
      <c r="C2309" s="6" t="str">
        <f>IFERROR(__xludf.DUMMYFUNCTION("""COMPUTED_VALUE"""),"Banking &amp; Financial Servicies")</f>
        <v>Banking &amp; Financial Servicies</v>
      </c>
    </row>
    <row r="2310" hidden="1">
      <c r="A2310" s="6" t="str">
        <f>IFERROR(__xludf.DUMMYFUNCTION("""COMPUTED_VALUE"""),"nub7/8")</f>
        <v>nub7/8</v>
      </c>
      <c r="B2310" s="6" t="str">
        <f>IFERROR(__xludf.DUMMYFUNCTION("""COMPUTED_VALUE"""),"Colombia")</f>
        <v>Colombia</v>
      </c>
      <c r="C2310" s="6" t="str">
        <f>IFERROR(__xludf.DUMMYFUNCTION("""COMPUTED_VALUE"""),"Management Consulting")</f>
        <v>Management Consulting</v>
      </c>
    </row>
    <row r="2311">
      <c r="A2311" s="6" t="str">
        <f>IFERROR(__xludf.DUMMYFUNCTION("""COMPUTED_VALUE"""),"vaale")</f>
        <v>vaale</v>
      </c>
      <c r="B2311" s="6" t="str">
        <f>IFERROR(__xludf.DUMMYFUNCTION("""COMPUTED_VALUE"""),"Colombia")</f>
        <v>Colombia</v>
      </c>
      <c r="C2311" s="6" t="str">
        <f>IFERROR(__xludf.DUMMYFUNCTION("""COMPUTED_VALUE"""),"Fintech")</f>
        <v>Fintech</v>
      </c>
    </row>
    <row r="2312" hidden="1">
      <c r="A2312" s="6" t="str">
        <f>IFERROR(__xludf.DUMMYFUNCTION("""COMPUTED_VALUE"""),"grupo empresarial de emprendimiento social sas")</f>
        <v>grupo empresarial de emprendimiento social sas</v>
      </c>
      <c r="B2312" s="6" t="str">
        <f>IFERROR(__xludf.DUMMYFUNCTION("""COMPUTED_VALUE"""),"Colombia")</f>
        <v>Colombia</v>
      </c>
      <c r="C2312" s="6" t="str">
        <f>IFERROR(__xludf.DUMMYFUNCTION("""COMPUTED_VALUE"""),"Management Consulting")</f>
        <v>Management Consulting</v>
      </c>
    </row>
    <row r="2313">
      <c r="A2313" s="6" t="str">
        <f>IFERROR(__xludf.DUMMYFUNCTION("""COMPUTED_VALUE"""),"tribunal de cuentas de mendoza")</f>
        <v>tribunal de cuentas de mendoza</v>
      </c>
      <c r="B2313" s="6" t="str">
        <f>IFERROR(__xludf.DUMMYFUNCTION("""COMPUTED_VALUE"""),"Argentina")</f>
        <v>Argentina</v>
      </c>
      <c r="C2313" s="6" t="str">
        <f>IFERROR(__xludf.DUMMYFUNCTION("""COMPUTED_VALUE"""),"Public Center")</f>
        <v>Public Center</v>
      </c>
    </row>
    <row r="2314" hidden="1">
      <c r="A2314" s="6" t="str">
        <f>IFERROR(__xludf.DUMMYFUNCTION("""COMPUTED_VALUE"""),"accedo")</f>
        <v>accedo</v>
      </c>
      <c r="B2314" s="6" t="str">
        <f>IFERROR(__xludf.DUMMYFUNCTION("""COMPUTED_VALUE"""),"Nicaragua")</f>
        <v>Nicaragua</v>
      </c>
      <c r="C2314" s="6" t="str">
        <f>IFERROR(__xludf.DUMMYFUNCTION("""COMPUTED_VALUE"""),"Other")</f>
        <v>Other</v>
      </c>
    </row>
    <row r="2315" hidden="1">
      <c r="A2315" s="6" t="str">
        <f>IFERROR(__xludf.DUMMYFUNCTION("""COMPUTED_VALUE"""),"tidelit")</f>
        <v>tidelit</v>
      </c>
      <c r="B2315" s="6" t="str">
        <f>IFERROR(__xludf.DUMMYFUNCTION("""COMPUTED_VALUE"""),"Colombia")</f>
        <v>Colombia</v>
      </c>
      <c r="C2315" s="6" t="str">
        <f>IFERROR(__xludf.DUMMYFUNCTION("""COMPUTED_VALUE"""),"Other")</f>
        <v>Other</v>
      </c>
    </row>
    <row r="2316" hidden="1">
      <c r="A2316" s="6" t="str">
        <f>IFERROR(__xludf.DUMMYFUNCTION("""COMPUTED_VALUE"""),"colsof")</f>
        <v>colsof</v>
      </c>
      <c r="B2316" s="6" t="str">
        <f>IFERROR(__xludf.DUMMYFUNCTION("""COMPUTED_VALUE"""),"Colombia")</f>
        <v>Colombia</v>
      </c>
      <c r="C2316" s="6" t="str">
        <f>IFERROR(__xludf.DUMMYFUNCTION("""COMPUTED_VALUE"""),"Software Factory / Staffing")</f>
        <v>Software Factory / Staffing</v>
      </c>
    </row>
    <row r="2317" hidden="1">
      <c r="A2317" s="6" t="str">
        <f>IFERROR(__xludf.DUMMYFUNCTION("""COMPUTED_VALUE"""),"frecom srl")</f>
        <v>frecom srl</v>
      </c>
      <c r="B2317" s="6" t="str">
        <f>IFERROR(__xludf.DUMMYFUNCTION("""COMPUTED_VALUE"""),"Argentina")</f>
        <v>Argentina</v>
      </c>
      <c r="C2317" s="6" t="str">
        <f>IFERROR(__xludf.DUMMYFUNCTION("""COMPUTED_VALUE"""),"Other")</f>
        <v>Other</v>
      </c>
    </row>
    <row r="2318" hidden="1">
      <c r="A2318" s="6" t="str">
        <f>IFERROR(__xludf.DUMMYFUNCTION("""COMPUTED_VALUE"""),"grupo moura")</f>
        <v>grupo moura</v>
      </c>
      <c r="B2318" s="6" t="str">
        <f>IFERROR(__xludf.DUMMYFUNCTION("""COMPUTED_VALUE"""),"Brasil")</f>
        <v>Brasil</v>
      </c>
      <c r="C2318" s="6" t="str">
        <f>IFERROR(__xludf.DUMMYFUNCTION("""COMPUTED_VALUE"""),"Mechanical/Industrial Engineering")</f>
        <v>Mechanical/Industrial Engineering</v>
      </c>
    </row>
    <row r="2319" hidden="1">
      <c r="A2319" s="6" t="str">
        <f>IFERROR(__xludf.DUMMYFUNCTION("""COMPUTED_VALUE"""),"milio")</f>
        <v>milio</v>
      </c>
      <c r="B2319" s="4"/>
      <c r="C2319" s="6" t="str">
        <f>IFERROR(__xludf.DUMMYFUNCTION("""COMPUTED_VALUE"""),"E-commerce")</f>
        <v>E-commerce</v>
      </c>
    </row>
    <row r="2320" hidden="1">
      <c r="A2320" s="6" t="str">
        <f>IFERROR(__xludf.DUMMYFUNCTION("""COMPUTED_VALUE"""),"koochapps")</f>
        <v>koochapps</v>
      </c>
      <c r="B2320" s="6" t="str">
        <f>IFERROR(__xludf.DUMMYFUNCTION("""COMPUTED_VALUE"""),"España")</f>
        <v>España</v>
      </c>
      <c r="C2320" s="6" t="str">
        <f>IFERROR(__xludf.DUMMYFUNCTION("""COMPUTED_VALUE"""),"Software Factory / Staffing")</f>
        <v>Software Factory / Staffing</v>
      </c>
    </row>
    <row r="2321" hidden="1">
      <c r="A2321" s="6" t="str">
        <f>IFERROR(__xludf.DUMMYFUNCTION("""COMPUTED_VALUE"""),"coupa")</f>
        <v>coupa</v>
      </c>
      <c r="B2321" s="6" t="str">
        <f>IFERROR(__xludf.DUMMYFUNCTION("""COMPUTED_VALUE"""),"Estados Unidos")</f>
        <v>Estados Unidos</v>
      </c>
      <c r="C2321" s="6" t="str">
        <f>IFERROR(__xludf.DUMMYFUNCTION("""COMPUTED_VALUE"""),"Software Factory / Staffing")</f>
        <v>Software Factory / Staffing</v>
      </c>
    </row>
    <row r="2322" hidden="1">
      <c r="A2322" s="6" t="str">
        <f>IFERROR(__xludf.DUMMYFUNCTION("""COMPUTED_VALUE"""),"holafly")</f>
        <v>holafly</v>
      </c>
      <c r="B2322" s="6" t="str">
        <f>IFERROR(__xludf.DUMMYFUNCTION("""COMPUTED_VALUE"""),"España")</f>
        <v>España</v>
      </c>
      <c r="C2322" s="6" t="str">
        <f>IFERROR(__xludf.DUMMYFUNCTION("""COMPUTED_VALUE"""),"Other")</f>
        <v>Other</v>
      </c>
    </row>
    <row r="2323" hidden="1">
      <c r="A2323" s="6" t="str">
        <f>IFERROR(__xludf.DUMMYFUNCTION("""COMPUTED_VALUE"""),"brm s.a.s")</f>
        <v>brm s.a.s</v>
      </c>
      <c r="B2323" s="6" t="str">
        <f>IFERROR(__xludf.DUMMYFUNCTION("""COMPUTED_VALUE"""),"Colombia")</f>
        <v>Colombia</v>
      </c>
      <c r="C2323" s="6" t="str">
        <f>IFERROR(__xludf.DUMMYFUNCTION("""COMPUTED_VALUE"""),"Marketing &amp; Advertising")</f>
        <v>Marketing &amp; Advertising</v>
      </c>
    </row>
    <row r="2324" hidden="1">
      <c r="A2324" s="6" t="str">
        <f>IFERROR(__xludf.DUMMYFUNCTION("""COMPUTED_VALUE"""),"bluetab")</f>
        <v>bluetab</v>
      </c>
      <c r="B2324" s="6" t="str">
        <f>IFERROR(__xludf.DUMMYFUNCTION("""COMPUTED_VALUE"""),"España")</f>
        <v>España</v>
      </c>
      <c r="C2324" s="6" t="str">
        <f>IFERROR(__xludf.DUMMYFUNCTION("""COMPUTED_VALUE"""),"Data &amp; Analytics")</f>
        <v>Data &amp; Analytics</v>
      </c>
    </row>
    <row r="2325" hidden="1">
      <c r="A2325" s="6" t="str">
        <f>IFERROR(__xludf.DUMMYFUNCTION("""COMPUTED_VALUE"""),"certa")</f>
        <v>certa</v>
      </c>
      <c r="B2325" s="6" t="str">
        <f>IFERROR(__xludf.DUMMYFUNCTION("""COMPUTED_VALUE"""),"Estados Unidos")</f>
        <v>Estados Unidos</v>
      </c>
      <c r="C2325" s="6" t="str">
        <f>IFERROR(__xludf.DUMMYFUNCTION("""COMPUTED_VALUE"""),"Software Factory / Staffing")</f>
        <v>Software Factory / Staffing</v>
      </c>
    </row>
    <row r="2326" hidden="1">
      <c r="A2326" s="6" t="str">
        <f>IFERROR(__xludf.DUMMYFUNCTION("""COMPUTED_VALUE"""),"joyful labs")</f>
        <v>joyful labs</v>
      </c>
      <c r="B2326" s="6" t="str">
        <f>IFERROR(__xludf.DUMMYFUNCTION("""COMPUTED_VALUE"""),"Colombia")</f>
        <v>Colombia</v>
      </c>
      <c r="C2326" s="6" t="str">
        <f>IFERROR(__xludf.DUMMYFUNCTION("""COMPUTED_VALUE"""),"Software Factory / Staffing")</f>
        <v>Software Factory / Staffing</v>
      </c>
    </row>
    <row r="2327" hidden="1">
      <c r="A2327" s="6" t="str">
        <f>IFERROR(__xludf.DUMMYFUNCTION("""COMPUTED_VALUE"""),"censys s.a.")</f>
        <v>censys s.a.</v>
      </c>
      <c r="B2327" s="6" t="str">
        <f>IFERROR(__xludf.DUMMYFUNCTION("""COMPUTED_VALUE"""),"Argentina")</f>
        <v>Argentina</v>
      </c>
      <c r="C2327" s="6" t="str">
        <f>IFERROR(__xludf.DUMMYFUNCTION("""COMPUTED_VALUE"""),"Management Consulting")</f>
        <v>Management Consulting</v>
      </c>
    </row>
    <row r="2328" hidden="1">
      <c r="A2328" s="6" t="str">
        <f>IFERROR(__xludf.DUMMYFUNCTION("""COMPUTED_VALUE"""),"txool")</f>
        <v>txool</v>
      </c>
      <c r="B2328" s="6" t="str">
        <f>IFERROR(__xludf.DUMMYFUNCTION("""COMPUTED_VALUE"""),"Mexico")</f>
        <v>Mexico</v>
      </c>
      <c r="C2328" s="6" t="str">
        <f>IFERROR(__xludf.DUMMYFUNCTION("""COMPUTED_VALUE"""),"Management Consulting")</f>
        <v>Management Consulting</v>
      </c>
    </row>
    <row r="2329" hidden="1">
      <c r="A2329" s="6" t="str">
        <f>IFERROR(__xludf.DUMMYFUNCTION("""COMPUTED_VALUE"""),"pidgin")</f>
        <v>pidgin</v>
      </c>
      <c r="B2329" s="6" t="str">
        <f>IFERROR(__xludf.DUMMYFUNCTION("""COMPUTED_VALUE"""),"Colombia")</f>
        <v>Colombia</v>
      </c>
      <c r="C2329" s="6" t="str">
        <f>IFERROR(__xludf.DUMMYFUNCTION("""COMPUTED_VALUE"""),"Data &amp; Analytics")</f>
        <v>Data &amp; Analytics</v>
      </c>
    </row>
    <row r="2330" hidden="1">
      <c r="A2330" s="6" t="str">
        <f>IFERROR(__xludf.DUMMYFUNCTION("""COMPUTED_VALUE"""),"repartidor")</f>
        <v>repartidor</v>
      </c>
      <c r="B2330" s="6" t="str">
        <f>IFERROR(__xludf.DUMMYFUNCTION("""COMPUTED_VALUE"""),"España")</f>
        <v>España</v>
      </c>
      <c r="C2330" s="4"/>
    </row>
    <row r="2331" hidden="1">
      <c r="A2331" s="6" t="str">
        <f>IFERROR(__xludf.DUMMYFUNCTION("""COMPUTED_VALUE"""),"argenpesos")</f>
        <v>argenpesos</v>
      </c>
      <c r="B2331" s="6" t="str">
        <f>IFERROR(__xludf.DUMMYFUNCTION("""COMPUTED_VALUE"""),"Argentina")</f>
        <v>Argentina</v>
      </c>
      <c r="C2331" s="6" t="str">
        <f>IFERROR(__xludf.DUMMYFUNCTION("""COMPUTED_VALUE"""),"Banking &amp; Financial Servicies")</f>
        <v>Banking &amp; Financial Servicies</v>
      </c>
    </row>
    <row r="2332" hidden="1">
      <c r="A2332" s="6" t="str">
        <f>IFERROR(__xludf.DUMMYFUNCTION("""COMPUTED_VALUE"""),"surix srl")</f>
        <v>surix srl</v>
      </c>
      <c r="B2332" s="6" t="str">
        <f>IFERROR(__xludf.DUMMYFUNCTION("""COMPUTED_VALUE"""),"Argentina")</f>
        <v>Argentina</v>
      </c>
      <c r="C2332" s="6" t="str">
        <f>IFERROR(__xludf.DUMMYFUNCTION("""COMPUTED_VALUE"""),"Other")</f>
        <v>Other</v>
      </c>
    </row>
    <row r="2333" hidden="1">
      <c r="A2333" s="6" t="str">
        <f>IFERROR(__xludf.DUMMYFUNCTION("""COMPUTED_VALUE"""),"decimetrix")</f>
        <v>decimetrix</v>
      </c>
      <c r="B2333" s="6" t="str">
        <f>IFERROR(__xludf.DUMMYFUNCTION("""COMPUTED_VALUE"""),"Colombia")</f>
        <v>Colombia</v>
      </c>
      <c r="C2333" s="6" t="str">
        <f>IFERROR(__xludf.DUMMYFUNCTION("""COMPUTED_VALUE"""),"Software Factory / Staffing")</f>
        <v>Software Factory / Staffing</v>
      </c>
    </row>
    <row r="2334" hidden="1">
      <c r="A2334" s="6" t="str">
        <f>IFERROR(__xludf.DUMMYFUNCTION("""COMPUTED_VALUE"""),"poder judicial de la nación argentina")</f>
        <v>poder judicial de la nación argentina</v>
      </c>
      <c r="B2334" s="6" t="str">
        <f>IFERROR(__xludf.DUMMYFUNCTION("""COMPUTED_VALUE"""),"Argentina")</f>
        <v>Argentina</v>
      </c>
      <c r="C2334" s="6" t="str">
        <f>IFERROR(__xludf.DUMMYFUNCTION("""COMPUTED_VALUE"""),"Public Center")</f>
        <v>Public Center</v>
      </c>
    </row>
    <row r="2335" hidden="1">
      <c r="A2335" s="6" t="str">
        <f>IFERROR(__xludf.DUMMYFUNCTION("""COMPUTED_VALUE"""),"inducarnes")</f>
        <v>inducarnes</v>
      </c>
      <c r="B2335" s="4"/>
      <c r="C2335" s="4"/>
    </row>
    <row r="2336" hidden="1">
      <c r="A2336" s="6" t="str">
        <f>IFERROR(__xludf.DUMMYFUNCTION("""COMPUTED_VALUE"""),"barrel")</f>
        <v>barrel</v>
      </c>
      <c r="B2336" s="6" t="str">
        <f>IFERROR(__xludf.DUMMYFUNCTION("""COMPUTED_VALUE"""),"Argentina")</f>
        <v>Argentina</v>
      </c>
      <c r="C2336" s="6" t="str">
        <f>IFERROR(__xludf.DUMMYFUNCTION("""COMPUTED_VALUE"""),"Software Factory / Staffing")</f>
        <v>Software Factory / Staffing</v>
      </c>
    </row>
    <row r="2337" hidden="1">
      <c r="A2337" s="6" t="str">
        <f>IFERROR(__xludf.DUMMYFUNCTION("""COMPUTED_VALUE"""),"industria 4")</f>
        <v>industria 4</v>
      </c>
      <c r="B2337" s="6" t="str">
        <f>IFERROR(__xludf.DUMMYFUNCTION("""COMPUTED_VALUE"""),"España")</f>
        <v>España</v>
      </c>
      <c r="C2337" s="6" t="str">
        <f>IFERROR(__xludf.DUMMYFUNCTION("""COMPUTED_VALUE"""),"Mechanical/Industrial Engineering")</f>
        <v>Mechanical/Industrial Engineering</v>
      </c>
    </row>
    <row r="2338" hidden="1">
      <c r="A2338" s="6" t="str">
        <f>IFERROR(__xludf.DUMMYFUNCTION("""COMPUTED_VALUE"""),"thelabit")</f>
        <v>thelabit</v>
      </c>
      <c r="B2338" s="6" t="str">
        <f>IFERROR(__xludf.DUMMYFUNCTION("""COMPUTED_VALUE"""),"Mexico")</f>
        <v>Mexico</v>
      </c>
      <c r="C2338" s="6" t="str">
        <f>IFERROR(__xludf.DUMMYFUNCTION("""COMPUTED_VALUE"""),"Software Factory / Staffing")</f>
        <v>Software Factory / Staffing</v>
      </c>
    </row>
    <row r="2339" hidden="1">
      <c r="A2339" s="6" t="str">
        <f>IFERROR(__xludf.DUMMYFUNCTION("""COMPUTED_VALUE"""),"instituto de ayuda financiera a la acción social")</f>
        <v>instituto de ayuda financiera a la acción social</v>
      </c>
      <c r="B2339" s="4"/>
      <c r="C2339" s="4"/>
    </row>
    <row r="2340" hidden="1">
      <c r="A2340" s="6" t="str">
        <f>IFERROR(__xludf.DUMMYFUNCTION("""COMPUTED_VALUE"""),"grupo boldt")</f>
        <v>grupo boldt</v>
      </c>
      <c r="B2340" s="6" t="str">
        <f>IFERROR(__xludf.DUMMYFUNCTION("""COMPUTED_VALUE"""),"Argentina")</f>
        <v>Argentina</v>
      </c>
      <c r="C2340" s="6" t="str">
        <f>IFERROR(__xludf.DUMMYFUNCTION("""COMPUTED_VALUE"""),"Software Factory / Staffing")</f>
        <v>Software Factory / Staffing</v>
      </c>
    </row>
    <row r="2341" hidden="1">
      <c r="A2341" s="6" t="str">
        <f>IFERROR(__xludf.DUMMYFUNCTION("""COMPUTED_VALUE"""),"publicis groupe")</f>
        <v>publicis groupe</v>
      </c>
      <c r="B2341" s="6" t="str">
        <f>IFERROR(__xludf.DUMMYFUNCTION("""COMPUTED_VALUE"""),"Francia")</f>
        <v>Francia</v>
      </c>
      <c r="C2341" s="6" t="str">
        <f>IFERROR(__xludf.DUMMYFUNCTION("""COMPUTED_VALUE"""),"Marketing &amp; Advertising")</f>
        <v>Marketing &amp; Advertising</v>
      </c>
    </row>
    <row r="2342" hidden="1">
      <c r="A2342" s="6" t="str">
        <f>IFERROR(__xludf.DUMMYFUNCTION("""COMPUTED_VALUE"""),"discover")</f>
        <v>discover</v>
      </c>
      <c r="B2342" s="6" t="str">
        <f>IFERROR(__xludf.DUMMYFUNCTION("""COMPUTED_VALUE"""),"Estados Unidos")</f>
        <v>Estados Unidos</v>
      </c>
      <c r="C2342" s="6" t="str">
        <f>IFERROR(__xludf.DUMMYFUNCTION("""COMPUTED_VALUE"""),"Other")</f>
        <v>Other</v>
      </c>
    </row>
    <row r="2343" hidden="1">
      <c r="A2343" s="6" t="str">
        <f>IFERROR(__xludf.DUMMYFUNCTION("""COMPUTED_VALUE"""),"merza")</f>
        <v>merza</v>
      </c>
      <c r="B2343" s="6" t="str">
        <f>IFERROR(__xludf.DUMMYFUNCTION("""COMPUTED_VALUE"""),"Mexico")</f>
        <v>Mexico</v>
      </c>
      <c r="C2343" s="6" t="str">
        <f>IFERROR(__xludf.DUMMYFUNCTION("""COMPUTED_VALUE"""),"Human Resources")</f>
        <v>Human Resources</v>
      </c>
    </row>
    <row r="2344" hidden="1">
      <c r="A2344" s="6" t="str">
        <f>IFERROR(__xludf.DUMMYFUNCTION("""COMPUTED_VALUE"""),"saxum ingeniería s.a.")</f>
        <v>saxum ingeniería s.a.</v>
      </c>
      <c r="B2344" s="6" t="str">
        <f>IFERROR(__xludf.DUMMYFUNCTION("""COMPUTED_VALUE"""),"Estados Unidos")</f>
        <v>Estados Unidos</v>
      </c>
      <c r="C2344" s="6" t="str">
        <f>IFERROR(__xludf.DUMMYFUNCTION("""COMPUTED_VALUE"""),"Mechanical/Industrial Engineering")</f>
        <v>Mechanical/Industrial Engineering</v>
      </c>
    </row>
    <row r="2345" hidden="1">
      <c r="A2345" s="6" t="str">
        <f>IFERROR(__xludf.DUMMYFUNCTION("""COMPUTED_VALUE"""),"siemens")</f>
        <v>siemens</v>
      </c>
      <c r="B2345" s="6" t="str">
        <f>IFERROR(__xludf.DUMMYFUNCTION("""COMPUTED_VALUE"""),"Alemania")</f>
        <v>Alemania</v>
      </c>
      <c r="C2345" s="6" t="str">
        <f>IFERROR(__xludf.DUMMYFUNCTION("""COMPUTED_VALUE"""),"Artificil Intelligence")</f>
        <v>Artificil Intelligence</v>
      </c>
    </row>
    <row r="2346" hidden="1">
      <c r="A2346" s="6" t="str">
        <f>IFERROR(__xludf.DUMMYFUNCTION("""COMPUTED_VALUE"""),"llyc")</f>
        <v>llyc</v>
      </c>
      <c r="B2346" s="6" t="str">
        <f>IFERROR(__xludf.DUMMYFUNCTION("""COMPUTED_VALUE"""),"España")</f>
        <v>España</v>
      </c>
      <c r="C2346" s="6" t="str">
        <f>IFERROR(__xludf.DUMMYFUNCTION("""COMPUTED_VALUE"""),"Media &amp; Communication")</f>
        <v>Media &amp; Communication</v>
      </c>
    </row>
    <row r="2347" hidden="1">
      <c r="A2347" s="6" t="str">
        <f>IFERROR(__xludf.DUMMYFUNCTION("""COMPUTED_VALUE"""),"altamira technology")</f>
        <v>altamira technology</v>
      </c>
      <c r="B2347" s="6" t="str">
        <f>IFERROR(__xludf.DUMMYFUNCTION("""COMPUTED_VALUE"""),"Peru")</f>
        <v>Peru</v>
      </c>
      <c r="C2347" s="6" t="str">
        <f>IFERROR(__xludf.DUMMYFUNCTION("""COMPUTED_VALUE"""),"Software Factory / Staffing")</f>
        <v>Software Factory / Staffing</v>
      </c>
    </row>
    <row r="2348" hidden="1">
      <c r="A2348" s="6" t="str">
        <f>IFERROR(__xludf.DUMMYFUNCTION("""COMPUTED_VALUE"""),"prosperia")</f>
        <v>prosperia</v>
      </c>
      <c r="B2348" s="6" t="str">
        <f>IFERROR(__xludf.DUMMYFUNCTION("""COMPUTED_VALUE"""),"México")</f>
        <v>México</v>
      </c>
      <c r="C2348" s="6" t="str">
        <f>IFERROR(__xludf.DUMMYFUNCTION("""COMPUTED_VALUE"""),"PropTech / Real State")</f>
        <v>PropTech / Real State</v>
      </c>
    </row>
    <row r="2349" hidden="1">
      <c r="A2349" s="6" t="str">
        <f>IFERROR(__xludf.DUMMYFUNCTION("""COMPUTED_VALUE"""),"lionbridge games")</f>
        <v>lionbridge games</v>
      </c>
      <c r="B2349" s="6" t="str">
        <f>IFERROR(__xludf.DUMMYFUNCTION("""COMPUTED_VALUE"""),"Estados Unidos")</f>
        <v>Estados Unidos</v>
      </c>
      <c r="C2349" s="6" t="str">
        <f>IFERROR(__xludf.DUMMYFUNCTION("""COMPUTED_VALUE"""),"Education &amp; Edtech")</f>
        <v>Education &amp; Edtech</v>
      </c>
    </row>
    <row r="2350" hidden="1">
      <c r="A2350" s="6" t="str">
        <f>IFERROR(__xludf.DUMMYFUNCTION("""COMPUTED_VALUE"""),"curf")</f>
        <v>curf</v>
      </c>
      <c r="B2350" s="4"/>
      <c r="C2350" s="6" t="str">
        <f>IFERROR(__xludf.DUMMYFUNCTION("""COMPUTED_VALUE"""),"Software Factory / Staffing")</f>
        <v>Software Factory / Staffing</v>
      </c>
    </row>
    <row r="2351" hidden="1">
      <c r="A2351" s="6" t="str">
        <f>IFERROR(__xludf.DUMMYFUNCTION("""COMPUTED_VALUE"""),"dma srl")</f>
        <v>dma srl</v>
      </c>
      <c r="B2351" s="6" t="str">
        <f>IFERROR(__xludf.DUMMYFUNCTION("""COMPUTED_VALUE"""),"Argentina")</f>
        <v>Argentina</v>
      </c>
      <c r="C2351" s="6" t="str">
        <f>IFERROR(__xludf.DUMMYFUNCTION("""COMPUTED_VALUE"""),"Other")</f>
        <v>Other</v>
      </c>
    </row>
    <row r="2352" hidden="1">
      <c r="A2352" s="6" t="str">
        <f>IFERROR(__xludf.DUMMYFUNCTION("""COMPUTED_VALUE"""),"entreprise adecco")</f>
        <v>entreprise adecco</v>
      </c>
      <c r="B2352" s="4"/>
      <c r="C2352" s="4"/>
    </row>
    <row r="2353" hidden="1">
      <c r="A2353" s="6" t="str">
        <f>IFERROR(__xludf.DUMMYFUNCTION("""COMPUTED_VALUE"""),"fondus")</f>
        <v>fondus</v>
      </c>
      <c r="B2353" s="6" t="str">
        <f>IFERROR(__xludf.DUMMYFUNCTION("""COMPUTED_VALUE"""),"Argentina")</f>
        <v>Argentina</v>
      </c>
      <c r="C2353" s="6" t="str">
        <f>IFERROR(__xludf.DUMMYFUNCTION("""COMPUTED_VALUE"""),"Banking &amp; Financial Servicies")</f>
        <v>Banking &amp; Financial Servicies</v>
      </c>
    </row>
    <row r="2354" hidden="1">
      <c r="A2354" s="6" t="str">
        <f>IFERROR(__xludf.DUMMYFUNCTION("""COMPUTED_VALUE"""),"ahorra")</f>
        <v>ahorra</v>
      </c>
      <c r="B2354" s="6" t="str">
        <f>IFERROR(__xludf.DUMMYFUNCTION("""COMPUTED_VALUE"""),"Mexico")</f>
        <v>Mexico</v>
      </c>
      <c r="C2354" s="6" t="str">
        <f>IFERROR(__xludf.DUMMYFUNCTION("""COMPUTED_VALUE"""),"Insurance")</f>
        <v>Insurance</v>
      </c>
    </row>
    <row r="2355" hidden="1">
      <c r="A2355" s="6" t="str">
        <f>IFERROR(__xludf.DUMMYFUNCTION("""COMPUTED_VALUE"""),"tech 5 recruitment ltd")</f>
        <v>tech 5 recruitment ltd</v>
      </c>
      <c r="B2355" s="6" t="str">
        <f>IFERROR(__xludf.DUMMYFUNCTION("""COMPUTED_VALUE"""),"Nueva Zelanda")</f>
        <v>Nueva Zelanda</v>
      </c>
      <c r="C2355" s="6" t="str">
        <f>IFERROR(__xludf.DUMMYFUNCTION("""COMPUTED_VALUE"""),"Software Factory / Staffing")</f>
        <v>Software Factory / Staffing</v>
      </c>
    </row>
    <row r="2356" hidden="1">
      <c r="A2356" s="6" t="str">
        <f>IFERROR(__xludf.DUMMYFUNCTION("""COMPUTED_VALUE"""),"tres niveles")</f>
        <v>tres niveles</v>
      </c>
      <c r="B2356" s="4"/>
      <c r="C2356" s="4"/>
    </row>
    <row r="2357" hidden="1">
      <c r="A2357" s="6" t="str">
        <f>IFERROR(__xludf.DUMMYFUNCTION("""COMPUTED_VALUE"""),"whitehat education technology llc")</f>
        <v>whitehat education technology llc</v>
      </c>
      <c r="B2357" s="4"/>
      <c r="C2357" s="6" t="str">
        <f>IFERROR(__xludf.DUMMYFUNCTION("""COMPUTED_VALUE"""),"Software Factory / Staffing")</f>
        <v>Software Factory / Staffing</v>
      </c>
    </row>
    <row r="2358" hidden="1">
      <c r="A2358" s="6" t="str">
        <f>IFERROR(__xludf.DUMMYFUNCTION("""COMPUTED_VALUE"""),"monsanto argentina s.r.l.")</f>
        <v>monsanto argentina s.r.l.</v>
      </c>
      <c r="B2358" s="6" t="str">
        <f>IFERROR(__xludf.DUMMYFUNCTION("""COMPUTED_VALUE"""),"Argentina")</f>
        <v>Argentina</v>
      </c>
      <c r="C2358" s="6" t="str">
        <f>IFERROR(__xludf.DUMMYFUNCTION("""COMPUTED_VALUE"""),"Agtech / Agro")</f>
        <v>Agtech / Agro</v>
      </c>
    </row>
    <row r="2359" hidden="1">
      <c r="A2359" s="6" t="str">
        <f>IFERROR(__xludf.DUMMYFUNCTION("""COMPUTED_VALUE"""),"seventec")</f>
        <v>seventec</v>
      </c>
      <c r="B2359" s="6" t="str">
        <f>IFERROR(__xludf.DUMMYFUNCTION("""COMPUTED_VALUE"""),"Peru")</f>
        <v>Peru</v>
      </c>
      <c r="C2359" s="6" t="str">
        <f>IFERROR(__xludf.DUMMYFUNCTION("""COMPUTED_VALUE"""),"Software Factory / Staffing")</f>
        <v>Software Factory / Staffing</v>
      </c>
    </row>
    <row r="2360" hidden="1">
      <c r="A2360" s="6" t="str">
        <f>IFERROR(__xludf.DUMMYFUNCTION("""COMPUTED_VALUE"""),"smithii")</f>
        <v>smithii</v>
      </c>
      <c r="B2360" s="6" t="str">
        <f>IFERROR(__xludf.DUMMYFUNCTION("""COMPUTED_VALUE"""),"España")</f>
        <v>España</v>
      </c>
      <c r="C2360" s="6" t="str">
        <f>IFERROR(__xludf.DUMMYFUNCTION("""COMPUTED_VALUE"""),"Blockchain, Crypto &amp; NFT")</f>
        <v>Blockchain, Crypto &amp; NFT</v>
      </c>
    </row>
    <row r="2361" hidden="1">
      <c r="A2361" s="6" t="str">
        <f>IFERROR(__xludf.DUMMYFUNCTION("""COMPUTED_VALUE"""),"naval motor")</f>
        <v>naval motor</v>
      </c>
      <c r="B2361" s="6" t="str">
        <f>IFERROR(__xludf.DUMMYFUNCTION("""COMPUTED_VALUE"""),"Italia")</f>
        <v>Italia</v>
      </c>
      <c r="C2361" s="6" t="str">
        <f>IFERROR(__xludf.DUMMYFUNCTION("""COMPUTED_VALUE"""),"Logistics")</f>
        <v>Logistics</v>
      </c>
    </row>
    <row r="2362" hidden="1">
      <c r="A2362" s="6" t="str">
        <f>IFERROR(__xludf.DUMMYFUNCTION("""COMPUTED_VALUE"""),"hidrotec")</f>
        <v>hidrotec</v>
      </c>
      <c r="B2362" s="6" t="str">
        <f>IFERROR(__xludf.DUMMYFUNCTION("""COMPUTED_VALUE"""),"España")</f>
        <v>España</v>
      </c>
      <c r="C2362" s="6" t="str">
        <f>IFERROR(__xludf.DUMMYFUNCTION("""COMPUTED_VALUE"""),"Mechanical/Industrial Engineering")</f>
        <v>Mechanical/Industrial Engineering</v>
      </c>
    </row>
    <row r="2363" hidden="1">
      <c r="A2363" s="6" t="str">
        <f>IFERROR(__xludf.DUMMYFUNCTION("""COMPUTED_VALUE"""),"venequip ca")</f>
        <v>venequip ca</v>
      </c>
      <c r="B2363" s="6" t="str">
        <f>IFERROR(__xludf.DUMMYFUNCTION("""COMPUTED_VALUE"""),"Venezuela")</f>
        <v>Venezuela</v>
      </c>
      <c r="C2363" s="6" t="str">
        <f>IFERROR(__xludf.DUMMYFUNCTION("""COMPUTED_VALUE"""),"Construction")</f>
        <v>Construction</v>
      </c>
    </row>
    <row r="2364" hidden="1">
      <c r="A2364" s="6" t="str">
        <f>IFERROR(__xludf.DUMMYFUNCTION("""COMPUTED_VALUE"""),"codika")</f>
        <v>codika</v>
      </c>
      <c r="B2364" s="6" t="str">
        <f>IFERROR(__xludf.DUMMYFUNCTION("""COMPUTED_VALUE"""),"República Dominicana")</f>
        <v>República Dominicana</v>
      </c>
      <c r="C2364" s="6" t="str">
        <f>IFERROR(__xludf.DUMMYFUNCTION("""COMPUTED_VALUE"""),"Other")</f>
        <v>Other</v>
      </c>
    </row>
    <row r="2365" hidden="1">
      <c r="A2365" s="6" t="str">
        <f>IFERROR(__xludf.DUMMYFUNCTION("""COMPUTED_VALUE"""),"metso outotec chile spa")</f>
        <v>metso outotec chile spa</v>
      </c>
      <c r="B2365" s="6" t="str">
        <f>IFERROR(__xludf.DUMMYFUNCTION("""COMPUTED_VALUE"""),"Chile")</f>
        <v>Chile</v>
      </c>
      <c r="C2365" s="6" t="str">
        <f>IFERROR(__xludf.DUMMYFUNCTION("""COMPUTED_VALUE"""),"Mechanical/Industrial Engineering")</f>
        <v>Mechanical/Industrial Engineering</v>
      </c>
    </row>
    <row r="2366" hidden="1">
      <c r="A2366" s="6" t="str">
        <f>IFERROR(__xludf.DUMMYFUNCTION("""COMPUTED_VALUE"""),"capital market")</f>
        <v>capital market</v>
      </c>
      <c r="B2366" s="4"/>
      <c r="C2366" s="6" t="str">
        <f>IFERROR(__xludf.DUMMYFUNCTION("""COMPUTED_VALUE"""),"Banking &amp; Financial Servicies")</f>
        <v>Banking &amp; Financial Servicies</v>
      </c>
    </row>
    <row r="2367" hidden="1">
      <c r="A2367" s="6" t="str">
        <f>IFERROR(__xludf.DUMMYFUNCTION("""COMPUTED_VALUE"""),"remotasks")</f>
        <v>remotasks</v>
      </c>
      <c r="B2367" s="6" t="str">
        <f>IFERROR(__xludf.DUMMYFUNCTION("""COMPUTED_VALUE"""),"Estados Unidos")</f>
        <v>Estados Unidos</v>
      </c>
      <c r="C2367" s="6" t="str">
        <f>IFERROR(__xludf.DUMMYFUNCTION("""COMPUTED_VALUE"""),"Other")</f>
        <v>Other</v>
      </c>
    </row>
    <row r="2368" hidden="1">
      <c r="A2368" s="6" t="str">
        <f>IFERROR(__xludf.DUMMYFUNCTION("""COMPUTED_VALUE"""),"bocan corporation")</f>
        <v>bocan corporation</v>
      </c>
      <c r="B2368" s="6" t="str">
        <f>IFERROR(__xludf.DUMMYFUNCTION("""COMPUTED_VALUE"""),"Reino Unido")</f>
        <v>Reino Unido</v>
      </c>
      <c r="C2368" s="6" t="str">
        <f>IFERROR(__xludf.DUMMYFUNCTION("""COMPUTED_VALUE"""),"Other")</f>
        <v>Other</v>
      </c>
    </row>
    <row r="2369" hidden="1">
      <c r="A2369" s="6" t="str">
        <f>IFERROR(__xludf.DUMMYFUNCTION("""COMPUTED_VALUE"""),"conexa")</f>
        <v>conexa</v>
      </c>
      <c r="B2369" s="4"/>
      <c r="C2369" s="4"/>
    </row>
    <row r="2370" hidden="1">
      <c r="A2370" s="6" t="str">
        <f>IFERROR(__xludf.DUMMYFUNCTION("""COMPUTED_VALUE"""),"bessell")</f>
        <v>bessell</v>
      </c>
      <c r="B2370" s="6" t="str">
        <f>IFERROR(__xludf.DUMMYFUNCTION("""COMPUTED_VALUE"""),"España")</f>
        <v>España</v>
      </c>
      <c r="C2370" s="6" t="str">
        <f>IFERROR(__xludf.DUMMYFUNCTION("""COMPUTED_VALUE"""),"Mechanical/Industrial Engineering")</f>
        <v>Mechanical/Industrial Engineering</v>
      </c>
    </row>
    <row r="2371" hidden="1">
      <c r="A2371" s="6" t="str">
        <f>IFERROR(__xludf.DUMMYFUNCTION("""COMPUTED_VALUE"""),"promarketing")</f>
        <v>promarketing</v>
      </c>
      <c r="B2371" s="6" t="str">
        <f>IFERROR(__xludf.DUMMYFUNCTION("""COMPUTED_VALUE"""),"España")</f>
        <v>España</v>
      </c>
      <c r="C2371" s="6" t="str">
        <f>IFERROR(__xludf.DUMMYFUNCTION("""COMPUTED_VALUE"""),"Travel and Tourism")</f>
        <v>Travel and Tourism</v>
      </c>
    </row>
    <row r="2372" hidden="1">
      <c r="A2372" s="6" t="str">
        <f>IFERROR(__xludf.DUMMYFUNCTION("""COMPUTED_VALUE"""),"viutify sac")</f>
        <v>viutify sac</v>
      </c>
      <c r="B2372" s="4"/>
      <c r="C2372" s="4"/>
    </row>
    <row r="2373" hidden="1">
      <c r="A2373" s="6" t="str">
        <f>IFERROR(__xludf.DUMMYFUNCTION("""COMPUTED_VALUE"""),"for_me")</f>
        <v>for_me</v>
      </c>
      <c r="B2373" s="6" t="str">
        <f>IFERROR(__xludf.DUMMYFUNCTION("""COMPUTED_VALUE"""),"Argentina")</f>
        <v>Argentina</v>
      </c>
      <c r="C2373" s="6" t="str">
        <f>IFERROR(__xludf.DUMMYFUNCTION("""COMPUTED_VALUE"""),"Marketing &amp; Advertising")</f>
        <v>Marketing &amp; Advertising</v>
      </c>
    </row>
    <row r="2374" hidden="1">
      <c r="A2374" s="6" t="str">
        <f>IFERROR(__xludf.DUMMYFUNCTION("""COMPUTED_VALUE"""),"oasis consultora")</f>
        <v>oasis consultora</v>
      </c>
      <c r="B2374" s="6" t="str">
        <f>IFERROR(__xludf.DUMMYFUNCTION("""COMPUTED_VALUE"""),"Argentina")</f>
        <v>Argentina</v>
      </c>
      <c r="C2374" s="6" t="str">
        <f>IFERROR(__xludf.DUMMYFUNCTION("""COMPUTED_VALUE"""),"Recruiting")</f>
        <v>Recruiting</v>
      </c>
    </row>
    <row r="2375" hidden="1">
      <c r="A2375" s="6" t="str">
        <f>IFERROR(__xludf.DUMMYFUNCTION("""COMPUTED_VALUE"""),"tensolite")</f>
        <v>tensolite</v>
      </c>
      <c r="B2375" s="6" t="str">
        <f>IFERROR(__xludf.DUMMYFUNCTION("""COMPUTED_VALUE"""),"Argentina")</f>
        <v>Argentina</v>
      </c>
      <c r="C2375" s="6" t="str">
        <f>IFERROR(__xludf.DUMMYFUNCTION("""COMPUTED_VALUE"""),"Construction")</f>
        <v>Construction</v>
      </c>
    </row>
    <row r="2376" hidden="1">
      <c r="A2376" s="6" t="str">
        <f>IFERROR(__xludf.DUMMYFUNCTION("""COMPUTED_VALUE"""),"ross for less")</f>
        <v>ross for less</v>
      </c>
      <c r="B2376" s="6" t="str">
        <f>IFERROR(__xludf.DUMMYFUNCTION("""COMPUTED_VALUE"""),"Estados Unidos")</f>
        <v>Estados Unidos</v>
      </c>
      <c r="C2376" s="6" t="str">
        <f>IFERROR(__xludf.DUMMYFUNCTION("""COMPUTED_VALUE"""),"Other")</f>
        <v>Other</v>
      </c>
    </row>
    <row r="2377" hidden="1">
      <c r="A2377" s="6" t="str">
        <f>IFERROR(__xludf.DUMMYFUNCTION("""COMPUTED_VALUE"""),"adbize")</f>
        <v>adbize</v>
      </c>
      <c r="B2377" s="6" t="str">
        <f>IFERROR(__xludf.DUMMYFUNCTION("""COMPUTED_VALUE"""),"Argentina")</f>
        <v>Argentina</v>
      </c>
      <c r="C2377" s="6" t="str">
        <f>IFERROR(__xludf.DUMMYFUNCTION("""COMPUTED_VALUE"""),"Marketing &amp; Advertising")</f>
        <v>Marketing &amp; Advertising</v>
      </c>
    </row>
    <row r="2378" hidden="1">
      <c r="A2378" s="6" t="str">
        <f>IFERROR(__xludf.DUMMYFUNCTION("""COMPUTED_VALUE"""),"cids")</f>
        <v>cids</v>
      </c>
      <c r="B2378" s="6" t="str">
        <f>IFERROR(__xludf.DUMMYFUNCTION("""COMPUTED_VALUE"""),"Argentina")</f>
        <v>Argentina</v>
      </c>
      <c r="C2378" s="6" t="str">
        <f>IFERROR(__xludf.DUMMYFUNCTION("""COMPUTED_VALUE"""),"Software Factory / Staffing")</f>
        <v>Software Factory / Staffing</v>
      </c>
    </row>
    <row r="2379" hidden="1">
      <c r="A2379" s="6" t="str">
        <f>IFERROR(__xludf.DUMMYFUNCTION("""COMPUTED_VALUE"""),"gob")</f>
        <v>gob</v>
      </c>
      <c r="B2379" s="6" t="str">
        <f>IFERROR(__xludf.DUMMYFUNCTION("""COMPUTED_VALUE"""),"Canada")</f>
        <v>Canada</v>
      </c>
      <c r="C2379" s="6" t="str">
        <f>IFERROR(__xludf.DUMMYFUNCTION("""COMPUTED_VALUE"""),"FMCG / Consumo masivo")</f>
        <v>FMCG / Consumo masivo</v>
      </c>
    </row>
    <row r="2380" hidden="1">
      <c r="A2380" s="6" t="str">
        <f>IFERROR(__xludf.DUMMYFUNCTION("""COMPUTED_VALUE"""),"direcion general de cultura y educacion")</f>
        <v>direcion general de cultura y educacion</v>
      </c>
      <c r="B2380" s="4"/>
      <c r="C2380" s="4"/>
    </row>
    <row r="2381" hidden="1">
      <c r="A2381" s="6" t="str">
        <f>IFERROR(__xludf.DUMMYFUNCTION("""COMPUTED_VALUE"""),"propital")</f>
        <v>propital</v>
      </c>
      <c r="B2381" s="6" t="str">
        <f>IFERROR(__xludf.DUMMYFUNCTION("""COMPUTED_VALUE"""),"Chile")</f>
        <v>Chile</v>
      </c>
      <c r="C2381" s="6" t="str">
        <f>IFERROR(__xludf.DUMMYFUNCTION("""COMPUTED_VALUE"""),"PropTech / Real State")</f>
        <v>PropTech / Real State</v>
      </c>
    </row>
    <row r="2382" hidden="1">
      <c r="A2382" s="6" t="str">
        <f>IFERROR(__xludf.DUMMYFUNCTION("""COMPUTED_VALUE"""),"somosedison")</f>
        <v>somosedison</v>
      </c>
      <c r="B2382" s="6" t="str">
        <f>IFERROR(__xludf.DUMMYFUNCTION("""COMPUTED_VALUE"""),"Argentina")</f>
        <v>Argentina</v>
      </c>
      <c r="C2382" s="6" t="str">
        <f>IFERROR(__xludf.DUMMYFUNCTION("""COMPUTED_VALUE"""),"Education &amp; Edtech")</f>
        <v>Education &amp; Edtech</v>
      </c>
    </row>
    <row r="2383" hidden="1">
      <c r="A2383" s="6" t="str">
        <f>IFERROR(__xludf.DUMMYFUNCTION("""COMPUTED_VALUE"""),"giselle gomez frayre")</f>
        <v>giselle gomez frayre</v>
      </c>
      <c r="B2383" s="4"/>
      <c r="C2383" s="4"/>
    </row>
    <row r="2384" hidden="1">
      <c r="A2384" s="6" t="str">
        <f>IFERROR(__xludf.DUMMYFUNCTION("""COMPUTED_VALUE"""),"merovingian")</f>
        <v>merovingian</v>
      </c>
      <c r="B2384" s="6" t="str">
        <f>IFERROR(__xludf.DUMMYFUNCTION("""COMPUTED_VALUE"""),"Estados Unidos")</f>
        <v>Estados Unidos</v>
      </c>
      <c r="C2384" s="6" t="str">
        <f>IFERROR(__xludf.DUMMYFUNCTION("""COMPUTED_VALUE"""),"Data &amp; Analytics")</f>
        <v>Data &amp; Analytics</v>
      </c>
    </row>
    <row r="2385" hidden="1">
      <c r="A2385" s="6" t="str">
        <f>IFERROR(__xludf.DUMMYFUNCTION("""COMPUTED_VALUE"""),"robles y yasikov")</f>
        <v>robles y yasikov</v>
      </c>
      <c r="B2385" s="6" t="str">
        <f>IFERROR(__xludf.DUMMYFUNCTION("""COMPUTED_VALUE"""),"Peru")</f>
        <v>Peru</v>
      </c>
      <c r="C2385" s="6" t="str">
        <f>IFERROR(__xludf.DUMMYFUNCTION("""COMPUTED_VALUE"""),"PropTech / Real State")</f>
        <v>PropTech / Real State</v>
      </c>
    </row>
    <row r="2386" hidden="1">
      <c r="A2386" s="6" t="str">
        <f>IFERROR(__xludf.DUMMYFUNCTION("""COMPUTED_VALUE"""),"oncompentence")</f>
        <v>oncompentence</v>
      </c>
      <c r="B2386" s="6" t="str">
        <f>IFERROR(__xludf.DUMMYFUNCTION("""COMPUTED_VALUE"""),"Estados Unidos")</f>
        <v>Estados Unidos</v>
      </c>
      <c r="C2386" s="6" t="str">
        <f>IFERROR(__xludf.DUMMYFUNCTION("""COMPUTED_VALUE"""),"Banking &amp; Financial Servicies")</f>
        <v>Banking &amp; Financial Servicies</v>
      </c>
    </row>
    <row r="2387" hidden="1">
      <c r="A2387" s="6" t="str">
        <f>IFERROR(__xludf.DUMMYFUNCTION("""COMPUTED_VALUE"""),"pagotic")</f>
        <v>pagotic</v>
      </c>
      <c r="B2387" s="6" t="str">
        <f>IFERROR(__xludf.DUMMYFUNCTION("""COMPUTED_VALUE"""),"Argentina")</f>
        <v>Argentina</v>
      </c>
      <c r="C2387" s="6" t="str">
        <f>IFERROR(__xludf.DUMMYFUNCTION("""COMPUTED_VALUE"""),"Fintech")</f>
        <v>Fintech</v>
      </c>
    </row>
    <row r="2388" hidden="1">
      <c r="A2388" s="6" t="str">
        <f>IFERROR(__xludf.DUMMYFUNCTION("""COMPUTED_VALUE"""),"roots")</f>
        <v>roots</v>
      </c>
      <c r="B2388" s="6" t="str">
        <f>IFERROR(__xludf.DUMMYFUNCTION("""COMPUTED_VALUE"""),"Canada")</f>
        <v>Canada</v>
      </c>
      <c r="C2388" s="6" t="str">
        <f>IFERROR(__xludf.DUMMYFUNCTION("""COMPUTED_VALUE"""),"Other")</f>
        <v>Other</v>
      </c>
    </row>
    <row r="2389" hidden="1">
      <c r="A2389" s="6" t="str">
        <f>IFERROR(__xludf.DUMMYFUNCTION("""COMPUTED_VALUE"""),"growrk")</f>
        <v>growrk</v>
      </c>
      <c r="B2389" s="6" t="str">
        <f>IFERROR(__xludf.DUMMYFUNCTION("""COMPUTED_VALUE"""),"Estados Unidos")</f>
        <v>Estados Unidos</v>
      </c>
      <c r="C2389" s="6" t="str">
        <f>IFERROR(__xludf.DUMMYFUNCTION("""COMPUTED_VALUE"""),"Software Factory / Staffing")</f>
        <v>Software Factory / Staffing</v>
      </c>
    </row>
    <row r="2390" hidden="1">
      <c r="A2390" s="6" t="str">
        <f>IFERROR(__xludf.DUMMYFUNCTION("""COMPUTED_VALUE"""),"gestión y servicios srl")</f>
        <v>gestión y servicios srl</v>
      </c>
      <c r="B2390" s="6" t="str">
        <f>IFERROR(__xludf.DUMMYFUNCTION("""COMPUTED_VALUE"""),"Argentina")</f>
        <v>Argentina</v>
      </c>
      <c r="C2390" s="6" t="str">
        <f>IFERROR(__xludf.DUMMYFUNCTION("""COMPUTED_VALUE"""),"Insurance")</f>
        <v>Insurance</v>
      </c>
    </row>
    <row r="2391" hidden="1">
      <c r="A2391" s="6" t="str">
        <f>IFERROR(__xludf.DUMMYFUNCTION("""COMPUTED_VALUE"""),"lemon cash")</f>
        <v>lemon cash</v>
      </c>
      <c r="B2391" s="4"/>
      <c r="C2391" s="6" t="str">
        <f>IFERROR(__xludf.DUMMYFUNCTION("""COMPUTED_VALUE"""),"Banking &amp; Financial Servicies")</f>
        <v>Banking &amp; Financial Servicies</v>
      </c>
    </row>
    <row r="2392" hidden="1">
      <c r="A2392" s="6" t="str">
        <f>IFERROR(__xludf.DUMMYFUNCTION("""COMPUTED_VALUE"""),"idoogroup")</f>
        <v>idoogroup</v>
      </c>
      <c r="B2392" s="6" t="str">
        <f>IFERROR(__xludf.DUMMYFUNCTION("""COMPUTED_VALUE"""),"Estados Unidos")</f>
        <v>Estados Unidos</v>
      </c>
      <c r="C2392" s="6" t="str">
        <f>IFERROR(__xludf.DUMMYFUNCTION("""COMPUTED_VALUE"""),"Software Factory / Staffing")</f>
        <v>Software Factory / Staffing</v>
      </c>
    </row>
    <row r="2393" hidden="1">
      <c r="A2393" s="6" t="str">
        <f>IFERROR(__xludf.DUMMYFUNCTION("""COMPUTED_VALUE"""),"napsix")</f>
        <v>napsix</v>
      </c>
      <c r="B2393" s="6" t="str">
        <f>IFERROR(__xludf.DUMMYFUNCTION("""COMPUTED_VALUE"""),"Argentina")</f>
        <v>Argentina</v>
      </c>
      <c r="C2393" s="6" t="str">
        <f>IFERROR(__xludf.DUMMYFUNCTION("""COMPUTED_VALUE"""),"Other")</f>
        <v>Other</v>
      </c>
    </row>
    <row r="2394" hidden="1">
      <c r="A2394" s="6" t="str">
        <f>IFERROR(__xludf.DUMMYFUNCTION("""COMPUTED_VALUE"""),"quality service")</f>
        <v>quality service</v>
      </c>
      <c r="B2394" s="6" t="str">
        <f>IFERROR(__xludf.DUMMYFUNCTION("""COMPUTED_VALUE"""),"Argentina")</f>
        <v>Argentina</v>
      </c>
      <c r="C2394" s="6" t="str">
        <f>IFERROR(__xludf.DUMMYFUNCTION("""COMPUTED_VALUE"""),"Mechanical/Industrial Engineering")</f>
        <v>Mechanical/Industrial Engineering</v>
      </c>
    </row>
    <row r="2395" hidden="1">
      <c r="A2395" s="6" t="str">
        <f>IFERROR(__xludf.DUMMYFUNCTION("""COMPUTED_VALUE"""),"itlg")</f>
        <v>itlg</v>
      </c>
      <c r="B2395" s="6" t="str">
        <f>IFERROR(__xludf.DUMMYFUNCTION("""COMPUTED_VALUE"""),"Estados Unidos")</f>
        <v>Estados Unidos</v>
      </c>
      <c r="C2395" s="6" t="str">
        <f>IFERROR(__xludf.DUMMYFUNCTION("""COMPUTED_VALUE"""),"Software Factory / Staffing")</f>
        <v>Software Factory / Staffing</v>
      </c>
    </row>
    <row r="2396" hidden="1">
      <c r="A2396" s="6" t="str">
        <f>IFERROR(__xludf.DUMMYFUNCTION("""COMPUTED_VALUE"""),"esz")</f>
        <v>esz</v>
      </c>
      <c r="B2396" s="4"/>
      <c r="C2396" s="6" t="str">
        <f>IFERROR(__xludf.DUMMYFUNCTION("""COMPUTED_VALUE"""),"Mechanical/Industrial Engineering")</f>
        <v>Mechanical/Industrial Engineering</v>
      </c>
    </row>
    <row r="2397" hidden="1">
      <c r="A2397" s="6" t="str">
        <f>IFERROR(__xludf.DUMMYFUNCTION("""COMPUTED_VALUE"""),"singularcity")</f>
        <v>singularcity</v>
      </c>
      <c r="B2397" s="6" t="str">
        <f>IFERROR(__xludf.DUMMYFUNCTION("""COMPUTED_VALUE"""),"Argentina")</f>
        <v>Argentina</v>
      </c>
      <c r="C2397" s="6" t="str">
        <f>IFERROR(__xludf.DUMMYFUNCTION("""COMPUTED_VALUE"""),"Other")</f>
        <v>Other</v>
      </c>
    </row>
    <row r="2398" hidden="1">
      <c r="A2398" s="6" t="str">
        <f>IFERROR(__xludf.DUMMYFUNCTION("""COMPUTED_VALUE"""),"coa tecnologia")</f>
        <v>coa tecnologia</v>
      </c>
      <c r="B2398" s="6" t="str">
        <f>IFERROR(__xludf.DUMMYFUNCTION("""COMPUTED_VALUE"""),"Argentina")</f>
        <v>Argentina</v>
      </c>
      <c r="C2398" s="6" t="str">
        <f>IFERROR(__xludf.DUMMYFUNCTION("""COMPUTED_VALUE"""),"Software Factory / Staffing")</f>
        <v>Software Factory / Staffing</v>
      </c>
    </row>
    <row r="2399" hidden="1">
      <c r="A2399" s="6" t="str">
        <f>IFERROR(__xludf.DUMMYFUNCTION("""COMPUTED_VALUE"""),"distrito moda")</f>
        <v>distrito moda</v>
      </c>
      <c r="B2399" s="6" t="str">
        <f>IFERROR(__xludf.DUMMYFUNCTION("""COMPUTED_VALUE"""),"Argentina")</f>
        <v>Argentina</v>
      </c>
      <c r="C2399" s="6" t="str">
        <f>IFERROR(__xludf.DUMMYFUNCTION("""COMPUTED_VALUE"""),"Other")</f>
        <v>Other</v>
      </c>
    </row>
    <row r="2400" hidden="1">
      <c r="A2400" s="6" t="str">
        <f>IFERROR(__xludf.DUMMYFUNCTION("""COMPUTED_VALUE"""),"webdev")</f>
        <v>webdev</v>
      </c>
      <c r="B2400" s="6" t="str">
        <f>IFERROR(__xludf.DUMMYFUNCTION("""COMPUTED_VALUE"""),"India")</f>
        <v>India</v>
      </c>
      <c r="C2400" s="6" t="str">
        <f>IFERROR(__xludf.DUMMYFUNCTION("""COMPUTED_VALUE"""),"Software Factory / Staffing")</f>
        <v>Software Factory / Staffing</v>
      </c>
    </row>
    <row r="2401" hidden="1">
      <c r="A2401" s="6" t="str">
        <f>IFERROR(__xludf.DUMMYFUNCTION("""COMPUTED_VALUE"""),"monetizando ideas")</f>
        <v>monetizando ideas</v>
      </c>
      <c r="B2401" s="6" t="str">
        <f>IFERROR(__xludf.DUMMYFUNCTION("""COMPUTED_VALUE"""),"Mexico")</f>
        <v>Mexico</v>
      </c>
      <c r="C2401" s="6" t="str">
        <f>IFERROR(__xludf.DUMMYFUNCTION("""COMPUTED_VALUE"""),"Banking &amp; Financial Servicies")</f>
        <v>Banking &amp; Financial Servicies</v>
      </c>
    </row>
    <row r="2402" hidden="1">
      <c r="A2402" s="6" t="str">
        <f>IFERROR(__xludf.DUMMYFUNCTION("""COMPUTED_VALUE"""),"bleett")</f>
        <v>bleett</v>
      </c>
      <c r="B2402" s="6" t="str">
        <f>IFERROR(__xludf.DUMMYFUNCTION("""COMPUTED_VALUE"""),"Argentina")</f>
        <v>Argentina</v>
      </c>
      <c r="C2402" s="6" t="str">
        <f>IFERROR(__xludf.DUMMYFUNCTION("""COMPUTED_VALUE"""),"Other")</f>
        <v>Other</v>
      </c>
    </row>
    <row r="2403" hidden="1">
      <c r="A2403" s="6" t="str">
        <f>IFERROR(__xludf.DUMMYFUNCTION("""COMPUTED_VALUE"""),"icreativa")</f>
        <v>icreativa</v>
      </c>
      <c r="B2403" s="6" t="str">
        <f>IFERROR(__xludf.DUMMYFUNCTION("""COMPUTED_VALUE"""),"Ecuador")</f>
        <v>Ecuador</v>
      </c>
      <c r="C2403" s="6" t="str">
        <f>IFERROR(__xludf.DUMMYFUNCTION("""COMPUTED_VALUE"""),"Software Factory / Staffing")</f>
        <v>Software Factory / Staffing</v>
      </c>
    </row>
    <row r="2404" hidden="1">
      <c r="A2404" s="6" t="str">
        <f>IFERROR(__xludf.DUMMYFUNCTION("""COMPUTED_VALUE"""),"grupo simpli")</f>
        <v>grupo simpli</v>
      </c>
      <c r="B2404" s="6" t="str">
        <f>IFERROR(__xludf.DUMMYFUNCTION("""COMPUTED_VALUE"""),"Argentina")</f>
        <v>Argentina</v>
      </c>
      <c r="C2404" s="6" t="str">
        <f>IFERROR(__xludf.DUMMYFUNCTION("""COMPUTED_VALUE"""),"E-commerce")</f>
        <v>E-commerce</v>
      </c>
    </row>
    <row r="2405" hidden="1">
      <c r="A2405" s="6" t="str">
        <f>IFERROR(__xludf.DUMMYFUNCTION("""COMPUTED_VALUE"""),"manlab")</f>
        <v>manlab</v>
      </c>
      <c r="B2405" s="6" t="str">
        <f>IFERROR(__xludf.DUMMYFUNCTION("""COMPUTED_VALUE"""),"Argentina")</f>
        <v>Argentina</v>
      </c>
      <c r="C2405" s="6" t="str">
        <f>IFERROR(__xludf.DUMMYFUNCTION("""COMPUTED_VALUE"""),"Health")</f>
        <v>Health</v>
      </c>
    </row>
    <row r="2406" hidden="1">
      <c r="A2406" s="6" t="str">
        <f>IFERROR(__xludf.DUMMYFUNCTION("""COMPUTED_VALUE"""),"evoltis")</f>
        <v>evoltis</v>
      </c>
      <c r="B2406" s="6" t="str">
        <f>IFERROR(__xludf.DUMMYFUNCTION("""COMPUTED_VALUE"""),"Argentina")</f>
        <v>Argentina</v>
      </c>
      <c r="C2406" s="6" t="str">
        <f>IFERROR(__xludf.DUMMYFUNCTION("""COMPUTED_VALUE"""),"Software Factory / Staffing")</f>
        <v>Software Factory / Staffing</v>
      </c>
    </row>
    <row r="2407" hidden="1">
      <c r="A2407" s="6" t="str">
        <f>IFERROR(__xludf.DUMMYFUNCTION("""COMPUTED_VALUE"""),"greenpow")</f>
        <v>greenpow</v>
      </c>
      <c r="B2407" s="4"/>
      <c r="C2407" s="4"/>
    </row>
    <row r="2408" hidden="1">
      <c r="A2408" s="6" t="str">
        <f>IFERROR(__xludf.DUMMYFUNCTION("""COMPUTED_VALUE"""),"renovo tienda")</f>
        <v>renovo tienda</v>
      </c>
      <c r="B2408" s="4"/>
      <c r="C2408" s="6" t="str">
        <f>IFERROR(__xludf.DUMMYFUNCTION("""COMPUTED_VALUE"""),"Other")</f>
        <v>Other</v>
      </c>
    </row>
    <row r="2409" hidden="1">
      <c r="A2409" s="6" t="str">
        <f>IFERROR(__xludf.DUMMYFUNCTION("""COMPUTED_VALUE"""),"defontana corp. spa")</f>
        <v>defontana corp. spa</v>
      </c>
      <c r="B2409" s="6" t="str">
        <f>IFERROR(__xludf.DUMMYFUNCTION("""COMPUTED_VALUE"""),"Chile")</f>
        <v>Chile</v>
      </c>
      <c r="C2409" s="6" t="str">
        <f>IFERROR(__xludf.DUMMYFUNCTION("""COMPUTED_VALUE"""),"Software Factory / Staffing")</f>
        <v>Software Factory / Staffing</v>
      </c>
    </row>
    <row r="2410" hidden="1">
      <c r="A2410" s="6" t="str">
        <f>IFERROR(__xludf.DUMMYFUNCTION("""COMPUTED_VALUE"""),"conmega ace")</f>
        <v>conmega ace</v>
      </c>
      <c r="B2410" s="4"/>
      <c r="C2410" s="4"/>
    </row>
    <row r="2411" hidden="1">
      <c r="A2411" s="6" t="str">
        <f>IFERROR(__xludf.DUMMYFUNCTION("""COMPUTED_VALUE"""),"aaci")</f>
        <v>aaci</v>
      </c>
      <c r="B2411" s="6" t="str">
        <f>IFERROR(__xludf.DUMMYFUNCTION("""COMPUTED_VALUE"""),"Argentina")</f>
        <v>Argentina</v>
      </c>
      <c r="C2411" s="6" t="str">
        <f>IFERROR(__xludf.DUMMYFUNCTION("""COMPUTED_VALUE"""),"Education &amp; Edtech")</f>
        <v>Education &amp; Edtech</v>
      </c>
    </row>
    <row r="2412" hidden="1">
      <c r="A2412" s="6" t="str">
        <f>IFERROR(__xludf.DUMMYFUNCTION("""COMPUTED_VALUE"""),"dirección de enseñanza superior")</f>
        <v>dirección de enseñanza superior</v>
      </c>
      <c r="B2412" s="4"/>
      <c r="C2412" s="4"/>
    </row>
    <row r="2413">
      <c r="A2413" s="6" t="str">
        <f>IFERROR(__xludf.DUMMYFUNCTION("""COMPUTED_VALUE"""),"spot edge trucki")</f>
        <v>spot edge trucki</v>
      </c>
      <c r="B2413" s="6" t="str">
        <f>IFERROR(__xludf.DUMMYFUNCTION("""COMPUTED_VALUE"""),"Estados Unidos")</f>
        <v>Estados Unidos</v>
      </c>
      <c r="C2413" s="6" t="str">
        <f>IFERROR(__xludf.DUMMYFUNCTION("""COMPUTED_VALUE"""),"Logistics")</f>
        <v>Logistics</v>
      </c>
    </row>
    <row r="2414" hidden="1">
      <c r="A2414" s="6" t="str">
        <f>IFERROR(__xludf.DUMMYFUNCTION("""COMPUTED_VALUE"""),"ploy sas")</f>
        <v>ploy sas</v>
      </c>
      <c r="B2414" s="6" t="str">
        <f>IFERROR(__xludf.DUMMYFUNCTION("""COMPUTED_VALUE"""),"Australia")</f>
        <v>Australia</v>
      </c>
      <c r="C2414" s="6" t="str">
        <f>IFERROR(__xludf.DUMMYFUNCTION("""COMPUTED_VALUE"""),"Software Factory / Staffing")</f>
        <v>Software Factory / Staffing</v>
      </c>
    </row>
    <row r="2415" hidden="1">
      <c r="A2415" s="6" t="str">
        <f>IFERROR(__xludf.DUMMYFUNCTION("""COMPUTED_VALUE"""),"game disease")</f>
        <v>game disease</v>
      </c>
      <c r="B2415" s="6" t="str">
        <f>IFERROR(__xludf.DUMMYFUNCTION("""COMPUTED_VALUE"""),"Argentina")</f>
        <v>Argentina</v>
      </c>
      <c r="C2415" s="6" t="str">
        <f>IFERROR(__xludf.DUMMYFUNCTION("""COMPUTED_VALUE"""),"Other")</f>
        <v>Other</v>
      </c>
    </row>
    <row r="2416" hidden="1">
      <c r="A2416" s="6" t="str">
        <f>IFERROR(__xludf.DUMMYFUNCTION("""COMPUTED_VALUE"""),"subsecretaria de industria de corrientes")</f>
        <v>subsecretaria de industria de corrientes</v>
      </c>
      <c r="B2416" s="6" t="str">
        <f>IFERROR(__xludf.DUMMYFUNCTION("""COMPUTED_VALUE"""),"Argentina")</f>
        <v>Argentina</v>
      </c>
      <c r="C2416" s="6" t="str">
        <f>IFERROR(__xludf.DUMMYFUNCTION("""COMPUTED_VALUE"""),"Public Center")</f>
        <v>Public Center</v>
      </c>
    </row>
    <row r="2417" hidden="1">
      <c r="A2417" s="6" t="str">
        <f>IFERROR(__xludf.DUMMYFUNCTION("""COMPUTED_VALUE"""),"kabeli")</f>
        <v>kabeli</v>
      </c>
      <c r="B2417" s="6" t="str">
        <f>IFERROR(__xludf.DUMMYFUNCTION("""COMPUTED_VALUE"""),"Chile")</f>
        <v>Chile</v>
      </c>
      <c r="C2417" s="6" t="str">
        <f>IFERROR(__xludf.DUMMYFUNCTION("""COMPUTED_VALUE"""),"Software Factory / Staffing")</f>
        <v>Software Factory / Staffing</v>
      </c>
    </row>
    <row r="2418" hidden="1">
      <c r="A2418" s="6" t="str">
        <f>IFERROR(__xludf.DUMMYFUNCTION("""COMPUTED_VALUE"""),"arbitrack")</f>
        <v>arbitrack</v>
      </c>
      <c r="B2418" s="4"/>
      <c r="C2418" s="4"/>
    </row>
    <row r="2419" hidden="1">
      <c r="A2419" s="6" t="str">
        <f>IFERROR(__xludf.DUMMYFUNCTION("""COMPUTED_VALUE"""),"cm combustibles")</f>
        <v>cm combustibles</v>
      </c>
      <c r="B2419" s="6" t="str">
        <f>IFERROR(__xludf.DUMMYFUNCTION("""COMPUTED_VALUE"""),"España")</f>
        <v>España</v>
      </c>
      <c r="C2419" s="6" t="str">
        <f>IFERROR(__xludf.DUMMYFUNCTION("""COMPUTED_VALUE"""),"Mechanical/Industrial Engineering")</f>
        <v>Mechanical/Industrial Engineering</v>
      </c>
    </row>
    <row r="2420" hidden="1">
      <c r="A2420" s="6" t="str">
        <f>IFERROR(__xludf.DUMMYFUNCTION("""COMPUTED_VALUE"""),"cosony inc")</f>
        <v>cosony inc</v>
      </c>
      <c r="B2420" s="6" t="str">
        <f>IFERROR(__xludf.DUMMYFUNCTION("""COMPUTED_VALUE"""),"Estados Unidos")</f>
        <v>Estados Unidos</v>
      </c>
      <c r="C2420" s="4"/>
    </row>
    <row r="2421" hidden="1">
      <c r="A2421" s="6" t="str">
        <f>IFERROR(__xludf.DUMMYFUNCTION("""COMPUTED_VALUE"""),"xo capital")</f>
        <v>xo capital</v>
      </c>
      <c r="B2421" s="4"/>
      <c r="C2421" s="6" t="str">
        <f>IFERROR(__xludf.DUMMYFUNCTION("""COMPUTED_VALUE"""),"Banking &amp; Financial Servicies")</f>
        <v>Banking &amp; Financial Servicies</v>
      </c>
    </row>
    <row r="2422" hidden="1">
      <c r="A2422" s="6" t="str">
        <f>IFERROR(__xludf.DUMMYFUNCTION("""COMPUTED_VALUE"""),"purple dice")</f>
        <v>purple dice</v>
      </c>
      <c r="B2422" s="4"/>
      <c r="C2422" s="6" t="str">
        <f>IFERROR(__xludf.DUMMYFUNCTION("""COMPUTED_VALUE"""),"Marketing &amp; Advertising")</f>
        <v>Marketing &amp; Advertising</v>
      </c>
    </row>
    <row r="2423" hidden="1">
      <c r="A2423" s="6" t="str">
        <f>IFERROR(__xludf.DUMMYFUNCTION("""COMPUTED_VALUE"""),"mentify")</f>
        <v>mentify</v>
      </c>
      <c r="B2423" s="4"/>
      <c r="C2423" s="6" t="str">
        <f>IFERROR(__xludf.DUMMYFUNCTION("""COMPUTED_VALUE"""),"Health")</f>
        <v>Health</v>
      </c>
    </row>
    <row r="2424" hidden="1">
      <c r="A2424" s="6" t="str">
        <f>IFERROR(__xludf.DUMMYFUNCTION("""COMPUTED_VALUE"""),"tooles")</f>
        <v>tooles</v>
      </c>
      <c r="B2424" s="6" t="str">
        <f>IFERROR(__xludf.DUMMYFUNCTION("""COMPUTED_VALUE"""),"Colombia")</f>
        <v>Colombia</v>
      </c>
      <c r="C2424" s="6" t="str">
        <f>IFERROR(__xludf.DUMMYFUNCTION("""COMPUTED_VALUE"""),"Law/Legal Services")</f>
        <v>Law/Legal Services</v>
      </c>
    </row>
    <row r="2425" hidden="1">
      <c r="A2425" s="6" t="str">
        <f>IFERROR(__xludf.DUMMYFUNCTION("""COMPUTED_VALUE"""),"maper")</f>
        <v>maper</v>
      </c>
      <c r="B2425" s="6" t="str">
        <f>IFERROR(__xludf.DUMMYFUNCTION("""COMPUTED_VALUE"""),"Mexico")</f>
        <v>Mexico</v>
      </c>
      <c r="C2425" s="6" t="str">
        <f>IFERROR(__xludf.DUMMYFUNCTION("""COMPUTED_VALUE"""),"Software Factory / Staffing")</f>
        <v>Software Factory / Staffing</v>
      </c>
    </row>
    <row r="2426" hidden="1">
      <c r="A2426" s="6" t="str">
        <f>IFERROR(__xludf.DUMMYFUNCTION("""COMPUTED_VALUE"""),"aak tele-science")</f>
        <v>aak tele-science</v>
      </c>
      <c r="B2426" s="6" t="str">
        <f>IFERROR(__xludf.DUMMYFUNCTION("""COMPUTED_VALUE"""),"Estados Unidos")</f>
        <v>Estados Unidos</v>
      </c>
      <c r="C2426" s="6" t="str">
        <f>IFERROR(__xludf.DUMMYFUNCTION("""COMPUTED_VALUE"""),"Other")</f>
        <v>Other</v>
      </c>
    </row>
    <row r="2427" hidden="1">
      <c r="A2427" s="6" t="str">
        <f>IFERROR(__xludf.DUMMYFUNCTION("""COMPUTED_VALUE"""),"kaver consulting sa")</f>
        <v>kaver consulting sa</v>
      </c>
      <c r="B2427" s="4"/>
      <c r="C2427" s="4"/>
    </row>
    <row r="2428" hidden="1">
      <c r="A2428" s="6" t="str">
        <f>IFERROR(__xludf.DUMMYFUNCTION("""COMPUTED_VALUE"""),"anonimo")</f>
        <v>anonimo</v>
      </c>
      <c r="B2428" s="6" t="str">
        <f>IFERROR(__xludf.DUMMYFUNCTION("""COMPUTED_VALUE"""),"México")</f>
        <v>México</v>
      </c>
      <c r="C2428" s="6" t="str">
        <f>IFERROR(__xludf.DUMMYFUNCTION("""COMPUTED_VALUE"""),"Marketing &amp; Advertising")</f>
        <v>Marketing &amp; Advertising</v>
      </c>
    </row>
    <row r="2429" hidden="1">
      <c r="A2429" s="6" t="str">
        <f>IFERROR(__xludf.DUMMYFUNCTION("""COMPUTED_VALUE"""),"datafy")</f>
        <v>datafy</v>
      </c>
      <c r="B2429" s="6" t="str">
        <f>IFERROR(__xludf.DUMMYFUNCTION("""COMPUTED_VALUE"""),"Estados Unidos")</f>
        <v>Estados Unidos</v>
      </c>
      <c r="C2429" s="6" t="str">
        <f>IFERROR(__xludf.DUMMYFUNCTION("""COMPUTED_VALUE"""),"Software Factory / Staffing")</f>
        <v>Software Factory / Staffing</v>
      </c>
    </row>
    <row r="2430">
      <c r="A2430" s="6" t="str">
        <f>IFERROR(__xludf.DUMMYFUNCTION("""COMPUTED_VALUE"""),"apicon")</f>
        <v>apicon</v>
      </c>
      <c r="B2430" s="6" t="str">
        <f>IFERROR(__xludf.DUMMYFUNCTION("""COMPUTED_VALUE"""),"Republica Checa")</f>
        <v>Republica Checa</v>
      </c>
      <c r="C2430" s="6" t="str">
        <f>IFERROR(__xludf.DUMMYFUNCTION("""COMPUTED_VALUE"""),"FMCG / Consumo masivo")</f>
        <v>FMCG / Consumo masivo</v>
      </c>
    </row>
    <row r="2431" hidden="1">
      <c r="A2431" s="6" t="str">
        <f>IFERROR(__xludf.DUMMYFUNCTION("""COMPUTED_VALUE"""),"brace developers")</f>
        <v>brace developers</v>
      </c>
      <c r="B2431" s="6" t="str">
        <f>IFERROR(__xludf.DUMMYFUNCTION("""COMPUTED_VALUE"""),"Colombia")</f>
        <v>Colombia</v>
      </c>
      <c r="C2431" s="6" t="str">
        <f>IFERROR(__xludf.DUMMYFUNCTION("""COMPUTED_VALUE"""),"Software Factory / Staffing")</f>
        <v>Software Factory / Staffing</v>
      </c>
    </row>
    <row r="2432" hidden="1">
      <c r="A2432" s="6" t="str">
        <f>IFERROR(__xludf.DUMMYFUNCTION("""COMPUTED_VALUE"""),"sincosoft")</f>
        <v>sincosoft</v>
      </c>
      <c r="B2432" s="4"/>
      <c r="C2432" s="4"/>
    </row>
    <row r="2433" hidden="1">
      <c r="A2433" s="6" t="str">
        <f>IFERROR(__xludf.DUMMYFUNCTION("""COMPUTED_VALUE"""),"despegar")</f>
        <v>despegar</v>
      </c>
      <c r="B2433" s="6" t="str">
        <f>IFERROR(__xludf.DUMMYFUNCTION("""COMPUTED_VALUE"""),"No encontrado")</f>
        <v>No encontrado</v>
      </c>
      <c r="C2433" s="6" t="str">
        <f>IFERROR(__xludf.DUMMYFUNCTION("""COMPUTED_VALUE"""),"Software Factory / Staffing")</f>
        <v>Software Factory / Staffing</v>
      </c>
    </row>
    <row r="2434">
      <c r="A2434" s="6" t="str">
        <f>IFERROR(__xludf.DUMMYFUNCTION("""COMPUTED_VALUE"""),"dsi")</f>
        <v>dsi</v>
      </c>
      <c r="B2434" s="6" t="str">
        <f>IFERROR(__xludf.DUMMYFUNCTION("""COMPUTED_VALUE"""),"Estados Unidos")</f>
        <v>Estados Unidos</v>
      </c>
      <c r="C2434" s="6" t="str">
        <f>IFERROR(__xludf.DUMMYFUNCTION("""COMPUTED_VALUE"""),"Messaging and Telecommunications")</f>
        <v>Messaging and Telecommunications</v>
      </c>
    </row>
    <row r="2435">
      <c r="A2435" s="6" t="str">
        <f>IFERROR(__xludf.DUMMYFUNCTION("""COMPUTED_VALUE"""),"modyo")</f>
        <v>modyo</v>
      </c>
      <c r="B2435" s="6" t="str">
        <f>IFERROR(__xludf.DUMMYFUNCTION("""COMPUTED_VALUE"""),"Chile")</f>
        <v>Chile</v>
      </c>
      <c r="C2435" s="6" t="str">
        <f>IFERROR(__xludf.DUMMYFUNCTION("""COMPUTED_VALUE"""),"Software Factory / Staffing")</f>
        <v>Software Factory / Staffing</v>
      </c>
    </row>
    <row r="2436" hidden="1">
      <c r="A2436" s="6" t="str">
        <f>IFERROR(__xludf.DUMMYFUNCTION("""COMPUTED_VALUE"""),"discordoba")</f>
        <v>discordoba</v>
      </c>
      <c r="B2436" s="4"/>
      <c r="C2436" s="6" t="str">
        <f>IFERROR(__xludf.DUMMYFUNCTION("""COMPUTED_VALUE"""),"FMCG / Consumo masivo")</f>
        <v>FMCG / Consumo masivo</v>
      </c>
    </row>
    <row r="2437" hidden="1">
      <c r="A2437" s="6" t="str">
        <f>IFERROR(__xludf.DUMMYFUNCTION("""COMPUTED_VALUE"""),"hotel o2")</f>
        <v>hotel o2</v>
      </c>
      <c r="B2437" s="6" t="str">
        <f>IFERROR(__xludf.DUMMYFUNCTION("""COMPUTED_VALUE"""),"Argentina")</f>
        <v>Argentina</v>
      </c>
      <c r="C2437" s="6" t="str">
        <f>IFERROR(__xludf.DUMMYFUNCTION("""COMPUTED_VALUE"""),"Other")</f>
        <v>Other</v>
      </c>
    </row>
    <row r="2438">
      <c r="A2438" s="6" t="str">
        <f>IFERROR(__xludf.DUMMYFUNCTION("""COMPUTED_VALUE"""),"iptotal software")</f>
        <v>iptotal software</v>
      </c>
      <c r="B2438" s="6" t="str">
        <f>IFERROR(__xludf.DUMMYFUNCTION("""COMPUTED_VALUE"""),"Colombia")</f>
        <v>Colombia</v>
      </c>
      <c r="C2438" s="6" t="str">
        <f>IFERROR(__xludf.DUMMYFUNCTION("""COMPUTED_VALUE"""),"Software Factory / Staffing")</f>
        <v>Software Factory / Staffing</v>
      </c>
    </row>
    <row r="2439" hidden="1">
      <c r="A2439" s="6" t="str">
        <f>IFERROR(__xludf.DUMMYFUNCTION("""COMPUTED_VALUE"""),"jaguar")</f>
        <v>jaguar</v>
      </c>
      <c r="B2439" s="6" t="str">
        <f>IFERROR(__xludf.DUMMYFUNCTION("""COMPUTED_VALUE"""),"Reino Unido")</f>
        <v>Reino Unido</v>
      </c>
      <c r="C2439" s="6" t="str">
        <f>IFERROR(__xludf.DUMMYFUNCTION("""COMPUTED_VALUE"""),"Mechanical/Industrial Engineering")</f>
        <v>Mechanical/Industrial Engineering</v>
      </c>
    </row>
    <row r="2440">
      <c r="A2440" s="6" t="str">
        <f>IFERROR(__xludf.DUMMYFUNCTION("""COMPUTED_VALUE"""),"fateryh")</f>
        <v>fateryh</v>
      </c>
      <c r="B2440" s="6" t="str">
        <f>IFERROR(__xludf.DUMMYFUNCTION("""COMPUTED_VALUE"""),"Argentina")</f>
        <v>Argentina</v>
      </c>
      <c r="C2440" s="4"/>
    </row>
    <row r="2441" hidden="1">
      <c r="A2441" s="6" t="str">
        <f>IFERROR(__xludf.DUMMYFUNCTION("""COMPUTED_VALUE"""),"elite automátion group")</f>
        <v>elite automátion group</v>
      </c>
      <c r="B2441" s="6" t="str">
        <f>IFERROR(__xludf.DUMMYFUNCTION("""COMPUTED_VALUE"""),"Colombia")</f>
        <v>Colombia</v>
      </c>
      <c r="C2441" s="4"/>
    </row>
    <row r="2442" hidden="1">
      <c r="A2442" s="6" t="str">
        <f>IFERROR(__xludf.DUMMYFUNCTION("""COMPUTED_VALUE"""),"cencap")</f>
        <v>cencap</v>
      </c>
      <c r="B2442" s="6" t="str">
        <f>IFERROR(__xludf.DUMMYFUNCTION("""COMPUTED_VALUE"""),"Argentina")</f>
        <v>Argentina</v>
      </c>
      <c r="C2442" s="6" t="str">
        <f>IFERROR(__xludf.DUMMYFUNCTION("""COMPUTED_VALUE"""),"Education &amp; Edtech")</f>
        <v>Education &amp; Edtech</v>
      </c>
    </row>
    <row r="2443" hidden="1">
      <c r="A2443" s="6" t="str">
        <f>IFERROR(__xludf.DUMMYFUNCTION("""COMPUTED_VALUE"""),"virtual dreams")</f>
        <v>virtual dreams</v>
      </c>
      <c r="B2443" s="6" t="str">
        <f>IFERROR(__xludf.DUMMYFUNCTION("""COMPUTED_VALUE"""),"Argentina")</f>
        <v>Argentina</v>
      </c>
      <c r="C2443" s="6" t="str">
        <f>IFERROR(__xludf.DUMMYFUNCTION("""COMPUTED_VALUE"""),"Software Factory / Staffing")</f>
        <v>Software Factory / Staffing</v>
      </c>
    </row>
    <row r="2444" hidden="1">
      <c r="A2444" s="6" t="str">
        <f>IFERROR(__xludf.DUMMYFUNCTION("""COMPUTED_VALUE"""),"gonni")</f>
        <v>gonni</v>
      </c>
      <c r="B2444" s="6" t="str">
        <f>IFERROR(__xludf.DUMMYFUNCTION("""COMPUTED_VALUE"""),"Argentina")</f>
        <v>Argentina</v>
      </c>
      <c r="C2444" s="6" t="str">
        <f>IFERROR(__xludf.DUMMYFUNCTION("""COMPUTED_VALUE"""),"Software Factory / Staffing")</f>
        <v>Software Factory / Staffing</v>
      </c>
    </row>
    <row r="2445" hidden="1">
      <c r="A2445" s="6" t="str">
        <f>IFERROR(__xludf.DUMMYFUNCTION("""COMPUTED_VALUE"""),"platec")</f>
        <v>platec</v>
      </c>
      <c r="B2445" s="6" t="str">
        <f>IFERROR(__xludf.DUMMYFUNCTION("""COMPUTED_VALUE"""),"Argentina")</f>
        <v>Argentina</v>
      </c>
      <c r="C2445" s="6" t="str">
        <f>IFERROR(__xludf.DUMMYFUNCTION("""COMPUTED_VALUE"""),"Other")</f>
        <v>Other</v>
      </c>
    </row>
    <row r="2446" hidden="1">
      <c r="A2446" s="6" t="str">
        <f>IFERROR(__xludf.DUMMYFUNCTION("""COMPUTED_VALUE"""),"grafeno repuestos sas")</f>
        <v>grafeno repuestos sas</v>
      </c>
      <c r="B2446" s="4"/>
      <c r="C2446" s="4"/>
    </row>
    <row r="2447">
      <c r="A2447" s="6" t="str">
        <f>IFERROR(__xludf.DUMMYFUNCTION("""COMPUTED_VALUE"""),"icubos solutions")</f>
        <v>icubos solutions</v>
      </c>
      <c r="B2447" s="6" t="str">
        <f>IFERROR(__xludf.DUMMYFUNCTION("""COMPUTED_VALUE"""),"Colombia")</f>
        <v>Colombia</v>
      </c>
      <c r="C2447" s="6" t="str">
        <f>IFERROR(__xludf.DUMMYFUNCTION("""COMPUTED_VALUE"""),"Data &amp; Analytics")</f>
        <v>Data &amp; Analytics</v>
      </c>
    </row>
    <row r="2448" hidden="1">
      <c r="A2448" s="6" t="str">
        <f>IFERROR(__xludf.DUMMYFUNCTION("""COMPUTED_VALUE"""),"redjar")</f>
        <v>redjar</v>
      </c>
      <c r="B2448" s="6" t="str">
        <f>IFERROR(__xludf.DUMMYFUNCTION("""COMPUTED_VALUE"""),"Argentina")</f>
        <v>Argentina</v>
      </c>
      <c r="C2448" s="6" t="str">
        <f>IFERROR(__xludf.DUMMYFUNCTION("""COMPUTED_VALUE"""),"Software Factory / Staffing")</f>
        <v>Software Factory / Staffing</v>
      </c>
    </row>
    <row r="2449" hidden="1">
      <c r="A2449" s="6" t="str">
        <f>IFERROR(__xludf.DUMMYFUNCTION("""COMPUTED_VALUE"""),"flipo")</f>
        <v>flipo</v>
      </c>
      <c r="B2449" s="6" t="str">
        <f>IFERROR(__xludf.DUMMYFUNCTION("""COMPUTED_VALUE"""),"España")</f>
        <v>España</v>
      </c>
      <c r="C2449" s="6" t="str">
        <f>IFERROR(__xludf.DUMMYFUNCTION("""COMPUTED_VALUE"""),"FMCG / Consumo masivo")</f>
        <v>FMCG / Consumo masivo</v>
      </c>
    </row>
    <row r="2450">
      <c r="A2450" s="6" t="str">
        <f>IFERROR(__xludf.DUMMYFUNCTION("""COMPUTED_VALUE"""),"iscs consulting")</f>
        <v>iscs consulting</v>
      </c>
      <c r="B2450" s="6" t="str">
        <f>IFERROR(__xludf.DUMMYFUNCTION("""COMPUTED_VALUE"""),"India")</f>
        <v>India</v>
      </c>
      <c r="C2450" s="6" t="str">
        <f>IFERROR(__xludf.DUMMYFUNCTION("""COMPUTED_VALUE"""),"Software Factory / Staffing")</f>
        <v>Software Factory / Staffing</v>
      </c>
    </row>
    <row r="2451" hidden="1">
      <c r="A2451" s="6" t="str">
        <f>IFERROR(__xludf.DUMMYFUNCTION("""COMPUTED_VALUE"""),"zenith")</f>
        <v>zenith</v>
      </c>
      <c r="B2451" s="6" t="str">
        <f>IFERROR(__xludf.DUMMYFUNCTION("""COMPUTED_VALUE"""),"Reino Unido")</f>
        <v>Reino Unido</v>
      </c>
      <c r="C2451" s="6" t="str">
        <f>IFERROR(__xludf.DUMMYFUNCTION("""COMPUTED_VALUE"""),"Marketing &amp; Advertising")</f>
        <v>Marketing &amp; Advertising</v>
      </c>
    </row>
    <row r="2452" hidden="1">
      <c r="A2452" s="6" t="str">
        <f>IFERROR(__xludf.DUMMYFUNCTION("""COMPUTED_VALUE"""),"netw")</f>
        <v>netw</v>
      </c>
      <c r="B2452" s="6" t="str">
        <f>IFERROR(__xludf.DUMMYFUNCTION("""COMPUTED_VALUE"""),"Colombia")</f>
        <v>Colombia</v>
      </c>
      <c r="C2452" s="6" t="str">
        <f>IFERROR(__xludf.DUMMYFUNCTION("""COMPUTED_VALUE"""),"Software Factory / Staffing")</f>
        <v>Software Factory / Staffing</v>
      </c>
    </row>
    <row r="2453">
      <c r="A2453" s="6" t="str">
        <f>IFERROR(__xludf.DUMMYFUNCTION("""COMPUTED_VALUE"""),"el madero")</f>
        <v>el madero</v>
      </c>
      <c r="B2453" s="4"/>
      <c r="C2453" s="6" t="str">
        <f>IFERROR(__xludf.DUMMYFUNCTION("""COMPUTED_VALUE"""),"Messaging and Telecommunications")</f>
        <v>Messaging and Telecommunications</v>
      </c>
    </row>
    <row r="2454" hidden="1">
      <c r="A2454" s="6" t="str">
        <f>IFERROR(__xludf.DUMMYFUNCTION("""COMPUTED_VALUE"""),"jacgsaw")</f>
        <v>jacgsaw</v>
      </c>
      <c r="B2454" s="4"/>
      <c r="C2454" s="4"/>
    </row>
    <row r="2455" hidden="1">
      <c r="A2455" s="6" t="str">
        <f>IFERROR(__xludf.DUMMYFUNCTION("""COMPUTED_VALUE"""),"dxc")</f>
        <v>dxc</v>
      </c>
      <c r="B2455" s="6" t="str">
        <f>IFERROR(__xludf.DUMMYFUNCTION("""COMPUTED_VALUE"""),"Estados Unidos")</f>
        <v>Estados Unidos</v>
      </c>
      <c r="C2455" s="6" t="str">
        <f>IFERROR(__xludf.DUMMYFUNCTION("""COMPUTED_VALUE"""),"Software Factory / Staffing")</f>
        <v>Software Factory / Staffing</v>
      </c>
    </row>
    <row r="2456" hidden="1">
      <c r="A2456" s="6" t="str">
        <f>IFERROR(__xludf.DUMMYFUNCTION("""COMPUTED_VALUE"""),"bictus")</f>
        <v>bictus</v>
      </c>
      <c r="B2456" s="4"/>
      <c r="C2456" s="6" t="str">
        <f>IFERROR(__xludf.DUMMYFUNCTION("""COMPUTED_VALUE"""),"Health")</f>
        <v>Health</v>
      </c>
    </row>
    <row r="2457" hidden="1">
      <c r="A2457" s="6" t="str">
        <f>IFERROR(__xludf.DUMMYFUNCTION("""COMPUTED_VALUE"""),"sisorg")</f>
        <v>sisorg</v>
      </c>
      <c r="B2457" s="6" t="str">
        <f>IFERROR(__xludf.DUMMYFUNCTION("""COMPUTED_VALUE"""),"Argentina")</f>
        <v>Argentina</v>
      </c>
      <c r="C2457" s="6" t="str">
        <f>IFERROR(__xludf.DUMMYFUNCTION("""COMPUTED_VALUE"""),"Software Factory / Staffing")</f>
        <v>Software Factory / Staffing</v>
      </c>
    </row>
    <row r="2458" hidden="1">
      <c r="A2458" s="6" t="str">
        <f>IFERROR(__xludf.DUMMYFUNCTION("""COMPUTED_VALUE"""),"blipconnection")</f>
        <v>blipconnection</v>
      </c>
      <c r="B2458" s="6" t="str">
        <f>IFERROR(__xludf.DUMMYFUNCTION("""COMPUTED_VALUE"""),"Brasil")</f>
        <v>Brasil</v>
      </c>
      <c r="C2458" s="6" t="str">
        <f>IFERROR(__xludf.DUMMYFUNCTION("""COMPUTED_VALUE"""),"Software Factory / Staffing")</f>
        <v>Software Factory / Staffing</v>
      </c>
    </row>
    <row r="2459" hidden="1">
      <c r="A2459" s="6" t="str">
        <f>IFERROR(__xludf.DUMMYFUNCTION("""COMPUTED_VALUE"""),"global digiops")</f>
        <v>global digiops</v>
      </c>
      <c r="B2459" s="6" t="str">
        <f>IFERROR(__xludf.DUMMYFUNCTION("""COMPUTED_VALUE"""),"Estados Unidos")</f>
        <v>Estados Unidos</v>
      </c>
      <c r="C2459" s="6" t="str">
        <f>IFERROR(__xludf.DUMMYFUNCTION("""COMPUTED_VALUE"""),"Software Factory / Staffing")</f>
        <v>Software Factory / Staffing</v>
      </c>
    </row>
    <row r="2460" hidden="1">
      <c r="A2460" s="6" t="str">
        <f>IFERROR(__xludf.DUMMYFUNCTION("""COMPUTED_VALUE"""),"termotasajero sa")</f>
        <v>termotasajero sa</v>
      </c>
      <c r="B2460" s="6" t="str">
        <f>IFERROR(__xludf.DUMMYFUNCTION("""COMPUTED_VALUE"""),"Colombia")</f>
        <v>Colombia</v>
      </c>
      <c r="C2460" s="6" t="str">
        <f>IFERROR(__xludf.DUMMYFUNCTION("""COMPUTED_VALUE"""),"Public Center")</f>
        <v>Public Center</v>
      </c>
    </row>
    <row r="2461" hidden="1">
      <c r="A2461" s="6" t="str">
        <f>IFERROR(__xludf.DUMMYFUNCTION("""COMPUTED_VALUE"""),"mytaskpanel")</f>
        <v>mytaskpanel</v>
      </c>
      <c r="B2461" s="6" t="str">
        <f>IFERROR(__xludf.DUMMYFUNCTION("""COMPUTED_VALUE"""),"España")</f>
        <v>España</v>
      </c>
      <c r="C2461" s="6" t="str">
        <f>IFERROR(__xludf.DUMMYFUNCTION("""COMPUTED_VALUE"""),"Software Factory / Staffing")</f>
        <v>Software Factory / Staffing</v>
      </c>
    </row>
    <row r="2462" hidden="1">
      <c r="A2462" s="6" t="str">
        <f>IFERROR(__xludf.DUMMYFUNCTION("""COMPUTED_VALUE"""),"osapiens")</f>
        <v>osapiens</v>
      </c>
      <c r="B2462" s="6" t="str">
        <f>IFERROR(__xludf.DUMMYFUNCTION("""COMPUTED_VALUE"""),"Alemania")</f>
        <v>Alemania</v>
      </c>
      <c r="C2462" s="6" t="str">
        <f>IFERROR(__xludf.DUMMYFUNCTION("""COMPUTED_VALUE"""),"Software Factory / Staffing")</f>
        <v>Software Factory / Staffing</v>
      </c>
    </row>
    <row r="2463" hidden="1">
      <c r="A2463" s="6" t="str">
        <f>IFERROR(__xludf.DUMMYFUNCTION("""COMPUTED_VALUE"""),"de créditos")</f>
        <v>de créditos</v>
      </c>
      <c r="B2463" s="6" t="str">
        <f>IFERROR(__xludf.DUMMYFUNCTION("""COMPUTED_VALUE"""),"España")</f>
        <v>España</v>
      </c>
      <c r="C2463" s="6" t="str">
        <f>IFERROR(__xludf.DUMMYFUNCTION("""COMPUTED_VALUE"""),"Banking &amp; Financial Servicies")</f>
        <v>Banking &amp; Financial Servicies</v>
      </c>
    </row>
    <row r="2464" hidden="1">
      <c r="A2464" s="6" t="str">
        <f>IFERROR(__xludf.DUMMYFUNCTION("""COMPUTED_VALUE"""),"instituto otorrinolaringologico arauz")</f>
        <v>instituto otorrinolaringologico arauz</v>
      </c>
      <c r="B2464" s="6" t="str">
        <f>IFERROR(__xludf.DUMMYFUNCTION("""COMPUTED_VALUE"""),"Argentina")</f>
        <v>Argentina</v>
      </c>
      <c r="C2464" s="6" t="str">
        <f>IFERROR(__xludf.DUMMYFUNCTION("""COMPUTED_VALUE"""),"Health")</f>
        <v>Health</v>
      </c>
    </row>
    <row r="2465" hidden="1">
      <c r="A2465" s="6" t="str">
        <f>IFERROR(__xludf.DUMMYFUNCTION("""COMPUTED_VALUE"""),"blautech")</f>
        <v>blautech</v>
      </c>
      <c r="B2465" s="6" t="str">
        <f>IFERROR(__xludf.DUMMYFUNCTION("""COMPUTED_VALUE"""),"Mexico")</f>
        <v>Mexico</v>
      </c>
      <c r="C2465" s="6" t="str">
        <f>IFERROR(__xludf.DUMMYFUNCTION("""COMPUTED_VALUE"""),"Software Factory / Staffing")</f>
        <v>Software Factory / Staffing</v>
      </c>
    </row>
    <row r="2466" hidden="1">
      <c r="A2466" s="6" t="str">
        <f>IFERROR(__xludf.DUMMYFUNCTION("""COMPUTED_VALUE"""),"koala house")</f>
        <v>koala house</v>
      </c>
      <c r="B2466" s="6" t="str">
        <f>IFERROR(__xludf.DUMMYFUNCTION("""COMPUTED_VALUE"""),"Estados Unidos")</f>
        <v>Estados Unidos</v>
      </c>
      <c r="C2466" s="6" t="str">
        <f>IFERROR(__xludf.DUMMYFUNCTION("""COMPUTED_VALUE"""),"Education &amp; Edtech")</f>
        <v>Education &amp; Edtech</v>
      </c>
    </row>
    <row r="2467">
      <c r="A2467" s="6" t="str">
        <f>IFERROR(__xludf.DUMMYFUNCTION("""COMPUTED_VALUE"""),"universidad autonoma de aguascalientes")</f>
        <v>universidad autonoma de aguascalientes</v>
      </c>
      <c r="B2467" s="6" t="str">
        <f>IFERROR(__xludf.DUMMYFUNCTION("""COMPUTED_VALUE"""),"Mexico")</f>
        <v>Mexico</v>
      </c>
      <c r="C2467" s="6" t="str">
        <f>IFERROR(__xludf.DUMMYFUNCTION("""COMPUTED_VALUE"""),"Public Center")</f>
        <v>Public Center</v>
      </c>
    </row>
    <row r="2468" hidden="1">
      <c r="A2468" s="6" t="str">
        <f>IFERROR(__xludf.DUMMYFUNCTION("""COMPUTED_VALUE"""),"anachronics s.a")</f>
        <v>anachronics s.a</v>
      </c>
      <c r="B2468" s="6" t="str">
        <f>IFERROR(__xludf.DUMMYFUNCTION("""COMPUTED_VALUE"""),"Argentina")</f>
        <v>Argentina</v>
      </c>
      <c r="C2468" s="6" t="str">
        <f>IFERROR(__xludf.DUMMYFUNCTION("""COMPUTED_VALUE"""),"Software Factory / Staffing")</f>
        <v>Software Factory / Staffing</v>
      </c>
    </row>
    <row r="2469" hidden="1">
      <c r="A2469" s="6" t="str">
        <f>IFERROR(__xludf.DUMMYFUNCTION("""COMPUTED_VALUE"""),"códice estratégico")</f>
        <v>códice estratégico</v>
      </c>
      <c r="B2469" s="4"/>
      <c r="C2469" s="4"/>
    </row>
    <row r="2470" hidden="1">
      <c r="A2470" s="6" t="str">
        <f>IFERROR(__xludf.DUMMYFUNCTION("""COMPUTED_VALUE"""),"medical esthetic malederma")</f>
        <v>medical esthetic malederma</v>
      </c>
      <c r="B2470" s="6" t="str">
        <f>IFERROR(__xludf.DUMMYFUNCTION("""COMPUTED_VALUE"""),"Mexico")</f>
        <v>Mexico</v>
      </c>
      <c r="C2470" s="6" t="str">
        <f>IFERROR(__xludf.DUMMYFUNCTION("""COMPUTED_VALUE"""),"Health")</f>
        <v>Health</v>
      </c>
    </row>
    <row r="2471" hidden="1">
      <c r="A2471" s="6" t="str">
        <f>IFERROR(__xludf.DUMMYFUNCTION("""COMPUTED_VALUE"""),"grupo max")</f>
        <v>grupo max</v>
      </c>
      <c r="B2471" s="4"/>
      <c r="C2471" s="4"/>
    </row>
    <row r="2472" hidden="1">
      <c r="A2472" s="6" t="str">
        <f>IFERROR(__xludf.DUMMYFUNCTION("""COMPUTED_VALUE"""),"segurity group")</f>
        <v>segurity group</v>
      </c>
      <c r="B2472" s="6" t="str">
        <f>IFERROR(__xludf.DUMMYFUNCTION("""COMPUTED_VALUE"""),"Argentina")</f>
        <v>Argentina</v>
      </c>
      <c r="C2472" s="6" t="str">
        <f>IFERROR(__xludf.DUMMYFUNCTION("""COMPUTED_VALUE"""),"Other")</f>
        <v>Other</v>
      </c>
    </row>
    <row r="2473" hidden="1">
      <c r="A2473" s="6" t="str">
        <f>IFERROR(__xludf.DUMMYFUNCTION("""COMPUTED_VALUE"""),"legalhub")</f>
        <v>legalhub</v>
      </c>
      <c r="B2473" s="6" t="str">
        <f>IFERROR(__xludf.DUMMYFUNCTION("""COMPUTED_VALUE"""),"Argentina")</f>
        <v>Argentina</v>
      </c>
      <c r="C2473" s="6" t="str">
        <f>IFERROR(__xludf.DUMMYFUNCTION("""COMPUTED_VALUE"""),"Law/Legal Services")</f>
        <v>Law/Legal Services</v>
      </c>
    </row>
    <row r="2474" hidden="1">
      <c r="A2474" s="6" t="str">
        <f>IFERROR(__xludf.DUMMYFUNCTION("""COMPUTED_VALUE"""),"softoil")</f>
        <v>softoil</v>
      </c>
      <c r="B2474" s="6" t="str">
        <f>IFERROR(__xludf.DUMMYFUNCTION("""COMPUTED_VALUE"""),"Mexico")</f>
        <v>Mexico</v>
      </c>
      <c r="C2474" s="6" t="str">
        <f>IFERROR(__xludf.DUMMYFUNCTION("""COMPUTED_VALUE"""),"Software Factory / Staffing")</f>
        <v>Software Factory / Staffing</v>
      </c>
    </row>
    <row r="2475" hidden="1">
      <c r="A2475" s="6" t="str">
        <f>IFERROR(__xludf.DUMMYFUNCTION("""COMPUTED_VALUE"""),"humanly software")</f>
        <v>humanly software</v>
      </c>
      <c r="B2475" s="6" t="str">
        <f>IFERROR(__xludf.DUMMYFUNCTION("""COMPUTED_VALUE"""),"Mexico")</f>
        <v>Mexico</v>
      </c>
      <c r="C2475" s="6" t="str">
        <f>IFERROR(__xludf.DUMMYFUNCTION("""COMPUTED_VALUE"""),"Software Factory / Staffing")</f>
        <v>Software Factory / Staffing</v>
      </c>
    </row>
    <row r="2476" hidden="1">
      <c r="A2476" s="6" t="str">
        <f>IFERROR(__xludf.DUMMYFUNCTION("""COMPUTED_VALUE"""),"tob group sasu")</f>
        <v>tob group sasu</v>
      </c>
      <c r="B2476" s="4"/>
      <c r="C2476" s="4"/>
    </row>
    <row r="2477" hidden="1">
      <c r="A2477" s="6" t="str">
        <f>IFERROR(__xludf.DUMMYFUNCTION("""COMPUTED_VALUE"""),"synapsetech")</f>
        <v>synapsetech</v>
      </c>
      <c r="B2477" s="6" t="str">
        <f>IFERROR(__xludf.DUMMYFUNCTION("""COMPUTED_VALUE"""),"Estados Unidos")</f>
        <v>Estados Unidos</v>
      </c>
      <c r="C2477" s="6" t="str">
        <f>IFERROR(__xludf.DUMMYFUNCTION("""COMPUTED_VALUE"""),"Software Factory / Staffing")</f>
        <v>Software Factory / Staffing</v>
      </c>
    </row>
    <row r="2478" hidden="1">
      <c r="A2478" s="6" t="str">
        <f>IFERROR(__xludf.DUMMYFUNCTION("""COMPUTED_VALUE"""),"andromeda latam group")</f>
        <v>andromeda latam group</v>
      </c>
      <c r="B2478" s="6" t="str">
        <f>IFERROR(__xludf.DUMMYFUNCTION("""COMPUTED_VALUE"""),"Argentina")</f>
        <v>Argentina</v>
      </c>
      <c r="C2478" s="6" t="str">
        <f>IFERROR(__xludf.DUMMYFUNCTION("""COMPUTED_VALUE"""),"Software Factory / Staffing")</f>
        <v>Software Factory / Staffing</v>
      </c>
    </row>
    <row r="2479" hidden="1">
      <c r="A2479" s="6" t="str">
        <f>IFERROR(__xludf.DUMMYFUNCTION("""COMPUTED_VALUE"""),"thl")</f>
        <v>thl</v>
      </c>
      <c r="B2479" s="6" t="str">
        <f>IFERROR(__xludf.DUMMYFUNCTION("""COMPUTED_VALUE"""),"Finlandia")</f>
        <v>Finlandia</v>
      </c>
      <c r="C2479" s="6" t="str">
        <f>IFERROR(__xludf.DUMMYFUNCTION("""COMPUTED_VALUE"""),"Other")</f>
        <v>Other</v>
      </c>
    </row>
    <row r="2480" hidden="1">
      <c r="A2480" s="6" t="str">
        <f>IFERROR(__xludf.DUMMYFUNCTION("""COMPUTED_VALUE"""),"grupo penna")</f>
        <v>grupo penna</v>
      </c>
      <c r="B2480" s="6" t="str">
        <f>IFERROR(__xludf.DUMMYFUNCTION("""COMPUTED_VALUE"""),"Argentina")</f>
        <v>Argentina</v>
      </c>
      <c r="C2480" s="6" t="str">
        <f>IFERROR(__xludf.DUMMYFUNCTION("""COMPUTED_VALUE"""),"Logistics")</f>
        <v>Logistics</v>
      </c>
    </row>
    <row r="2481" hidden="1">
      <c r="A2481" s="6" t="str">
        <f>IFERROR(__xludf.DUMMYFUNCTION("""COMPUTED_VALUE"""),"rrb capital e.i.r.l")</f>
        <v>rrb capital e.i.r.l</v>
      </c>
      <c r="B2481" s="4"/>
      <c r="C2481" s="4"/>
    </row>
    <row r="2482" hidden="1">
      <c r="A2482" s="6" t="str">
        <f>IFERROR(__xludf.DUMMYFUNCTION("""COMPUTED_VALUE"""),"municipalidad de el caiman")</f>
        <v>municipalidad de el caiman</v>
      </c>
      <c r="B2482" s="6" t="str">
        <f>IFERROR(__xludf.DUMMYFUNCTION("""COMPUTED_VALUE"""),"Argentina")</f>
        <v>Argentina</v>
      </c>
      <c r="C2482" s="6" t="str">
        <f>IFERROR(__xludf.DUMMYFUNCTION("""COMPUTED_VALUE"""),"Public Center")</f>
        <v>Public Center</v>
      </c>
    </row>
    <row r="2483" hidden="1">
      <c r="A2483" s="6" t="str">
        <f>IFERROR(__xludf.DUMMYFUNCTION("""COMPUTED_VALUE"""),"gold fields")</f>
        <v>gold fields</v>
      </c>
      <c r="B2483" s="6" t="str">
        <f>IFERROR(__xludf.DUMMYFUNCTION("""COMPUTED_VALUE"""),"Sudafrica")</f>
        <v>Sudafrica</v>
      </c>
      <c r="C2483" s="6" t="str">
        <f>IFERROR(__xludf.DUMMYFUNCTION("""COMPUTED_VALUE"""),"Energy")</f>
        <v>Energy</v>
      </c>
    </row>
    <row r="2484" hidden="1">
      <c r="A2484" s="6" t="str">
        <f>IFERROR(__xludf.DUMMYFUNCTION("""COMPUTED_VALUE"""),"apas")</f>
        <v>apas</v>
      </c>
      <c r="B2484" s="6" t="str">
        <f>IFERROR(__xludf.DUMMYFUNCTION("""COMPUTED_VALUE"""),"Argentina")</f>
        <v>Argentina</v>
      </c>
      <c r="C2484" s="6" t="str">
        <f>IFERROR(__xludf.DUMMYFUNCTION("""COMPUTED_VALUE"""),"Insurance")</f>
        <v>Insurance</v>
      </c>
    </row>
    <row r="2485" hidden="1">
      <c r="A2485" s="6" t="str">
        <f>IFERROR(__xludf.DUMMYFUNCTION("""COMPUTED_VALUE"""),"excelencia digital software")</f>
        <v>excelencia digital software</v>
      </c>
      <c r="B2485" s="6" t="str">
        <f>IFERROR(__xludf.DUMMYFUNCTION("""COMPUTED_VALUE"""),"Argentina")</f>
        <v>Argentina</v>
      </c>
      <c r="C2485" s="6" t="str">
        <f>IFERROR(__xludf.DUMMYFUNCTION("""COMPUTED_VALUE"""),"Software Factory / Staffing")</f>
        <v>Software Factory / Staffing</v>
      </c>
    </row>
    <row r="2486" hidden="1">
      <c r="A2486" s="6" t="str">
        <f>IFERROR(__xludf.DUMMYFUNCTION("""COMPUTED_VALUE"""),"cereza consulting")</f>
        <v>cereza consulting</v>
      </c>
      <c r="B2486" s="4"/>
      <c r="C2486" s="6" t="str">
        <f>IFERROR(__xludf.DUMMYFUNCTION("""COMPUTED_VALUE"""),"Software Factory / Staffing")</f>
        <v>Software Factory / Staffing</v>
      </c>
    </row>
    <row r="2487" hidden="1">
      <c r="A2487" s="6" t="str">
        <f>IFERROR(__xludf.DUMMYFUNCTION("""COMPUTED_VALUE"""),"binimed")</f>
        <v>binimed</v>
      </c>
      <c r="B2487" s="6" t="str">
        <f>IFERROR(__xludf.DUMMYFUNCTION("""COMPUTED_VALUE"""),"Argentina")</f>
        <v>Argentina</v>
      </c>
      <c r="C2487" s="6" t="str">
        <f>IFERROR(__xludf.DUMMYFUNCTION("""COMPUTED_VALUE"""),"Health")</f>
        <v>Health</v>
      </c>
    </row>
    <row r="2488" hidden="1">
      <c r="A2488" s="6" t="str">
        <f>IFERROR(__xludf.DUMMYFUNCTION("""COMPUTED_VALUE"""),"crystal solutions sa")</f>
        <v>crystal solutions sa</v>
      </c>
      <c r="B2488" s="4"/>
      <c r="C2488" s="4"/>
    </row>
    <row r="2489" hidden="1">
      <c r="A2489" s="6" t="str">
        <f>IFERROR(__xludf.DUMMYFUNCTION("""COMPUTED_VALUE"""),"sintec")</f>
        <v>sintec</v>
      </c>
      <c r="B2489" s="6" t="str">
        <f>IFERROR(__xludf.DUMMYFUNCTION("""COMPUTED_VALUE"""),"Mexico")</f>
        <v>Mexico</v>
      </c>
      <c r="C2489" s="6" t="str">
        <f>IFERROR(__xludf.DUMMYFUNCTION("""COMPUTED_VALUE"""),"Management Consulting")</f>
        <v>Management Consulting</v>
      </c>
    </row>
    <row r="2490" hidden="1">
      <c r="A2490" s="6" t="str">
        <f>IFERROR(__xludf.DUMMYFUNCTION("""COMPUTED_VALUE"""),"dev place technologies")</f>
        <v>dev place technologies</v>
      </c>
      <c r="B2490" s="6" t="str">
        <f>IFERROR(__xludf.DUMMYFUNCTION("""COMPUTED_VALUE"""),"Argentina")</f>
        <v>Argentina</v>
      </c>
      <c r="C2490" s="4"/>
    </row>
    <row r="2491" hidden="1">
      <c r="A2491" s="6" t="str">
        <f>IFERROR(__xludf.DUMMYFUNCTION("""COMPUTED_VALUE"""),"municipalidad de berisso")</f>
        <v>municipalidad de berisso</v>
      </c>
      <c r="B2491" s="6" t="str">
        <f>IFERROR(__xludf.DUMMYFUNCTION("""COMPUTED_VALUE"""),"Argentina")</f>
        <v>Argentina</v>
      </c>
      <c r="C2491" s="6" t="str">
        <f>IFERROR(__xludf.DUMMYFUNCTION("""COMPUTED_VALUE"""),"Public Center")</f>
        <v>Public Center</v>
      </c>
    </row>
    <row r="2492" hidden="1">
      <c r="A2492" s="6" t="str">
        <f>IFERROR(__xludf.DUMMYFUNCTION("""COMPUTED_VALUE"""),"orange")</f>
        <v>orange</v>
      </c>
      <c r="B2492" s="6" t="str">
        <f>IFERROR(__xludf.DUMMYFUNCTION("""COMPUTED_VALUE"""),"Francia")</f>
        <v>Francia</v>
      </c>
      <c r="C2492" s="6" t="str">
        <f>IFERROR(__xludf.DUMMYFUNCTION("""COMPUTED_VALUE"""),"Messaging and Telecommunications")</f>
        <v>Messaging and Telecommunications</v>
      </c>
    </row>
    <row r="2493" hidden="1">
      <c r="A2493" s="6" t="str">
        <f>IFERROR(__xludf.DUMMYFUNCTION("""COMPUTED_VALUE"""),"perren esteban")</f>
        <v>perren esteban</v>
      </c>
      <c r="B2493" s="4"/>
      <c r="C2493" s="4"/>
    </row>
    <row r="2494" hidden="1">
      <c r="A2494" s="6" t="str">
        <f>IFERROR(__xludf.DUMMYFUNCTION("""COMPUTED_VALUE"""),"raus aus eu")</f>
        <v>raus aus eu</v>
      </c>
      <c r="B2494" s="6" t="str">
        <f>IFERROR(__xludf.DUMMYFUNCTION("""COMPUTED_VALUE"""),"Uruguay")</f>
        <v>Uruguay</v>
      </c>
      <c r="C2494" s="6" t="str">
        <f>IFERROR(__xludf.DUMMYFUNCTION("""COMPUTED_VALUE"""),"Other")</f>
        <v>Other</v>
      </c>
    </row>
    <row r="2495" hidden="1">
      <c r="A2495" s="6" t="str">
        <f>IFERROR(__xludf.DUMMYFUNCTION("""COMPUTED_VALUE"""),"simera")</f>
        <v>simera</v>
      </c>
      <c r="B2495" s="6" t="str">
        <f>IFERROR(__xludf.DUMMYFUNCTION("""COMPUTED_VALUE"""),"Estados Unidos")</f>
        <v>Estados Unidos</v>
      </c>
      <c r="C2495" s="6" t="str">
        <f>IFERROR(__xludf.DUMMYFUNCTION("""COMPUTED_VALUE"""),"Recruiting")</f>
        <v>Recruiting</v>
      </c>
    </row>
    <row r="2496" hidden="1">
      <c r="A2496" s="6" t="str">
        <f>IFERROR(__xludf.DUMMYFUNCTION("""COMPUTED_VALUE"""),"tupaca")</f>
        <v>tupaca</v>
      </c>
      <c r="B2496" s="6" t="str">
        <f>IFERROR(__xludf.DUMMYFUNCTION("""COMPUTED_VALUE"""),"Argentina")</f>
        <v>Argentina</v>
      </c>
      <c r="C2496" s="6" t="str">
        <f>IFERROR(__xludf.DUMMYFUNCTION("""COMPUTED_VALUE"""),"Software Factory / Staffing")</f>
        <v>Software Factory / Staffing</v>
      </c>
    </row>
    <row r="2497" hidden="1">
      <c r="A2497" s="6" t="str">
        <f>IFERROR(__xludf.DUMMYFUNCTION("""COMPUTED_VALUE"""),"d.i. web services")</f>
        <v>d.i. web services</v>
      </c>
      <c r="B2497" s="6" t="str">
        <f>IFERROR(__xludf.DUMMYFUNCTION("""COMPUTED_VALUE"""),"India")</f>
        <v>India</v>
      </c>
      <c r="C2497" s="6" t="str">
        <f>IFERROR(__xludf.DUMMYFUNCTION("""COMPUTED_VALUE"""),"Software Factory / Staffing")</f>
        <v>Software Factory / Staffing</v>
      </c>
    </row>
    <row r="2498" hidden="1">
      <c r="A2498" s="6" t="str">
        <f>IFERROR(__xludf.DUMMYFUNCTION("""COMPUTED_VALUE"""),"siscard s.a")</f>
        <v>siscard s.a</v>
      </c>
      <c r="B2498" s="4"/>
      <c r="C2498" s="6" t="str">
        <f>IFERROR(__xludf.DUMMYFUNCTION("""COMPUTED_VALUE"""),"Media &amp; Communication")</f>
        <v>Media &amp; Communication</v>
      </c>
    </row>
    <row r="2499" hidden="1">
      <c r="A2499" s="6" t="str">
        <f>IFERROR(__xludf.DUMMYFUNCTION("""COMPUTED_VALUE"""),"ministerio de educacion gcba")</f>
        <v>ministerio de educacion gcba</v>
      </c>
      <c r="B2499" s="4"/>
      <c r="C2499" s="6" t="str">
        <f>IFERROR(__xludf.DUMMYFUNCTION("""COMPUTED_VALUE"""),"Public Center")</f>
        <v>Public Center</v>
      </c>
    </row>
    <row r="2500" hidden="1">
      <c r="A2500" s="6" t="str">
        <f>IFERROR(__xludf.DUMMYFUNCTION("""COMPUTED_VALUE"""),"eiche chile")</f>
        <v>eiche chile</v>
      </c>
      <c r="B2500" s="6" t="str">
        <f>IFERROR(__xludf.DUMMYFUNCTION("""COMPUTED_VALUE"""),"Chile")</f>
        <v>Chile</v>
      </c>
      <c r="C2500" s="6" t="str">
        <f>IFERROR(__xludf.DUMMYFUNCTION("""COMPUTED_VALUE"""),"Marketing &amp; Advertising")</f>
        <v>Marketing &amp; Advertising</v>
      </c>
    </row>
    <row r="2501" hidden="1">
      <c r="A2501" s="6" t="str">
        <f>IFERROR(__xludf.DUMMYFUNCTION("""COMPUTED_VALUE"""),"senzary")</f>
        <v>senzary</v>
      </c>
      <c r="B2501" s="6" t="str">
        <f>IFERROR(__xludf.DUMMYFUNCTION("""COMPUTED_VALUE"""),"Estados Unidos")</f>
        <v>Estados Unidos</v>
      </c>
      <c r="C2501" s="6" t="str">
        <f>IFERROR(__xludf.DUMMYFUNCTION("""COMPUTED_VALUE"""),"Data &amp; Analytics")</f>
        <v>Data &amp; Analytics</v>
      </c>
    </row>
    <row r="2502" hidden="1">
      <c r="A2502" s="6" t="str">
        <f>IFERROR(__xludf.DUMMYFUNCTION("""COMPUTED_VALUE"""),"banesco seguros")</f>
        <v>banesco seguros</v>
      </c>
      <c r="B2502" s="6" t="str">
        <f>IFERROR(__xludf.DUMMYFUNCTION("""COMPUTED_VALUE"""),"Venezuela")</f>
        <v>Venezuela</v>
      </c>
      <c r="C2502" s="6" t="str">
        <f>IFERROR(__xludf.DUMMYFUNCTION("""COMPUTED_VALUE"""),"Insurance")</f>
        <v>Insurance</v>
      </c>
    </row>
    <row r="2503" hidden="1">
      <c r="A2503" s="6" t="str">
        <f>IFERROR(__xludf.DUMMYFUNCTION("""COMPUTED_VALUE"""),"prospect")</f>
        <v>prospect</v>
      </c>
      <c r="B2503" s="6" t="str">
        <f>IFERROR(__xludf.DUMMYFUNCTION("""COMPUTED_VALUE"""),"Dinamarca")</f>
        <v>Dinamarca</v>
      </c>
      <c r="C2503" s="6" t="str">
        <f>IFERROR(__xludf.DUMMYFUNCTION("""COMPUTED_VALUE"""),"Media &amp; Communication")</f>
        <v>Media &amp; Communication</v>
      </c>
    </row>
    <row r="2504" hidden="1">
      <c r="A2504" s="6" t="str">
        <f>IFERROR(__xludf.DUMMYFUNCTION("""COMPUTED_VALUE"""),"radical online")</f>
        <v>radical online</v>
      </c>
      <c r="B2504" s="6" t="str">
        <f>IFERROR(__xludf.DUMMYFUNCTION("""COMPUTED_VALUE"""),"Uruguay")</f>
        <v>Uruguay</v>
      </c>
      <c r="C2504" s="6" t="str">
        <f>IFERROR(__xludf.DUMMYFUNCTION("""COMPUTED_VALUE"""),"Software Factory / Staffing")</f>
        <v>Software Factory / Staffing</v>
      </c>
    </row>
    <row r="2505" hidden="1">
      <c r="A2505" s="6" t="str">
        <f>IFERROR(__xludf.DUMMYFUNCTION("""COMPUTED_VALUE"""),"superior cs group")</f>
        <v>superior cs group</v>
      </c>
      <c r="B2505" s="6" t="str">
        <f>IFERROR(__xludf.DUMMYFUNCTION("""COMPUTED_VALUE"""),"Estados Unidos")</f>
        <v>Estados Unidos</v>
      </c>
      <c r="C2505" s="6" t="str">
        <f>IFERROR(__xludf.DUMMYFUNCTION("""COMPUTED_VALUE"""),"Software Factory / Staffing")</f>
        <v>Software Factory / Staffing</v>
      </c>
    </row>
    <row r="2506" hidden="1">
      <c r="A2506" s="6" t="str">
        <f>IFERROR(__xludf.DUMMYFUNCTION("""COMPUTED_VALUE"""),"moove")</f>
        <v>moove</v>
      </c>
      <c r="B2506" s="6" t="str">
        <f>IFERROR(__xludf.DUMMYFUNCTION("""COMPUTED_VALUE"""),"Brasil")</f>
        <v>Brasil</v>
      </c>
      <c r="C2506" s="6" t="str">
        <f>IFERROR(__xludf.DUMMYFUNCTION("""COMPUTED_VALUE"""),"Energy")</f>
        <v>Energy</v>
      </c>
    </row>
    <row r="2507" hidden="1">
      <c r="A2507" s="6" t="str">
        <f>IFERROR(__xludf.DUMMYFUNCTION("""COMPUTED_VALUE"""),"vozy")</f>
        <v>vozy</v>
      </c>
      <c r="B2507" s="6" t="str">
        <f>IFERROR(__xludf.DUMMYFUNCTION("""COMPUTED_VALUE"""),"Estados Unidos")</f>
        <v>Estados Unidos</v>
      </c>
      <c r="C2507" s="6" t="str">
        <f>IFERROR(__xludf.DUMMYFUNCTION("""COMPUTED_VALUE"""),"Software Factory / Staffing")</f>
        <v>Software Factory / Staffing</v>
      </c>
    </row>
    <row r="2508" hidden="1">
      <c r="A2508" s="6" t="str">
        <f>IFERROR(__xludf.DUMMYFUNCTION("""COMPUTED_VALUE"""),"tecsci: technology for science")</f>
        <v>tecsci: technology for science</v>
      </c>
      <c r="B2508" s="6" t="str">
        <f>IFERROR(__xludf.DUMMYFUNCTION("""COMPUTED_VALUE"""),"Argentina")</f>
        <v>Argentina</v>
      </c>
      <c r="C2508" s="6" t="str">
        <f>IFERROR(__xludf.DUMMYFUNCTION("""COMPUTED_VALUE"""),"Hardware")</f>
        <v>Hardware</v>
      </c>
    </row>
    <row r="2509" hidden="1">
      <c r="A2509" s="6" t="str">
        <f>IFERROR(__xludf.DUMMYFUNCTION("""COMPUTED_VALUE"""),"desky sas")</f>
        <v>desky sas</v>
      </c>
      <c r="B2509" s="4"/>
      <c r="C2509" s="4"/>
    </row>
    <row r="2510" hidden="1">
      <c r="A2510" s="6" t="str">
        <f>IFERROR(__xludf.DUMMYFUNCTION("""COMPUTED_VALUE"""),"presto agency")</f>
        <v>presto agency</v>
      </c>
      <c r="B2510" s="6" t="str">
        <f>IFERROR(__xludf.DUMMYFUNCTION("""COMPUTED_VALUE"""),"Estados Unidos")</f>
        <v>Estados Unidos</v>
      </c>
      <c r="C2510" s="6" t="str">
        <f>IFERROR(__xludf.DUMMYFUNCTION("""COMPUTED_VALUE"""),"Marketing &amp; Advertising")</f>
        <v>Marketing &amp; Advertising</v>
      </c>
    </row>
    <row r="2511" hidden="1">
      <c r="A2511" s="6" t="str">
        <f>IFERROR(__xludf.DUMMYFUNCTION("""COMPUTED_VALUE"""),"arbi'track")</f>
        <v>arbi'track</v>
      </c>
      <c r="B2511" s="6" t="str">
        <f>IFERROR(__xludf.DUMMYFUNCTION("""COMPUTED_VALUE"""),"Argentina")</f>
        <v>Argentina</v>
      </c>
      <c r="C2511" s="6" t="str">
        <f>IFERROR(__xludf.DUMMYFUNCTION("""COMPUTED_VALUE"""),"Accounting")</f>
        <v>Accounting</v>
      </c>
    </row>
    <row r="2512" hidden="1">
      <c r="A2512" s="6" t="str">
        <f>IFERROR(__xludf.DUMMYFUNCTION("""COMPUTED_VALUE"""),"yabok technology inc.")</f>
        <v>yabok technology inc.</v>
      </c>
      <c r="B2512" s="6" t="str">
        <f>IFERROR(__xludf.DUMMYFUNCTION("""COMPUTED_VALUE"""),"Estados Unidos")</f>
        <v>Estados Unidos</v>
      </c>
      <c r="C2512" s="6" t="str">
        <f>IFERROR(__xludf.DUMMYFUNCTION("""COMPUTED_VALUE"""),"Management Consulting")</f>
        <v>Management Consulting</v>
      </c>
    </row>
    <row r="2513" hidden="1">
      <c r="A2513" s="6" t="str">
        <f>IFERROR(__xludf.DUMMYFUNCTION("""COMPUTED_VALUE"""),"lambda solution")</f>
        <v>lambda solution</v>
      </c>
      <c r="B2513" s="6" t="str">
        <f>IFERROR(__xludf.DUMMYFUNCTION("""COMPUTED_VALUE"""),"Argentina")</f>
        <v>Argentina</v>
      </c>
      <c r="C2513" s="6" t="str">
        <f>IFERROR(__xludf.DUMMYFUNCTION("""COMPUTED_VALUE"""),"Other")</f>
        <v>Other</v>
      </c>
    </row>
    <row r="2514" hidden="1">
      <c r="A2514" s="6" t="str">
        <f>IFERROR(__xludf.DUMMYFUNCTION("""COMPUTED_VALUE"""),"koyag")</f>
        <v>koyag</v>
      </c>
      <c r="B2514" s="6" t="str">
        <f>IFERROR(__xludf.DUMMYFUNCTION("""COMPUTED_VALUE"""),"Chile")</f>
        <v>Chile</v>
      </c>
      <c r="C2514" s="6" t="str">
        <f>IFERROR(__xludf.DUMMYFUNCTION("""COMPUTED_VALUE"""),"Software Factory / Staffing")</f>
        <v>Software Factory / Staffing</v>
      </c>
    </row>
    <row r="2515" hidden="1">
      <c r="A2515" s="6" t="str">
        <f>IFERROR(__xludf.DUMMYFUNCTION("""COMPUTED_VALUE"""),"elaniin")</f>
        <v>elaniin</v>
      </c>
      <c r="B2515" s="6" t="str">
        <f>IFERROR(__xludf.DUMMYFUNCTION("""COMPUTED_VALUE"""),"Argentina")</f>
        <v>Argentina</v>
      </c>
      <c r="C2515" s="6" t="str">
        <f>IFERROR(__xludf.DUMMYFUNCTION("""COMPUTED_VALUE"""),"Software Factory / Staffing")</f>
        <v>Software Factory / Staffing</v>
      </c>
    </row>
    <row r="2516" hidden="1">
      <c r="A2516" s="6" t="str">
        <f>IFERROR(__xludf.DUMMYFUNCTION("""COMPUTED_VALUE"""),"electronica megatone s.a.")</f>
        <v>electronica megatone s.a.</v>
      </c>
      <c r="B2516" s="6" t="str">
        <f>IFERROR(__xludf.DUMMYFUNCTION("""COMPUTED_VALUE"""),"Argentina")</f>
        <v>Argentina</v>
      </c>
      <c r="C2516" s="6" t="str">
        <f>IFERROR(__xludf.DUMMYFUNCTION("""COMPUTED_VALUE"""),"Other")</f>
        <v>Other</v>
      </c>
    </row>
    <row r="2517" hidden="1">
      <c r="A2517" s="6" t="str">
        <f>IFERROR(__xludf.DUMMYFUNCTION("""COMPUTED_VALUE"""),"obinte")</f>
        <v>obinte</v>
      </c>
      <c r="B2517" s="6" t="str">
        <f>IFERROR(__xludf.DUMMYFUNCTION("""COMPUTED_VALUE"""),"Ecuador")</f>
        <v>Ecuador</v>
      </c>
      <c r="C2517" s="6" t="str">
        <f>IFERROR(__xludf.DUMMYFUNCTION("""COMPUTED_VALUE"""),"Software Factory / Staffing")</f>
        <v>Software Factory / Staffing</v>
      </c>
    </row>
    <row r="2518" hidden="1">
      <c r="A2518" s="6" t="str">
        <f>IFERROR(__xludf.DUMMYFUNCTION("""COMPUTED_VALUE"""),"cencosud ventures")</f>
        <v>cencosud ventures</v>
      </c>
      <c r="B2518" s="6" t="str">
        <f>IFERROR(__xludf.DUMMYFUNCTION("""COMPUTED_VALUE"""),"Uruguay")</f>
        <v>Uruguay</v>
      </c>
      <c r="C2518" s="6" t="str">
        <f>IFERROR(__xludf.DUMMYFUNCTION("""COMPUTED_VALUE"""),"Fintech")</f>
        <v>Fintech</v>
      </c>
    </row>
    <row r="2519" hidden="1">
      <c r="A2519" s="6" t="str">
        <f>IFERROR(__xludf.DUMMYFUNCTION("""COMPUTED_VALUE"""),"reputación digital marcas y personas")</f>
        <v>reputación digital marcas y personas</v>
      </c>
      <c r="B2519" s="6" t="str">
        <f>IFERROR(__xludf.DUMMYFUNCTION("""COMPUTED_VALUE"""),"España")</f>
        <v>España</v>
      </c>
      <c r="C2519" s="6" t="str">
        <f>IFERROR(__xludf.DUMMYFUNCTION("""COMPUTED_VALUE"""),"Artificil Intelligence")</f>
        <v>Artificil Intelligence</v>
      </c>
    </row>
    <row r="2520" hidden="1">
      <c r="A2520" s="6" t="str">
        <f>IFERROR(__xludf.DUMMYFUNCTION("""COMPUTED_VALUE"""),"pixel")</f>
        <v>pixel</v>
      </c>
      <c r="B2520" s="6" t="str">
        <f>IFERROR(__xludf.DUMMYFUNCTION("""COMPUTED_VALUE"""),"Estados Unidos")</f>
        <v>Estados Unidos</v>
      </c>
      <c r="C2520" s="6" t="str">
        <f>IFERROR(__xludf.DUMMYFUNCTION("""COMPUTED_VALUE"""),"Marketing &amp; Advertising")</f>
        <v>Marketing &amp; Advertising</v>
      </c>
    </row>
    <row r="2521" hidden="1">
      <c r="A2521" s="6" t="str">
        <f>IFERROR(__xludf.DUMMYFUNCTION("""COMPUTED_VALUE"""),"icreativadigital")</f>
        <v>icreativadigital</v>
      </c>
      <c r="B2521" s="6" t="str">
        <f>IFERROR(__xludf.DUMMYFUNCTION("""COMPUTED_VALUE"""),"Colombia")</f>
        <v>Colombia</v>
      </c>
      <c r="C2521" s="6" t="str">
        <f>IFERROR(__xludf.DUMMYFUNCTION("""COMPUTED_VALUE"""),"Software Factory / Staffing")</f>
        <v>Software Factory / Staffing</v>
      </c>
    </row>
    <row r="2522" hidden="1">
      <c r="A2522" s="6" t="str">
        <f>IFERROR(__xludf.DUMMYFUNCTION("""COMPUTED_VALUE"""),"alter learning")</f>
        <v>alter learning</v>
      </c>
      <c r="B2522" s="6" t="str">
        <f>IFERROR(__xludf.DUMMYFUNCTION("""COMPUTED_VALUE"""),"Estados Unidos")</f>
        <v>Estados Unidos</v>
      </c>
      <c r="C2522" s="6" t="str">
        <f>IFERROR(__xludf.DUMMYFUNCTION("""COMPUTED_VALUE"""),"Education &amp; Edtech")</f>
        <v>Education &amp; Edtech</v>
      </c>
    </row>
    <row r="2523" hidden="1">
      <c r="A2523" s="6" t="str">
        <f>IFERROR(__xludf.DUMMYFUNCTION("""COMPUTED_VALUE"""),"nopia")</f>
        <v>nopia</v>
      </c>
      <c r="B2523" s="6" t="str">
        <f>IFERROR(__xludf.DUMMYFUNCTION("""COMPUTED_VALUE"""),"Finlandia")</f>
        <v>Finlandia</v>
      </c>
      <c r="C2523" s="6" t="str">
        <f>IFERROR(__xludf.DUMMYFUNCTION("""COMPUTED_VALUE"""),"Media &amp; Communication")</f>
        <v>Media &amp; Communication</v>
      </c>
    </row>
    <row r="2524" hidden="1">
      <c r="A2524" s="6" t="str">
        <f>IFERROR(__xludf.DUMMYFUNCTION("""COMPUTED_VALUE"""),"solser")</f>
        <v>solser</v>
      </c>
      <c r="B2524" s="6" t="str">
        <f>IFERROR(__xludf.DUMMYFUNCTION("""COMPUTED_VALUE"""),"Mexico")</f>
        <v>Mexico</v>
      </c>
      <c r="C2524" s="6" t="str">
        <f>IFERROR(__xludf.DUMMYFUNCTION("""COMPUTED_VALUE"""),"Software Factory / Staffing")</f>
        <v>Software Factory / Staffing</v>
      </c>
    </row>
    <row r="2525" hidden="1">
      <c r="A2525" s="6" t="str">
        <f>IFERROR(__xludf.DUMMYFUNCTION("""COMPUTED_VALUE"""),"cloudnet solutions")</f>
        <v>cloudnet solutions</v>
      </c>
      <c r="B2525" s="6" t="str">
        <f>IFERROR(__xludf.DUMMYFUNCTION("""COMPUTED_VALUE"""),"Argentina")</f>
        <v>Argentina</v>
      </c>
      <c r="C2525" s="6" t="str">
        <f>IFERROR(__xludf.DUMMYFUNCTION("""COMPUTED_VALUE"""),"Software Factory / Staffing")</f>
        <v>Software Factory / Staffing</v>
      </c>
    </row>
    <row r="2526" hidden="1">
      <c r="A2526" s="6" t="str">
        <f>IFERROR(__xludf.DUMMYFUNCTION("""COMPUTED_VALUE"""),"cleversoft")</f>
        <v>cleversoft</v>
      </c>
      <c r="B2526" s="6" t="str">
        <f>IFERROR(__xludf.DUMMYFUNCTION("""COMPUTED_VALUE"""),"Argentina")</f>
        <v>Argentina</v>
      </c>
      <c r="C2526" s="6" t="str">
        <f>IFERROR(__xludf.DUMMYFUNCTION("""COMPUTED_VALUE"""),"Software Factory / Staffing")</f>
        <v>Software Factory / Staffing</v>
      </c>
    </row>
    <row r="2527" hidden="1">
      <c r="A2527" s="6" t="str">
        <f>IFERROR(__xludf.DUMMYFUNCTION("""COMPUTED_VALUE"""),"pixel digital inc.")</f>
        <v>pixel digital inc.</v>
      </c>
      <c r="B2527" s="6" t="str">
        <f>IFERROR(__xludf.DUMMYFUNCTION("""COMPUTED_VALUE"""),"Emiratos Árabes Unidos")</f>
        <v>Emiratos Árabes Unidos</v>
      </c>
      <c r="C2527" s="6" t="str">
        <f>IFERROR(__xludf.DUMMYFUNCTION("""COMPUTED_VALUE"""),"Marketing &amp; Advertising")</f>
        <v>Marketing &amp; Advertising</v>
      </c>
    </row>
    <row r="2528" hidden="1">
      <c r="A2528" s="6" t="str">
        <f>IFERROR(__xludf.DUMMYFUNCTION("""COMPUTED_VALUE"""),"amx argentina s.a.")</f>
        <v>amx argentina s.a.</v>
      </c>
      <c r="B2528" s="6" t="str">
        <f>IFERROR(__xludf.DUMMYFUNCTION("""COMPUTED_VALUE"""),"Argentina")</f>
        <v>Argentina</v>
      </c>
      <c r="C2528" s="4"/>
    </row>
    <row r="2529" hidden="1">
      <c r="A2529" s="6" t="str">
        <f>IFERROR(__xludf.DUMMYFUNCTION("""COMPUTED_VALUE"""),"izzi telecomm")</f>
        <v>izzi telecomm</v>
      </c>
      <c r="B2529" s="6" t="str">
        <f>IFERROR(__xludf.DUMMYFUNCTION("""COMPUTED_VALUE"""),"Mexico")</f>
        <v>Mexico</v>
      </c>
      <c r="C2529" s="6" t="str">
        <f>IFERROR(__xludf.DUMMYFUNCTION("""COMPUTED_VALUE"""),"Messaging and Telecommunications")</f>
        <v>Messaging and Telecommunications</v>
      </c>
    </row>
    <row r="2530" hidden="1">
      <c r="A2530" s="6" t="str">
        <f>IFERROR(__xludf.DUMMYFUNCTION("""COMPUTED_VALUE"""),"voolkia")</f>
        <v>voolkia</v>
      </c>
      <c r="B2530" s="6" t="str">
        <f>IFERROR(__xludf.DUMMYFUNCTION("""COMPUTED_VALUE"""),"Argentina")</f>
        <v>Argentina</v>
      </c>
      <c r="C2530" s="6" t="str">
        <f>IFERROR(__xludf.DUMMYFUNCTION("""COMPUTED_VALUE"""),"Software Factory / Staffing")</f>
        <v>Software Factory / Staffing</v>
      </c>
    </row>
    <row r="2531" hidden="1">
      <c r="A2531" s="6" t="str">
        <f>IFERROR(__xludf.DUMMYFUNCTION("""COMPUTED_VALUE"""),"4agile")</f>
        <v>4agile</v>
      </c>
      <c r="B2531" s="6" t="str">
        <f>IFERROR(__xludf.DUMMYFUNCTION("""COMPUTED_VALUE"""),"Chile")</f>
        <v>Chile</v>
      </c>
      <c r="C2531" s="6" t="str">
        <f>IFERROR(__xludf.DUMMYFUNCTION("""COMPUTED_VALUE"""),"Software Factory / Staffing")</f>
        <v>Software Factory / Staffing</v>
      </c>
    </row>
    <row r="2532" hidden="1">
      <c r="A2532" s="6" t="str">
        <f>IFERROR(__xludf.DUMMYFUNCTION("""COMPUTED_VALUE"""),"spire innovaciones sa de cv")</f>
        <v>spire innovaciones sa de cv</v>
      </c>
      <c r="B2532" s="4"/>
      <c r="C2532" s="4"/>
    </row>
    <row r="2533" hidden="1">
      <c r="A2533" s="6" t="str">
        <f>IFERROR(__xludf.DUMMYFUNCTION("""COMPUTED_VALUE"""),"subsecretaría de salud de la provincia de neuquén")</f>
        <v>subsecretaría de salud de la provincia de neuquén</v>
      </c>
      <c r="B2533" s="6" t="str">
        <f>IFERROR(__xludf.DUMMYFUNCTION("""COMPUTED_VALUE"""),"Argentina")</f>
        <v>Argentina</v>
      </c>
      <c r="C2533" s="6" t="str">
        <f>IFERROR(__xludf.DUMMYFUNCTION("""COMPUTED_VALUE"""),"Public Center")</f>
        <v>Public Center</v>
      </c>
    </row>
    <row r="2534" hidden="1">
      <c r="A2534" s="6" t="str">
        <f>IFERROR(__xludf.DUMMYFUNCTION("""COMPUTED_VALUE"""),"grassi s.a")</f>
        <v>grassi s.a</v>
      </c>
      <c r="B2534" s="6" t="str">
        <f>IFERROR(__xludf.DUMMYFUNCTION("""COMPUTED_VALUE"""),"Argentina")</f>
        <v>Argentina</v>
      </c>
      <c r="C2534" s="6" t="str">
        <f>IFERROR(__xludf.DUMMYFUNCTION("""COMPUTED_VALUE"""),"Agtech / Agro")</f>
        <v>Agtech / Agro</v>
      </c>
    </row>
    <row r="2535" hidden="1">
      <c r="A2535" s="6" t="str">
        <f>IFERROR(__xludf.DUMMYFUNCTION("""COMPUTED_VALUE"""),"grupomas")</f>
        <v>grupomas</v>
      </c>
      <c r="B2535" s="6" t="str">
        <f>IFERROR(__xludf.DUMMYFUNCTION("""COMPUTED_VALUE"""),"Argentina")</f>
        <v>Argentina</v>
      </c>
      <c r="C2535" s="6" t="str">
        <f>IFERROR(__xludf.DUMMYFUNCTION("""COMPUTED_VALUE"""),"Software Factory / Staffing")</f>
        <v>Software Factory / Staffing</v>
      </c>
    </row>
    <row r="2536" hidden="1">
      <c r="A2536" s="6" t="str">
        <f>IFERROR(__xludf.DUMMYFUNCTION("""COMPUTED_VALUE"""),"extendeal")</f>
        <v>extendeal</v>
      </c>
      <c r="B2536" s="6" t="str">
        <f>IFERROR(__xludf.DUMMYFUNCTION("""COMPUTED_VALUE"""),"Argentina")</f>
        <v>Argentina</v>
      </c>
      <c r="C2536" s="6" t="str">
        <f>IFERROR(__xludf.DUMMYFUNCTION("""COMPUTED_VALUE"""),"Software Factory / Staffing")</f>
        <v>Software Factory / Staffing</v>
      </c>
    </row>
    <row r="2537" hidden="1">
      <c r="A2537" s="6" t="str">
        <f>IFERROR(__xludf.DUMMYFUNCTION("""COMPUTED_VALUE"""),"expasion holding")</f>
        <v>expasion holding</v>
      </c>
      <c r="B2537" s="4"/>
      <c r="C2537" s="4"/>
    </row>
    <row r="2538" hidden="1">
      <c r="A2538" s="6" t="str">
        <f>IFERROR(__xludf.DUMMYFUNCTION("""COMPUTED_VALUE"""),"gocode spa")</f>
        <v>gocode spa</v>
      </c>
      <c r="B2538" s="6" t="str">
        <f>IFERROR(__xludf.DUMMYFUNCTION("""COMPUTED_VALUE"""),"Chile")</f>
        <v>Chile</v>
      </c>
      <c r="C2538" s="6" t="str">
        <f>IFERROR(__xludf.DUMMYFUNCTION("""COMPUTED_VALUE"""),"Software Factory / Staffing")</f>
        <v>Software Factory / Staffing</v>
      </c>
    </row>
    <row r="2539" hidden="1">
      <c r="A2539" s="6" t="str">
        <f>IFERROR(__xludf.DUMMYFUNCTION("""COMPUTED_VALUE"""),"insigneo")</f>
        <v>insigneo</v>
      </c>
      <c r="B2539" s="6" t="str">
        <f>IFERROR(__xludf.DUMMYFUNCTION("""COMPUTED_VALUE"""),"Estados Unidos")</f>
        <v>Estados Unidos</v>
      </c>
      <c r="C2539" s="6" t="str">
        <f>IFERROR(__xludf.DUMMYFUNCTION("""COMPUTED_VALUE"""),"Banking &amp; Financial Servicies")</f>
        <v>Banking &amp; Financial Servicies</v>
      </c>
    </row>
    <row r="2540" hidden="1">
      <c r="A2540" s="6" t="str">
        <f>IFERROR(__xludf.DUMMYFUNCTION("""COMPUTED_VALUE"""),"vetecografías")</f>
        <v>vetecografías</v>
      </c>
      <c r="B2540" s="4"/>
      <c r="C2540" s="4"/>
    </row>
    <row r="2541" hidden="1">
      <c r="A2541" s="6" t="str">
        <f>IFERROR(__xludf.DUMMYFUNCTION("""COMPUTED_VALUE"""),"doit cloud consulting")</f>
        <v>doit cloud consulting</v>
      </c>
      <c r="B2541" s="6" t="str">
        <f>IFERROR(__xludf.DUMMYFUNCTION("""COMPUTED_VALUE"""),"Mexico")</f>
        <v>Mexico</v>
      </c>
      <c r="C2541" s="6" t="str">
        <f>IFERROR(__xludf.DUMMYFUNCTION("""COMPUTED_VALUE"""),"Software Factory / Staffing")</f>
        <v>Software Factory / Staffing</v>
      </c>
    </row>
    <row r="2542" hidden="1">
      <c r="A2542" s="6" t="str">
        <f>IFERROR(__xludf.DUMMYFUNCTION("""COMPUTED_VALUE"""),"hotel management s.a.")</f>
        <v>hotel management s.a.</v>
      </c>
      <c r="B2542" s="6" t="str">
        <f>IFERROR(__xludf.DUMMYFUNCTION("""COMPUTED_VALUE"""),"Argentina")</f>
        <v>Argentina</v>
      </c>
      <c r="C2542" s="6" t="str">
        <f>IFERROR(__xludf.DUMMYFUNCTION("""COMPUTED_VALUE"""),"Other")</f>
        <v>Other</v>
      </c>
    </row>
    <row r="2543" hidden="1">
      <c r="A2543" s="6" t="str">
        <f>IFERROR(__xludf.DUMMYFUNCTION("""COMPUTED_VALUE"""),"doctor sales")</f>
        <v>doctor sales</v>
      </c>
      <c r="B2543" s="6" t="str">
        <f>IFERROR(__xludf.DUMMYFUNCTION("""COMPUTED_VALUE"""),"Argentina")</f>
        <v>Argentina</v>
      </c>
      <c r="C2543" s="6" t="str">
        <f>IFERROR(__xludf.DUMMYFUNCTION("""COMPUTED_VALUE"""),"Marketing &amp; Advertising")</f>
        <v>Marketing &amp; Advertising</v>
      </c>
    </row>
    <row r="2544" hidden="1">
      <c r="A2544" s="6" t="str">
        <f>IFERROR(__xludf.DUMMYFUNCTION("""COMPUTED_VALUE"""),"techminds")</f>
        <v>techminds</v>
      </c>
      <c r="B2544" s="6" t="str">
        <f>IFERROR(__xludf.DUMMYFUNCTION("""COMPUTED_VALUE"""),"Estados Unidos")</f>
        <v>Estados Unidos</v>
      </c>
      <c r="C2544" s="6" t="str">
        <f>IFERROR(__xludf.DUMMYFUNCTION("""COMPUTED_VALUE"""),"Software Factory / Staffing")</f>
        <v>Software Factory / Staffing</v>
      </c>
    </row>
    <row r="2545" hidden="1">
      <c r="A2545" s="6" t="str">
        <f>IFERROR(__xludf.DUMMYFUNCTION("""COMPUTED_VALUE"""),"company pro")</f>
        <v>company pro</v>
      </c>
      <c r="B2545" s="6" t="str">
        <f>IFERROR(__xludf.DUMMYFUNCTION("""COMPUTED_VALUE"""),"Dubai")</f>
        <v>Dubai</v>
      </c>
      <c r="C2545" s="6" t="str">
        <f>IFERROR(__xludf.DUMMYFUNCTION("""COMPUTED_VALUE"""),"Marketing &amp; Advertising")</f>
        <v>Marketing &amp; Advertising</v>
      </c>
    </row>
    <row r="2546" hidden="1">
      <c r="A2546" s="6" t="str">
        <f>IFERROR(__xludf.DUMMYFUNCTION("""COMPUTED_VALUE"""),"buyins s. a.")</f>
        <v>buyins s. a.</v>
      </c>
      <c r="B2546" s="6" t="str">
        <f>IFERROR(__xludf.DUMMYFUNCTION("""COMPUTED_VALUE"""),"Estados Unidos")</f>
        <v>Estados Unidos</v>
      </c>
      <c r="C2546" s="6" t="str">
        <f>IFERROR(__xludf.DUMMYFUNCTION("""COMPUTED_VALUE"""),"Artificil Intelligence")</f>
        <v>Artificil Intelligence</v>
      </c>
    </row>
    <row r="2547" hidden="1">
      <c r="A2547" s="6" t="str">
        <f>IFERROR(__xludf.DUMMYFUNCTION("""COMPUTED_VALUE"""),"thinkly")</f>
        <v>thinkly</v>
      </c>
      <c r="B2547" s="6" t="str">
        <f>IFERROR(__xludf.DUMMYFUNCTION("""COMPUTED_VALUE"""),"India")</f>
        <v>India</v>
      </c>
      <c r="C2547" s="6" t="str">
        <f>IFERROR(__xludf.DUMMYFUNCTION("""COMPUTED_VALUE"""),"Software Factory / Staffing")</f>
        <v>Software Factory / Staffing</v>
      </c>
    </row>
    <row r="2548" hidden="1">
      <c r="A2548" s="6" t="str">
        <f>IFERROR(__xludf.DUMMYFUNCTION("""COMPUTED_VALUE"""),"apply digital")</f>
        <v>apply digital</v>
      </c>
      <c r="B2548" s="6" t="str">
        <f>IFERROR(__xludf.DUMMYFUNCTION("""COMPUTED_VALUE"""),"Canada")</f>
        <v>Canada</v>
      </c>
      <c r="C2548" s="6" t="str">
        <f>IFERROR(__xludf.DUMMYFUNCTION("""COMPUTED_VALUE"""),"Software Factory / Staffing")</f>
        <v>Software Factory / Staffing</v>
      </c>
    </row>
    <row r="2549" hidden="1">
      <c r="A2549" s="6" t="str">
        <f>IFERROR(__xludf.DUMMYFUNCTION("""COMPUTED_VALUE"""),"libree ltd")</f>
        <v>libree ltd</v>
      </c>
      <c r="B2549" s="6" t="str">
        <f>IFERROR(__xludf.DUMMYFUNCTION("""COMPUTED_VALUE"""),"Brasil")</f>
        <v>Brasil</v>
      </c>
      <c r="C2549" s="6" t="str">
        <f>IFERROR(__xludf.DUMMYFUNCTION("""COMPUTED_VALUE"""),"Education &amp; Edtech")</f>
        <v>Education &amp; Edtech</v>
      </c>
    </row>
    <row r="2550" hidden="1">
      <c r="A2550" s="6" t="str">
        <f>IFERROR(__xludf.DUMMYFUNCTION("""COMPUTED_VALUE"""),"laboratorio rivero")</f>
        <v>laboratorio rivero</v>
      </c>
      <c r="B2550" s="6" t="str">
        <f>IFERROR(__xludf.DUMMYFUNCTION("""COMPUTED_VALUE"""),"Argentina")</f>
        <v>Argentina</v>
      </c>
      <c r="C2550" s="6" t="str">
        <f>IFERROR(__xludf.DUMMYFUNCTION("""COMPUTED_VALUE"""),"Health")</f>
        <v>Health</v>
      </c>
    </row>
    <row r="2551" hidden="1">
      <c r="A2551" s="6" t="str">
        <f>IFERROR(__xludf.DUMMYFUNCTION("""COMPUTED_VALUE"""),"ntt data colombia")</f>
        <v>ntt data colombia</v>
      </c>
      <c r="B2551" s="4"/>
      <c r="C2551" s="6" t="str">
        <f>IFERROR(__xludf.DUMMYFUNCTION("""COMPUTED_VALUE"""),"Software Factory / Staffing")</f>
        <v>Software Factory / Staffing</v>
      </c>
    </row>
    <row r="2552" hidden="1">
      <c r="A2552" s="6" t="str">
        <f>IFERROR(__xludf.DUMMYFUNCTION("""COMPUTED_VALUE"""),"xirect")</f>
        <v>xirect</v>
      </c>
      <c r="B2552" s="6" t="str">
        <f>IFERROR(__xludf.DUMMYFUNCTION("""COMPUTED_VALUE"""),"Estados Unidos")</f>
        <v>Estados Unidos</v>
      </c>
      <c r="C2552" s="6" t="str">
        <f>IFERROR(__xludf.DUMMYFUNCTION("""COMPUTED_VALUE"""),"Software Factory / Staffing")</f>
        <v>Software Factory / Staffing</v>
      </c>
    </row>
    <row r="2553" hidden="1">
      <c r="A2553" s="6" t="str">
        <f>IFERROR(__xludf.DUMMYFUNCTION("""COMPUTED_VALUE"""),"digital foot spa")</f>
        <v>digital foot spa</v>
      </c>
      <c r="B2553" s="6" t="str">
        <f>IFERROR(__xludf.DUMMYFUNCTION("""COMPUTED_VALUE"""),"Italia")</f>
        <v>Italia</v>
      </c>
      <c r="C2553" s="6" t="str">
        <f>IFERROR(__xludf.DUMMYFUNCTION("""COMPUTED_VALUE"""),"Energy")</f>
        <v>Energy</v>
      </c>
    </row>
    <row r="2554" hidden="1">
      <c r="A2554" s="6" t="str">
        <f>IFERROR(__xludf.DUMMYFUNCTION("""COMPUTED_VALUE"""),"das-calendar")</f>
        <v>das-calendar</v>
      </c>
      <c r="B2554" s="6" t="str">
        <f>IFERROR(__xludf.DUMMYFUNCTION("""COMPUTED_VALUE"""),"Estados Unidos")</f>
        <v>Estados Unidos</v>
      </c>
      <c r="C2554" s="6" t="str">
        <f>IFERROR(__xludf.DUMMYFUNCTION("""COMPUTED_VALUE"""),"Software Factory / Staffing")</f>
        <v>Software Factory / Staffing</v>
      </c>
    </row>
    <row r="2555" hidden="1">
      <c r="A2555" s="6" t="str">
        <f>IFERROR(__xludf.DUMMYFUNCTION("""COMPUTED_VALUE"""),"ntice")</f>
        <v>ntice</v>
      </c>
      <c r="B2555" s="6" t="str">
        <f>IFERROR(__xludf.DUMMYFUNCTION("""COMPUTED_VALUE"""),"Inglaterra")</f>
        <v>Inglaterra</v>
      </c>
      <c r="C2555" s="6" t="str">
        <f>IFERROR(__xludf.DUMMYFUNCTION("""COMPUTED_VALUE"""),"Recruiting")</f>
        <v>Recruiting</v>
      </c>
    </row>
    <row r="2556" hidden="1">
      <c r="A2556" s="6" t="str">
        <f>IFERROR(__xludf.DUMMYFUNCTION("""COMPUTED_VALUE"""),"dynasoft")</f>
        <v>dynasoft</v>
      </c>
      <c r="B2556" s="6" t="str">
        <f>IFERROR(__xludf.DUMMYFUNCTION("""COMPUTED_VALUE"""),"Estados Unidos")</f>
        <v>Estados Unidos</v>
      </c>
      <c r="C2556" s="6" t="str">
        <f>IFERROR(__xludf.DUMMYFUNCTION("""COMPUTED_VALUE"""),"Software Factory / Staffing")</f>
        <v>Software Factory / Staffing</v>
      </c>
    </row>
    <row r="2557" hidden="1">
      <c r="A2557" s="6" t="str">
        <f>IFERROR(__xludf.DUMMYFUNCTION("""COMPUTED_VALUE"""),"sifizsoft s.a.")</f>
        <v>sifizsoft s.a.</v>
      </c>
      <c r="B2557" s="6" t="str">
        <f>IFERROR(__xludf.DUMMYFUNCTION("""COMPUTED_VALUE"""),"Ecuador")</f>
        <v>Ecuador</v>
      </c>
      <c r="C2557" s="6" t="str">
        <f>IFERROR(__xludf.DUMMYFUNCTION("""COMPUTED_VALUE"""),"Software Factory / Staffing")</f>
        <v>Software Factory / Staffing</v>
      </c>
    </row>
    <row r="2558" hidden="1">
      <c r="A2558" s="6" t="str">
        <f>IFERROR(__xludf.DUMMYFUNCTION("""COMPUTED_VALUE"""),"priori data")</f>
        <v>priori data</v>
      </c>
      <c r="B2558" s="6" t="str">
        <f>IFERROR(__xludf.DUMMYFUNCTION("""COMPUTED_VALUE"""),"Estados Unidos")</f>
        <v>Estados Unidos</v>
      </c>
      <c r="C2558" s="6" t="str">
        <f>IFERROR(__xludf.DUMMYFUNCTION("""COMPUTED_VALUE"""),"Law/Legal Services")</f>
        <v>Law/Legal Services</v>
      </c>
    </row>
    <row r="2559" hidden="1">
      <c r="A2559" s="6" t="str">
        <f>IFERROR(__xludf.DUMMYFUNCTION("""COMPUTED_VALUE"""),"geo power solution sas")</f>
        <v>geo power solution sas</v>
      </c>
      <c r="B2559" s="4"/>
      <c r="C2559" s="4"/>
    </row>
    <row r="2560" hidden="1">
      <c r="A2560" s="6" t="str">
        <f>IFERROR(__xludf.DUMMYFUNCTION("""COMPUTED_VALUE"""),"growfi software")</f>
        <v>growfi software</v>
      </c>
      <c r="B2560" s="6" t="str">
        <f>IFERROR(__xludf.DUMMYFUNCTION("""COMPUTED_VALUE"""),"Perú")</f>
        <v>Perú</v>
      </c>
      <c r="C2560" s="6" t="str">
        <f>IFERROR(__xludf.DUMMYFUNCTION("""COMPUTED_VALUE"""),"Software Factory / Staffing")</f>
        <v>Software Factory / Staffing</v>
      </c>
    </row>
    <row r="2561" hidden="1">
      <c r="A2561" s="6" t="str">
        <f>IFERROR(__xludf.DUMMYFUNCTION("""COMPUTED_VALUE"""),"brandlive")</f>
        <v>brandlive</v>
      </c>
      <c r="B2561" s="6" t="str">
        <f>IFERROR(__xludf.DUMMYFUNCTION("""COMPUTED_VALUE"""),"Argentina")</f>
        <v>Argentina</v>
      </c>
      <c r="C2561" s="6" t="str">
        <f>IFERROR(__xludf.DUMMYFUNCTION("""COMPUTED_VALUE"""),"Marketing &amp; Advertising")</f>
        <v>Marketing &amp; Advertising</v>
      </c>
    </row>
    <row r="2562">
      <c r="A2562" s="6" t="str">
        <f>IFERROR(__xludf.DUMMYFUNCTION("""COMPUTED_VALUE"""),"contabilidadya sas")</f>
        <v>contabilidadya sas</v>
      </c>
      <c r="B2562" s="4"/>
      <c r="C2562" s="4"/>
    </row>
    <row r="2563" hidden="1">
      <c r="A2563" s="6" t="str">
        <f>IFERROR(__xludf.DUMMYFUNCTION("""COMPUTED_VALUE"""),"challenger premios")</f>
        <v>challenger premios</v>
      </c>
      <c r="B2563" s="6" t="str">
        <f>IFERROR(__xludf.DUMMYFUNCTION("""COMPUTED_VALUE"""),"Argentina")</f>
        <v>Argentina</v>
      </c>
      <c r="C2563" s="6" t="str">
        <f>IFERROR(__xludf.DUMMYFUNCTION("""COMPUTED_VALUE"""),"Other")</f>
        <v>Other</v>
      </c>
    </row>
    <row r="2564">
      <c r="A2564" s="6" t="str">
        <f>IFERROR(__xludf.DUMMYFUNCTION("""COMPUTED_VALUE"""),"municipalidad de chamical, la rioja")</f>
        <v>municipalidad de chamical, la rioja</v>
      </c>
      <c r="B2564" s="4"/>
      <c r="C2564" s="4"/>
    </row>
    <row r="2565">
      <c r="A2565" s="6" t="str">
        <f>IFERROR(__xludf.DUMMYFUNCTION("""COMPUTED_VALUE"""),"micontrato s.a.s")</f>
        <v>micontrato s.a.s</v>
      </c>
      <c r="B2565" s="4"/>
      <c r="C2565" s="4"/>
    </row>
    <row r="2566" hidden="1">
      <c r="A2566" s="6" t="str">
        <f>IFERROR(__xludf.DUMMYFUNCTION("""COMPUTED_VALUE"""),"publicis global delivery")</f>
        <v>publicis global delivery</v>
      </c>
      <c r="B2566" s="4"/>
      <c r="C2566" s="6" t="str">
        <f>IFERROR(__xludf.DUMMYFUNCTION("""COMPUTED_VALUE"""),"Marketing &amp; Advertising")</f>
        <v>Marketing &amp; Advertising</v>
      </c>
    </row>
    <row r="2567">
      <c r="A2567" s="6" t="str">
        <f>IFERROR(__xludf.DUMMYFUNCTION("""COMPUTED_VALUE"""),"alexandra lozano inmigration law")</f>
        <v>alexandra lozano inmigration law</v>
      </c>
      <c r="B2567" s="4"/>
      <c r="C2567" s="4"/>
    </row>
    <row r="2568">
      <c r="A2568" s="6" t="str">
        <f>IFERROR(__xludf.DUMMYFUNCTION("""COMPUTED_VALUE"""),"blast marketing")</f>
        <v>blast marketing</v>
      </c>
      <c r="B2568" s="6" t="str">
        <f>IFERROR(__xludf.DUMMYFUNCTION("""COMPUTED_VALUE"""),"Argentina")</f>
        <v>Argentina</v>
      </c>
      <c r="C2568" s="6" t="str">
        <f>IFERROR(__xludf.DUMMYFUNCTION("""COMPUTED_VALUE"""),"Marketing &amp; Advertising")</f>
        <v>Marketing &amp; Advertising</v>
      </c>
    </row>
    <row r="2569" hidden="1">
      <c r="A2569" s="6" t="str">
        <f>IFERROR(__xludf.DUMMYFUNCTION("""COMPUTED_VALUE"""),"cyberstation")</f>
        <v>cyberstation</v>
      </c>
      <c r="B2569" s="6" t="str">
        <f>IFERROR(__xludf.DUMMYFUNCTION("""COMPUTED_VALUE"""),"Estados Unidos")</f>
        <v>Estados Unidos</v>
      </c>
      <c r="C2569" s="4"/>
    </row>
    <row r="2570" hidden="1">
      <c r="A2570" s="6" t="str">
        <f>IFERROR(__xludf.DUMMYFUNCTION("""COMPUTED_VALUE"""),"jaguar international services s.r.l")</f>
        <v>jaguar international services s.r.l</v>
      </c>
      <c r="B2570" s="6" t="str">
        <f>IFERROR(__xludf.DUMMYFUNCTION("""COMPUTED_VALUE"""),"Estados Unidos")</f>
        <v>Estados Unidos</v>
      </c>
      <c r="C2570" s="6" t="str">
        <f>IFERROR(__xludf.DUMMYFUNCTION("""COMPUTED_VALUE"""),"Other")</f>
        <v>Other</v>
      </c>
    </row>
    <row r="2571" hidden="1">
      <c r="A2571" s="6" t="str">
        <f>IFERROR(__xludf.DUMMYFUNCTION("""COMPUTED_VALUE"""),"universidad nacional de la plata")</f>
        <v>universidad nacional de la plata</v>
      </c>
      <c r="B2571" s="6" t="str">
        <f>IFERROR(__xludf.DUMMYFUNCTION("""COMPUTED_VALUE"""),"Argentina")</f>
        <v>Argentina</v>
      </c>
      <c r="C2571" s="6" t="str">
        <f>IFERROR(__xludf.DUMMYFUNCTION("""COMPUTED_VALUE"""),"Education &amp; Edtech")</f>
        <v>Education &amp; Edtech</v>
      </c>
    </row>
    <row r="2572" hidden="1">
      <c r="A2572" s="6" t="str">
        <f>IFERROR(__xludf.DUMMYFUNCTION("""COMPUTED_VALUE"""),"onyx soft")</f>
        <v>onyx soft</v>
      </c>
      <c r="B2572" s="6" t="str">
        <f>IFERROR(__xludf.DUMMYFUNCTION("""COMPUTED_VALUE"""),"Colombia")</f>
        <v>Colombia</v>
      </c>
      <c r="C2572" s="6" t="str">
        <f>IFERROR(__xludf.DUMMYFUNCTION("""COMPUTED_VALUE"""),"Software Factory / Staffing")</f>
        <v>Software Factory / Staffing</v>
      </c>
    </row>
    <row r="2573" hidden="1">
      <c r="A2573" s="6" t="str">
        <f>IFERROR(__xludf.DUMMYFUNCTION("""COMPUTED_VALUE"""),"bit soluciones inteligentes")</f>
        <v>bit soluciones inteligentes</v>
      </c>
      <c r="B2573" s="4"/>
      <c r="C2573" s="4"/>
    </row>
    <row r="2574" hidden="1">
      <c r="A2574" s="6" t="str">
        <f>IFERROR(__xludf.DUMMYFUNCTION("""COMPUTED_VALUE"""),"vortex")</f>
        <v>vortex</v>
      </c>
      <c r="B2574" s="6" t="str">
        <f>IFERROR(__xludf.DUMMYFUNCTION("""COMPUTED_VALUE"""),"Italia")</f>
        <v>Italia</v>
      </c>
      <c r="C2574" s="6" t="str">
        <f>IFERROR(__xludf.DUMMYFUNCTION("""COMPUTED_VALUE"""),"Management Consulting")</f>
        <v>Management Consulting</v>
      </c>
    </row>
    <row r="2575" hidden="1">
      <c r="A2575" s="6" t="str">
        <f>IFERROR(__xludf.DUMMYFUNCTION("""COMPUTED_VALUE"""),"hp")</f>
        <v>hp</v>
      </c>
      <c r="B2575" s="6" t="str">
        <f>IFERROR(__xludf.DUMMYFUNCTION("""COMPUTED_VALUE"""),"Estados Unidos")</f>
        <v>Estados Unidos</v>
      </c>
      <c r="C2575" s="6" t="str">
        <f>IFERROR(__xludf.DUMMYFUNCTION("""COMPUTED_VALUE"""),"Software Factory / Staffing")</f>
        <v>Software Factory / Staffing</v>
      </c>
    </row>
    <row r="2576" hidden="1">
      <c r="A2576" s="6" t="str">
        <f>IFERROR(__xludf.DUMMYFUNCTION("""COMPUTED_VALUE"""),"truora inc")</f>
        <v>truora inc</v>
      </c>
      <c r="B2576" s="6" t="str">
        <f>IFERROR(__xludf.DUMMYFUNCTION("""COMPUTED_VALUE"""),"Estados Unidos")</f>
        <v>Estados Unidos</v>
      </c>
      <c r="C2576" s="6" t="str">
        <f>IFERROR(__xludf.DUMMYFUNCTION("""COMPUTED_VALUE"""),"Software Factory / Staffing")</f>
        <v>Software Factory / Staffing</v>
      </c>
    </row>
    <row r="2577" hidden="1">
      <c r="A2577" s="6" t="str">
        <f>IFERROR(__xludf.DUMMYFUNCTION("""COMPUTED_VALUE"""),"metrotel")</f>
        <v>metrotel</v>
      </c>
      <c r="B2577" s="6" t="str">
        <f>IFERROR(__xludf.DUMMYFUNCTION("""COMPUTED_VALUE"""),"Argentina")</f>
        <v>Argentina</v>
      </c>
      <c r="C2577" s="6" t="str">
        <f>IFERROR(__xludf.DUMMYFUNCTION("""COMPUTED_VALUE"""),"Messaging and Telecommunications")</f>
        <v>Messaging and Telecommunications</v>
      </c>
    </row>
    <row r="2578" hidden="1">
      <c r="A2578" s="6" t="str">
        <f>IFERROR(__xludf.DUMMYFUNCTION("""COMPUTED_VALUE"""),"extendeal sa")</f>
        <v>extendeal sa</v>
      </c>
      <c r="B2578" s="4"/>
      <c r="C2578" s="4"/>
    </row>
    <row r="2579" hidden="1">
      <c r="A2579" s="6" t="str">
        <f>IFERROR(__xludf.DUMMYFUNCTION("""COMPUTED_VALUE"""),"intelecto")</f>
        <v>intelecto</v>
      </c>
      <c r="B2579" s="6" t="str">
        <f>IFERROR(__xludf.DUMMYFUNCTION("""COMPUTED_VALUE"""),"Peru")</f>
        <v>Peru</v>
      </c>
      <c r="C2579" s="6" t="str">
        <f>IFERROR(__xludf.DUMMYFUNCTION("""COMPUTED_VALUE"""),"Education &amp; Edtech")</f>
        <v>Education &amp; Edtech</v>
      </c>
    </row>
    <row r="2580" hidden="1">
      <c r="A2580" s="6" t="str">
        <f>IFERROR(__xludf.DUMMYFUNCTION("""COMPUTED_VALUE"""),"tita media")</f>
        <v>tita media</v>
      </c>
      <c r="B2580" s="6" t="str">
        <f>IFERROR(__xludf.DUMMYFUNCTION("""COMPUTED_VALUE"""),"Colombia")</f>
        <v>Colombia</v>
      </c>
      <c r="C2580" s="6" t="str">
        <f>IFERROR(__xludf.DUMMYFUNCTION("""COMPUTED_VALUE"""),"Media &amp; Communication")</f>
        <v>Media &amp; Communication</v>
      </c>
    </row>
    <row r="2581" hidden="1">
      <c r="A2581" s="6" t="str">
        <f>IFERROR(__xludf.DUMMYFUNCTION("""COMPUTED_VALUE"""),"avam consulting group s a s")</f>
        <v>avam consulting group s a s</v>
      </c>
      <c r="B2581" s="6" t="str">
        <f>IFERROR(__xludf.DUMMYFUNCTION("""COMPUTED_VALUE"""),"Colombia")</f>
        <v>Colombia</v>
      </c>
      <c r="C2581" s="6" t="str">
        <f>IFERROR(__xludf.DUMMYFUNCTION("""COMPUTED_VALUE"""),"Other")</f>
        <v>Other</v>
      </c>
    </row>
    <row r="2582" hidden="1">
      <c r="A2582" s="6" t="str">
        <f>IFERROR(__xludf.DUMMYFUNCTION("""COMPUTED_VALUE"""),"quind")</f>
        <v>quind</v>
      </c>
      <c r="B2582" s="6" t="str">
        <f>IFERROR(__xludf.DUMMYFUNCTION("""COMPUTED_VALUE"""),"Colombia")</f>
        <v>Colombia</v>
      </c>
      <c r="C2582" s="6" t="str">
        <f>IFERROR(__xludf.DUMMYFUNCTION("""COMPUTED_VALUE"""),"Software Factory / Staffing")</f>
        <v>Software Factory / Staffing</v>
      </c>
    </row>
    <row r="2583" hidden="1">
      <c r="A2583" s="6" t="str">
        <f>IFERROR(__xludf.DUMMYFUNCTION("""COMPUTED_VALUE"""),"baruk")</f>
        <v>baruk</v>
      </c>
      <c r="B2583" s="6" t="str">
        <f>IFERROR(__xludf.DUMMYFUNCTION("""COMPUTED_VALUE"""),"Brasil")</f>
        <v>Brasil</v>
      </c>
      <c r="C2583" s="6" t="str">
        <f>IFERROR(__xludf.DUMMYFUNCTION("""COMPUTED_VALUE"""),"Software Factory / Staffing")</f>
        <v>Software Factory / Staffing</v>
      </c>
    </row>
    <row r="2584" hidden="1">
      <c r="A2584" s="6" t="str">
        <f>IFERROR(__xludf.DUMMYFUNCTION("""COMPUTED_VALUE"""),"novacor")</f>
        <v>novacor</v>
      </c>
      <c r="B2584" s="6" t="str">
        <f>IFERROR(__xludf.DUMMYFUNCTION("""COMPUTED_VALUE"""),"Argentina")</f>
        <v>Argentina</v>
      </c>
      <c r="C2584" s="6" t="str">
        <f>IFERROR(__xludf.DUMMYFUNCTION("""COMPUTED_VALUE"""),"Human Resources")</f>
        <v>Human Resources</v>
      </c>
    </row>
    <row r="2585" hidden="1">
      <c r="A2585" s="6" t="str">
        <f>IFERROR(__xludf.DUMMYFUNCTION("""COMPUTED_VALUE"""),"somos movilidad")</f>
        <v>somos movilidad</v>
      </c>
      <c r="B2585" s="4"/>
      <c r="C2585" s="4"/>
    </row>
    <row r="2586" hidden="1">
      <c r="A2586" s="6" t="str">
        <f>IFERROR(__xludf.DUMMYFUNCTION("""COMPUTED_VALUE"""),"xtendo group")</f>
        <v>xtendo group</v>
      </c>
      <c r="B2586" s="4"/>
      <c r="C2586" s="6" t="str">
        <f>IFERROR(__xludf.DUMMYFUNCTION("""COMPUTED_VALUE"""),"Software Factory / Staffing")</f>
        <v>Software Factory / Staffing</v>
      </c>
    </row>
    <row r="2587" hidden="1">
      <c r="A2587" s="6" t="str">
        <f>IFERROR(__xludf.DUMMYFUNCTION("""COMPUTED_VALUE"""),"starlight electrónica srl")</f>
        <v>starlight electrónica srl</v>
      </c>
      <c r="B2587" s="6" t="str">
        <f>IFERROR(__xludf.DUMMYFUNCTION("""COMPUTED_VALUE"""),"Colombia")</f>
        <v>Colombia</v>
      </c>
      <c r="C2587" s="6" t="str">
        <f>IFERROR(__xludf.DUMMYFUNCTION("""COMPUTED_VALUE"""),"Other")</f>
        <v>Other</v>
      </c>
    </row>
    <row r="2588" hidden="1">
      <c r="A2588" s="6" t="str">
        <f>IFERROR(__xludf.DUMMYFUNCTION("""COMPUTED_VALUE"""),"dalca marketing")</f>
        <v>dalca marketing</v>
      </c>
      <c r="B2588" s="6" t="str">
        <f>IFERROR(__xludf.DUMMYFUNCTION("""COMPUTED_VALUE"""),"Argentina")</f>
        <v>Argentina</v>
      </c>
      <c r="C2588" s="6" t="str">
        <f>IFERROR(__xludf.DUMMYFUNCTION("""COMPUTED_VALUE"""),"Marketing &amp; Advertising")</f>
        <v>Marketing &amp; Advertising</v>
      </c>
    </row>
    <row r="2589" hidden="1">
      <c r="A2589" s="6" t="str">
        <f>IFERROR(__xludf.DUMMYFUNCTION("""COMPUTED_VALUE"""),"lowrisk")</f>
        <v>lowrisk</v>
      </c>
      <c r="B2589" s="6" t="str">
        <f>IFERROR(__xludf.DUMMYFUNCTION("""COMPUTED_VALUE"""),"Argentina")</f>
        <v>Argentina</v>
      </c>
      <c r="C2589" s="6" t="str">
        <f>IFERROR(__xludf.DUMMYFUNCTION("""COMPUTED_VALUE"""),"Other")</f>
        <v>Other</v>
      </c>
    </row>
    <row r="2590" hidden="1">
      <c r="A2590" s="6" t="str">
        <f>IFERROR(__xludf.DUMMYFUNCTION("""COMPUTED_VALUE"""),"pgd")</f>
        <v>pgd</v>
      </c>
      <c r="B2590" s="4"/>
      <c r="C2590" s="6" t="str">
        <f>IFERROR(__xludf.DUMMYFUNCTION("""COMPUTED_VALUE"""),"Media &amp; Communication")</f>
        <v>Media &amp; Communication</v>
      </c>
    </row>
    <row r="2591" hidden="1">
      <c r="A2591" s="6" t="str">
        <f>IFERROR(__xludf.DUMMYFUNCTION("""COMPUTED_VALUE"""),"adilimited cp s.a.s.")</f>
        <v>adilimited cp s.a.s.</v>
      </c>
      <c r="B2591" s="6" t="str">
        <f>IFERROR(__xludf.DUMMYFUNCTION("""COMPUTED_VALUE"""),"Colombia")</f>
        <v>Colombia</v>
      </c>
      <c r="C2591" s="4"/>
    </row>
    <row r="2592" hidden="1">
      <c r="A2592" s="6" t="str">
        <f>IFERROR(__xludf.DUMMYFUNCTION("""COMPUTED_VALUE"""),"sophos solution")</f>
        <v>sophos solution</v>
      </c>
      <c r="B2592" s="6" t="str">
        <f>IFERROR(__xludf.DUMMYFUNCTION("""COMPUTED_VALUE"""),"Singapur")</f>
        <v>Singapur</v>
      </c>
      <c r="C2592" s="6" t="str">
        <f>IFERROR(__xludf.DUMMYFUNCTION("""COMPUTED_VALUE"""),"Cibersecurity")</f>
        <v>Cibersecurity</v>
      </c>
    </row>
    <row r="2593" hidden="1">
      <c r="A2593" s="6" t="str">
        <f>IFERROR(__xludf.DUMMYFUNCTION("""COMPUTED_VALUE"""),"unb collections")</f>
        <v>unb collections</v>
      </c>
      <c r="B2593" s="6" t="str">
        <f>IFERROR(__xludf.DUMMYFUNCTION("""COMPUTED_VALUE"""),"Argentina")</f>
        <v>Argentina</v>
      </c>
      <c r="C2593" s="6" t="str">
        <f>IFERROR(__xludf.DUMMYFUNCTION("""COMPUTED_VALUE"""),"Software Factory / Staffing")</f>
        <v>Software Factory / Staffing</v>
      </c>
    </row>
    <row r="2594" hidden="1">
      <c r="A2594" s="6" t="str">
        <f>IFERROR(__xludf.DUMMYFUNCTION("""COMPUTED_VALUE"""),"videoslots")</f>
        <v>videoslots</v>
      </c>
      <c r="B2594" s="6" t="str">
        <f>IFERROR(__xludf.DUMMYFUNCTION("""COMPUTED_VALUE"""),"Malta")</f>
        <v>Malta</v>
      </c>
      <c r="C2594" s="6" t="str">
        <f>IFERROR(__xludf.DUMMYFUNCTION("""COMPUTED_VALUE"""),"Other")</f>
        <v>Other</v>
      </c>
    </row>
    <row r="2595" hidden="1">
      <c r="A2595" s="6" t="str">
        <f>IFERROR(__xludf.DUMMYFUNCTION("""COMPUTED_VALUE"""),"max crowdfund")</f>
        <v>max crowdfund</v>
      </c>
      <c r="B2595" s="6" t="str">
        <f>IFERROR(__xludf.DUMMYFUNCTION("""COMPUTED_VALUE"""),"Países Bajos")</f>
        <v>Países Bajos</v>
      </c>
      <c r="C2595" s="6" t="str">
        <f>IFERROR(__xludf.DUMMYFUNCTION("""COMPUTED_VALUE"""),"Banking &amp; Financial Servicies")</f>
        <v>Banking &amp; Financial Servicies</v>
      </c>
    </row>
    <row r="2596" hidden="1">
      <c r="A2596" s="6" t="str">
        <f>IFERROR(__xludf.DUMMYFUNCTION("""COMPUTED_VALUE"""),"arcor saic")</f>
        <v>arcor saic</v>
      </c>
      <c r="B2596" s="6" t="str">
        <f>IFERROR(__xludf.DUMMYFUNCTION("""COMPUTED_VALUE"""),"Argentina")</f>
        <v>Argentina</v>
      </c>
      <c r="C2596" s="6" t="str">
        <f>IFERROR(__xludf.DUMMYFUNCTION("""COMPUTED_VALUE"""),"E-commerce")</f>
        <v>E-commerce</v>
      </c>
    </row>
    <row r="2597" hidden="1">
      <c r="A2597" s="6" t="str">
        <f>IFERROR(__xludf.DUMMYFUNCTION("""COMPUTED_VALUE"""),"robonext")</f>
        <v>robonext</v>
      </c>
      <c r="B2597" s="4"/>
      <c r="C2597" s="6" t="str">
        <f>IFERROR(__xludf.DUMMYFUNCTION("""COMPUTED_VALUE"""),"Software Factory / Staffing")</f>
        <v>Software Factory / Staffing</v>
      </c>
    </row>
    <row r="2598" hidden="1">
      <c r="A2598" s="6" t="str">
        <f>IFERROR(__xludf.DUMMYFUNCTION("""COMPUTED_VALUE"""),"poncho capital")</f>
        <v>poncho capital</v>
      </c>
      <c r="B2598" s="4"/>
      <c r="C2598" s="6" t="str">
        <f>IFERROR(__xludf.DUMMYFUNCTION("""COMPUTED_VALUE"""),"Banking &amp; Financial Servicies")</f>
        <v>Banking &amp; Financial Servicies</v>
      </c>
    </row>
    <row r="2599" hidden="1">
      <c r="A2599" s="6" t="str">
        <f>IFERROR(__xludf.DUMMYFUNCTION("""COMPUTED_VALUE"""),"big pons sa")</f>
        <v>big pons sa</v>
      </c>
      <c r="B2599" s="4"/>
      <c r="C2599" s="4"/>
    </row>
    <row r="2600" hidden="1">
      <c r="A2600" s="6" t="str">
        <f>IFERROR(__xludf.DUMMYFUNCTION("""COMPUTED_VALUE"""),"monoku")</f>
        <v>monoku</v>
      </c>
      <c r="B2600" s="6" t="str">
        <f>IFERROR(__xludf.DUMMYFUNCTION("""COMPUTED_VALUE"""),"Colombia")</f>
        <v>Colombia</v>
      </c>
      <c r="C2600" s="6" t="str">
        <f>IFERROR(__xludf.DUMMYFUNCTION("""COMPUTED_VALUE"""),"Software Factory / Staffing")</f>
        <v>Software Factory / Staffing</v>
      </c>
    </row>
    <row r="2601" hidden="1">
      <c r="A2601" s="6" t="str">
        <f>IFERROR(__xludf.DUMMYFUNCTION("""COMPUTED_VALUE"""),"profound logic")</f>
        <v>profound logic</v>
      </c>
      <c r="B2601" s="4"/>
      <c r="C2601" s="4"/>
    </row>
    <row r="2602" hidden="1">
      <c r="A2602" s="6" t="str">
        <f>IFERROR(__xludf.DUMMYFUNCTION("""COMPUTED_VALUE"""),"forvet")</f>
        <v>forvet</v>
      </c>
      <c r="B2602" s="6" t="str">
        <f>IFERROR(__xludf.DUMMYFUNCTION("""COMPUTED_VALUE"""),"Egipto")</f>
        <v>Egipto</v>
      </c>
      <c r="C2602" s="6" t="str">
        <f>IFERROR(__xludf.DUMMYFUNCTION("""COMPUTED_VALUE"""),"Health")</f>
        <v>Health</v>
      </c>
    </row>
    <row r="2603" hidden="1">
      <c r="A2603" s="6" t="str">
        <f>IFERROR(__xludf.DUMMYFUNCTION("""COMPUTED_VALUE"""),"mef arquitectura")</f>
        <v>mef arquitectura</v>
      </c>
      <c r="B2603" s="6" t="str">
        <f>IFERROR(__xludf.DUMMYFUNCTION("""COMPUTED_VALUE"""),"Argentina")</f>
        <v>Argentina</v>
      </c>
      <c r="C2603" s="6" t="str">
        <f>IFERROR(__xludf.DUMMYFUNCTION("""COMPUTED_VALUE"""),"Construction")</f>
        <v>Construction</v>
      </c>
    </row>
    <row r="2604" hidden="1">
      <c r="A2604" s="6" t="str">
        <f>IFERROR(__xludf.DUMMYFUNCTION("""COMPUTED_VALUE"""),"bautista abogados agl")</f>
        <v>bautista abogados agl</v>
      </c>
      <c r="B2604" s="6" t="str">
        <f>IFERROR(__xludf.DUMMYFUNCTION("""COMPUTED_VALUE"""),"Mexico")</f>
        <v>Mexico</v>
      </c>
      <c r="C2604" s="6" t="str">
        <f>IFERROR(__xludf.DUMMYFUNCTION("""COMPUTED_VALUE"""),"Law/Legal Services")</f>
        <v>Law/Legal Services</v>
      </c>
    </row>
    <row r="2605" hidden="1">
      <c r="A2605" s="6" t="str">
        <f>IFERROR(__xludf.DUMMYFUNCTION("""COMPUTED_VALUE"""),"shibena labs sapi de cv")</f>
        <v>shibena labs sapi de cv</v>
      </c>
      <c r="B2605" s="4"/>
      <c r="C2605" s="4"/>
    </row>
    <row r="2606">
      <c r="A2606" s="6" t="str">
        <f>IFERROR(__xludf.DUMMYFUNCTION("""COMPUTED_VALUE"""),"alpogo")</f>
        <v>alpogo</v>
      </c>
      <c r="B2606" s="6" t="str">
        <f>IFERROR(__xludf.DUMMYFUNCTION("""COMPUTED_VALUE"""),"Argentina")</f>
        <v>Argentina</v>
      </c>
      <c r="C2606" s="6" t="str">
        <f>IFERROR(__xludf.DUMMYFUNCTION("""COMPUTED_VALUE"""),"Other")</f>
        <v>Other</v>
      </c>
    </row>
    <row r="2607" hidden="1">
      <c r="A2607" s="6" t="str">
        <f>IFERROR(__xludf.DUMMYFUNCTION("""COMPUTED_VALUE"""),"overcast")</f>
        <v>overcast</v>
      </c>
      <c r="B2607" s="6" t="str">
        <f>IFERROR(__xludf.DUMMYFUNCTION("""COMPUTED_VALUE"""),"Mexico")</f>
        <v>Mexico</v>
      </c>
      <c r="C2607" s="6" t="str">
        <f>IFERROR(__xludf.DUMMYFUNCTION("""COMPUTED_VALUE"""),"Software Factory / Staffing")</f>
        <v>Software Factory / Staffing</v>
      </c>
    </row>
    <row r="2608" hidden="1">
      <c r="A2608" s="6" t="str">
        <f>IFERROR(__xludf.DUMMYFUNCTION("""COMPUTED_VALUE"""),"dos mil s.a")</f>
        <v>dos mil s.a</v>
      </c>
      <c r="B2608" s="4"/>
      <c r="C2608" s="6" t="str">
        <f>IFERROR(__xludf.DUMMYFUNCTION("""COMPUTED_VALUE"""),"Software Factory / Staffing")</f>
        <v>Software Factory / Staffing</v>
      </c>
    </row>
    <row r="2609" hidden="1">
      <c r="A2609" s="6" t="str">
        <f>IFERROR(__xludf.DUMMYFUNCTION("""COMPUTED_VALUE"""),"pqe group")</f>
        <v>pqe group</v>
      </c>
      <c r="B2609" s="6" t="str">
        <f>IFERROR(__xludf.DUMMYFUNCTION("""COMPUTED_VALUE"""),"Estados Unidos")</f>
        <v>Estados Unidos</v>
      </c>
      <c r="C2609" s="6" t="str">
        <f>IFERROR(__xludf.DUMMYFUNCTION("""COMPUTED_VALUE"""),"Management Consulting")</f>
        <v>Management Consulting</v>
      </c>
    </row>
    <row r="2610" hidden="1">
      <c r="A2610" s="6" t="str">
        <f>IFERROR(__xludf.DUMMYFUNCTION("""COMPUTED_VALUE"""),"biobox")</f>
        <v>biobox</v>
      </c>
      <c r="B2610" s="6" t="str">
        <f>IFERROR(__xludf.DUMMYFUNCTION("""COMPUTED_VALUE"""),"Canada")</f>
        <v>Canada</v>
      </c>
      <c r="C2610" s="6" t="str">
        <f>IFERROR(__xludf.DUMMYFUNCTION("""COMPUTED_VALUE"""),"Biotechnology")</f>
        <v>Biotechnology</v>
      </c>
    </row>
    <row r="2611" hidden="1">
      <c r="A2611" s="6" t="str">
        <f>IFERROR(__xludf.DUMMYFUNCTION("""COMPUTED_VALUE"""),"servicios enki de méxico sapi de cv")</f>
        <v>servicios enki de méxico sapi de cv</v>
      </c>
      <c r="B2611" s="4"/>
      <c r="C2611" s="4"/>
    </row>
    <row r="2612" hidden="1">
      <c r="A2612" s="6" t="str">
        <f>IFERROR(__xludf.DUMMYFUNCTION("""COMPUTED_VALUE"""),"webline service")</f>
        <v>webline service</v>
      </c>
      <c r="B2612" s="4"/>
      <c r="C2612" s="4"/>
    </row>
    <row r="2613" hidden="1">
      <c r="A2613" s="6" t="str">
        <f>IFERROR(__xludf.DUMMYFUNCTION("""COMPUTED_VALUE"""),"centrix")</f>
        <v>centrix</v>
      </c>
      <c r="B2613" s="6" t="str">
        <f>IFERROR(__xludf.DUMMYFUNCTION("""COMPUTED_VALUE"""),"Inglaterra")</f>
        <v>Inglaterra</v>
      </c>
      <c r="C2613" s="6" t="str">
        <f>IFERROR(__xludf.DUMMYFUNCTION("""COMPUTED_VALUE"""),"Insurance")</f>
        <v>Insurance</v>
      </c>
    </row>
    <row r="2614" hidden="1">
      <c r="A2614" s="6" t="str">
        <f>IFERROR(__xludf.DUMMYFUNCTION("""COMPUTED_VALUE"""),"data trust")</f>
        <v>data trust</v>
      </c>
      <c r="B2614" s="6" t="str">
        <f>IFERROR(__xludf.DUMMYFUNCTION("""COMPUTED_VALUE"""),"Estados Unidos")</f>
        <v>Estados Unidos</v>
      </c>
      <c r="C2614" s="6" t="str">
        <f>IFERROR(__xludf.DUMMYFUNCTION("""COMPUTED_VALUE"""),"Other")</f>
        <v>Other</v>
      </c>
    </row>
    <row r="2615" hidden="1">
      <c r="A2615" s="6" t="str">
        <f>IFERROR(__xludf.DUMMYFUNCTION("""COMPUTED_VALUE"""),"glass import automotriz")</f>
        <v>glass import automotriz</v>
      </c>
      <c r="B2615" s="6" t="str">
        <f>IFERROR(__xludf.DUMMYFUNCTION("""COMPUTED_VALUE"""),"Perú")</f>
        <v>Perú</v>
      </c>
      <c r="C2615" s="6" t="str">
        <f>IFERROR(__xludf.DUMMYFUNCTION("""COMPUTED_VALUE"""),"Software Factory / Staffing")</f>
        <v>Software Factory / Staffing</v>
      </c>
    </row>
    <row r="2616" hidden="1">
      <c r="A2616" s="6" t="str">
        <f>IFERROR(__xludf.DUMMYFUNCTION("""COMPUTED_VALUE"""),"brasa constructores s.a.c.")</f>
        <v>brasa constructores s.a.c.</v>
      </c>
      <c r="B2616" s="4"/>
      <c r="C2616" s="4"/>
    </row>
    <row r="2617" hidden="1">
      <c r="A2617" s="6" t="str">
        <f>IFERROR(__xludf.DUMMYFUNCTION("""COMPUTED_VALUE"""),"alignet")</f>
        <v>alignet</v>
      </c>
      <c r="B2617" s="6" t="str">
        <f>IFERROR(__xludf.DUMMYFUNCTION("""COMPUTED_VALUE"""),"Peru")</f>
        <v>Peru</v>
      </c>
      <c r="C2617" s="6" t="str">
        <f>IFERROR(__xludf.DUMMYFUNCTION("""COMPUTED_VALUE"""),"E-commerce")</f>
        <v>E-commerce</v>
      </c>
    </row>
    <row r="2618" hidden="1">
      <c r="A2618" s="6" t="str">
        <f>IFERROR(__xludf.DUMMYFUNCTION("""COMPUTED_VALUE"""),"grupo national")</f>
        <v>grupo national</v>
      </c>
      <c r="B2618" s="6" t="str">
        <f>IFERROR(__xludf.DUMMYFUNCTION("""COMPUTED_VALUE"""),"Perú")</f>
        <v>Perú</v>
      </c>
      <c r="C2618" s="6" t="str">
        <f>IFERROR(__xludf.DUMMYFUNCTION("""COMPUTED_VALUE"""),"Other")</f>
        <v>Other</v>
      </c>
    </row>
    <row r="2619" hidden="1">
      <c r="A2619" s="6" t="str">
        <f>IFERROR(__xludf.DUMMYFUNCTION("""COMPUTED_VALUE"""),"pba technologies sac")</f>
        <v>pba technologies sac</v>
      </c>
      <c r="B2619" s="6" t="str">
        <f>IFERROR(__xludf.DUMMYFUNCTION("""COMPUTED_VALUE"""),"Singapore")</f>
        <v>Singapore</v>
      </c>
      <c r="C2619" s="6" t="str">
        <f>IFERROR(__xludf.DUMMYFUNCTION("""COMPUTED_VALUE"""),"Mechanical/Industrial Engineering")</f>
        <v>Mechanical/Industrial Engineering</v>
      </c>
    </row>
    <row r="2620" hidden="1">
      <c r="A2620" s="6" t="str">
        <f>IFERROR(__xludf.DUMMYFUNCTION("""COMPUTED_VALUE"""),"sympony lam")</f>
        <v>sympony lam</v>
      </c>
      <c r="B2620" s="6" t="str">
        <f>IFERROR(__xludf.DUMMYFUNCTION("""COMPUTED_VALUE"""),"Argentina")</f>
        <v>Argentina</v>
      </c>
      <c r="C2620" s="6" t="str">
        <f>IFERROR(__xludf.DUMMYFUNCTION("""COMPUTED_VALUE"""),"Software Factory / Staffing")</f>
        <v>Software Factory / Staffing</v>
      </c>
    </row>
    <row r="2621" hidden="1">
      <c r="A2621" s="6" t="str">
        <f>IFERROR(__xludf.DUMMYFUNCTION("""COMPUTED_VALUE"""),"vooxell")</f>
        <v>vooxell</v>
      </c>
      <c r="B2621" s="6" t="str">
        <f>IFERROR(__xludf.DUMMYFUNCTION("""COMPUTED_VALUE"""),"Peru")</f>
        <v>Peru</v>
      </c>
      <c r="C2621" s="6" t="str">
        <f>IFERROR(__xludf.DUMMYFUNCTION("""COMPUTED_VALUE"""),"Data &amp; Analytics")</f>
        <v>Data &amp; Analytics</v>
      </c>
    </row>
    <row r="2622" hidden="1">
      <c r="A2622" s="6" t="str">
        <f>IFERROR(__xludf.DUMMYFUNCTION("""COMPUTED_VALUE"""),"muvinai")</f>
        <v>muvinai</v>
      </c>
      <c r="B2622" s="6" t="str">
        <f>IFERROR(__xludf.DUMMYFUNCTION("""COMPUTED_VALUE"""),"Argentina")</f>
        <v>Argentina</v>
      </c>
      <c r="C2622" s="6" t="str">
        <f>IFERROR(__xludf.DUMMYFUNCTION("""COMPUTED_VALUE"""),"Software Factory / Staffing")</f>
        <v>Software Factory / Staffing</v>
      </c>
    </row>
    <row r="2623" hidden="1">
      <c r="A2623" s="6" t="str">
        <f>IFERROR(__xludf.DUMMYFUNCTION("""COMPUTED_VALUE"""),"monti")</f>
        <v>monti</v>
      </c>
      <c r="B2623" s="6" t="str">
        <f>IFERROR(__xludf.DUMMYFUNCTION("""COMPUTED_VALUE"""),"Argentina")</f>
        <v>Argentina</v>
      </c>
      <c r="C2623" s="6" t="str">
        <f>IFERROR(__xludf.DUMMYFUNCTION("""COMPUTED_VALUE"""),"Other")</f>
        <v>Other</v>
      </c>
    </row>
    <row r="2624" hidden="1">
      <c r="A2624" s="6" t="str">
        <f>IFERROR(__xludf.DUMMYFUNCTION("""COMPUTED_VALUE"""),"tpv-sil")</f>
        <v>tpv-sil</v>
      </c>
      <c r="B2624" s="6" t="str">
        <f>IFERROR(__xludf.DUMMYFUNCTION("""COMPUTED_VALUE"""),"Argentina")</f>
        <v>Argentina</v>
      </c>
      <c r="C2624" s="6" t="str">
        <f>IFERROR(__xludf.DUMMYFUNCTION("""COMPUTED_VALUE"""),"Logistics")</f>
        <v>Logistics</v>
      </c>
    </row>
    <row r="2625" hidden="1">
      <c r="A2625" s="6" t="str">
        <f>IFERROR(__xludf.DUMMYFUNCTION("""COMPUTED_VALUE"""),"we cover")</f>
        <v>we cover</v>
      </c>
      <c r="B2625" s="6" t="str">
        <f>IFERROR(__xludf.DUMMYFUNCTION("""COMPUTED_VALUE"""),"Argentina")</f>
        <v>Argentina</v>
      </c>
      <c r="C2625" s="6" t="str">
        <f>IFERROR(__xludf.DUMMYFUNCTION("""COMPUTED_VALUE"""),"Insurance")</f>
        <v>Insurance</v>
      </c>
    </row>
    <row r="2626" hidden="1">
      <c r="A2626" s="6" t="str">
        <f>IFERROR(__xludf.DUMMYFUNCTION("""COMPUTED_VALUE"""),"abstrakt")</f>
        <v>abstrakt</v>
      </c>
      <c r="B2626" s="6" t="str">
        <f>IFERROR(__xludf.DUMMYFUNCTION("""COMPUTED_VALUE"""),"Estados Unidos")</f>
        <v>Estados Unidos</v>
      </c>
      <c r="C2626" s="6" t="str">
        <f>IFERROR(__xludf.DUMMYFUNCTION("""COMPUTED_VALUE"""),"Software Factory / Staffing")</f>
        <v>Software Factory / Staffing</v>
      </c>
    </row>
    <row r="2627" hidden="1">
      <c r="A2627" s="6" t="str">
        <f>IFERROR(__xludf.DUMMYFUNCTION("""COMPUTED_VALUE"""),"centrocard s.a.")</f>
        <v>centrocard s.a.</v>
      </c>
      <c r="B2627" s="6" t="str">
        <f>IFERROR(__xludf.DUMMYFUNCTION("""COMPUTED_VALUE"""),"Argentina")</f>
        <v>Argentina</v>
      </c>
      <c r="C2627" s="6" t="str">
        <f>IFERROR(__xludf.DUMMYFUNCTION("""COMPUTED_VALUE"""),"Banking &amp; Financial Servicies")</f>
        <v>Banking &amp; Financial Servicies</v>
      </c>
    </row>
    <row r="2628" hidden="1">
      <c r="A2628" s="6" t="str">
        <f>IFERROR(__xludf.DUMMYFUNCTION("""COMPUTED_VALUE"""),"unc")</f>
        <v>unc</v>
      </c>
      <c r="B2628" s="6" t="str">
        <f>IFERROR(__xludf.DUMMYFUNCTION("""COMPUTED_VALUE"""),"Estados Unidos")</f>
        <v>Estados Unidos</v>
      </c>
      <c r="C2628" s="6" t="str">
        <f>IFERROR(__xludf.DUMMYFUNCTION("""COMPUTED_VALUE"""),"Health")</f>
        <v>Health</v>
      </c>
    </row>
    <row r="2629" hidden="1">
      <c r="A2629" s="6" t="str">
        <f>IFERROR(__xludf.DUMMYFUNCTION("""COMPUTED_VALUE"""),"grid web engine")</f>
        <v>grid web engine</v>
      </c>
      <c r="B2629" s="6" t="str">
        <f>IFERROR(__xludf.DUMMYFUNCTION("""COMPUTED_VALUE"""),"Estados Unidos")</f>
        <v>Estados Unidos</v>
      </c>
      <c r="C2629" s="6" t="str">
        <f>IFERROR(__xludf.DUMMYFUNCTION("""COMPUTED_VALUE"""),"Software Factory / Staffing")</f>
        <v>Software Factory / Staffing</v>
      </c>
    </row>
    <row r="2630" hidden="1">
      <c r="A2630" s="6" t="str">
        <f>IFERROR(__xludf.DUMMYFUNCTION("""COMPUTED_VALUE"""),"preventor")</f>
        <v>preventor</v>
      </c>
      <c r="B2630" s="6" t="str">
        <f>IFERROR(__xludf.DUMMYFUNCTION("""COMPUTED_VALUE"""),"Estados Unidos")</f>
        <v>Estados Unidos</v>
      </c>
      <c r="C2630" s="6" t="str">
        <f>IFERROR(__xludf.DUMMYFUNCTION("""COMPUTED_VALUE"""),"Software Factory / Staffing")</f>
        <v>Software Factory / Staffing</v>
      </c>
    </row>
    <row r="2631" hidden="1">
      <c r="A2631" s="6" t="str">
        <f>IFERROR(__xludf.DUMMYFUNCTION("""COMPUTED_VALUE"""),"digital executive")</f>
        <v>digital executive</v>
      </c>
      <c r="B2631" s="6" t="str">
        <f>IFERROR(__xludf.DUMMYFUNCTION("""COMPUTED_VALUE"""),"Estados Unidos")</f>
        <v>Estados Unidos</v>
      </c>
      <c r="C2631" s="6" t="str">
        <f>IFERROR(__xludf.DUMMYFUNCTION("""COMPUTED_VALUE"""),"Software Factory / Staffing")</f>
        <v>Software Factory / Staffing</v>
      </c>
    </row>
    <row r="2632" hidden="1">
      <c r="A2632" s="6" t="str">
        <f>IFERROR(__xludf.DUMMYFUNCTION("""COMPUTED_VALUE"""),"globalconexus")</f>
        <v>globalconexus</v>
      </c>
      <c r="B2632" s="6" t="str">
        <f>IFERROR(__xludf.DUMMYFUNCTION("""COMPUTED_VALUE"""),"Chile")</f>
        <v>Chile</v>
      </c>
      <c r="C2632" s="6" t="str">
        <f>IFERROR(__xludf.DUMMYFUNCTION("""COMPUTED_VALUE"""),"Other")</f>
        <v>Other</v>
      </c>
    </row>
    <row r="2633" hidden="1">
      <c r="A2633" s="6" t="str">
        <f>IFERROR(__xludf.DUMMYFUNCTION("""COMPUTED_VALUE"""),"axionline")</f>
        <v>axionline</v>
      </c>
      <c r="B2633" s="4"/>
      <c r="C2633" s="6" t="str">
        <f>IFERROR(__xludf.DUMMYFUNCTION("""COMPUTED_VALUE"""),"Marketing &amp; Advertising")</f>
        <v>Marketing &amp; Advertising</v>
      </c>
    </row>
    <row r="2634" hidden="1">
      <c r="A2634" s="6" t="str">
        <f>IFERROR(__xludf.DUMMYFUNCTION("""COMPUTED_VALUE"""),"netsocks")</f>
        <v>netsocks</v>
      </c>
      <c r="B2634" s="6" t="str">
        <f>IFERROR(__xludf.DUMMYFUNCTION("""COMPUTED_VALUE"""),"Argentina")</f>
        <v>Argentina</v>
      </c>
      <c r="C2634" s="6" t="str">
        <f>IFERROR(__xludf.DUMMYFUNCTION("""COMPUTED_VALUE"""),"Software Factory / Staffing")</f>
        <v>Software Factory / Staffing</v>
      </c>
    </row>
    <row r="2635" hidden="1">
      <c r="A2635" s="6" t="str">
        <f>IFERROR(__xludf.DUMMYFUNCTION("""COMPUTED_VALUE"""),"metalfor")</f>
        <v>metalfor</v>
      </c>
      <c r="B2635" s="6" t="str">
        <f>IFERROR(__xludf.DUMMYFUNCTION("""COMPUTED_VALUE"""),"Argentina")</f>
        <v>Argentina</v>
      </c>
      <c r="C2635" s="6" t="str">
        <f>IFERROR(__xludf.DUMMYFUNCTION("""COMPUTED_VALUE"""),"Agtech / Agro")</f>
        <v>Agtech / Agro</v>
      </c>
    </row>
    <row r="2636" hidden="1">
      <c r="A2636" s="6" t="str">
        <f>IFERROR(__xludf.DUMMYFUNCTION("""COMPUTED_VALUE"""),"ecomsur")</f>
        <v>ecomsur</v>
      </c>
      <c r="B2636" s="6" t="str">
        <f>IFERROR(__xludf.DUMMYFUNCTION("""COMPUTED_VALUE"""),"Chile")</f>
        <v>Chile</v>
      </c>
      <c r="C2636" s="6" t="str">
        <f>IFERROR(__xludf.DUMMYFUNCTION("""COMPUTED_VALUE"""),"Software Factory / Staffing")</f>
        <v>Software Factory / Staffing</v>
      </c>
    </row>
    <row r="2637" hidden="1">
      <c r="A2637" s="6" t="str">
        <f>IFERROR(__xludf.DUMMYFUNCTION("""COMPUTED_VALUE"""),"alitaware")</f>
        <v>alitaware</v>
      </c>
      <c r="B2637" s="6" t="str">
        <f>IFERROR(__xludf.DUMMYFUNCTION("""COMPUTED_VALUE"""),"Argentina")</f>
        <v>Argentina</v>
      </c>
      <c r="C2637" s="6" t="str">
        <f>IFERROR(__xludf.DUMMYFUNCTION("""COMPUTED_VALUE"""),"Software Factory / Staffing")</f>
        <v>Software Factory / Staffing</v>
      </c>
    </row>
    <row r="2638" hidden="1">
      <c r="A2638" s="6" t="str">
        <f>IFERROR(__xludf.DUMMYFUNCTION("""COMPUTED_VALUE"""),"elevation sas")</f>
        <v>elevation sas</v>
      </c>
      <c r="B2638" s="6" t="str">
        <f>IFERROR(__xludf.DUMMYFUNCTION("""COMPUTED_VALUE"""),"Francia")</f>
        <v>Francia</v>
      </c>
      <c r="C2638" s="6" t="str">
        <f>IFERROR(__xludf.DUMMYFUNCTION("""COMPUTED_VALUE"""),"Media &amp; Communication")</f>
        <v>Media &amp; Communication</v>
      </c>
    </row>
    <row r="2639" hidden="1">
      <c r="A2639" s="6" t="str">
        <f>IFERROR(__xludf.DUMMYFUNCTION("""COMPUTED_VALUE"""),"global wizards")</f>
        <v>global wizards</v>
      </c>
      <c r="B2639" s="6" t="str">
        <f>IFERROR(__xludf.DUMMYFUNCTION("""COMPUTED_VALUE"""),"Estados Unidos")</f>
        <v>Estados Unidos</v>
      </c>
      <c r="C2639" s="6" t="str">
        <f>IFERROR(__xludf.DUMMYFUNCTION("""COMPUTED_VALUE"""),"Software Factory / Staffing")</f>
        <v>Software Factory / Staffing</v>
      </c>
    </row>
    <row r="2640" hidden="1">
      <c r="A2640" s="6" t="str">
        <f>IFERROR(__xludf.DUMMYFUNCTION("""COMPUTED_VALUE"""),"sirius software")</f>
        <v>sirius software</v>
      </c>
      <c r="B2640" s="6" t="str">
        <f>IFERROR(__xludf.DUMMYFUNCTION("""COMPUTED_VALUE"""),"Argentina")</f>
        <v>Argentina</v>
      </c>
      <c r="C2640" s="6" t="str">
        <f>IFERROR(__xludf.DUMMYFUNCTION("""COMPUTED_VALUE"""),"Software Factory / Staffing")</f>
        <v>Software Factory / Staffing</v>
      </c>
    </row>
    <row r="2641" hidden="1">
      <c r="A2641" s="6" t="str">
        <f>IFERROR(__xludf.DUMMYFUNCTION("""COMPUTED_VALUE"""),"municipalidad de neuquen")</f>
        <v>municipalidad de neuquen</v>
      </c>
      <c r="B2641" s="4"/>
      <c r="C2641" s="4"/>
    </row>
    <row r="2642" hidden="1">
      <c r="A2642" s="6" t="str">
        <f>IFERROR(__xludf.DUMMYFUNCTION("""COMPUTED_VALUE"""),"numetri")</f>
        <v>numetri</v>
      </c>
      <c r="B2642" s="6" t="str">
        <f>IFERROR(__xludf.DUMMYFUNCTION("""COMPUTED_VALUE"""),"Estados Unidos")</f>
        <v>Estados Unidos</v>
      </c>
      <c r="C2642" s="6" t="str">
        <f>IFERROR(__xludf.DUMMYFUNCTION("""COMPUTED_VALUE"""),"Software Factory / Staffing")</f>
        <v>Software Factory / Staffing</v>
      </c>
    </row>
    <row r="2643" hidden="1">
      <c r="A2643" s="6" t="str">
        <f>IFERROR(__xludf.DUMMYFUNCTION("""COMPUTED_VALUE"""),"kahunacrm")</f>
        <v>kahunacrm</v>
      </c>
      <c r="B2643" s="6" t="str">
        <f>IFERROR(__xludf.DUMMYFUNCTION("""COMPUTED_VALUE"""),"Italia")</f>
        <v>Italia</v>
      </c>
      <c r="C2643" s="6" t="str">
        <f>IFERROR(__xludf.DUMMYFUNCTION("""COMPUTED_VALUE"""),"Software Factory / Staffing")</f>
        <v>Software Factory / Staffing</v>
      </c>
    </row>
    <row r="2644" hidden="1">
      <c r="A2644" s="6" t="str">
        <f>IFERROR(__xludf.DUMMYFUNCTION("""COMPUTED_VALUE"""),"aesa")</f>
        <v>aesa</v>
      </c>
      <c r="B2644" s="6" t="str">
        <f>IFERROR(__xludf.DUMMYFUNCTION("""COMPUTED_VALUE"""),"Argentina")</f>
        <v>Argentina</v>
      </c>
      <c r="C2644" s="6" t="str">
        <f>IFERROR(__xludf.DUMMYFUNCTION("""COMPUTED_VALUE"""),"Energy")</f>
        <v>Energy</v>
      </c>
    </row>
    <row r="2645" hidden="1">
      <c r="A2645" s="6" t="str">
        <f>IFERROR(__xludf.DUMMYFUNCTION("""COMPUTED_VALUE"""),"ontario inversiones")</f>
        <v>ontario inversiones</v>
      </c>
      <c r="B2645" s="6" t="str">
        <f>IFERROR(__xludf.DUMMYFUNCTION("""COMPUTED_VALUE"""),"España")</f>
        <v>España</v>
      </c>
      <c r="C2645" s="6" t="str">
        <f>IFERROR(__xludf.DUMMYFUNCTION("""COMPUTED_VALUE"""),"Banking &amp; Financial Servicies")</f>
        <v>Banking &amp; Financial Servicies</v>
      </c>
    </row>
    <row r="2646" hidden="1">
      <c r="A2646" s="6" t="str">
        <f>IFERROR(__xludf.DUMMYFUNCTION("""COMPUTED_VALUE"""),"workcapit")</f>
        <v>workcapit</v>
      </c>
      <c r="B2646" s="6" t="str">
        <f>IFERROR(__xludf.DUMMYFUNCTION("""COMPUTED_VALUE"""),"Chile")</f>
        <v>Chile</v>
      </c>
      <c r="C2646" s="6" t="str">
        <f>IFERROR(__xludf.DUMMYFUNCTION("""COMPUTED_VALUE"""),"Software Factory / Staffing")</f>
        <v>Software Factory / Staffing</v>
      </c>
    </row>
    <row r="2647" hidden="1">
      <c r="A2647" s="6" t="str">
        <f>IFERROR(__xludf.DUMMYFUNCTION("""COMPUTED_VALUE"""),"tecnologística consultores")</f>
        <v>tecnologística consultores</v>
      </c>
      <c r="B2647" s="4"/>
      <c r="C2647" s="6" t="str">
        <f>IFERROR(__xludf.DUMMYFUNCTION("""COMPUTED_VALUE"""),"Management Consulting")</f>
        <v>Management Consulting</v>
      </c>
    </row>
    <row r="2648" hidden="1">
      <c r="A2648" s="6" t="str">
        <f>IFERROR(__xludf.DUMMYFUNCTION("""COMPUTED_VALUE"""),"alkemy")</f>
        <v>alkemy</v>
      </c>
      <c r="B2648" s="6" t="str">
        <f>IFERROR(__xludf.DUMMYFUNCTION("""COMPUTED_VALUE"""),"Estados Unidos")</f>
        <v>Estados Unidos</v>
      </c>
      <c r="C2648" s="6" t="str">
        <f>IFERROR(__xludf.DUMMYFUNCTION("""COMPUTED_VALUE"""),"Software Factory / Staffing")</f>
        <v>Software Factory / Staffing</v>
      </c>
    </row>
    <row r="2649" hidden="1">
      <c r="A2649" s="6" t="str">
        <f>IFERROR(__xludf.DUMMYFUNCTION("""COMPUTED_VALUE"""),"softing")</f>
        <v>softing</v>
      </c>
      <c r="B2649" s="6" t="str">
        <f>IFERROR(__xludf.DUMMYFUNCTION("""COMPUTED_VALUE"""),"Argentina")</f>
        <v>Argentina</v>
      </c>
      <c r="C2649" s="6" t="str">
        <f>IFERROR(__xludf.DUMMYFUNCTION("""COMPUTED_VALUE"""),"Other")</f>
        <v>Other</v>
      </c>
    </row>
    <row r="2650" hidden="1">
      <c r="A2650" s="6" t="str">
        <f>IFERROR(__xludf.DUMMYFUNCTION("""COMPUTED_VALUE"""),"owners")</f>
        <v>owners</v>
      </c>
      <c r="B2650" s="6" t="str">
        <f>IFERROR(__xludf.DUMMYFUNCTION("""COMPUTED_VALUE"""),"Estados Unidos")</f>
        <v>Estados Unidos</v>
      </c>
      <c r="C2650" s="6" t="str">
        <f>IFERROR(__xludf.DUMMYFUNCTION("""COMPUTED_VALUE"""),"Public Center")</f>
        <v>Public Center</v>
      </c>
    </row>
    <row r="2651" hidden="1">
      <c r="A2651" s="6" t="str">
        <f>IFERROR(__xludf.DUMMYFUNCTION("""COMPUTED_VALUE"""),"genero valor")</f>
        <v>genero valor</v>
      </c>
      <c r="B2651" s="6" t="str">
        <f>IFERROR(__xludf.DUMMYFUNCTION("""COMPUTED_VALUE"""),"Mexico")</f>
        <v>Mexico</v>
      </c>
      <c r="C2651" s="6" t="str">
        <f>IFERROR(__xludf.DUMMYFUNCTION("""COMPUTED_VALUE"""),"Management Consulting")</f>
        <v>Management Consulting</v>
      </c>
    </row>
    <row r="2652" hidden="1">
      <c r="A2652" s="6" t="str">
        <f>IFERROR(__xludf.DUMMYFUNCTION("""COMPUTED_VALUE"""),"beraudgorumet")</f>
        <v>beraudgorumet</v>
      </c>
      <c r="B2652" s="4"/>
      <c r="C2652" s="4"/>
    </row>
    <row r="2653" hidden="1">
      <c r="A2653" s="6" t="str">
        <f>IFERROR(__xludf.DUMMYFUNCTION("""COMPUTED_VALUE"""),"datakimia")</f>
        <v>datakimia</v>
      </c>
      <c r="B2653" s="6" t="str">
        <f>IFERROR(__xludf.DUMMYFUNCTION("""COMPUTED_VALUE"""),"Argentina")</f>
        <v>Argentina</v>
      </c>
      <c r="C2653" s="6" t="str">
        <f>IFERROR(__xludf.DUMMYFUNCTION("""COMPUTED_VALUE"""),"Software Factory / Staffing")</f>
        <v>Software Factory / Staffing</v>
      </c>
    </row>
    <row r="2654" hidden="1">
      <c r="A2654" s="6" t="str">
        <f>IFERROR(__xludf.DUMMYFUNCTION("""COMPUTED_VALUE"""),"constructora")</f>
        <v>constructora</v>
      </c>
      <c r="B2654" s="4"/>
      <c r="C2654" s="6" t="str">
        <f>IFERROR(__xludf.DUMMYFUNCTION("""COMPUTED_VALUE"""),"Construction")</f>
        <v>Construction</v>
      </c>
    </row>
    <row r="2655" hidden="1">
      <c r="A2655" s="6" t="str">
        <f>IFERROR(__xludf.DUMMYFUNCTION("""COMPUTED_VALUE"""),"o'reilly auto parts")</f>
        <v>o'reilly auto parts</v>
      </c>
      <c r="B2655" s="6" t="str">
        <f>IFERROR(__xludf.DUMMYFUNCTION("""COMPUTED_VALUE"""),"Estados Unidos")</f>
        <v>Estados Unidos</v>
      </c>
      <c r="C2655" s="6" t="str">
        <f>IFERROR(__xludf.DUMMYFUNCTION("""COMPUTED_VALUE"""),"Other")</f>
        <v>Other</v>
      </c>
    </row>
    <row r="2656" hidden="1">
      <c r="A2656" s="6" t="str">
        <f>IFERROR(__xludf.DUMMYFUNCTION("""COMPUTED_VALUE"""),"the cocktail")</f>
        <v>the cocktail</v>
      </c>
      <c r="B2656" s="6" t="str">
        <f>IFERROR(__xludf.DUMMYFUNCTION("""COMPUTED_VALUE"""),"España")</f>
        <v>España</v>
      </c>
      <c r="C2656" s="6" t="str">
        <f>IFERROR(__xludf.DUMMYFUNCTION("""COMPUTED_VALUE"""),"Management Consulting")</f>
        <v>Management Consulting</v>
      </c>
    </row>
    <row r="2657" hidden="1">
      <c r="A2657" s="6" t="str">
        <f>IFERROR(__xludf.DUMMYFUNCTION("""COMPUTED_VALUE"""),"sudamericana servicios de consultoria integral")</f>
        <v>sudamericana servicios de consultoria integral</v>
      </c>
      <c r="B2657" s="6" t="str">
        <f>IFERROR(__xludf.DUMMYFUNCTION("""COMPUTED_VALUE"""),"Argentina")</f>
        <v>Argentina</v>
      </c>
      <c r="C2657" s="6" t="str">
        <f>IFERROR(__xludf.DUMMYFUNCTION("""COMPUTED_VALUE"""),"Management Consulting")</f>
        <v>Management Consulting</v>
      </c>
    </row>
    <row r="2658" hidden="1">
      <c r="A2658" s="6" t="str">
        <f>IFERROR(__xludf.DUMMYFUNCTION("""COMPUTED_VALUE"""),"la caja de ahorro y seguros generali")</f>
        <v>la caja de ahorro y seguros generali</v>
      </c>
      <c r="B2658" s="4"/>
      <c r="C2658" s="4"/>
    </row>
    <row r="2659" hidden="1">
      <c r="A2659" s="6" t="str">
        <f>IFERROR(__xludf.DUMMYFUNCTION("""COMPUTED_VALUE"""),"hidroplat")</f>
        <v>hidroplat</v>
      </c>
      <c r="B2659" s="6" t="str">
        <f>IFERROR(__xludf.DUMMYFUNCTION("""COMPUTED_VALUE"""),"Chile")</f>
        <v>Chile</v>
      </c>
      <c r="C2659" s="6" t="str">
        <f>IFERROR(__xludf.DUMMYFUNCTION("""COMPUTED_VALUE"""),"Other")</f>
        <v>Other</v>
      </c>
    </row>
    <row r="2660" hidden="1">
      <c r="A2660" s="6" t="str">
        <f>IFERROR(__xludf.DUMMYFUNCTION("""COMPUTED_VALUE"""),"la web del colchón")</f>
        <v>la web del colchón</v>
      </c>
      <c r="B2660" s="4"/>
      <c r="C2660" s="4"/>
    </row>
    <row r="2661" hidden="1">
      <c r="A2661" s="6" t="str">
        <f>IFERROR(__xludf.DUMMYFUNCTION("""COMPUTED_VALUE"""),"appsmiths")</f>
        <v>appsmiths</v>
      </c>
      <c r="B2661" s="6" t="str">
        <f>IFERROR(__xludf.DUMMYFUNCTION("""COMPUTED_VALUE"""),"India")</f>
        <v>India</v>
      </c>
      <c r="C2661" s="6" t="str">
        <f>IFERROR(__xludf.DUMMYFUNCTION("""COMPUTED_VALUE"""),"Software Factory / Staffing")</f>
        <v>Software Factory / Staffing</v>
      </c>
    </row>
    <row r="2662" hidden="1">
      <c r="A2662" s="6" t="str">
        <f>IFERROR(__xludf.DUMMYFUNCTION("""COMPUTED_VALUE"""),"forma analytics")</f>
        <v>forma analytics</v>
      </c>
      <c r="B2662" s="6" t="str">
        <f>IFERROR(__xludf.DUMMYFUNCTION("""COMPUTED_VALUE"""),"Chile")</f>
        <v>Chile</v>
      </c>
      <c r="C2662" s="6" t="str">
        <f>IFERROR(__xludf.DUMMYFUNCTION("""COMPUTED_VALUE"""),"Data &amp; Analytics")</f>
        <v>Data &amp; Analytics</v>
      </c>
    </row>
    <row r="2663" hidden="1">
      <c r="A2663" s="6" t="str">
        <f>IFERROR(__xludf.DUMMYFUNCTION("""COMPUTED_VALUE"""),"ungs")</f>
        <v>ungs</v>
      </c>
      <c r="B2663" s="6" t="str">
        <f>IFERROR(__xludf.DUMMYFUNCTION("""COMPUTED_VALUE"""),"Argentina")</f>
        <v>Argentina</v>
      </c>
      <c r="C2663" s="6" t="str">
        <f>IFERROR(__xludf.DUMMYFUNCTION("""COMPUTED_VALUE"""),"Education &amp; Edtech")</f>
        <v>Education &amp; Edtech</v>
      </c>
    </row>
    <row r="2664" hidden="1">
      <c r="A2664" s="6" t="str">
        <f>IFERROR(__xludf.DUMMYFUNCTION("""COMPUTED_VALUE"""),"escuela da vinci")</f>
        <v>escuela da vinci</v>
      </c>
      <c r="B2664" s="4"/>
      <c r="C2664" s="6" t="str">
        <f>IFERROR(__xludf.DUMMYFUNCTION("""COMPUTED_VALUE"""),"Education &amp; Edtech")</f>
        <v>Education &amp; Edtech</v>
      </c>
    </row>
    <row r="2665" hidden="1">
      <c r="A2665" s="6" t="str">
        <f>IFERROR(__xludf.DUMMYFUNCTION("""COMPUTED_VALUE"""),"frontuari c.a")</f>
        <v>frontuari c.a</v>
      </c>
      <c r="B2665" s="4"/>
      <c r="C2665" s="4"/>
    </row>
    <row r="2666" hidden="1">
      <c r="A2666" s="6" t="str">
        <f>IFERROR(__xludf.DUMMYFUNCTION("""COMPUTED_VALUE"""),"intercapital")</f>
        <v>intercapital</v>
      </c>
      <c r="B2666" s="6" t="str">
        <f>IFERROR(__xludf.DUMMYFUNCTION("""COMPUTED_VALUE"""),"Croacia")</f>
        <v>Croacia</v>
      </c>
      <c r="C2666" s="6" t="str">
        <f>IFERROR(__xludf.DUMMYFUNCTION("""COMPUTED_VALUE"""),"Banking &amp; Financial Servicies")</f>
        <v>Banking &amp; Financial Servicies</v>
      </c>
    </row>
    <row r="2667" hidden="1">
      <c r="A2667" s="6" t="str">
        <f>IFERROR(__xludf.DUMMYFUNCTION("""COMPUTED_VALUE"""),"inova solutions")</f>
        <v>inova solutions</v>
      </c>
      <c r="B2667" s="6" t="str">
        <f>IFERROR(__xludf.DUMMYFUNCTION("""COMPUTED_VALUE"""),"Curazao")</f>
        <v>Curazao</v>
      </c>
      <c r="C2667" s="6" t="str">
        <f>IFERROR(__xludf.DUMMYFUNCTION("""COMPUTED_VALUE"""),"Software Factory / Staffing")</f>
        <v>Software Factory / Staffing</v>
      </c>
    </row>
    <row r="2668" hidden="1">
      <c r="A2668" s="6" t="str">
        <f>IFERROR(__xludf.DUMMYFUNCTION("""COMPUTED_VALUE"""),"molino harinero carhue s.a.i.c.i.a y f.")</f>
        <v>molino harinero carhue s.a.i.c.i.a y f.</v>
      </c>
      <c r="B2668" s="4"/>
      <c r="C2668" s="4"/>
    </row>
    <row r="2669" hidden="1">
      <c r="A2669" s="6" t="str">
        <f>IFERROR(__xludf.DUMMYFUNCTION("""COMPUTED_VALUE"""),"magic technology")</f>
        <v>magic technology</v>
      </c>
      <c r="B2669" s="6" t="str">
        <f>IFERROR(__xludf.DUMMYFUNCTION("""COMPUTED_VALUE"""),"Estados Unidos")</f>
        <v>Estados Unidos</v>
      </c>
      <c r="C2669" s="6" t="str">
        <f>IFERROR(__xludf.DUMMYFUNCTION("""COMPUTED_VALUE"""),"Marketing &amp; Advertising")</f>
        <v>Marketing &amp; Advertising</v>
      </c>
    </row>
    <row r="2670" hidden="1">
      <c r="A2670" s="6" t="str">
        <f>IFERROR(__xludf.DUMMYFUNCTION("""COMPUTED_VALUE"""),"ensenada de asturias sl")</f>
        <v>ensenada de asturias sl</v>
      </c>
      <c r="B2670" s="6" t="str">
        <f>IFERROR(__xludf.DUMMYFUNCTION("""COMPUTED_VALUE"""),"España")</f>
        <v>España</v>
      </c>
      <c r="C2670" s="6" t="str">
        <f>IFERROR(__xludf.DUMMYFUNCTION("""COMPUTED_VALUE"""),"Construction")</f>
        <v>Construction</v>
      </c>
    </row>
    <row r="2671" hidden="1">
      <c r="A2671" s="6" t="str">
        <f>IFERROR(__xludf.DUMMYFUNCTION("""COMPUTED_VALUE"""),"lean solutions")</f>
        <v>lean solutions</v>
      </c>
      <c r="B2671" s="6" t="str">
        <f>IFERROR(__xludf.DUMMYFUNCTION("""COMPUTED_VALUE"""),"Estados Unidos")</f>
        <v>Estados Unidos</v>
      </c>
      <c r="C2671" s="6" t="str">
        <f>IFERROR(__xludf.DUMMYFUNCTION("""COMPUTED_VALUE"""),"Software Factory / Staffing")</f>
        <v>Software Factory / Staffing</v>
      </c>
    </row>
    <row r="2672" hidden="1">
      <c r="A2672" s="6" t="str">
        <f>IFERROR(__xludf.DUMMYFUNCTION("""COMPUTED_VALUE"""),"ssi technologies")</f>
        <v>ssi technologies</v>
      </c>
      <c r="B2672" s="6" t="str">
        <f>IFERROR(__xludf.DUMMYFUNCTION("""COMPUTED_VALUE"""),"Argentina")</f>
        <v>Argentina</v>
      </c>
      <c r="C2672" s="6" t="str">
        <f>IFERROR(__xludf.DUMMYFUNCTION("""COMPUTED_VALUE"""),"Software Factory / Staffing")</f>
        <v>Software Factory / Staffing</v>
      </c>
    </row>
    <row r="2673" hidden="1">
      <c r="A2673" s="6" t="str">
        <f>IFERROR(__xludf.DUMMYFUNCTION("""COMPUTED_VALUE"""),"scala chile")</f>
        <v>scala chile</v>
      </c>
      <c r="B2673" s="6" t="str">
        <f>IFERROR(__xludf.DUMMYFUNCTION("""COMPUTED_VALUE"""),"Brasil")</f>
        <v>Brasil</v>
      </c>
      <c r="C2673" s="6" t="str">
        <f>IFERROR(__xludf.DUMMYFUNCTION("""COMPUTED_VALUE"""),"Software Factory / Staffing")</f>
        <v>Software Factory / Staffing</v>
      </c>
    </row>
    <row r="2674" hidden="1">
      <c r="A2674" s="6" t="str">
        <f>IFERROR(__xludf.DUMMYFUNCTION("""COMPUTED_VALUE"""),"bessell consultancy services")</f>
        <v>bessell consultancy services</v>
      </c>
      <c r="B2674" s="6" t="str">
        <f>IFERROR(__xludf.DUMMYFUNCTION("""COMPUTED_VALUE"""),"México")</f>
        <v>México</v>
      </c>
      <c r="C2674" s="6" t="str">
        <f>IFERROR(__xludf.DUMMYFUNCTION("""COMPUTED_VALUE"""),"Software Factory / Staffing")</f>
        <v>Software Factory / Staffing</v>
      </c>
    </row>
    <row r="2675" hidden="1">
      <c r="A2675" s="6" t="str">
        <f>IFERROR(__xludf.DUMMYFUNCTION("""COMPUTED_VALUE"""),"intouchcx")</f>
        <v>intouchcx</v>
      </c>
      <c r="B2675" s="6" t="str">
        <f>IFERROR(__xludf.DUMMYFUNCTION("""COMPUTED_VALUE"""),"Canadá")</f>
        <v>Canadá</v>
      </c>
      <c r="C2675" s="6" t="str">
        <f>IFERROR(__xludf.DUMMYFUNCTION("""COMPUTED_VALUE"""),"Other")</f>
        <v>Other</v>
      </c>
    </row>
    <row r="2676" hidden="1">
      <c r="A2676" s="6" t="str">
        <f>IFERROR(__xludf.DUMMYFUNCTION("""COMPUTED_VALUE"""),"coding and company")</f>
        <v>coding and company</v>
      </c>
      <c r="B2676" s="6" t="str">
        <f>IFERROR(__xludf.DUMMYFUNCTION("""COMPUTED_VALUE"""),"Argentina")</f>
        <v>Argentina</v>
      </c>
      <c r="C2676" s="6" t="str">
        <f>IFERROR(__xludf.DUMMYFUNCTION("""COMPUTED_VALUE"""),"Other")</f>
        <v>Other</v>
      </c>
    </row>
    <row r="2677" hidden="1">
      <c r="A2677" s="6" t="str">
        <f>IFERROR(__xludf.DUMMYFUNCTION("""COMPUTED_VALUE"""),"voicenter")</f>
        <v>voicenter</v>
      </c>
      <c r="B2677" s="6" t="str">
        <f>IFERROR(__xludf.DUMMYFUNCTION("""COMPUTED_VALUE"""),"Argentina")</f>
        <v>Argentina</v>
      </c>
      <c r="C2677" s="6" t="str">
        <f>IFERROR(__xludf.DUMMYFUNCTION("""COMPUTED_VALUE"""),"Other")</f>
        <v>Other</v>
      </c>
    </row>
    <row r="2678" hidden="1">
      <c r="A2678" s="6" t="str">
        <f>IFERROR(__xludf.DUMMYFUNCTION("""COMPUTED_VALUE"""),"property partners")</f>
        <v>property partners</v>
      </c>
      <c r="B2678" s="6" t="str">
        <f>IFERROR(__xludf.DUMMYFUNCTION("""COMPUTED_VALUE"""),"Chile")</f>
        <v>Chile</v>
      </c>
      <c r="C2678" s="6" t="str">
        <f>IFERROR(__xludf.DUMMYFUNCTION("""COMPUTED_VALUE"""),"PropTech / Real State")</f>
        <v>PropTech / Real State</v>
      </c>
    </row>
    <row r="2679" hidden="1">
      <c r="A2679" s="6" t="str">
        <f>IFERROR(__xludf.DUMMYFUNCTION("""COMPUTED_VALUE"""),"rastro agro")</f>
        <v>rastro agro</v>
      </c>
      <c r="B2679" s="6" t="str">
        <f>IFERROR(__xludf.DUMMYFUNCTION("""COMPUTED_VALUE"""),"Argentina")</f>
        <v>Argentina</v>
      </c>
      <c r="C2679" s="6" t="str">
        <f>IFERROR(__xludf.DUMMYFUNCTION("""COMPUTED_VALUE"""),"Agtech / Agro")</f>
        <v>Agtech / Agro</v>
      </c>
    </row>
    <row r="2680" hidden="1">
      <c r="A2680" s="6" t="str">
        <f>IFERROR(__xludf.DUMMYFUNCTION("""COMPUTED_VALUE"""),"wedevelop")</f>
        <v>wedevelop</v>
      </c>
      <c r="B2680" s="6" t="str">
        <f>IFERROR(__xludf.DUMMYFUNCTION("""COMPUTED_VALUE"""),"Estados Unidos")</f>
        <v>Estados Unidos</v>
      </c>
      <c r="C2680" s="6" t="str">
        <f>IFERROR(__xludf.DUMMYFUNCTION("""COMPUTED_VALUE"""),"Software Factory / Staffing")</f>
        <v>Software Factory / Staffing</v>
      </c>
    </row>
    <row r="2681" hidden="1">
      <c r="A2681" s="6" t="str">
        <f>IFERROR(__xludf.DUMMYFUNCTION("""COMPUTED_VALUE"""),"grupo delsud administracion financiera e inmobiliaria s.r.l")</f>
        <v>grupo delsud administracion financiera e inmobiliaria s.r.l</v>
      </c>
      <c r="B2681" s="4"/>
      <c r="C2681" s="4"/>
    </row>
    <row r="2682" hidden="1">
      <c r="A2682" s="6" t="str">
        <f>IFERROR(__xludf.DUMMYFUNCTION("""COMPUTED_VALUE"""),"bigdogs")</f>
        <v>bigdogs</v>
      </c>
      <c r="B2682" s="4"/>
      <c r="C2682" s="6" t="str">
        <f>IFERROR(__xludf.DUMMYFUNCTION("""COMPUTED_VALUE"""),"Software Factory / Staffing")</f>
        <v>Software Factory / Staffing</v>
      </c>
    </row>
    <row r="2683" hidden="1">
      <c r="A2683" s="6" t="str">
        <f>IFERROR(__xludf.DUMMYFUNCTION("""COMPUTED_VALUE"""),"oncompetence")</f>
        <v>oncompetence</v>
      </c>
      <c r="B2683" s="6" t="str">
        <f>IFERROR(__xludf.DUMMYFUNCTION("""COMPUTED_VALUE"""),"Estados Unidos")</f>
        <v>Estados Unidos</v>
      </c>
      <c r="C2683" s="6" t="str">
        <f>IFERROR(__xludf.DUMMYFUNCTION("""COMPUTED_VALUE"""),"Management Consulting")</f>
        <v>Management Consulting</v>
      </c>
    </row>
    <row r="2684" hidden="1">
      <c r="A2684" s="6" t="str">
        <f>IFERROR(__xludf.DUMMYFUNCTION("""COMPUTED_VALUE"""),"talycap global")</f>
        <v>talycap global</v>
      </c>
      <c r="B2684" s="6" t="str">
        <f>IFERROR(__xludf.DUMMYFUNCTION("""COMPUTED_VALUE"""),"Colombia")</f>
        <v>Colombia</v>
      </c>
      <c r="C2684" s="6" t="str">
        <f>IFERROR(__xludf.DUMMYFUNCTION("""COMPUTED_VALUE"""),"Software Factory / Staffing")</f>
        <v>Software Factory / Staffing</v>
      </c>
    </row>
    <row r="2685" hidden="1">
      <c r="A2685" s="6" t="str">
        <f>IFERROR(__xludf.DUMMYFUNCTION("""COMPUTED_VALUE"""),"wekall")</f>
        <v>wekall</v>
      </c>
      <c r="B2685" s="6" t="str">
        <f>IFERROR(__xludf.DUMMYFUNCTION("""COMPUTED_VALUE"""),"Colombia")</f>
        <v>Colombia</v>
      </c>
      <c r="C2685" s="6" t="str">
        <f>IFERROR(__xludf.DUMMYFUNCTION("""COMPUTED_VALUE"""),"Software Factory / Staffing")</f>
        <v>Software Factory / Staffing</v>
      </c>
    </row>
    <row r="2686" hidden="1">
      <c r="A2686" s="6" t="str">
        <f>IFERROR(__xludf.DUMMYFUNCTION("""COMPUTED_VALUE"""),"asoko tempo")</f>
        <v>asoko tempo</v>
      </c>
      <c r="B2686" s="6" t="str">
        <f>IFERROR(__xludf.DUMMYFUNCTION("""COMPUTED_VALUE"""),"Argentina")</f>
        <v>Argentina</v>
      </c>
      <c r="C2686" s="6" t="str">
        <f>IFERROR(__xludf.DUMMYFUNCTION("""COMPUTED_VALUE"""),"Human Resources")</f>
        <v>Human Resources</v>
      </c>
    </row>
    <row r="2687" hidden="1">
      <c r="A2687" s="6" t="str">
        <f>IFERROR(__xludf.DUMMYFUNCTION("""COMPUTED_VALUE"""),"sensora sas")</f>
        <v>sensora sas</v>
      </c>
      <c r="B2687" s="6" t="str">
        <f>IFERROR(__xludf.DUMMYFUNCTION("""COMPUTED_VALUE"""),"Estados Unidos")</f>
        <v>Estados Unidos</v>
      </c>
      <c r="C2687" s="6" t="str">
        <f>IFERROR(__xludf.DUMMYFUNCTION("""COMPUTED_VALUE"""),"Other")</f>
        <v>Other</v>
      </c>
    </row>
    <row r="2688" hidden="1">
      <c r="A2688" s="6" t="str">
        <f>IFERROR(__xludf.DUMMYFUNCTION("""COMPUTED_VALUE"""),"suizo argentina")</f>
        <v>suizo argentina</v>
      </c>
      <c r="B2688" s="6" t="str">
        <f>IFERROR(__xludf.DUMMYFUNCTION("""COMPUTED_VALUE"""),"Argentina")</f>
        <v>Argentina</v>
      </c>
      <c r="C2688" s="6" t="str">
        <f>IFERROR(__xludf.DUMMYFUNCTION("""COMPUTED_VALUE"""),"Health")</f>
        <v>Health</v>
      </c>
    </row>
    <row r="2689">
      <c r="A2689" s="6" t="str">
        <f>IFERROR(__xludf.DUMMYFUNCTION("""COMPUTED_VALUE"""),"muebles jamar")</f>
        <v>muebles jamar</v>
      </c>
      <c r="B2689" s="6" t="str">
        <f>IFERROR(__xludf.DUMMYFUNCTION("""COMPUTED_VALUE"""),"Colombia")</f>
        <v>Colombia</v>
      </c>
      <c r="C2689" s="6" t="str">
        <f>IFERROR(__xludf.DUMMYFUNCTION("""COMPUTED_VALUE"""),"Other")</f>
        <v>Other</v>
      </c>
    </row>
    <row r="2690" hidden="1">
      <c r="A2690" s="6" t="str">
        <f>IFERROR(__xludf.DUMMYFUNCTION("""COMPUTED_VALUE"""),"proximity")</f>
        <v>proximity</v>
      </c>
      <c r="B2690" s="6" t="str">
        <f>IFERROR(__xludf.DUMMYFUNCTION("""COMPUTED_VALUE"""),"Estados Unidos")</f>
        <v>Estados Unidos</v>
      </c>
      <c r="C2690" s="6" t="str">
        <f>IFERROR(__xludf.DUMMYFUNCTION("""COMPUTED_VALUE"""),"Software Factory / Staffing")</f>
        <v>Software Factory / Staffing</v>
      </c>
    </row>
    <row r="2691" hidden="1">
      <c r="A2691" s="6" t="str">
        <f>IFERROR(__xludf.DUMMYFUNCTION("""COMPUTED_VALUE"""),"oniria gaming")</f>
        <v>oniria gaming</v>
      </c>
      <c r="B2691" s="6" t="str">
        <f>IFERROR(__xludf.DUMMYFUNCTION("""COMPUTED_VALUE"""),"Argentina")</f>
        <v>Argentina</v>
      </c>
      <c r="C2691" s="6" t="str">
        <f>IFERROR(__xludf.DUMMYFUNCTION("""COMPUTED_VALUE"""),"Gaming")</f>
        <v>Gaming</v>
      </c>
    </row>
    <row r="2692" hidden="1">
      <c r="A2692" s="6" t="str">
        <f>IFERROR(__xludf.DUMMYFUNCTION("""COMPUTED_VALUE"""),"virtual soft")</f>
        <v>virtual soft</v>
      </c>
      <c r="B2692" s="6" t="str">
        <f>IFERROR(__xludf.DUMMYFUNCTION("""COMPUTED_VALUE"""),"Colombia")</f>
        <v>Colombia</v>
      </c>
      <c r="C2692" s="6" t="str">
        <f>IFERROR(__xludf.DUMMYFUNCTION("""COMPUTED_VALUE"""),"Software Factory / Staffing")</f>
        <v>Software Factory / Staffing</v>
      </c>
    </row>
    <row r="2693" hidden="1">
      <c r="A2693" s="6" t="str">
        <f>IFERROR(__xludf.DUMMYFUNCTION("""COMPUTED_VALUE"""),"fenomix")</f>
        <v>fenomix</v>
      </c>
      <c r="B2693" s="6" t="str">
        <f>IFERROR(__xludf.DUMMYFUNCTION("""COMPUTED_VALUE"""),"Argentina")</f>
        <v>Argentina</v>
      </c>
      <c r="C2693" s="6" t="str">
        <f>IFERROR(__xludf.DUMMYFUNCTION("""COMPUTED_VALUE"""),"Construction")</f>
        <v>Construction</v>
      </c>
    </row>
    <row r="2694">
      <c r="A2694" s="6" t="str">
        <f>IFERROR(__xludf.DUMMYFUNCTION("""COMPUTED_VALUE"""),"encode.s.a")</f>
        <v>encode.s.a</v>
      </c>
      <c r="B2694" s="6" t="str">
        <f>IFERROR(__xludf.DUMMYFUNCTION("""COMPUTED_VALUE"""),"Argentina")</f>
        <v>Argentina</v>
      </c>
      <c r="C2694" s="6" t="str">
        <f>IFERROR(__xludf.DUMMYFUNCTION("""COMPUTED_VALUE"""),"Software Factory / Staffing")</f>
        <v>Software Factory / Staffing</v>
      </c>
    </row>
    <row r="2695" hidden="1">
      <c r="A2695" s="6" t="str">
        <f>IFERROR(__xludf.DUMMYFUNCTION("""COMPUTED_VALUE"""),"venta equipos sas")</f>
        <v>venta equipos sas</v>
      </c>
      <c r="B2695" s="6" t="str">
        <f>IFERROR(__xludf.DUMMYFUNCTION("""COMPUTED_VALUE"""),"Colombia")</f>
        <v>Colombia</v>
      </c>
      <c r="C2695" s="6" t="str">
        <f>IFERROR(__xludf.DUMMYFUNCTION("""COMPUTED_VALUE"""),"Other")</f>
        <v>Other</v>
      </c>
    </row>
    <row r="2696" hidden="1">
      <c r="A2696" s="6" t="str">
        <f>IFERROR(__xludf.DUMMYFUNCTION("""COMPUTED_VALUE"""),"grupo mey sas")</f>
        <v>grupo mey sas</v>
      </c>
      <c r="B2696" s="4"/>
      <c r="C2696" s="4"/>
    </row>
    <row r="2697" hidden="1">
      <c r="A2697" s="6" t="str">
        <f>IFERROR(__xludf.DUMMYFUNCTION("""COMPUTED_VALUE"""),"byjus")</f>
        <v>byjus</v>
      </c>
      <c r="B2697" s="6" t="str">
        <f>IFERROR(__xludf.DUMMYFUNCTION("""COMPUTED_VALUE"""),"India")</f>
        <v>India</v>
      </c>
      <c r="C2697" s="6" t="str">
        <f>IFERROR(__xludf.DUMMYFUNCTION("""COMPUTED_VALUE"""),"Education &amp; Edtech")</f>
        <v>Education &amp; Edtech</v>
      </c>
    </row>
    <row r="2698" hidden="1">
      <c r="A2698" s="6" t="str">
        <f>IFERROR(__xludf.DUMMYFUNCTION("""COMPUTED_VALUE"""),"get a new one s.r.l.")</f>
        <v>get a new one s.r.l.</v>
      </c>
      <c r="B2698" s="6" t="str">
        <f>IFERROR(__xludf.DUMMYFUNCTION("""COMPUTED_VALUE"""),"Argentina")</f>
        <v>Argentina</v>
      </c>
      <c r="C2698" s="4"/>
    </row>
    <row r="2699" hidden="1">
      <c r="A2699" s="6" t="str">
        <f>IFERROR(__xludf.DUMMYFUNCTION("""COMPUTED_VALUE"""),"william grant sons")</f>
        <v>william grant sons</v>
      </c>
      <c r="B2699" s="6" t="str">
        <f>IFERROR(__xludf.DUMMYFUNCTION("""COMPUTED_VALUE"""),"Inglaterra")</f>
        <v>Inglaterra</v>
      </c>
      <c r="C2699" s="6" t="str">
        <f>IFERROR(__xludf.DUMMYFUNCTION("""COMPUTED_VALUE"""),"FMCG / Consumo masivo")</f>
        <v>FMCG / Consumo masivo</v>
      </c>
    </row>
    <row r="2700" hidden="1">
      <c r="A2700" s="6" t="str">
        <f>IFERROR(__xludf.DUMMYFUNCTION("""COMPUTED_VALUE"""),"pesquera olas azul")</f>
        <v>pesquera olas azul</v>
      </c>
      <c r="B2700" s="4"/>
      <c r="C2700" s="4"/>
    </row>
    <row r="2701" hidden="1">
      <c r="A2701" s="6" t="str">
        <f>IFERROR(__xludf.DUMMYFUNCTION("""COMPUTED_VALUE"""),"livo company")</f>
        <v>livo company</v>
      </c>
      <c r="B2701" s="6" t="str">
        <f>IFERROR(__xludf.DUMMYFUNCTION("""COMPUTED_VALUE"""),"Brasil")</f>
        <v>Brasil</v>
      </c>
      <c r="C2701" s="6" t="str">
        <f>IFERROR(__xludf.DUMMYFUNCTION("""COMPUTED_VALUE"""),"Other")</f>
        <v>Other</v>
      </c>
    </row>
    <row r="2702" hidden="1">
      <c r="A2702" s="6" t="str">
        <f>IFERROR(__xludf.DUMMYFUNCTION("""COMPUTED_VALUE"""),"technoapes colombia")</f>
        <v>technoapes colombia</v>
      </c>
      <c r="B2702" s="4"/>
      <c r="C2702" s="4"/>
    </row>
    <row r="2703" hidden="1">
      <c r="A2703" s="6" t="str">
        <f>IFERROR(__xludf.DUMMYFUNCTION("""COMPUTED_VALUE"""),"comunidad franciscana providencia de la santa fe")</f>
        <v>comunidad franciscana providencia de la santa fe</v>
      </c>
      <c r="B2703" s="4"/>
      <c r="C2703" s="4"/>
    </row>
    <row r="2704" hidden="1">
      <c r="A2704" s="6" t="str">
        <f>IFERROR(__xludf.DUMMYFUNCTION("""COMPUTED_VALUE"""),"kantar ibope media")</f>
        <v>kantar ibope media</v>
      </c>
      <c r="B2704" s="6" t="str">
        <f>IFERROR(__xludf.DUMMYFUNCTION("""COMPUTED_VALUE"""),"Brasil")</f>
        <v>Brasil</v>
      </c>
      <c r="C2704" s="6" t="str">
        <f>IFERROR(__xludf.DUMMYFUNCTION("""COMPUTED_VALUE"""),"Other")</f>
        <v>Other</v>
      </c>
    </row>
    <row r="2705" hidden="1">
      <c r="A2705" s="6" t="str">
        <f>IFERROR(__xludf.DUMMYFUNCTION("""COMPUTED_VALUE"""),"copibri")</f>
        <v>copibri</v>
      </c>
      <c r="B2705" s="4"/>
      <c r="C2705" s="4"/>
    </row>
    <row r="2706" hidden="1">
      <c r="A2706" s="6" t="str">
        <f>IFERROR(__xludf.DUMMYFUNCTION("""COMPUTED_VALUE"""),"technoapes de colombia")</f>
        <v>technoapes de colombia</v>
      </c>
      <c r="B2706" s="4"/>
      <c r="C2706" s="4"/>
    </row>
    <row r="2707" hidden="1">
      <c r="A2707" s="6" t="str">
        <f>IFERROR(__xludf.DUMMYFUNCTION("""COMPUTED_VALUE"""),"me inmobiliaria")</f>
        <v>me inmobiliaria</v>
      </c>
      <c r="B2707" s="6" t="str">
        <f>IFERROR(__xludf.DUMMYFUNCTION("""COMPUTED_VALUE"""),"España")</f>
        <v>España</v>
      </c>
      <c r="C2707" s="6" t="str">
        <f>IFERROR(__xludf.DUMMYFUNCTION("""COMPUTED_VALUE"""),"PropTech / Real State")</f>
        <v>PropTech / Real State</v>
      </c>
    </row>
    <row r="2708" hidden="1">
      <c r="A2708" s="6" t="str">
        <f>IFERROR(__xludf.DUMMYFUNCTION("""COMPUTED_VALUE"""),"go supply")</f>
        <v>go supply</v>
      </c>
      <c r="B2708" s="4"/>
      <c r="C2708" s="6" t="str">
        <f>IFERROR(__xludf.DUMMYFUNCTION("""COMPUTED_VALUE"""),"Logistics")</f>
        <v>Logistics</v>
      </c>
    </row>
    <row r="2709" hidden="1">
      <c r="A2709" s="6" t="str">
        <f>IFERROR(__xludf.DUMMYFUNCTION("""COMPUTED_VALUE"""),"froneus")</f>
        <v>froneus</v>
      </c>
      <c r="B2709" s="6" t="str">
        <f>IFERROR(__xludf.DUMMYFUNCTION("""COMPUTED_VALUE"""),"Argentina")</f>
        <v>Argentina</v>
      </c>
      <c r="C2709" s="6" t="str">
        <f>IFERROR(__xludf.DUMMYFUNCTION("""COMPUTED_VALUE"""),"Software Factory / Staffing")</f>
        <v>Software Factory / Staffing</v>
      </c>
    </row>
    <row r="2710" hidden="1">
      <c r="A2710" s="6" t="str">
        <f>IFERROR(__xludf.DUMMYFUNCTION("""COMPUTED_VALUE"""),"linktic s.a.s")</f>
        <v>linktic s.a.s</v>
      </c>
      <c r="B2710" s="6" t="str">
        <f>IFERROR(__xludf.DUMMYFUNCTION("""COMPUTED_VALUE"""),"Colombia")</f>
        <v>Colombia</v>
      </c>
      <c r="C2710" s="6" t="str">
        <f>IFERROR(__xludf.DUMMYFUNCTION("""COMPUTED_VALUE"""),"Software Factory / Staffing")</f>
        <v>Software Factory / Staffing</v>
      </c>
    </row>
    <row r="2711" hidden="1">
      <c r="A2711" s="6" t="str">
        <f>IFERROR(__xludf.DUMMYFUNCTION("""COMPUTED_VALUE"""),"tecde ingeniería")</f>
        <v>tecde ingeniería</v>
      </c>
      <c r="B2711" s="4"/>
      <c r="C2711" s="4"/>
    </row>
    <row r="2712" hidden="1">
      <c r="A2712" s="6" t="str">
        <f>IFERROR(__xludf.DUMMYFUNCTION("""COMPUTED_VALUE"""),"ingeniería informática")</f>
        <v>ingeniería informática</v>
      </c>
      <c r="B2712" s="4"/>
      <c r="C2712" s="4"/>
    </row>
    <row r="2713" hidden="1">
      <c r="A2713" s="6" t="str">
        <f>IFERROR(__xludf.DUMMYFUNCTION("""COMPUTED_VALUE"""),"cámara de comercio de medellin")</f>
        <v>cámara de comercio de medellin</v>
      </c>
      <c r="B2713" s="6" t="str">
        <f>IFERROR(__xludf.DUMMYFUNCTION("""COMPUTED_VALUE"""),"Colombia")</f>
        <v>Colombia</v>
      </c>
      <c r="C2713" s="6" t="str">
        <f>IFERROR(__xludf.DUMMYFUNCTION("""COMPUTED_VALUE"""),"Management Consulting")</f>
        <v>Management Consulting</v>
      </c>
    </row>
    <row r="2714" hidden="1">
      <c r="A2714" s="6" t="str">
        <f>IFERROR(__xludf.DUMMYFUNCTION("""COMPUTED_VALUE"""),"foca software")</f>
        <v>foca software</v>
      </c>
      <c r="B2714" s="6" t="str">
        <f>IFERROR(__xludf.DUMMYFUNCTION("""COMPUTED_VALUE"""),"Argentina")</f>
        <v>Argentina</v>
      </c>
      <c r="C2714" s="6" t="str">
        <f>IFERROR(__xludf.DUMMYFUNCTION("""COMPUTED_VALUE"""),"Software Factory / Staffing")</f>
        <v>Software Factory / Staffing</v>
      </c>
    </row>
    <row r="2715" hidden="1">
      <c r="A2715" s="6" t="str">
        <f>IFERROR(__xludf.DUMMYFUNCTION("""COMPUTED_VALUE"""),"at4")</f>
        <v>at4</v>
      </c>
      <c r="B2715" s="6" t="str">
        <f>IFERROR(__xludf.DUMMYFUNCTION("""COMPUTED_VALUE"""),"España")</f>
        <v>España</v>
      </c>
      <c r="C2715" s="6" t="str">
        <f>IFERROR(__xludf.DUMMYFUNCTION("""COMPUTED_VALUE"""),"Construction")</f>
        <v>Construction</v>
      </c>
    </row>
    <row r="2716" hidden="1">
      <c r="A2716" s="6" t="str">
        <f>IFERROR(__xludf.DUMMYFUNCTION("""COMPUTED_VALUE"""),"blung web")</f>
        <v>blung web</v>
      </c>
      <c r="B2716" s="4"/>
      <c r="C2716" s="4"/>
    </row>
    <row r="2717" hidden="1">
      <c r="A2717" s="6" t="str">
        <f>IFERROR(__xludf.DUMMYFUNCTION("""COMPUTED_VALUE"""),"dichter &amp; neira")</f>
        <v>dichter &amp; neira</v>
      </c>
      <c r="B2717" s="6" t="str">
        <f>IFERROR(__xludf.DUMMYFUNCTION("""COMPUTED_VALUE"""),"Panamá")</f>
        <v>Panamá</v>
      </c>
      <c r="C2717" s="6" t="str">
        <f>IFERROR(__xludf.DUMMYFUNCTION("""COMPUTED_VALUE"""),"Banking &amp; Financial Servicies")</f>
        <v>Banking &amp; Financial Servicies</v>
      </c>
    </row>
    <row r="2718" hidden="1">
      <c r="A2718" s="6" t="str">
        <f>IFERROR(__xludf.DUMMYFUNCTION("""COMPUTED_VALUE"""),"neuralsys")</f>
        <v>neuralsys</v>
      </c>
      <c r="B2718" s="4"/>
      <c r="C2718" s="4"/>
    </row>
    <row r="2719" hidden="1">
      <c r="A2719" s="6" t="str">
        <f>IFERROR(__xludf.DUMMYFUNCTION("""COMPUTED_VALUE"""),"tucan marketing digital")</f>
        <v>tucan marketing digital</v>
      </c>
      <c r="B2719" s="6" t="str">
        <f>IFERROR(__xludf.DUMMYFUNCTION("""COMPUTED_VALUE"""),"Colombia")</f>
        <v>Colombia</v>
      </c>
      <c r="C2719" s="6" t="str">
        <f>IFERROR(__xludf.DUMMYFUNCTION("""COMPUTED_VALUE"""),"Software Factory / Staffing")</f>
        <v>Software Factory / Staffing</v>
      </c>
    </row>
    <row r="2720" hidden="1">
      <c r="A2720" s="6" t="str">
        <f>IFERROR(__xludf.DUMMYFUNCTION("""COMPUTED_VALUE"""),"interdynamics")</f>
        <v>interdynamics</v>
      </c>
      <c r="B2720" s="4"/>
      <c r="C2720" s="4"/>
    </row>
    <row r="2721" hidden="1">
      <c r="A2721" s="6" t="str">
        <f>IFERROR(__xludf.DUMMYFUNCTION("""COMPUTED_VALUE"""),"esinergia")</f>
        <v>esinergia</v>
      </c>
      <c r="B2721" s="6" t="str">
        <f>IFERROR(__xludf.DUMMYFUNCTION("""COMPUTED_VALUE"""),"Colombia")</f>
        <v>Colombia</v>
      </c>
      <c r="C2721" s="6" t="str">
        <f>IFERROR(__xludf.DUMMYFUNCTION("""COMPUTED_VALUE"""),"Software Factory / Staffing")</f>
        <v>Software Factory / Staffing</v>
      </c>
    </row>
    <row r="2722" hidden="1">
      <c r="A2722" s="6" t="str">
        <f>IFERROR(__xludf.DUMMYFUNCTION("""COMPUTED_VALUE"""),"universidad empresarial siglo 21")</f>
        <v>universidad empresarial siglo 21</v>
      </c>
      <c r="B2722" s="6" t="str">
        <f>IFERROR(__xludf.DUMMYFUNCTION("""COMPUTED_VALUE"""),"Argentina")</f>
        <v>Argentina</v>
      </c>
      <c r="C2722" s="6" t="str">
        <f>IFERROR(__xludf.DUMMYFUNCTION("""COMPUTED_VALUE"""),"Education &amp; Edtech")</f>
        <v>Education &amp; Edtech</v>
      </c>
    </row>
    <row r="2723" hidden="1">
      <c r="A2723" s="6" t="str">
        <f>IFERROR(__xludf.DUMMYFUNCTION("""COMPUTED_VALUE"""),"banco de corrientes sa")</f>
        <v>banco de corrientes sa</v>
      </c>
      <c r="B2723" s="4"/>
      <c r="C2723" s="4"/>
    </row>
    <row r="2724" hidden="1">
      <c r="A2724" s="6" t="str">
        <f>IFERROR(__xludf.DUMMYFUNCTION("""COMPUTED_VALUE"""),"g&amp;lgroup")</f>
        <v>g&amp;lgroup</v>
      </c>
      <c r="B2724" s="4"/>
      <c r="C2724" s="6" t="str">
        <f>IFERROR(__xludf.DUMMYFUNCTION("""COMPUTED_VALUE"""),"FMCG / Consumo masivo")</f>
        <v>FMCG / Consumo masivo</v>
      </c>
    </row>
    <row r="2725" hidden="1">
      <c r="A2725" s="6" t="str">
        <f>IFERROR(__xludf.DUMMYFUNCTION("""COMPUTED_VALUE"""),"nts seidor")</f>
        <v>nts seidor</v>
      </c>
      <c r="B2725" s="6" t="str">
        <f>IFERROR(__xludf.DUMMYFUNCTION("""COMPUTED_VALUE"""),"España")</f>
        <v>España</v>
      </c>
      <c r="C2725" s="6" t="str">
        <f>IFERROR(__xludf.DUMMYFUNCTION("""COMPUTED_VALUE"""),"Software Factory / Staffing")</f>
        <v>Software Factory / Staffing</v>
      </c>
    </row>
    <row r="2726" hidden="1">
      <c r="A2726" s="6" t="str">
        <f>IFERROR(__xludf.DUMMYFUNCTION("""COMPUTED_VALUE"""),"develhope")</f>
        <v>develhope</v>
      </c>
      <c r="B2726" s="6" t="str">
        <f>IFERROR(__xludf.DUMMYFUNCTION("""COMPUTED_VALUE"""),"Argentina")</f>
        <v>Argentina</v>
      </c>
      <c r="C2726" s="6" t="str">
        <f>IFERROR(__xludf.DUMMYFUNCTION("""COMPUTED_VALUE"""),"Software Factory / Staffing")</f>
        <v>Software Factory / Staffing</v>
      </c>
    </row>
    <row r="2727" hidden="1">
      <c r="A2727" s="6" t="str">
        <f>IFERROR(__xludf.DUMMYFUNCTION("""COMPUTED_VALUE"""),"mrm")</f>
        <v>mrm</v>
      </c>
      <c r="B2727" s="6" t="str">
        <f>IFERROR(__xludf.DUMMYFUNCTION("""COMPUTED_VALUE"""),"Estados Unidos")</f>
        <v>Estados Unidos</v>
      </c>
      <c r="C2727" s="6" t="str">
        <f>IFERROR(__xludf.DUMMYFUNCTION("""COMPUTED_VALUE"""),"Marketing &amp; Advertising")</f>
        <v>Marketing &amp; Advertising</v>
      </c>
    </row>
    <row r="2728" hidden="1">
      <c r="A2728" s="6" t="str">
        <f>IFERROR(__xludf.DUMMYFUNCTION("""COMPUTED_VALUE"""),"arquant s.a")</f>
        <v>arquant s.a</v>
      </c>
      <c r="B2728" s="4"/>
      <c r="C2728" s="4"/>
    </row>
    <row r="2729" hidden="1">
      <c r="A2729" s="6" t="str">
        <f>IFERROR(__xludf.DUMMYFUNCTION("""COMPUTED_VALUE"""),"nectica")</f>
        <v>nectica</v>
      </c>
      <c r="B2729" s="4"/>
      <c r="C2729" s="6" t="str">
        <f>IFERROR(__xludf.DUMMYFUNCTION("""COMPUTED_VALUE"""),"Software Factory / Staffing")</f>
        <v>Software Factory / Staffing</v>
      </c>
    </row>
    <row r="2730" hidden="1">
      <c r="A2730" s="6" t="str">
        <f>IFERROR(__xludf.DUMMYFUNCTION("""COMPUTED_VALUE"""),"saia")</f>
        <v>saia</v>
      </c>
      <c r="B2730" s="6" t="str">
        <f>IFERROR(__xludf.DUMMYFUNCTION("""COMPUTED_VALUE"""),"Estados Unidos")</f>
        <v>Estados Unidos</v>
      </c>
      <c r="C2730" s="6" t="str">
        <f>IFERROR(__xludf.DUMMYFUNCTION("""COMPUTED_VALUE"""),"Logistics")</f>
        <v>Logistics</v>
      </c>
    </row>
    <row r="2731" hidden="1">
      <c r="A2731" s="6" t="str">
        <f>IFERROR(__xludf.DUMMYFUNCTION("""COMPUTED_VALUE"""),"der distribuciones")</f>
        <v>der distribuciones</v>
      </c>
      <c r="B2731" s="4"/>
      <c r="C2731" s="4"/>
    </row>
    <row r="2732" hidden="1">
      <c r="A2732" s="6" t="str">
        <f>IFERROR(__xludf.DUMMYFUNCTION("""COMPUTED_VALUE"""),"bankaya")</f>
        <v>bankaya</v>
      </c>
      <c r="B2732" s="6" t="str">
        <f>IFERROR(__xludf.DUMMYFUNCTION("""COMPUTED_VALUE"""),"México")</f>
        <v>México</v>
      </c>
      <c r="C2732" s="6" t="str">
        <f>IFERROR(__xludf.DUMMYFUNCTION("""COMPUTED_VALUE"""),"Banking &amp; Financial Servicies")</f>
        <v>Banking &amp; Financial Servicies</v>
      </c>
    </row>
    <row r="2733" hidden="1">
      <c r="A2733" s="6" t="str">
        <f>IFERROR(__xludf.DUMMYFUNCTION("""COMPUTED_VALUE"""),"dblandit")</f>
        <v>dblandit</v>
      </c>
      <c r="B2733" s="6" t="str">
        <f>IFERROR(__xludf.DUMMYFUNCTION("""COMPUTED_VALUE"""),"Argentina")</f>
        <v>Argentina</v>
      </c>
      <c r="C2733" s="6" t="str">
        <f>IFERROR(__xludf.DUMMYFUNCTION("""COMPUTED_VALUE"""),"Management Consulting")</f>
        <v>Management Consulting</v>
      </c>
    </row>
    <row r="2734" hidden="1">
      <c r="A2734" s="6" t="str">
        <f>IFERROR(__xludf.DUMMYFUNCTION("""COMPUTED_VALUE"""),"escotel")</f>
        <v>escotel</v>
      </c>
      <c r="B2734" s="6" t="str">
        <f>IFERROR(__xludf.DUMMYFUNCTION("""COMPUTED_VALUE"""),"México")</f>
        <v>México</v>
      </c>
      <c r="C2734" s="6" t="str">
        <f>IFERROR(__xludf.DUMMYFUNCTION("""COMPUTED_VALUE"""),"Other")</f>
        <v>Other</v>
      </c>
    </row>
    <row r="2735" hidden="1">
      <c r="A2735" s="6" t="str">
        <f>IFERROR(__xludf.DUMMYFUNCTION("""COMPUTED_VALUE"""),"inside business mexico")</f>
        <v>inside business mexico</v>
      </c>
      <c r="B2735" s="6" t="str">
        <f>IFERROR(__xludf.DUMMYFUNCTION("""COMPUTED_VALUE"""),"Estados Unidos")</f>
        <v>Estados Unidos</v>
      </c>
      <c r="C2735" s="6" t="str">
        <f>IFERROR(__xludf.DUMMYFUNCTION("""COMPUTED_VALUE"""),"Media &amp; Communication")</f>
        <v>Media &amp; Communication</v>
      </c>
    </row>
    <row r="2736" hidden="1">
      <c r="A2736" s="6" t="str">
        <f>IFERROR(__xludf.DUMMYFUNCTION("""COMPUTED_VALUE"""),"grupo requiem soluciones")</f>
        <v>grupo requiem soluciones</v>
      </c>
      <c r="B2736" s="4"/>
      <c r="C2736" s="4"/>
    </row>
    <row r="2737" hidden="1">
      <c r="A2737" s="6" t="str">
        <f>IFERROR(__xludf.DUMMYFUNCTION("""COMPUTED_VALUE"""),"corralón láinez")</f>
        <v>corralón láinez</v>
      </c>
      <c r="B2737" s="4"/>
      <c r="C2737" s="4"/>
    </row>
    <row r="2738" hidden="1">
      <c r="A2738" s="6" t="str">
        <f>IFERROR(__xludf.DUMMYFUNCTION("""COMPUTED_VALUE"""),"argencred sa")</f>
        <v>argencred sa</v>
      </c>
      <c r="B2738" s="4"/>
      <c r="C2738" s="4"/>
    </row>
    <row r="2739" hidden="1">
      <c r="A2739" s="6" t="str">
        <f>IFERROR(__xludf.DUMMYFUNCTION("""COMPUTED_VALUE"""),"lake dunstan orchards")</f>
        <v>lake dunstan orchards</v>
      </c>
      <c r="B2739" s="4"/>
      <c r="C2739" s="4"/>
    </row>
    <row r="2740" hidden="1">
      <c r="A2740" s="6" t="str">
        <f>IFERROR(__xludf.DUMMYFUNCTION("""COMPUTED_VALUE"""),"boehringer ingelheim")</f>
        <v>boehringer ingelheim</v>
      </c>
      <c r="B2740" s="6" t="str">
        <f>IFERROR(__xludf.DUMMYFUNCTION("""COMPUTED_VALUE"""),"Alemania")</f>
        <v>Alemania</v>
      </c>
      <c r="C2740" s="6" t="str">
        <f>IFERROR(__xludf.DUMMYFUNCTION("""COMPUTED_VALUE"""),"Health")</f>
        <v>Health</v>
      </c>
    </row>
    <row r="2741" hidden="1">
      <c r="A2741" s="6" t="str">
        <f>IFERROR(__xludf.DUMMYFUNCTION("""COMPUTED_VALUE"""),"taval s.a.")</f>
        <v>taval s.a.</v>
      </c>
      <c r="B2741" s="4"/>
      <c r="C2741" s="4"/>
    </row>
    <row r="2742" hidden="1">
      <c r="A2742" s="6" t="str">
        <f>IFERROR(__xludf.DUMMYFUNCTION("""COMPUTED_VALUE"""),"adastra")</f>
        <v>adastra</v>
      </c>
      <c r="B2742" s="4"/>
      <c r="C2742" s="6" t="str">
        <f>IFERROR(__xludf.DUMMYFUNCTION("""COMPUTED_VALUE"""),"Software Factory / Staffing")</f>
        <v>Software Factory / Staffing</v>
      </c>
    </row>
    <row r="2743" hidden="1">
      <c r="A2743" s="6" t="str">
        <f>IFERROR(__xludf.DUMMYFUNCTION("""COMPUTED_VALUE"""),"cicsa")</f>
        <v>cicsa</v>
      </c>
      <c r="B2743" s="6" t="str">
        <f>IFERROR(__xludf.DUMMYFUNCTION("""COMPUTED_VALUE"""),"Perú")</f>
        <v>Perú</v>
      </c>
      <c r="C2743" s="6" t="str">
        <f>IFERROR(__xludf.DUMMYFUNCTION("""COMPUTED_VALUE"""),"Messaging and Telecommunications")</f>
        <v>Messaging and Telecommunications</v>
      </c>
    </row>
    <row r="2744" hidden="1">
      <c r="A2744" s="6" t="str">
        <f>IFERROR(__xludf.DUMMYFUNCTION("""COMPUTED_VALUE"""),"hotel royal neuquen")</f>
        <v>hotel royal neuquen</v>
      </c>
      <c r="B2744" s="4"/>
      <c r="C2744" s="6" t="str">
        <f>IFERROR(__xludf.DUMMYFUNCTION("""COMPUTED_VALUE"""),"Travel and Tourism")</f>
        <v>Travel and Tourism</v>
      </c>
    </row>
    <row r="2745" hidden="1">
      <c r="A2745" s="6" t="str">
        <f>IFERROR(__xludf.DUMMYFUNCTION("""COMPUTED_VALUE"""),"gyl group")</f>
        <v>gyl group</v>
      </c>
      <c r="B2745" s="4"/>
      <c r="C2745" s="4"/>
    </row>
    <row r="2746" hidden="1">
      <c r="A2746" s="6" t="str">
        <f>IFERROR(__xludf.DUMMYFUNCTION("""COMPUTED_VALUE"""),"tecflex sac")</f>
        <v>tecflex sac</v>
      </c>
      <c r="B2746" s="4"/>
      <c r="C2746" s="4"/>
    </row>
    <row r="2747" hidden="1">
      <c r="A2747" s="6" t="str">
        <f>IFERROR(__xludf.DUMMYFUNCTION("""COMPUTED_VALUE"""),"aryx")</f>
        <v>aryx</v>
      </c>
      <c r="B2747" s="6" t="str">
        <f>IFERROR(__xludf.DUMMYFUNCTION("""COMPUTED_VALUE"""),"Bélgica")</f>
        <v>Bélgica</v>
      </c>
      <c r="C2747" s="6" t="str">
        <f>IFERROR(__xludf.DUMMYFUNCTION("""COMPUTED_VALUE"""),"Management Consulting")</f>
        <v>Management Consulting</v>
      </c>
    </row>
    <row r="2748" hidden="1">
      <c r="A2748" s="6" t="str">
        <f>IFERROR(__xludf.DUMMYFUNCTION("""COMPUTED_VALUE"""),"net. consultores")</f>
        <v>net. consultores</v>
      </c>
      <c r="B2748" s="6" t="str">
        <f>IFERROR(__xludf.DUMMYFUNCTION("""COMPUTED_VALUE"""),"Perú")</f>
        <v>Perú</v>
      </c>
      <c r="C2748" s="6" t="str">
        <f>IFERROR(__xludf.DUMMYFUNCTION("""COMPUTED_VALUE"""),"Accounting")</f>
        <v>Accounting</v>
      </c>
    </row>
    <row r="2749" hidden="1">
      <c r="A2749" s="6" t="str">
        <f>IFERROR(__xludf.DUMMYFUNCTION("""COMPUTED_VALUE"""),"shine")</f>
        <v>shine</v>
      </c>
      <c r="B2749" s="6" t="str">
        <f>IFERROR(__xludf.DUMMYFUNCTION("""COMPUTED_VALUE"""),"Francia")</f>
        <v>Francia</v>
      </c>
      <c r="C2749" s="6" t="str">
        <f>IFERROR(__xludf.DUMMYFUNCTION("""COMPUTED_VALUE"""),"Banking &amp; Financial Servicies")</f>
        <v>Banking &amp; Financial Servicies</v>
      </c>
    </row>
    <row r="2750" hidden="1">
      <c r="A2750" s="6" t="str">
        <f>IFERROR(__xludf.DUMMYFUNCTION("""COMPUTED_VALUE"""),"pacifico seguros")</f>
        <v>pacifico seguros</v>
      </c>
      <c r="B2750" s="6" t="str">
        <f>IFERROR(__xludf.DUMMYFUNCTION("""COMPUTED_VALUE"""),"Perú")</f>
        <v>Perú</v>
      </c>
      <c r="C2750" s="6" t="str">
        <f>IFERROR(__xludf.DUMMYFUNCTION("""COMPUTED_VALUE"""),"Insurance")</f>
        <v>Insurance</v>
      </c>
    </row>
    <row r="2751" hidden="1">
      <c r="A2751" s="6" t="str">
        <f>IFERROR(__xludf.DUMMYFUNCTION("""COMPUTED_VALUE"""),"exomindset")</f>
        <v>exomindset</v>
      </c>
      <c r="B2751" s="6" t="str">
        <f>IFERROR(__xludf.DUMMYFUNCTION("""COMPUTED_VALUE"""),"Estados Unidos")</f>
        <v>Estados Unidos</v>
      </c>
      <c r="C2751" s="6" t="str">
        <f>IFERROR(__xludf.DUMMYFUNCTION("""COMPUTED_VALUE"""),"Software Factory / Staffing")</f>
        <v>Software Factory / Staffing</v>
      </c>
    </row>
    <row r="2752" hidden="1">
      <c r="A2752" s="6" t="str">
        <f>IFERROR(__xludf.DUMMYFUNCTION("""COMPUTED_VALUE"""),"datastar")</f>
        <v>datastar</v>
      </c>
      <c r="B2752" s="4"/>
      <c r="C2752" s="6" t="str">
        <f>IFERROR(__xludf.DUMMYFUNCTION("""COMPUTED_VALUE"""),"Software Factory / Staffing")</f>
        <v>Software Factory / Staffing</v>
      </c>
    </row>
    <row r="2753" hidden="1">
      <c r="A2753" s="6" t="str">
        <f>IFERROR(__xludf.DUMMYFUNCTION("""COMPUTED_VALUE"""),"consuman")</f>
        <v>consuman</v>
      </c>
      <c r="B2753" s="6" t="str">
        <f>IFERROR(__xludf.DUMMYFUNCTION("""COMPUTED_VALUE"""),"Argentina")</f>
        <v>Argentina</v>
      </c>
      <c r="C2753" s="6" t="str">
        <f>IFERROR(__xludf.DUMMYFUNCTION("""COMPUTED_VALUE"""),"Software Factory / Staffing")</f>
        <v>Software Factory / Staffing</v>
      </c>
    </row>
    <row r="2754" hidden="1">
      <c r="A2754" s="6" t="str">
        <f>IFERROR(__xludf.DUMMYFUNCTION("""COMPUTED_VALUE"""),"business development facilities sa")</f>
        <v>business development facilities sa</v>
      </c>
      <c r="B2754" s="6" t="str">
        <f>IFERROR(__xludf.DUMMYFUNCTION("""COMPUTED_VALUE"""),"España")</f>
        <v>España</v>
      </c>
      <c r="C2754" s="6" t="str">
        <f>IFERROR(__xludf.DUMMYFUNCTION("""COMPUTED_VALUE"""),"Energy")</f>
        <v>Energy</v>
      </c>
    </row>
    <row r="2755" hidden="1">
      <c r="A2755" s="6" t="str">
        <f>IFERROR(__xludf.DUMMYFUNCTION("""COMPUTED_VALUE"""),"logos argentina srl")</f>
        <v>logos argentina srl</v>
      </c>
      <c r="B2755" s="6" t="str">
        <f>IFERROR(__xludf.DUMMYFUNCTION("""COMPUTED_VALUE"""),"Argentina")</f>
        <v>Argentina</v>
      </c>
      <c r="C2755" s="6" t="str">
        <f>IFERROR(__xludf.DUMMYFUNCTION("""COMPUTED_VALUE"""),"Media &amp; Communication")</f>
        <v>Media &amp; Communication</v>
      </c>
    </row>
    <row r="2756" hidden="1">
      <c r="A2756" s="6" t="str">
        <f>IFERROR(__xludf.DUMMYFUNCTION("""COMPUTED_VALUE"""),"taligent s.a")</f>
        <v>taligent s.a</v>
      </c>
      <c r="B2756" s="4"/>
      <c r="C2756" s="4"/>
    </row>
    <row r="2757" hidden="1">
      <c r="A2757" s="6" t="str">
        <f>IFERROR(__xludf.DUMMYFUNCTION("""COMPUTED_VALUE"""),"adevcom")</f>
        <v>adevcom</v>
      </c>
      <c r="B2757" s="6" t="str">
        <f>IFERROR(__xludf.DUMMYFUNCTION("""COMPUTED_VALUE"""),"Chile")</f>
        <v>Chile</v>
      </c>
      <c r="C2757" s="6" t="str">
        <f>IFERROR(__xludf.DUMMYFUNCTION("""COMPUTED_VALUE"""),"Management Consulting")</f>
        <v>Management Consulting</v>
      </c>
    </row>
    <row r="2758" hidden="1">
      <c r="A2758" s="6" t="str">
        <f>IFERROR(__xludf.DUMMYFUNCTION("""COMPUTED_VALUE"""),"airbits")</f>
        <v>airbits</v>
      </c>
      <c r="B2758" s="6" t="str">
        <f>IFERROR(__xludf.DUMMYFUNCTION("""COMPUTED_VALUE"""),"Argentina")</f>
        <v>Argentina</v>
      </c>
      <c r="C2758" s="6" t="str">
        <f>IFERROR(__xludf.DUMMYFUNCTION("""COMPUTED_VALUE"""),"Software Factory / Staffing")</f>
        <v>Software Factory / Staffing</v>
      </c>
    </row>
    <row r="2759" hidden="1">
      <c r="A2759" s="6" t="str">
        <f>IFERROR(__xludf.DUMMYFUNCTION("""COMPUTED_VALUE"""),"unbc")</f>
        <v>unbc</v>
      </c>
      <c r="B2759" s="6" t="str">
        <f>IFERROR(__xludf.DUMMYFUNCTION("""COMPUTED_VALUE"""),"Canadá")</f>
        <v>Canadá</v>
      </c>
      <c r="C2759" s="6" t="str">
        <f>IFERROR(__xludf.DUMMYFUNCTION("""COMPUTED_VALUE"""),"Education &amp; Edtech")</f>
        <v>Education &amp; Edtech</v>
      </c>
    </row>
    <row r="2760" hidden="1">
      <c r="A2760" s="6" t="str">
        <f>IFERROR(__xludf.DUMMYFUNCTION("""COMPUTED_VALUE"""),"mylogic srl")</f>
        <v>mylogic srl</v>
      </c>
      <c r="B2760" s="4"/>
      <c r="C2760" s="4"/>
    </row>
    <row r="2761" hidden="1">
      <c r="A2761" s="6" t="str">
        <f>IFERROR(__xludf.DUMMYFUNCTION("""COMPUTED_VALUE"""),"desba")</f>
        <v>desba</v>
      </c>
      <c r="B2761" s="6" t="str">
        <f>IFERROR(__xludf.DUMMYFUNCTION("""COMPUTED_VALUE"""),"Argentina")</f>
        <v>Argentina</v>
      </c>
      <c r="C2761" s="6" t="str">
        <f>IFERROR(__xludf.DUMMYFUNCTION("""COMPUTED_VALUE"""),"Software Factory / Staffing")</f>
        <v>Software Factory / Staffing</v>
      </c>
    </row>
    <row r="2762" hidden="1">
      <c r="A2762" s="6" t="str">
        <f>IFERROR(__xludf.DUMMYFUNCTION("""COMPUTED_VALUE"""),"novatech")</f>
        <v>novatech</v>
      </c>
      <c r="B2762" s="6" t="str">
        <f>IFERROR(__xludf.DUMMYFUNCTION("""COMPUTED_VALUE"""),"Estados Unidos")</f>
        <v>Estados Unidos</v>
      </c>
      <c r="C2762" s="6" t="str">
        <f>IFERROR(__xludf.DUMMYFUNCTION("""COMPUTED_VALUE"""),"Software Factory / Staffing")</f>
        <v>Software Factory / Staffing</v>
      </c>
    </row>
    <row r="2763" hidden="1">
      <c r="A2763" s="6" t="str">
        <f>IFERROR(__xludf.DUMMYFUNCTION("""COMPUTED_VALUE"""),"hospital privado córdoba")</f>
        <v>hospital privado córdoba</v>
      </c>
      <c r="B2763" s="6" t="str">
        <f>IFERROR(__xludf.DUMMYFUNCTION("""COMPUTED_VALUE"""),"Argentina")</f>
        <v>Argentina</v>
      </c>
      <c r="C2763" s="6" t="str">
        <f>IFERROR(__xludf.DUMMYFUNCTION("""COMPUTED_VALUE"""),"Health")</f>
        <v>Health</v>
      </c>
    </row>
    <row r="2764" hidden="1">
      <c r="A2764" s="6" t="str">
        <f>IFERROR(__xludf.DUMMYFUNCTION("""COMPUTED_VALUE"""),"black stallion - product design")</f>
        <v>black stallion - product design</v>
      </c>
      <c r="B2764" s="6" t="str">
        <f>IFERROR(__xludf.DUMMYFUNCTION("""COMPUTED_VALUE"""),"Argentina")</f>
        <v>Argentina</v>
      </c>
      <c r="C2764" s="6" t="str">
        <f>IFERROR(__xludf.DUMMYFUNCTION("""COMPUTED_VALUE"""),"Software Factory / Staffing")</f>
        <v>Software Factory / Staffing</v>
      </c>
    </row>
    <row r="2765" hidden="1">
      <c r="A2765" s="6" t="str">
        <f>IFERROR(__xludf.DUMMYFUNCTION("""COMPUTED_VALUE"""),"pormel sa")</f>
        <v>pormel sa</v>
      </c>
      <c r="B2765" s="4"/>
      <c r="C2765" s="4"/>
    </row>
    <row r="2766" hidden="1">
      <c r="A2766" s="6" t="str">
        <f>IFERROR(__xludf.DUMMYFUNCTION("""COMPUTED_VALUE"""),"g4 sosluciones it")</f>
        <v>g4 sosluciones it</v>
      </c>
      <c r="B2766" s="4"/>
      <c r="C2766" s="4"/>
    </row>
    <row r="2767" hidden="1">
      <c r="A2767" s="6" t="str">
        <f>IFERROR(__xludf.DUMMYFUNCTION("""COMPUTED_VALUE"""),"yaris")</f>
        <v>yaris</v>
      </c>
      <c r="B2767" s="6" t="str">
        <f>IFERROR(__xludf.DUMMYFUNCTION("""COMPUTED_VALUE"""),"Turquia")</f>
        <v>Turquia</v>
      </c>
      <c r="C2767" s="6" t="str">
        <f>IFERROR(__xludf.DUMMYFUNCTION("""COMPUTED_VALUE"""),"Mechanical/Industrial Engineering")</f>
        <v>Mechanical/Industrial Engineering</v>
      </c>
    </row>
    <row r="2768" hidden="1">
      <c r="A2768" s="6" t="str">
        <f>IFERROR(__xludf.DUMMYFUNCTION("""COMPUTED_VALUE"""),"celda")</f>
        <v>celda</v>
      </c>
      <c r="B2768" s="4"/>
      <c r="C2768" s="4"/>
    </row>
    <row r="2769" hidden="1">
      <c r="A2769" s="6" t="str">
        <f>IFERROR(__xludf.DUMMYFUNCTION("""COMPUTED_VALUE"""),"nods")</f>
        <v>nods</v>
      </c>
      <c r="B2769" s="4"/>
      <c r="C2769" s="6" t="str">
        <f>IFERROR(__xludf.DUMMYFUNCTION("""COMPUTED_VALUE"""),"Software Factory / Staffing")</f>
        <v>Software Factory / Staffing</v>
      </c>
    </row>
    <row r="2770" hidden="1">
      <c r="A2770" s="6" t="str">
        <f>IFERROR(__xludf.DUMMYFUNCTION("""COMPUTED_VALUE"""),"deep skill")</f>
        <v>deep skill</v>
      </c>
      <c r="B2770" s="6" t="str">
        <f>IFERROR(__xludf.DUMMYFUNCTION("""COMPUTED_VALUE"""),"Perú")</f>
        <v>Perú</v>
      </c>
      <c r="C2770" s="6" t="str">
        <f>IFERROR(__xludf.DUMMYFUNCTION("""COMPUTED_VALUE"""),"Education &amp; Edtech")</f>
        <v>Education &amp; Edtech</v>
      </c>
    </row>
    <row r="2771" hidden="1">
      <c r="A2771" s="6" t="str">
        <f>IFERROR(__xludf.DUMMYFUNCTION("""COMPUTED_VALUE"""),"g&amp;l")</f>
        <v>g&amp;l</v>
      </c>
      <c r="B2771" s="4"/>
      <c r="C2771" s="6" t="str">
        <f>IFERROR(__xludf.DUMMYFUNCTION("""COMPUTED_VALUE"""),"FMCG / Consumo masivo")</f>
        <v>FMCG / Consumo masivo</v>
      </c>
    </row>
    <row r="2772" hidden="1">
      <c r="A2772" s="6" t="str">
        <f>IFERROR(__xludf.DUMMYFUNCTION("""COMPUTED_VALUE"""),"liquid")</f>
        <v>liquid</v>
      </c>
      <c r="B2772" s="6" t="str">
        <f>IFERROR(__xludf.DUMMYFUNCTION("""COMPUTED_VALUE"""),"Perú")</f>
        <v>Perú</v>
      </c>
      <c r="C2772" s="6" t="str">
        <f>IFERROR(__xludf.DUMMYFUNCTION("""COMPUTED_VALUE"""),"Management Consulting")</f>
        <v>Management Consulting</v>
      </c>
    </row>
    <row r="2773" hidden="1">
      <c r="A2773" s="6" t="str">
        <f>IFERROR(__xludf.DUMMYFUNCTION("""COMPUTED_VALUE"""),"clarin")</f>
        <v>clarin</v>
      </c>
      <c r="B2773" s="6" t="str">
        <f>IFERROR(__xludf.DUMMYFUNCTION("""COMPUTED_VALUE"""),"Argentina")</f>
        <v>Argentina</v>
      </c>
      <c r="C2773" s="6" t="str">
        <f>IFERROR(__xludf.DUMMYFUNCTION("""COMPUTED_VALUE"""),"Other")</f>
        <v>Other</v>
      </c>
    </row>
    <row r="2774" hidden="1">
      <c r="A2774" s="6" t="str">
        <f>IFERROR(__xludf.DUMMYFUNCTION("""COMPUTED_VALUE"""),"shalion")</f>
        <v>shalion</v>
      </c>
      <c r="B2774" s="6" t="str">
        <f>IFERROR(__xludf.DUMMYFUNCTION("""COMPUTED_VALUE"""),"España")</f>
        <v>España</v>
      </c>
      <c r="C2774" s="6" t="str">
        <f>IFERROR(__xludf.DUMMYFUNCTION("""COMPUTED_VALUE"""),"Software Factory / Staffing")</f>
        <v>Software Factory / Staffing</v>
      </c>
    </row>
    <row r="2775" hidden="1">
      <c r="A2775" s="6" t="str">
        <f>IFERROR(__xludf.DUMMYFUNCTION("""COMPUTED_VALUE"""),"excelencia soluciones informaticas")</f>
        <v>excelencia soluciones informaticas</v>
      </c>
      <c r="B2775" s="6" t="str">
        <f>IFERROR(__xludf.DUMMYFUNCTION("""COMPUTED_VALUE"""),"Argentina")</f>
        <v>Argentina</v>
      </c>
      <c r="C2775" s="4"/>
    </row>
    <row r="2776" hidden="1">
      <c r="A2776" s="6" t="str">
        <f>IFERROR(__xludf.DUMMYFUNCTION("""COMPUTED_VALUE"""),"corsisa")</f>
        <v>corsisa</v>
      </c>
      <c r="B2776" s="6" t="str">
        <f>IFERROR(__xludf.DUMMYFUNCTION("""COMPUTED_VALUE"""),"Argentina")</f>
        <v>Argentina</v>
      </c>
      <c r="C2776" s="6" t="str">
        <f>IFERROR(__xludf.DUMMYFUNCTION("""COMPUTED_VALUE"""),"Software Factory / Staffing")</f>
        <v>Software Factory / Staffing</v>
      </c>
    </row>
    <row r="2777" hidden="1">
      <c r="A2777" s="6" t="str">
        <f>IFERROR(__xludf.DUMMYFUNCTION("""COMPUTED_VALUE"""),"cambá")</f>
        <v>cambá</v>
      </c>
      <c r="B2777" s="6" t="str">
        <f>IFERROR(__xludf.DUMMYFUNCTION("""COMPUTED_VALUE"""),"Estados Unidos")</f>
        <v>Estados Unidos</v>
      </c>
      <c r="C2777" s="6" t="str">
        <f>IFERROR(__xludf.DUMMYFUNCTION("""COMPUTED_VALUE"""),"Other")</f>
        <v>Other</v>
      </c>
    </row>
    <row r="2778" hidden="1">
      <c r="A2778" s="6" t="str">
        <f>IFERROR(__xludf.DUMMYFUNCTION("""COMPUTED_VALUE"""),"troupper")</f>
        <v>troupper</v>
      </c>
      <c r="B2778" s="6" t="str">
        <f>IFERROR(__xludf.DUMMYFUNCTION("""COMPUTED_VALUE"""),"Estados Unidos")</f>
        <v>Estados Unidos</v>
      </c>
      <c r="C2778" s="6" t="str">
        <f>IFERROR(__xludf.DUMMYFUNCTION("""COMPUTED_VALUE"""),"Management Consulting")</f>
        <v>Management Consulting</v>
      </c>
    </row>
    <row r="2779" hidden="1">
      <c r="A2779" s="6" t="str">
        <f>IFERROR(__xludf.DUMMYFUNCTION("""COMPUTED_VALUE"""),"intuilize")</f>
        <v>intuilize</v>
      </c>
      <c r="B2779" s="4"/>
      <c r="C2779" s="4"/>
    </row>
    <row r="2780" hidden="1">
      <c r="A2780" s="6" t="str">
        <f>IFERROR(__xludf.DUMMYFUNCTION("""COMPUTED_VALUE"""),"encender comunicacion")</f>
        <v>encender comunicacion</v>
      </c>
      <c r="B2780" s="6" t="str">
        <f>IFERROR(__xludf.DUMMYFUNCTION("""COMPUTED_VALUE"""),"Not found")</f>
        <v>Not found</v>
      </c>
      <c r="C2780" s="6" t="str">
        <f>IFERROR(__xludf.DUMMYFUNCTION("""COMPUTED_VALUE"""),"Marketing &amp; Advertising")</f>
        <v>Marketing &amp; Advertising</v>
      </c>
    </row>
    <row r="2781" hidden="1">
      <c r="A2781" s="6" t="str">
        <f>IFERROR(__xludf.DUMMYFUNCTION("""COMPUTED_VALUE"""),"publix")</f>
        <v>publix</v>
      </c>
      <c r="B2781" s="6" t="str">
        <f>IFERROR(__xludf.DUMMYFUNCTION("""COMPUTED_VALUE"""),"Estados Unidos")</f>
        <v>Estados Unidos</v>
      </c>
      <c r="C2781" s="6" t="str">
        <f>IFERROR(__xludf.DUMMYFUNCTION("""COMPUTED_VALUE"""),"Other")</f>
        <v>Other</v>
      </c>
    </row>
    <row r="2782" hidden="1">
      <c r="A2782" s="6" t="str">
        <f>IFERROR(__xludf.DUMMYFUNCTION("""COMPUTED_VALUE"""),"taktiful software solutions")</f>
        <v>taktiful software solutions</v>
      </c>
      <c r="B2782" s="4"/>
      <c r="C2782" s="4"/>
    </row>
    <row r="2783" hidden="1">
      <c r="A2783" s="6" t="str">
        <f>IFERROR(__xludf.DUMMYFUNCTION("""COMPUTED_VALUE"""),"escrito space")</f>
        <v>escrito space</v>
      </c>
      <c r="B2783" s="4"/>
      <c r="C2783" s="6" t="str">
        <f>IFERROR(__xludf.DUMMYFUNCTION("""COMPUTED_VALUE"""),"Software Factory / Staffing")</f>
        <v>Software Factory / Staffing</v>
      </c>
    </row>
    <row r="2784" hidden="1">
      <c r="A2784" s="6" t="str">
        <f>IFERROR(__xludf.DUMMYFUNCTION("""COMPUTED_VALUE"""),"artssec")</f>
        <v>artssec</v>
      </c>
      <c r="B2784" s="6" t="str">
        <f>IFERROR(__xludf.DUMMYFUNCTION("""COMPUTED_VALUE"""),"Argentina")</f>
        <v>Argentina</v>
      </c>
      <c r="C2784" s="6" t="str">
        <f>IFERROR(__xludf.DUMMYFUNCTION("""COMPUTED_VALUE"""),"Software Factory / Staffing")</f>
        <v>Software Factory / Staffing</v>
      </c>
    </row>
    <row r="2785" hidden="1">
      <c r="A2785" s="6" t="str">
        <f>IFERROR(__xludf.DUMMYFUNCTION("""COMPUTED_VALUE"""),"securesoft corporation")</f>
        <v>securesoft corporation</v>
      </c>
      <c r="B2785" s="6" t="str">
        <f>IFERROR(__xludf.DUMMYFUNCTION("""COMPUTED_VALUE"""),"Bangladesh")</f>
        <v>Bangladesh</v>
      </c>
      <c r="C2785" s="6" t="str">
        <f>IFERROR(__xludf.DUMMYFUNCTION("""COMPUTED_VALUE"""),"Software Factory / Staffing")</f>
        <v>Software Factory / Staffing</v>
      </c>
    </row>
    <row r="2786" hidden="1">
      <c r="A2786" s="6" t="str">
        <f>IFERROR(__xludf.DUMMYFUNCTION("""COMPUTED_VALUE"""),"callsounds")</f>
        <v>callsounds</v>
      </c>
      <c r="B2786" s="4"/>
      <c r="C2786" s="4"/>
    </row>
    <row r="2787" hidden="1">
      <c r="A2787" s="6" t="str">
        <f>IFERROR(__xludf.DUMMYFUNCTION("""COMPUTED_VALUE"""),"lambda")</f>
        <v>lambda</v>
      </c>
      <c r="B2787" s="4"/>
      <c r="C2787" s="4"/>
    </row>
    <row r="2788" hidden="1">
      <c r="A2788" s="6" t="str">
        <f>IFERROR(__xludf.DUMMYFUNCTION("""COMPUTED_VALUE"""),"presto servicios")</f>
        <v>presto servicios</v>
      </c>
      <c r="B2788" s="6" t="str">
        <f>IFERROR(__xludf.DUMMYFUNCTION("""COMPUTED_VALUE"""),"Perú")</f>
        <v>Perú</v>
      </c>
      <c r="C2788" s="6" t="str">
        <f>IFERROR(__xludf.DUMMYFUNCTION("""COMPUTED_VALUE"""),"Other")</f>
        <v>Other</v>
      </c>
    </row>
    <row r="2789" hidden="1">
      <c r="A2789" s="6" t="str">
        <f>IFERROR(__xludf.DUMMYFUNCTION("""COMPUTED_VALUE"""),"idigital")</f>
        <v>idigital</v>
      </c>
      <c r="B2789" s="6" t="str">
        <f>IFERROR(__xludf.DUMMYFUNCTION("""COMPUTED_VALUE"""),"Estados Unidos")</f>
        <v>Estados Unidos</v>
      </c>
      <c r="C2789" s="6" t="str">
        <f>IFERROR(__xludf.DUMMYFUNCTION("""COMPUTED_VALUE"""),"Marketing &amp; Advertising")</f>
        <v>Marketing &amp; Advertising</v>
      </c>
    </row>
    <row r="2790" hidden="1">
      <c r="A2790" s="6" t="str">
        <f>IFERROR(__xludf.DUMMYFUNCTION("""COMPUTED_VALUE"""),"stretchmed studios (everest franchise development)")</f>
        <v>stretchmed studios (everest franchise development)</v>
      </c>
      <c r="B2790" s="4"/>
      <c r="C2790" s="4"/>
    </row>
    <row r="2791" hidden="1">
      <c r="A2791" s="6" t="str">
        <f>IFERROR(__xludf.DUMMYFUNCTION("""COMPUTED_VALUE"""),"kiri")</f>
        <v>kiri</v>
      </c>
      <c r="B2791" s="6" t="str">
        <f>IFERROR(__xludf.DUMMYFUNCTION("""COMPUTED_VALUE"""),"India")</f>
        <v>India</v>
      </c>
      <c r="C2791" s="6" t="str">
        <f>IFERROR(__xludf.DUMMYFUNCTION("""COMPUTED_VALUE"""),"Energy")</f>
        <v>Energy</v>
      </c>
    </row>
    <row r="2792" hidden="1">
      <c r="A2792" s="6" t="str">
        <f>IFERROR(__xludf.DUMMYFUNCTION("""COMPUTED_VALUE"""),"delta it")</f>
        <v>delta it</v>
      </c>
      <c r="B2792" s="4"/>
      <c r="C2792" s="4"/>
    </row>
    <row r="2793" hidden="1">
      <c r="A2793" s="6" t="str">
        <f>IFERROR(__xludf.DUMMYFUNCTION("""COMPUTED_VALUE"""),"apside")</f>
        <v>apside</v>
      </c>
      <c r="B2793" s="4"/>
      <c r="C2793" s="4"/>
    </row>
    <row r="2794" hidden="1">
      <c r="A2794" s="6" t="str">
        <f>IFERROR(__xludf.DUMMYFUNCTION("""COMPUTED_VALUE"""),"club nautico hacoaj")</f>
        <v>club nautico hacoaj</v>
      </c>
      <c r="B2794" s="4"/>
      <c r="C2794" s="6" t="str">
        <f>IFERROR(__xludf.DUMMYFUNCTION("""COMPUTED_VALUE"""),"Media &amp; Communication")</f>
        <v>Media &amp; Communication</v>
      </c>
    </row>
    <row r="2795" hidden="1">
      <c r="A2795" s="6" t="str">
        <f>IFERROR(__xludf.DUMMYFUNCTION("""COMPUTED_VALUE"""),"jpmorgan chase")</f>
        <v>jpmorgan chase</v>
      </c>
      <c r="B2795" s="4"/>
      <c r="C2795" s="4"/>
    </row>
    <row r="2796" hidden="1">
      <c r="A2796" s="6" t="str">
        <f>IFERROR(__xludf.DUMMYFUNCTION("""COMPUTED_VALUE"""),"intellsis")</f>
        <v>intellsis</v>
      </c>
      <c r="B2796" s="6" t="str">
        <f>IFERROR(__xludf.DUMMYFUNCTION("""COMPUTED_VALUE"""),"Canadá")</f>
        <v>Canadá</v>
      </c>
      <c r="C2796" s="6" t="str">
        <f>IFERROR(__xludf.DUMMYFUNCTION("""COMPUTED_VALUE"""),"Software Factory / Staffing")</f>
        <v>Software Factory / Staffing</v>
      </c>
    </row>
    <row r="2797" hidden="1">
      <c r="A2797" s="6" t="str">
        <f>IFERROR(__xludf.DUMMYFUNCTION("""COMPUTED_VALUE"""),"dumax st")</f>
        <v>dumax st</v>
      </c>
      <c r="B2797" s="4"/>
      <c r="C2797" s="4"/>
    </row>
    <row r="2798" hidden="1">
      <c r="A2798" s="6" t="str">
        <f>IFERROR(__xludf.DUMMYFUNCTION("""COMPUTED_VALUE"""),"portant")</f>
        <v>portant</v>
      </c>
      <c r="B2798" s="4"/>
      <c r="C2798" s="6" t="str">
        <f>IFERROR(__xludf.DUMMYFUNCTION("""COMPUTED_VALUE"""),"Software Factory / Staffing")</f>
        <v>Software Factory / Staffing</v>
      </c>
    </row>
    <row r="2799" hidden="1">
      <c r="A2799" s="6" t="str">
        <f>IFERROR(__xludf.DUMMYFUNCTION("""COMPUTED_VALUE"""),"plan it")</f>
        <v>plan it</v>
      </c>
      <c r="B2799" s="6" t="str">
        <f>IFERROR(__xludf.DUMMYFUNCTION("""COMPUTED_VALUE"""),"Argentina")</f>
        <v>Argentina</v>
      </c>
      <c r="C2799" s="6" t="str">
        <f>IFERROR(__xludf.DUMMYFUNCTION("""COMPUTED_VALUE"""),"Software Factory / Staffing")</f>
        <v>Software Factory / Staffing</v>
      </c>
    </row>
    <row r="2800" hidden="1">
      <c r="A2800" s="6" t="str">
        <f>IFERROR(__xludf.DUMMYFUNCTION("""COMPUTED_VALUE"""),"annexbox")</f>
        <v>annexbox</v>
      </c>
      <c r="B2800" s="6" t="str">
        <f>IFERROR(__xludf.DUMMYFUNCTION("""COMPUTED_VALUE"""),"Estados Unidos")</f>
        <v>Estados Unidos</v>
      </c>
      <c r="C2800" s="6" t="str">
        <f>IFERROR(__xludf.DUMMYFUNCTION("""COMPUTED_VALUE"""),"Software Factory / Staffing")</f>
        <v>Software Factory / Staffing</v>
      </c>
    </row>
    <row r="2801" hidden="1">
      <c r="A2801" s="6" t="str">
        <f>IFERROR(__xludf.DUMMYFUNCTION("""COMPUTED_VALUE"""),"cat tecnologies")</f>
        <v>cat tecnologies</v>
      </c>
      <c r="B2801" s="6" t="str">
        <f>IFERROR(__xludf.DUMMYFUNCTION("""COMPUTED_VALUE"""),"España")</f>
        <v>España</v>
      </c>
      <c r="C2801" s="6" t="str">
        <f>IFERROR(__xludf.DUMMYFUNCTION("""COMPUTED_VALUE"""),"Software Factory / Staffing")</f>
        <v>Software Factory / Staffing</v>
      </c>
    </row>
    <row r="2802" hidden="1">
      <c r="A2802" s="6" t="str">
        <f>IFERROR(__xludf.DUMMYFUNCTION("""COMPUTED_VALUE"""),"sisu")</f>
        <v>sisu</v>
      </c>
      <c r="B2802" s="6" t="str">
        <f>IFERROR(__xludf.DUMMYFUNCTION("""COMPUTED_VALUE"""),"China")</f>
        <v>China</v>
      </c>
      <c r="C2802" s="6" t="str">
        <f>IFERROR(__xludf.DUMMYFUNCTION("""COMPUTED_VALUE"""),"Education &amp; Edtech")</f>
        <v>Education &amp; Edtech</v>
      </c>
    </row>
    <row r="2803" hidden="1">
      <c r="A2803" s="6" t="str">
        <f>IFERROR(__xludf.DUMMYFUNCTION("""COMPUTED_VALUE"""),"repartos ya")</f>
        <v>repartos ya</v>
      </c>
      <c r="B2803" s="4"/>
      <c r="C2803" s="4"/>
    </row>
    <row r="2804" hidden="1">
      <c r="A2804" s="6" t="str">
        <f>IFERROR(__xludf.DUMMYFUNCTION("""COMPUTED_VALUE"""),"paseshow")</f>
        <v>paseshow</v>
      </c>
      <c r="B2804" s="4"/>
      <c r="C2804" s="4"/>
    </row>
    <row r="2805" hidden="1">
      <c r="A2805" s="6" t="str">
        <f>IFERROR(__xludf.DUMMYFUNCTION("""COMPUTED_VALUE"""),"eric shummer")</f>
        <v>eric shummer</v>
      </c>
      <c r="B2805" s="4"/>
      <c r="C2805" s="4"/>
    </row>
    <row r="2806" hidden="1">
      <c r="A2806" s="6" t="str">
        <f>IFERROR(__xludf.DUMMYFUNCTION("""COMPUTED_VALUE"""),"devlights")</f>
        <v>devlights</v>
      </c>
      <c r="B2806" s="4"/>
      <c r="C2806" s="6" t="str">
        <f>IFERROR(__xludf.DUMMYFUNCTION("""COMPUTED_VALUE"""),"Software Factory / Staffing")</f>
        <v>Software Factory / Staffing</v>
      </c>
    </row>
    <row r="2807" hidden="1">
      <c r="A2807" s="6" t="str">
        <f>IFERROR(__xludf.DUMMYFUNCTION("""COMPUTED_VALUE"""),"suscesion mario rolando villa")</f>
        <v>suscesion mario rolando villa</v>
      </c>
      <c r="B2807" s="4"/>
      <c r="C2807" s="4"/>
    </row>
    <row r="2808" hidden="1">
      <c r="A2808" s="6" t="str">
        <f>IFERROR(__xludf.DUMMYFUNCTION("""COMPUTED_VALUE"""),"satoritech")</f>
        <v>satoritech</v>
      </c>
      <c r="B2808" s="6" t="str">
        <f>IFERROR(__xludf.DUMMYFUNCTION("""COMPUTED_VALUE"""),"México")</f>
        <v>México</v>
      </c>
      <c r="C2808" s="6" t="str">
        <f>IFERROR(__xludf.DUMMYFUNCTION("""COMPUTED_VALUE"""),"Software Factory / Staffing")</f>
        <v>Software Factory / Staffing</v>
      </c>
    </row>
    <row r="2809" hidden="1">
      <c r="A2809" s="6" t="str">
        <f>IFERROR(__xludf.DUMMYFUNCTION("""COMPUTED_VALUE"""),"pullman cargo")</f>
        <v>pullman cargo</v>
      </c>
      <c r="B2809" s="6" t="str">
        <f>IFERROR(__xludf.DUMMYFUNCTION("""COMPUTED_VALUE"""),"Chile")</f>
        <v>Chile</v>
      </c>
      <c r="C2809" s="6" t="str">
        <f>IFERROR(__xludf.DUMMYFUNCTION("""COMPUTED_VALUE"""),"Logistics")</f>
        <v>Logistics</v>
      </c>
    </row>
    <row r="2810" hidden="1">
      <c r="A2810" s="6" t="str">
        <f>IFERROR(__xludf.DUMMYFUNCTION("""COMPUTED_VALUE"""),"microsystem")</f>
        <v>microsystem</v>
      </c>
      <c r="B2810" s="6" t="str">
        <f>IFERROR(__xludf.DUMMYFUNCTION("""COMPUTED_VALUE"""),"Chile")</f>
        <v>Chile</v>
      </c>
      <c r="C2810" s="6" t="str">
        <f>IFERROR(__xludf.DUMMYFUNCTION("""COMPUTED_VALUE"""),"Software Factory / Staffing")</f>
        <v>Software Factory / Staffing</v>
      </c>
    </row>
    <row r="2811" hidden="1">
      <c r="A2811" s="6" t="str">
        <f>IFERROR(__xludf.DUMMYFUNCTION("""COMPUTED_VALUE"""),"reformam network 2010 sl")</f>
        <v>reformam network 2010 sl</v>
      </c>
      <c r="B2811" s="6" t="str">
        <f>IFERROR(__xludf.DUMMYFUNCTION("""COMPUTED_VALUE"""),"España")</f>
        <v>España</v>
      </c>
      <c r="C2811" s="4"/>
    </row>
    <row r="2812" hidden="1">
      <c r="A2812" s="6" t="str">
        <f>IFERROR(__xludf.DUMMYFUNCTION("""COMPUTED_VALUE"""),"deep skill academy")</f>
        <v>deep skill academy</v>
      </c>
      <c r="B2812" s="6" t="str">
        <f>IFERROR(__xludf.DUMMYFUNCTION("""COMPUTED_VALUE"""),"Perú")</f>
        <v>Perú</v>
      </c>
      <c r="C2812" s="6" t="str">
        <f>IFERROR(__xludf.DUMMYFUNCTION("""COMPUTED_VALUE"""),"Education &amp; Edtech")</f>
        <v>Education &amp; Edtech</v>
      </c>
    </row>
    <row r="2813" hidden="1">
      <c r="A2813" s="6" t="str">
        <f>IFERROR(__xludf.DUMMYFUNCTION("""COMPUTED_VALUE"""),"hospital italiano de buenos aires")</f>
        <v>hospital italiano de buenos aires</v>
      </c>
      <c r="B2813" s="6" t="str">
        <f>IFERROR(__xludf.DUMMYFUNCTION("""COMPUTED_VALUE"""),"Argentina")</f>
        <v>Argentina</v>
      </c>
      <c r="C2813" s="6" t="str">
        <f>IFERROR(__xludf.DUMMYFUNCTION("""COMPUTED_VALUE"""),"Health")</f>
        <v>Health</v>
      </c>
    </row>
    <row r="2814" hidden="1">
      <c r="A2814" s="6" t="str">
        <f>IFERROR(__xludf.DUMMYFUNCTION("""COMPUTED_VALUE"""),"gux texh")</f>
        <v>gux texh</v>
      </c>
      <c r="B2814" s="4"/>
      <c r="C2814" s="4"/>
    </row>
    <row r="2815" hidden="1">
      <c r="A2815" s="6" t="str">
        <f>IFERROR(__xludf.DUMMYFUNCTION("""COMPUTED_VALUE"""),"el estudiante")</f>
        <v>el estudiante</v>
      </c>
      <c r="B2815" s="6" t="str">
        <f>IFERROR(__xludf.DUMMYFUNCTION("""COMPUTED_VALUE"""),"Argentina")</f>
        <v>Argentina</v>
      </c>
      <c r="C2815" s="6" t="str">
        <f>IFERROR(__xludf.DUMMYFUNCTION("""COMPUTED_VALUE"""),"Education &amp; Edtech")</f>
        <v>Education &amp; Edtech</v>
      </c>
    </row>
    <row r="2816" hidden="1">
      <c r="A2816" s="6" t="str">
        <f>IFERROR(__xludf.DUMMYFUNCTION("""COMPUTED_VALUE"""),"facultad de ciencias economicas-uncuyo")</f>
        <v>facultad de ciencias economicas-uncuyo</v>
      </c>
      <c r="B2816" s="6" t="str">
        <f>IFERROR(__xludf.DUMMYFUNCTION("""COMPUTED_VALUE"""),"Argentina")</f>
        <v>Argentina</v>
      </c>
      <c r="C2816" s="6" t="str">
        <f>IFERROR(__xludf.DUMMYFUNCTION("""COMPUTED_VALUE"""),"Education &amp; Edtech")</f>
        <v>Education &amp; Edtech</v>
      </c>
    </row>
    <row r="2817" hidden="1">
      <c r="A2817" s="6" t="str">
        <f>IFERROR(__xludf.DUMMYFUNCTION("""COMPUTED_VALUE"""),"cs3")</f>
        <v>cs3</v>
      </c>
      <c r="B2817" s="6" t="str">
        <f>IFERROR(__xludf.DUMMYFUNCTION("""COMPUTED_VALUE"""),"Brasil")</f>
        <v>Brasil</v>
      </c>
      <c r="C2817" s="6" t="str">
        <f>IFERROR(__xludf.DUMMYFUNCTION("""COMPUTED_VALUE"""),"FMCG / Consumo masivo")</f>
        <v>FMCG / Consumo masivo</v>
      </c>
    </row>
    <row r="2818" hidden="1">
      <c r="A2818" s="6" t="str">
        <f>IFERROR(__xludf.DUMMYFUNCTION("""COMPUTED_VALUE"""),"ln20 s.a.s")</f>
        <v>ln20 s.a.s</v>
      </c>
      <c r="B2818" s="4"/>
      <c r="C2818" s="4"/>
    </row>
    <row r="2819" hidden="1">
      <c r="A2819" s="6" t="str">
        <f>IFERROR(__xludf.DUMMYFUNCTION("""COMPUTED_VALUE"""),"remote hero")</f>
        <v>remote hero</v>
      </c>
      <c r="B2819" s="4"/>
      <c r="C2819" s="6" t="str">
        <f>IFERROR(__xludf.DUMMYFUNCTION("""COMPUTED_VALUE"""),"Software Factory / Staffing")</f>
        <v>Software Factory / Staffing</v>
      </c>
    </row>
    <row r="2820" hidden="1">
      <c r="A2820" s="6" t="str">
        <f>IFERROR(__xludf.DUMMYFUNCTION("""COMPUTED_VALUE"""),"superbytes")</f>
        <v>superbytes</v>
      </c>
      <c r="B2820" s="4"/>
      <c r="C2820" s="6" t="str">
        <f>IFERROR(__xludf.DUMMYFUNCTION("""COMPUTED_VALUE"""),"Media &amp; Communication")</f>
        <v>Media &amp; Communication</v>
      </c>
    </row>
    <row r="2821" hidden="1">
      <c r="A2821" s="6" t="str">
        <f>IFERROR(__xludf.DUMMYFUNCTION("""COMPUTED_VALUE"""),"grupo penaflor")</f>
        <v>grupo penaflor</v>
      </c>
      <c r="B2821" s="6" t="str">
        <f>IFERROR(__xludf.DUMMYFUNCTION("""COMPUTED_VALUE"""),"Argentina")</f>
        <v>Argentina</v>
      </c>
      <c r="C2821" s="6" t="str">
        <f>IFERROR(__xludf.DUMMYFUNCTION("""COMPUTED_VALUE"""),"FMCG / Consumo masivo")</f>
        <v>FMCG / Consumo masivo</v>
      </c>
    </row>
    <row r="2822" hidden="1">
      <c r="A2822" s="6" t="str">
        <f>IFERROR(__xludf.DUMMYFUNCTION("""COMPUTED_VALUE"""),"universidad de san buenaventura")</f>
        <v>universidad de san buenaventura</v>
      </c>
      <c r="B2822" s="6" t="str">
        <f>IFERROR(__xludf.DUMMYFUNCTION("""COMPUTED_VALUE"""),"Colombia")</f>
        <v>Colombia</v>
      </c>
      <c r="C2822" s="6" t="str">
        <f>IFERROR(__xludf.DUMMYFUNCTION("""COMPUTED_VALUE"""),"Education &amp; Edtech")</f>
        <v>Education &amp; Edtech</v>
      </c>
    </row>
    <row r="2823" hidden="1">
      <c r="A2823" s="6" t="str">
        <f>IFERROR(__xludf.DUMMYFUNCTION("""COMPUTED_VALUE"""),"miami boulevard ii")</f>
        <v>miami boulevard ii</v>
      </c>
      <c r="B2823" s="6" t="str">
        <f>IFERROR(__xludf.DUMMYFUNCTION("""COMPUTED_VALUE"""),"Estados Unidos")</f>
        <v>Estados Unidos</v>
      </c>
      <c r="C2823" s="4"/>
    </row>
    <row r="2824" hidden="1">
      <c r="A2824" s="6" t="str">
        <f>IFERROR(__xludf.DUMMYFUNCTION("""COMPUTED_VALUE"""),"siwcargo")</f>
        <v>siwcargo</v>
      </c>
      <c r="B2824" s="4"/>
      <c r="C2824" s="4"/>
    </row>
    <row r="2825" hidden="1">
      <c r="A2825" s="6" t="str">
        <f>IFERROR(__xludf.DUMMYFUNCTION("""COMPUTED_VALUE"""),"molino san jose")</f>
        <v>molino san jose</v>
      </c>
      <c r="B2825" s="6" t="str">
        <f>IFERROR(__xludf.DUMMYFUNCTION("""COMPUTED_VALUE"""),"Argentina")</f>
        <v>Argentina</v>
      </c>
      <c r="C2825" s="6" t="str">
        <f>IFERROR(__xludf.DUMMYFUNCTION("""COMPUTED_VALUE"""),"FMCG / Consumo masivo")</f>
        <v>FMCG / Consumo masivo</v>
      </c>
    </row>
    <row r="2826" hidden="1">
      <c r="A2826" s="6" t="str">
        <f>IFERROR(__xludf.DUMMYFUNCTION("""COMPUTED_VALUE"""),"web supplements s.r.l.")</f>
        <v>web supplements s.r.l.</v>
      </c>
      <c r="B2826" s="4"/>
      <c r="C2826" s="4"/>
    </row>
    <row r="2827" hidden="1">
      <c r="A2827" s="6" t="str">
        <f>IFERROR(__xludf.DUMMYFUNCTION("""COMPUTED_VALUE"""),"quota media")</f>
        <v>quota media</v>
      </c>
      <c r="B2827" s="4"/>
      <c r="C2827" s="6" t="str">
        <f>IFERROR(__xludf.DUMMYFUNCTION("""COMPUTED_VALUE"""),"Media &amp; Communication")</f>
        <v>Media &amp; Communication</v>
      </c>
    </row>
    <row r="2828" hidden="1">
      <c r="A2828" s="6" t="str">
        <f>IFERROR(__xludf.DUMMYFUNCTION("""COMPUTED_VALUE"""),"bimarch sa")</f>
        <v>bimarch sa</v>
      </c>
      <c r="B2828" s="4"/>
      <c r="C2828" s="4"/>
    </row>
    <row r="2829" hidden="1">
      <c r="A2829" s="6" t="str">
        <f>IFERROR(__xludf.DUMMYFUNCTION("""COMPUTED_VALUE"""),"dim centros de salud")</f>
        <v>dim centros de salud</v>
      </c>
      <c r="B2829" s="6" t="str">
        <f>IFERROR(__xludf.DUMMYFUNCTION("""COMPUTED_VALUE"""),"Argentina")</f>
        <v>Argentina</v>
      </c>
      <c r="C2829" s="6" t="str">
        <f>IFERROR(__xludf.DUMMYFUNCTION("""COMPUTED_VALUE"""),"Health")</f>
        <v>Health</v>
      </c>
    </row>
    <row r="2830" hidden="1">
      <c r="A2830" s="6" t="str">
        <f>IFERROR(__xludf.DUMMYFUNCTION("""COMPUTED_VALUE"""),"versoft")</f>
        <v>versoft</v>
      </c>
      <c r="B2830" s="6" t="str">
        <f>IFERROR(__xludf.DUMMYFUNCTION("""COMPUTED_VALUE"""),"Estados Unidos")</f>
        <v>Estados Unidos</v>
      </c>
      <c r="C2830" s="6" t="str">
        <f>IFERROR(__xludf.DUMMYFUNCTION("""COMPUTED_VALUE"""),"Banking &amp; Financial Servicies")</f>
        <v>Banking &amp; Financial Servicies</v>
      </c>
    </row>
    <row r="2831" hidden="1">
      <c r="A2831" s="6" t="str">
        <f>IFERROR(__xludf.DUMMYFUNCTION("""COMPUTED_VALUE"""),"emblue staff")</f>
        <v>emblue staff</v>
      </c>
      <c r="B2831" s="4"/>
      <c r="C2831" s="4"/>
    </row>
    <row r="2832" hidden="1">
      <c r="A2832" s="6" t="str">
        <f>IFERROR(__xludf.DUMMYFUNCTION("""COMPUTED_VALUE"""),"sqdm")</f>
        <v>sqdm</v>
      </c>
      <c r="B2832" s="6" t="str">
        <f>IFERROR(__xludf.DUMMYFUNCTION("""COMPUTED_VALUE"""),"Colombia")</f>
        <v>Colombia</v>
      </c>
      <c r="C2832" s="6" t="str">
        <f>IFERROR(__xludf.DUMMYFUNCTION("""COMPUTED_VALUE"""),"Software Factory / Staffing")</f>
        <v>Software Factory / Staffing</v>
      </c>
    </row>
    <row r="2833" hidden="1">
      <c r="A2833" s="6" t="str">
        <f>IFERROR(__xludf.DUMMYFUNCTION("""COMPUTED_VALUE"""),"hexa solutions")</f>
        <v>hexa solutions</v>
      </c>
      <c r="B2833" s="6" t="str">
        <f>IFERROR(__xludf.DUMMYFUNCTION("""COMPUTED_VALUE"""),"Colombia")</f>
        <v>Colombia</v>
      </c>
      <c r="C2833" s="6" t="str">
        <f>IFERROR(__xludf.DUMMYFUNCTION("""COMPUTED_VALUE"""),"Software Factory / Staffing")</f>
        <v>Software Factory / Staffing</v>
      </c>
    </row>
    <row r="2834" hidden="1">
      <c r="A2834" s="6" t="str">
        <f>IFERROR(__xludf.DUMMYFUNCTION("""COMPUTED_VALUE"""),"consejo de ciencias economicas")</f>
        <v>consejo de ciencias economicas</v>
      </c>
      <c r="B2834" s="6" t="str">
        <f>IFERROR(__xludf.DUMMYFUNCTION("""COMPUTED_VALUE"""),"Argentina")</f>
        <v>Argentina</v>
      </c>
      <c r="C2834" s="6" t="str">
        <f>IFERROR(__xludf.DUMMYFUNCTION("""COMPUTED_VALUE"""),"Other")</f>
        <v>Other</v>
      </c>
    </row>
    <row r="2835" hidden="1">
      <c r="A2835" s="6" t="str">
        <f>IFERROR(__xludf.DUMMYFUNCTION("""COMPUTED_VALUE"""),"aveonline")</f>
        <v>aveonline</v>
      </c>
      <c r="B2835" s="6" t="str">
        <f>IFERROR(__xludf.DUMMYFUNCTION("""COMPUTED_VALUE"""),"Colombia")</f>
        <v>Colombia</v>
      </c>
      <c r="C2835" s="6" t="str">
        <f>IFERROR(__xludf.DUMMYFUNCTION("""COMPUTED_VALUE"""),"Logistics")</f>
        <v>Logistics</v>
      </c>
    </row>
    <row r="2836" hidden="1">
      <c r="A2836" s="6" t="str">
        <f>IFERROR(__xludf.DUMMYFUNCTION("""COMPUTED_VALUE"""),"credicorp capital")</f>
        <v>credicorp capital</v>
      </c>
      <c r="B2836" s="6" t="str">
        <f>IFERROR(__xludf.DUMMYFUNCTION("""COMPUTED_VALUE"""),"Perú")</f>
        <v>Perú</v>
      </c>
      <c r="C2836" s="6" t="str">
        <f>IFERROR(__xludf.DUMMYFUNCTION("""COMPUTED_VALUE"""),"Banking &amp; Financial Servicies")</f>
        <v>Banking &amp; Financial Servicies</v>
      </c>
    </row>
    <row r="2837" hidden="1">
      <c r="A2837" s="6" t="str">
        <f>IFERROR(__xludf.DUMMYFUNCTION("""COMPUTED_VALUE"""),"tf auditores y asociados ltda bic")</f>
        <v>tf auditores y asociados ltda bic</v>
      </c>
      <c r="B2837" s="4"/>
      <c r="C2837" s="4"/>
    </row>
    <row r="2838" hidden="1">
      <c r="A2838" s="6" t="str">
        <f>IFERROR(__xludf.DUMMYFUNCTION("""COMPUTED_VALUE"""),"elevation")</f>
        <v>elevation</v>
      </c>
      <c r="B2838" s="6" t="str">
        <f>IFERROR(__xludf.DUMMYFUNCTION("""COMPUTED_VALUE"""),"India")</f>
        <v>India</v>
      </c>
      <c r="C2838" s="6" t="str">
        <f>IFERROR(__xludf.DUMMYFUNCTION("""COMPUTED_VALUE"""),"Banking &amp; Financial Servicies")</f>
        <v>Banking &amp; Financial Servicies</v>
      </c>
    </row>
    <row r="2839" hidden="1">
      <c r="A2839" s="6" t="str">
        <f>IFERROR(__xludf.DUMMYFUNCTION("""COMPUTED_VALUE"""),"carvajal")</f>
        <v>carvajal</v>
      </c>
      <c r="B2839" s="4"/>
      <c r="C2839" s="6" t="str">
        <f>IFERROR(__xludf.DUMMYFUNCTION("""COMPUTED_VALUE"""),"Software Factory / Staffing")</f>
        <v>Software Factory / Staffing</v>
      </c>
    </row>
    <row r="2840" hidden="1">
      <c r="A2840" s="6" t="str">
        <f>IFERROR(__xludf.DUMMYFUNCTION("""COMPUTED_VALUE"""),"moto mecanica argentina")</f>
        <v>moto mecanica argentina</v>
      </c>
      <c r="B2840" s="6" t="str">
        <f>IFERROR(__xludf.DUMMYFUNCTION("""COMPUTED_VALUE"""),"Argentina")</f>
        <v>Argentina</v>
      </c>
      <c r="C2840" s="6" t="str">
        <f>IFERROR(__xludf.DUMMYFUNCTION("""COMPUTED_VALUE"""),"Energy")</f>
        <v>Energy</v>
      </c>
    </row>
    <row r="2841" hidden="1">
      <c r="A2841" s="6" t="str">
        <f>IFERROR(__xludf.DUMMYFUNCTION("""COMPUTED_VALUE"""),"summan")</f>
        <v>summan</v>
      </c>
      <c r="B2841" s="4"/>
      <c r="C2841" s="6" t="str">
        <f>IFERROR(__xludf.DUMMYFUNCTION("""COMPUTED_VALUE"""),"Software Factory / Staffing")</f>
        <v>Software Factory / Staffing</v>
      </c>
    </row>
    <row r="2842" hidden="1">
      <c r="A2842" s="6" t="str">
        <f>IFERROR(__xludf.DUMMYFUNCTION("""COMPUTED_VALUE"""),"arandinni")</f>
        <v>arandinni</v>
      </c>
      <c r="B2842" s="6" t="str">
        <f>IFERROR(__xludf.DUMMYFUNCTION("""COMPUTED_VALUE"""),"Colombia")</f>
        <v>Colombia</v>
      </c>
      <c r="C2842" s="6" t="str">
        <f>IFERROR(__xludf.DUMMYFUNCTION("""COMPUTED_VALUE"""),"Software Factory / Staffing")</f>
        <v>Software Factory / Staffing</v>
      </c>
    </row>
    <row r="2843" hidden="1">
      <c r="A2843" s="6" t="str">
        <f>IFERROR(__xludf.DUMMYFUNCTION("""COMPUTED_VALUE"""),"hendercross")</f>
        <v>hendercross</v>
      </c>
      <c r="B2843" s="6" t="str">
        <f>IFERROR(__xludf.DUMMYFUNCTION("""COMPUTED_VALUE"""),"Argentina")</f>
        <v>Argentina</v>
      </c>
      <c r="C2843" s="6" t="str">
        <f>IFERROR(__xludf.DUMMYFUNCTION("""COMPUTED_VALUE"""),"Software Factory / Staffing")</f>
        <v>Software Factory / Staffing</v>
      </c>
    </row>
    <row r="2844" hidden="1">
      <c r="A2844" s="6" t="str">
        <f>IFERROR(__xludf.DUMMYFUNCTION("""COMPUTED_VALUE"""),"ecopción")</f>
        <v>ecopción</v>
      </c>
      <c r="B2844" s="6" t="str">
        <f>IFERROR(__xludf.DUMMYFUNCTION("""COMPUTED_VALUE"""),"Colombia")</f>
        <v>Colombia</v>
      </c>
      <c r="C2844" s="6" t="str">
        <f>IFERROR(__xludf.DUMMYFUNCTION("""COMPUTED_VALUE"""),"Management Consulting")</f>
        <v>Management Consulting</v>
      </c>
    </row>
    <row r="2845" hidden="1">
      <c r="A2845" s="6" t="str">
        <f>IFERROR(__xludf.DUMMYFUNCTION("""COMPUTED_VALUE"""),"agrosemillas")</f>
        <v>agrosemillas</v>
      </c>
      <c r="B2845" s="6" t="str">
        <f>IFERROR(__xludf.DUMMYFUNCTION("""COMPUTED_VALUE"""),"España")</f>
        <v>España</v>
      </c>
      <c r="C2845" s="6" t="str">
        <f>IFERROR(__xludf.DUMMYFUNCTION("""COMPUTED_VALUE"""),"Agtech / Agro")</f>
        <v>Agtech / Agro</v>
      </c>
    </row>
    <row r="2846" hidden="1">
      <c r="A2846" s="6" t="str">
        <f>IFERROR(__xludf.DUMMYFUNCTION("""COMPUTED_VALUE"""),"innovus")</f>
        <v>innovus</v>
      </c>
      <c r="B2846" s="6" t="str">
        <f>IFERROR(__xludf.DUMMYFUNCTION("""COMPUTED_VALUE"""),"Inglaterra")</f>
        <v>Inglaterra</v>
      </c>
      <c r="C2846" s="6" t="str">
        <f>IFERROR(__xludf.DUMMYFUNCTION("""COMPUTED_VALUE"""),"Management Consulting")</f>
        <v>Management Consulting</v>
      </c>
    </row>
    <row r="2847" hidden="1">
      <c r="A2847" s="6" t="str">
        <f>IFERROR(__xludf.DUMMYFUNCTION("""COMPUTED_VALUE"""),"tempolider")</f>
        <v>tempolider</v>
      </c>
      <c r="B2847" s="6" t="str">
        <f>IFERROR(__xludf.DUMMYFUNCTION("""COMPUTED_VALUE"""),"Colombia")</f>
        <v>Colombia</v>
      </c>
      <c r="C2847" s="6" t="str">
        <f>IFERROR(__xludf.DUMMYFUNCTION("""COMPUTED_VALUE"""),"Human Resources")</f>
        <v>Human Resources</v>
      </c>
    </row>
    <row r="2848" hidden="1">
      <c r="A2848" s="6" t="str">
        <f>IFERROR(__xludf.DUMMYFUNCTION("""COMPUTED_VALUE"""),"le bourguignon")</f>
        <v>le bourguignon</v>
      </c>
      <c r="B2848" s="6" t="str">
        <f>IFERROR(__xludf.DUMMYFUNCTION("""COMPUTED_VALUE"""),"Francia")</f>
        <v>Francia</v>
      </c>
      <c r="C2848" s="6" t="str">
        <f>IFERROR(__xludf.DUMMYFUNCTION("""COMPUTED_VALUE"""),"Other")</f>
        <v>Other</v>
      </c>
    </row>
    <row r="2849" hidden="1">
      <c r="A2849" s="6" t="str">
        <f>IFERROR(__xludf.DUMMYFUNCTION("""COMPUTED_VALUE"""),"centro de monitoreo")</f>
        <v>centro de monitoreo</v>
      </c>
      <c r="B2849" s="6" t="str">
        <f>IFERROR(__xludf.DUMMYFUNCTION("""COMPUTED_VALUE"""),"México")</f>
        <v>México</v>
      </c>
      <c r="C2849" s="6" t="str">
        <f>IFERROR(__xludf.DUMMYFUNCTION("""COMPUTED_VALUE"""),"Other")</f>
        <v>Other</v>
      </c>
    </row>
    <row r="2850" hidden="1">
      <c r="A2850" s="6" t="str">
        <f>IFERROR(__xludf.DUMMYFUNCTION("""COMPUTED_VALUE"""),"vaga mundo")</f>
        <v>vaga mundo</v>
      </c>
      <c r="B2850" s="6" t="str">
        <f>IFERROR(__xludf.DUMMYFUNCTION("""COMPUTED_VALUE"""),"Irlanda")</f>
        <v>Irlanda</v>
      </c>
      <c r="C2850" s="6" t="str">
        <f>IFERROR(__xludf.DUMMYFUNCTION("""COMPUTED_VALUE"""),"Other")</f>
        <v>Other</v>
      </c>
    </row>
    <row r="2851" hidden="1">
      <c r="A2851" s="6" t="str">
        <f>IFERROR(__xludf.DUMMYFUNCTION("""COMPUTED_VALUE"""),"united nations - itc (international trade center)")</f>
        <v>united nations - itc (international trade center)</v>
      </c>
      <c r="B2851" s="4"/>
      <c r="C2851" s="4"/>
    </row>
    <row r="2852" hidden="1">
      <c r="A2852" s="6" t="str">
        <f>IFERROR(__xludf.DUMMYFUNCTION("""COMPUTED_VALUE"""),"rws")</f>
        <v>rws</v>
      </c>
      <c r="B2852" s="4"/>
      <c r="C2852" s="6" t="str">
        <f>IFERROR(__xludf.DUMMYFUNCTION("""COMPUTED_VALUE"""),"Other")</f>
        <v>Other</v>
      </c>
    </row>
    <row r="2853" hidden="1">
      <c r="A2853" s="7" t="str">
        <f>IFERROR(__xludf.DUMMYFUNCTION("""COMPUTED_VALUE"""),"foodsys.io")</f>
        <v>foodsys.io</v>
      </c>
      <c r="B2853" s="6" t="str">
        <f>IFERROR(__xludf.DUMMYFUNCTION("""COMPUTED_VALUE"""),"Chile")</f>
        <v>Chile</v>
      </c>
      <c r="C2853" s="6" t="str">
        <f>IFERROR(__xludf.DUMMYFUNCTION("""COMPUTED_VALUE"""),"Logistics")</f>
        <v>Logistics</v>
      </c>
    </row>
    <row r="2854" hidden="1">
      <c r="A2854" s="6" t="str">
        <f>IFERROR(__xludf.DUMMYFUNCTION("""COMPUTED_VALUE"""),"telemercado")</f>
        <v>telemercado</v>
      </c>
      <c r="B2854" s="6" t="str">
        <f>IFERROR(__xludf.DUMMYFUNCTION("""COMPUTED_VALUE"""),"Argentina")</f>
        <v>Argentina</v>
      </c>
      <c r="C2854" s="6" t="str">
        <f>IFERROR(__xludf.DUMMYFUNCTION("""COMPUTED_VALUE"""),"Software Factory / Staffing")</f>
        <v>Software Factory / Staffing</v>
      </c>
    </row>
    <row r="2855" hidden="1">
      <c r="A2855" s="6" t="str">
        <f>IFERROR(__xludf.DUMMYFUNCTION("""COMPUTED_VALUE"""),"zlyde")</f>
        <v>zlyde</v>
      </c>
      <c r="B2855" s="4"/>
      <c r="C2855" s="6" t="str">
        <f>IFERROR(__xludf.DUMMYFUNCTION("""COMPUTED_VALUE"""),"Software Factory / Staffing")</f>
        <v>Software Factory / Staffing</v>
      </c>
    </row>
    <row r="2856" hidden="1">
      <c r="A2856" s="6" t="str">
        <f>IFERROR(__xludf.DUMMYFUNCTION("""COMPUTED_VALUE"""),"aximo tech")</f>
        <v>aximo tech</v>
      </c>
      <c r="B2856" s="6" t="str">
        <f>IFERROR(__xludf.DUMMYFUNCTION("""COMPUTED_VALUE"""),"España")</f>
        <v>España</v>
      </c>
      <c r="C2856" s="6" t="str">
        <f>IFERROR(__xludf.DUMMYFUNCTION("""COMPUTED_VALUE"""),"Software Factory / Staffing")</f>
        <v>Software Factory / Staffing</v>
      </c>
    </row>
    <row r="2857" hidden="1">
      <c r="A2857" s="6" t="str">
        <f>IFERROR(__xludf.DUMMYFUNCTION("""COMPUTED_VALUE"""),"global66")</f>
        <v>global66</v>
      </c>
      <c r="B2857" s="6" t="str">
        <f>IFERROR(__xludf.DUMMYFUNCTION("""COMPUTED_VALUE"""),"Chile")</f>
        <v>Chile</v>
      </c>
      <c r="C2857" s="6" t="str">
        <f>IFERROR(__xludf.DUMMYFUNCTION("""COMPUTED_VALUE"""),"Banking &amp; Financial Servicies")</f>
        <v>Banking &amp; Financial Servicies</v>
      </c>
    </row>
    <row r="2858" hidden="1">
      <c r="A2858" s="6" t="str">
        <f>IFERROR(__xludf.DUMMYFUNCTION("""COMPUTED_VALUE"""),"oeding")</f>
        <v>oeding</v>
      </c>
      <c r="B2858" s="4"/>
      <c r="C2858" s="6" t="str">
        <f>IFERROR(__xludf.DUMMYFUNCTION("""COMPUTED_VALUE"""),"Other")</f>
        <v>Other</v>
      </c>
    </row>
    <row r="2859" hidden="1">
      <c r="A2859" s="6" t="str">
        <f>IFERROR(__xludf.DUMMYFUNCTION("""COMPUTED_VALUE"""),"steren")</f>
        <v>steren</v>
      </c>
      <c r="B2859" s="6" t="str">
        <f>IFERROR(__xludf.DUMMYFUNCTION("""COMPUTED_VALUE"""),"México")</f>
        <v>México</v>
      </c>
      <c r="C2859" s="6" t="str">
        <f>IFERROR(__xludf.DUMMYFUNCTION("""COMPUTED_VALUE"""),"Mechanical/Industrial Engineering")</f>
        <v>Mechanical/Industrial Engineering</v>
      </c>
    </row>
    <row r="2860" hidden="1">
      <c r="A2860" s="6" t="str">
        <f>IFERROR(__xludf.DUMMYFUNCTION("""COMPUTED_VALUE"""),"banco caja social")</f>
        <v>banco caja social</v>
      </c>
      <c r="B2860" s="4"/>
      <c r="C2860" s="4"/>
    </row>
    <row r="2861" hidden="1">
      <c r="A2861" s="6" t="str">
        <f>IFERROR(__xludf.DUMMYFUNCTION("""COMPUTED_VALUE"""),"bigsportdata")</f>
        <v>bigsportdata</v>
      </c>
      <c r="B2861" s="4"/>
      <c r="C2861" s="4"/>
    </row>
    <row r="2862" hidden="1">
      <c r="A2862" s="6" t="str">
        <f>IFERROR(__xludf.DUMMYFUNCTION("""COMPUTED_VALUE"""),"res")</f>
        <v>res</v>
      </c>
      <c r="B2862" s="6" t="str">
        <f>IFERROR(__xludf.DUMMYFUNCTION("""COMPUTED_VALUE"""),"Reino Unido")</f>
        <v>Reino Unido</v>
      </c>
      <c r="C2862" s="6" t="str">
        <f>IFERROR(__xludf.DUMMYFUNCTION("""COMPUTED_VALUE"""),"Energy")</f>
        <v>Energy</v>
      </c>
    </row>
    <row r="2863" hidden="1">
      <c r="A2863" s="6" t="str">
        <f>IFERROR(__xludf.DUMMYFUNCTION("""COMPUTED_VALUE"""),"euzen")</f>
        <v>euzen</v>
      </c>
      <c r="B2863" s="4"/>
      <c r="C2863" s="6" t="str">
        <f>IFERROR(__xludf.DUMMYFUNCTION("""COMPUTED_VALUE"""),"Health")</f>
        <v>Health</v>
      </c>
    </row>
    <row r="2864" hidden="1">
      <c r="A2864" s="6" t="str">
        <f>IFERROR(__xludf.DUMMYFUNCTION("""COMPUTED_VALUE"""),"medina bomba sumergibles")</f>
        <v>medina bomba sumergibles</v>
      </c>
      <c r="B2864" s="4"/>
      <c r="C2864" s="4"/>
    </row>
    <row r="2865" hidden="1">
      <c r="A2865" s="6" t="str">
        <f>IFERROR(__xludf.DUMMYFUNCTION("""COMPUTED_VALUE"""),"mediabyte")</f>
        <v>mediabyte</v>
      </c>
      <c r="B2865" s="4"/>
      <c r="C2865" s="6" t="str">
        <f>IFERROR(__xludf.DUMMYFUNCTION("""COMPUTED_VALUE"""),"Software Factory / Staffing")</f>
        <v>Software Factory / Staffing</v>
      </c>
    </row>
    <row r="2866" hidden="1">
      <c r="A2866" s="6" t="str">
        <f>IFERROR(__xludf.DUMMYFUNCTION("""COMPUTED_VALUE"""),"trabajo independiente")</f>
        <v>trabajo independiente</v>
      </c>
      <c r="B2866" s="4"/>
      <c r="C2866" s="6" t="str">
        <f>IFERROR(__xludf.DUMMYFUNCTION("""COMPUTED_VALUE"""),"Insurance")</f>
        <v>Insurance</v>
      </c>
    </row>
    <row r="2867" hidden="1">
      <c r="A2867" s="6" t="str">
        <f>IFERROR(__xludf.DUMMYFUNCTION("""COMPUTED_VALUE"""),"black stallion")</f>
        <v>black stallion</v>
      </c>
      <c r="B2867" s="4"/>
      <c r="C2867" s="6" t="str">
        <f>IFERROR(__xludf.DUMMYFUNCTION("""COMPUTED_VALUE"""),"Banking &amp; Financial Servicies")</f>
        <v>Banking &amp; Financial Servicies</v>
      </c>
    </row>
    <row r="2868" hidden="1">
      <c r="A2868" s="6" t="str">
        <f>IFERROR(__xludf.DUMMYFUNCTION("""COMPUTED_VALUE"""),"enterprise services argentina s.r.l")</f>
        <v>enterprise services argentina s.r.l</v>
      </c>
      <c r="B2868" s="6" t="str">
        <f>IFERROR(__xludf.DUMMYFUNCTION("""COMPUTED_VALUE"""),"Canadá")</f>
        <v>Canadá</v>
      </c>
      <c r="C2868" s="6" t="str">
        <f>IFERROR(__xludf.DUMMYFUNCTION("""COMPUTED_VALUE"""),"Banking &amp; Financial Servicies")</f>
        <v>Banking &amp; Financial Servicies</v>
      </c>
    </row>
    <row r="2869" hidden="1">
      <c r="A2869" s="6" t="str">
        <f>IFERROR(__xludf.DUMMYFUNCTION("""COMPUTED_VALUE"""),"tgv")</f>
        <v>tgv</v>
      </c>
      <c r="B2869" s="6" t="str">
        <f>IFERROR(__xludf.DUMMYFUNCTION("""COMPUTED_VALUE"""),"Argentina")</f>
        <v>Argentina</v>
      </c>
      <c r="C2869" s="6" t="str">
        <f>IFERROR(__xludf.DUMMYFUNCTION("""COMPUTED_VALUE"""),"Software Factory / Staffing")</f>
        <v>Software Factory / Staffing</v>
      </c>
    </row>
    <row r="2870" hidden="1">
      <c r="A2870" s="6" t="str">
        <f>IFERROR(__xludf.DUMMYFUNCTION("""COMPUTED_VALUE"""),"g4s soluciones de seguridad sa")</f>
        <v>g4s soluciones de seguridad sa</v>
      </c>
      <c r="B2870" s="4"/>
      <c r="C2870" s="4"/>
    </row>
    <row r="2871" hidden="1">
      <c r="A2871" s="6" t="str">
        <f>IFERROR(__xludf.DUMMYFUNCTION("""COMPUTED_VALUE"""),"corporacion e wong")</f>
        <v>corporacion e wong</v>
      </c>
      <c r="B2871" s="4"/>
      <c r="C2871" s="4"/>
    </row>
    <row r="2872" hidden="1">
      <c r="A2872" s="6" t="str">
        <f>IFERROR(__xludf.DUMMYFUNCTION("""COMPUTED_VALUE"""),"rpa latam")</f>
        <v>rpa latam</v>
      </c>
      <c r="B2872" s="6" t="str">
        <f>IFERROR(__xludf.DUMMYFUNCTION("""COMPUTED_VALUE"""),"Perú")</f>
        <v>Perú</v>
      </c>
      <c r="C2872" s="6" t="str">
        <f>IFERROR(__xludf.DUMMYFUNCTION("""COMPUTED_VALUE"""),"Software Factory / Staffing")</f>
        <v>Software Factory / Staffing</v>
      </c>
    </row>
    <row r="2873" hidden="1">
      <c r="A2873" s="6" t="str">
        <f>IFERROR(__xludf.DUMMYFUNCTION("""COMPUTED_VALUE"""),"municipalidad de san nicolas")</f>
        <v>municipalidad de san nicolas</v>
      </c>
      <c r="B2873" s="6" t="str">
        <f>IFERROR(__xludf.DUMMYFUNCTION("""COMPUTED_VALUE"""),"Argentina")</f>
        <v>Argentina</v>
      </c>
      <c r="C2873" s="6" t="str">
        <f>IFERROR(__xludf.DUMMYFUNCTION("""COMPUTED_VALUE"""),"Public Center")</f>
        <v>Public Center</v>
      </c>
    </row>
    <row r="2874" hidden="1">
      <c r="A2874" s="6" t="str">
        <f>IFERROR(__xludf.DUMMYFUNCTION("""COMPUTED_VALUE"""),"geosolutions")</f>
        <v>geosolutions</v>
      </c>
      <c r="B2874" s="6" t="str">
        <f>IFERROR(__xludf.DUMMYFUNCTION("""COMPUTED_VALUE"""),"Italia")</f>
        <v>Italia</v>
      </c>
      <c r="C2874" s="6" t="str">
        <f>IFERROR(__xludf.DUMMYFUNCTION("""COMPUTED_VALUE"""),"Software Factory / Staffing")</f>
        <v>Software Factory / Staffing</v>
      </c>
    </row>
    <row r="2875" hidden="1">
      <c r="A2875" s="6" t="str">
        <f>IFERROR(__xludf.DUMMYFUNCTION("""COMPUTED_VALUE"""),"artear")</f>
        <v>artear</v>
      </c>
      <c r="B2875" s="4"/>
      <c r="C2875" s="4"/>
    </row>
    <row r="2876" hidden="1">
      <c r="A2876" s="6" t="str">
        <f>IFERROR(__xludf.DUMMYFUNCTION("""COMPUTED_VALUE"""),"kantar worldpanel")</f>
        <v>kantar worldpanel</v>
      </c>
      <c r="B2876" s="4"/>
      <c r="C2876" s="6" t="str">
        <f>IFERROR(__xludf.DUMMYFUNCTION("""COMPUTED_VALUE"""),"Banking &amp; Financial Servicies")</f>
        <v>Banking &amp; Financial Servicies</v>
      </c>
    </row>
    <row r="2877" hidden="1">
      <c r="A2877" s="6" t="str">
        <f>IFERROR(__xludf.DUMMYFUNCTION("""COMPUTED_VALUE"""),"banco itau")</f>
        <v>banco itau</v>
      </c>
      <c r="B2877" s="6" t="str">
        <f>IFERROR(__xludf.DUMMYFUNCTION("""COMPUTED_VALUE"""),"Brasil")</f>
        <v>Brasil</v>
      </c>
      <c r="C2877" s="6" t="str">
        <f>IFERROR(__xludf.DUMMYFUNCTION("""COMPUTED_VALUE"""),"Banking &amp; Financial Servicies")</f>
        <v>Banking &amp; Financial Servicies</v>
      </c>
    </row>
    <row r="2878" hidden="1">
      <c r="A2878" s="6" t="str">
        <f>IFERROR(__xludf.DUMMYFUNCTION("""COMPUTED_VALUE"""),"remotask")</f>
        <v>remotask</v>
      </c>
      <c r="B2878" s="4"/>
      <c r="C2878" s="4"/>
    </row>
    <row r="2879" hidden="1">
      <c r="A2879" s="6" t="str">
        <f>IFERROR(__xludf.DUMMYFUNCTION("""COMPUTED_VALUE"""),"gastronomia")</f>
        <v>gastronomia</v>
      </c>
      <c r="B2879" s="6" t="str">
        <f>IFERROR(__xludf.DUMMYFUNCTION("""COMPUTED_VALUE"""),"Australia")</f>
        <v>Australia</v>
      </c>
      <c r="C2879" s="6" t="str">
        <f>IFERROR(__xludf.DUMMYFUNCTION("""COMPUTED_VALUE"""),"FMCG / Consumo masivo")</f>
        <v>FMCG / Consumo masivo</v>
      </c>
    </row>
    <row r="2880" hidden="1">
      <c r="A2880" s="6" t="str">
        <f>IFERROR(__xludf.DUMMYFUNCTION("""COMPUTED_VALUE"""),"liventi inc")</f>
        <v>liventi inc</v>
      </c>
      <c r="B2880" s="6" t="str">
        <f>IFERROR(__xludf.DUMMYFUNCTION("""COMPUTED_VALUE"""),"Estados Unidos")</f>
        <v>Estados Unidos</v>
      </c>
      <c r="C2880" s="6" t="str">
        <f>IFERROR(__xludf.DUMMYFUNCTION("""COMPUTED_VALUE"""),"FMCG / Consumo masivo")</f>
        <v>FMCG / Consumo masivo</v>
      </c>
    </row>
    <row r="2881" hidden="1">
      <c r="A2881" s="6" t="str">
        <f>IFERROR(__xludf.DUMMYFUNCTION("""COMPUTED_VALUE"""),"holos digital partners")</f>
        <v>holos digital partners</v>
      </c>
      <c r="B2881" s="4"/>
      <c r="C2881" s="6" t="str">
        <f>IFERROR(__xludf.DUMMYFUNCTION("""COMPUTED_VALUE"""),"Software Factory / Staffing")</f>
        <v>Software Factory / Staffing</v>
      </c>
    </row>
    <row r="2882" hidden="1">
      <c r="A2882" s="6" t="str">
        <f>IFERROR(__xludf.DUMMYFUNCTION("""COMPUTED_VALUE"""),"global assist")</f>
        <v>global assist</v>
      </c>
      <c r="B2882" s="6" t="str">
        <f>IFERROR(__xludf.DUMMYFUNCTION("""COMPUTED_VALUE"""),"Australia")</f>
        <v>Australia</v>
      </c>
      <c r="C2882" s="6" t="str">
        <f>IFERROR(__xludf.DUMMYFUNCTION("""COMPUTED_VALUE"""),"Software Factory / Staffing")</f>
        <v>Software Factory / Staffing</v>
      </c>
    </row>
    <row r="2883" hidden="1">
      <c r="A2883" s="6" t="str">
        <f>IFERROR(__xludf.DUMMYFUNCTION("""COMPUTED_VALUE"""),"asistente virtual ok.com")</f>
        <v>asistente virtual ok.com</v>
      </c>
      <c r="B2883" s="4"/>
      <c r="C2883" s="6" t="str">
        <f>IFERROR(__xludf.DUMMYFUNCTION("""COMPUTED_VALUE"""),"Other")</f>
        <v>Other</v>
      </c>
    </row>
    <row r="2884" hidden="1">
      <c r="A2884" s="6" t="str">
        <f>IFERROR(__xludf.DUMMYFUNCTION("""COMPUTED_VALUE"""),"reply pro")</f>
        <v>reply pro</v>
      </c>
      <c r="B2884" s="6" t="str">
        <f>IFERROR(__xludf.DUMMYFUNCTION("""COMPUTED_VALUE"""),"Estados Unidos")</f>
        <v>Estados Unidos</v>
      </c>
      <c r="C2884" s="6" t="str">
        <f>IFERROR(__xludf.DUMMYFUNCTION("""COMPUTED_VALUE"""),"Software Factory / Staffing")</f>
        <v>Software Factory / Staffing</v>
      </c>
    </row>
    <row r="2885" hidden="1">
      <c r="A2885" s="6" t="str">
        <f>IFERROR(__xludf.DUMMYFUNCTION("""COMPUTED_VALUE"""),"domkard")</f>
        <v>domkard</v>
      </c>
      <c r="B2885" s="4"/>
      <c r="C2885" s="6" t="str">
        <f>IFERROR(__xludf.DUMMYFUNCTION("""COMPUTED_VALUE"""),"Software Factory / Staffing")</f>
        <v>Software Factory / Staffing</v>
      </c>
    </row>
    <row r="2886" hidden="1">
      <c r="A2886" s="6" t="str">
        <f>IFERROR(__xludf.DUMMYFUNCTION("""COMPUTED_VALUE"""),"tml logística")</f>
        <v>tml logística</v>
      </c>
      <c r="B2886" s="4"/>
      <c r="C2886" s="4"/>
    </row>
    <row r="2887" hidden="1">
      <c r="A2887" s="6" t="str">
        <f>IFERROR(__xludf.DUMMYFUNCTION("""COMPUTED_VALUE"""),"synergiart sl")</f>
        <v>synergiart sl</v>
      </c>
      <c r="B2887" s="4"/>
      <c r="C2887" s="6" t="str">
        <f>IFERROR(__xludf.DUMMYFUNCTION("""COMPUTED_VALUE"""),"Marketing &amp; Advertising")</f>
        <v>Marketing &amp; Advertising</v>
      </c>
    </row>
    <row r="2888" hidden="1">
      <c r="A2888" s="6" t="str">
        <f>IFERROR(__xludf.DUMMYFUNCTION("""COMPUTED_VALUE"""),"ministerio de seguridad mendoza")</f>
        <v>ministerio de seguridad mendoza</v>
      </c>
      <c r="B2888" s="4"/>
      <c r="C2888" s="4"/>
    </row>
    <row r="2889" hidden="1">
      <c r="A2889" s="6" t="str">
        <f>IFERROR(__xludf.DUMMYFUNCTION("""COMPUTED_VALUE"""),"remote club")</f>
        <v>remote club</v>
      </c>
      <c r="B2889" s="4"/>
      <c r="C2889" s="6" t="str">
        <f>IFERROR(__xludf.DUMMYFUNCTION("""COMPUTED_VALUE"""),"Software Factory / Staffing")</f>
        <v>Software Factory / Staffing</v>
      </c>
    </row>
    <row r="2890" hidden="1">
      <c r="A2890" s="6" t="str">
        <f>IFERROR(__xludf.DUMMYFUNCTION("""COMPUTED_VALUE"""),"linkchar")</f>
        <v>linkchar</v>
      </c>
      <c r="B2890" s="6" t="str">
        <f>IFERROR(__xludf.DUMMYFUNCTION("""COMPUTED_VALUE"""),"Argentina")</f>
        <v>Argentina</v>
      </c>
      <c r="C2890" s="6" t="str">
        <f>IFERROR(__xludf.DUMMYFUNCTION("""COMPUTED_VALUE"""),"Software Factory / Staffing")</f>
        <v>Software Factory / Staffing</v>
      </c>
    </row>
    <row r="2891" hidden="1">
      <c r="A2891" s="6" t="str">
        <f>IFERROR(__xludf.DUMMYFUNCTION("""COMPUTED_VALUE"""),"j.m. ponce srl")</f>
        <v>j.m. ponce srl</v>
      </c>
      <c r="B2891" s="4"/>
      <c r="C2891" s="4"/>
    </row>
    <row r="2892" hidden="1">
      <c r="A2892" s="6" t="str">
        <f>IFERROR(__xludf.DUMMYFUNCTION("""COMPUTED_VALUE"""),"sw/app/cloud tech support associate")</f>
        <v>sw/app/cloud tech support associate</v>
      </c>
      <c r="B2892" s="4"/>
      <c r="C2892" s="4"/>
    </row>
    <row r="2893" hidden="1">
      <c r="A2893" s="6" t="str">
        <f>IFERROR(__xludf.DUMMYFUNCTION("""COMPUTED_VALUE"""),"prototypes devs")</f>
        <v>prototypes devs</v>
      </c>
      <c r="B2893" s="4"/>
      <c r="C2893" s="4"/>
    </row>
    <row r="2894" hidden="1">
      <c r="A2894" s="6" t="str">
        <f>IFERROR(__xludf.DUMMYFUNCTION("""COMPUTED_VALUE"""),"seguros rivadavia")</f>
        <v>seguros rivadavia</v>
      </c>
      <c r="B2894" s="6" t="str">
        <f>IFERROR(__xludf.DUMMYFUNCTION("""COMPUTED_VALUE"""),"Argentina")</f>
        <v>Argentina</v>
      </c>
      <c r="C2894" s="6" t="str">
        <f>IFERROR(__xludf.DUMMYFUNCTION("""COMPUTED_VALUE"""),"Insurance")</f>
        <v>Insurance</v>
      </c>
    </row>
    <row r="2895" hidden="1">
      <c r="A2895" s="6" t="str">
        <f>IFERROR(__xludf.DUMMYFUNCTION("""COMPUTED_VALUE"""),"infa")</f>
        <v>infa</v>
      </c>
      <c r="B2895" s="6" t="str">
        <f>IFERROR(__xludf.DUMMYFUNCTION("""COMPUTED_VALUE"""),"Argentina")</f>
        <v>Argentina</v>
      </c>
      <c r="C2895" s="6" t="str">
        <f>IFERROR(__xludf.DUMMYFUNCTION("""COMPUTED_VALUE"""),"Construction")</f>
        <v>Construction</v>
      </c>
    </row>
    <row r="2896" hidden="1">
      <c r="A2896" s="6" t="str">
        <f>IFERROR(__xludf.DUMMYFUNCTION("""COMPUTED_VALUE"""),"winwinlatam")</f>
        <v>winwinlatam</v>
      </c>
      <c r="B2896" s="6" t="str">
        <f>IFERROR(__xludf.DUMMYFUNCTION("""COMPUTED_VALUE"""),"Chile")</f>
        <v>Chile</v>
      </c>
      <c r="C2896" s="6" t="str">
        <f>IFERROR(__xludf.DUMMYFUNCTION("""COMPUTED_VALUE"""),"Other")</f>
        <v>Other</v>
      </c>
    </row>
    <row r="2897" hidden="1">
      <c r="A2897" s="7" t="str">
        <f>IFERROR(__xludf.DUMMYFUNCTION("""COMPUTED_VALUE"""),"remotasks.com")</f>
        <v>remotasks.com</v>
      </c>
      <c r="B2897" s="4"/>
      <c r="C2897" s="6" t="str">
        <f>IFERROR(__xludf.DUMMYFUNCTION("""COMPUTED_VALUE"""),"Software Factory / Staffing")</f>
        <v>Software Factory / Staffing</v>
      </c>
    </row>
    <row r="2898" hidden="1">
      <c r="A2898" s="6" t="str">
        <f>IFERROR(__xludf.DUMMYFUNCTION("""COMPUTED_VALUE"""),"highpoint growth networks")</f>
        <v>highpoint growth networks</v>
      </c>
      <c r="B2898" s="4"/>
      <c r="C2898" s="4"/>
    </row>
    <row r="2899" hidden="1">
      <c r="A2899" s="6" t="str">
        <f>IFERROR(__xludf.DUMMYFUNCTION("""COMPUTED_VALUE"""),"river hotel s.a")</f>
        <v>river hotel s.a</v>
      </c>
      <c r="B2899" s="4"/>
      <c r="C2899" s="4"/>
    </row>
    <row r="2900" hidden="1">
      <c r="A2900" s="6" t="str">
        <f>IFERROR(__xludf.DUMMYFUNCTION("""COMPUTED_VALUE"""),"remostasks")</f>
        <v>remostasks</v>
      </c>
      <c r="B2900" s="4"/>
      <c r="C2900" s="4"/>
    </row>
    <row r="2901" hidden="1">
      <c r="A2901" s="6" t="str">
        <f>IFERROR(__xludf.DUMMYFUNCTION("""COMPUTED_VALUE"""),"pari")</f>
        <v>pari</v>
      </c>
      <c r="B2901" s="6" t="str">
        <f>IFERROR(__xludf.DUMMYFUNCTION("""COMPUTED_VALUE"""),"Estados Unidos")</f>
        <v>Estados Unidos</v>
      </c>
      <c r="C2901" s="6" t="str">
        <f>IFERROR(__xludf.DUMMYFUNCTION("""COMPUTED_VALUE"""),"Software Factory / Staffing")</f>
        <v>Software Factory / Staffing</v>
      </c>
    </row>
    <row r="2902" hidden="1">
      <c r="A2902" s="6" t="str">
        <f>IFERROR(__xludf.DUMMYFUNCTION("""COMPUTED_VALUE"""),"stratton nea s.a.")</f>
        <v>stratton nea s.a.</v>
      </c>
      <c r="B2902" s="4"/>
      <c r="C2902" s="4"/>
    </row>
    <row r="2903" hidden="1">
      <c r="A2903" s="6" t="str">
        <f>IFERROR(__xludf.DUMMYFUNCTION("""COMPUTED_VALUE"""),"golden arrow")</f>
        <v>golden arrow</v>
      </c>
      <c r="B2903" s="6" t="str">
        <f>IFERROR(__xludf.DUMMYFUNCTION("""COMPUTED_VALUE"""),"Estados Unidos")</f>
        <v>Estados Unidos</v>
      </c>
      <c r="C2903" s="6" t="str">
        <f>IFERROR(__xludf.DUMMYFUNCTION("""COMPUTED_VALUE"""),"Logistics")</f>
        <v>Logistics</v>
      </c>
    </row>
    <row r="2904" hidden="1">
      <c r="A2904" s="6" t="str">
        <f>IFERROR(__xludf.DUMMYFUNCTION("""COMPUTED_VALUE"""),"books &amp; books")</f>
        <v>books &amp; books</v>
      </c>
      <c r="B2904" s="4"/>
      <c r="C2904" s="4"/>
    </row>
    <row r="2905" hidden="1">
      <c r="A2905" s="6" t="str">
        <f>IFERROR(__xludf.DUMMYFUNCTION("""COMPUTED_VALUE"""),"indra peru")</f>
        <v>indra peru</v>
      </c>
      <c r="B2905" s="4"/>
      <c r="C2905" s="4"/>
    </row>
    <row r="2906" hidden="1">
      <c r="A2906" s="6" t="str">
        <f>IFERROR(__xludf.DUMMYFUNCTION("""COMPUTED_VALUE"""),"nestifyla")</f>
        <v>nestifyla</v>
      </c>
      <c r="B2906" s="4"/>
      <c r="C2906" s="4"/>
    </row>
    <row r="2907" hidden="1">
      <c r="A2907" s="6" t="str">
        <f>IFERROR(__xludf.DUMMYFUNCTION("""COMPUTED_VALUE"""),"unibyte corporate informática limitada")</f>
        <v>unibyte corporate informática limitada</v>
      </c>
      <c r="B2907" s="4"/>
      <c r="C2907" s="4"/>
    </row>
    <row r="2908" hidden="1">
      <c r="A2908" s="6" t="str">
        <f>IFERROR(__xludf.DUMMYFUNCTION("""COMPUTED_VALUE"""),"iq4b s.a")</f>
        <v>iq4b s.a</v>
      </c>
      <c r="B2908" s="4"/>
      <c r="C2908" s="4"/>
    </row>
    <row r="2909" hidden="1">
      <c r="A2909" s="6" t="str">
        <f>IFERROR(__xludf.DUMMYFUNCTION("""COMPUTED_VALUE"""),"goforcustomer")</f>
        <v>goforcustomer</v>
      </c>
      <c r="B2909" s="4"/>
      <c r="C2909" s="6" t="str">
        <f>IFERROR(__xludf.DUMMYFUNCTION("""COMPUTED_VALUE"""),"Marketing &amp; Advertising")</f>
        <v>Marketing &amp; Advertising</v>
      </c>
    </row>
    <row r="2910" hidden="1">
      <c r="A2910" s="6" t="str">
        <f>IFERROR(__xludf.DUMMYFUNCTION("""COMPUTED_VALUE"""),"casin")</f>
        <v>casin</v>
      </c>
      <c r="B2910" s="6" t="str">
        <f>IFERROR(__xludf.DUMMYFUNCTION("""COMPUTED_VALUE"""),"Argentina")</f>
        <v>Argentina</v>
      </c>
      <c r="C2910" s="6" t="str">
        <f>IFERROR(__xludf.DUMMYFUNCTION("""COMPUTED_VALUE"""),"Accounting")</f>
        <v>Accounting</v>
      </c>
    </row>
    <row r="2911" hidden="1">
      <c r="A2911" s="7" t="str">
        <f>IFERROR(__xludf.DUMMYFUNCTION("""COMPUTED_VALUE"""),"smith.ai")</f>
        <v>smith.ai</v>
      </c>
      <c r="B2911" s="6" t="str">
        <f>IFERROR(__xludf.DUMMYFUNCTION("""COMPUTED_VALUE"""),"Estados Unidos")</f>
        <v>Estados Unidos</v>
      </c>
      <c r="C2911" s="6" t="str">
        <f>IFERROR(__xludf.DUMMYFUNCTION("""COMPUTED_VALUE"""),"Software Factory / Staffing")</f>
        <v>Software Factory / Staffing</v>
      </c>
    </row>
    <row r="2912" hidden="1">
      <c r="A2912" s="6" t="str">
        <f>IFERROR(__xludf.DUMMYFUNCTION("""COMPUTED_VALUE"""),"mindqube peru sac")</f>
        <v>mindqube peru sac</v>
      </c>
      <c r="B2912" s="4"/>
      <c r="C2912" s="4"/>
    </row>
    <row r="2913" hidden="1">
      <c r="A2913" s="6" t="str">
        <f>IFERROR(__xludf.DUMMYFUNCTION("""COMPUTED_VALUE"""),"polex servicios ltda")</f>
        <v>polex servicios ltda</v>
      </c>
      <c r="B2913" s="4"/>
      <c r="C2913" s="4"/>
    </row>
    <row r="2914" hidden="1">
      <c r="A2914" s="6" t="str">
        <f>IFERROR(__xludf.DUMMYFUNCTION("""COMPUTED_VALUE"""),"metso chile spa")</f>
        <v>metso chile spa</v>
      </c>
      <c r="B2914" s="4"/>
      <c r="C2914" s="4"/>
    </row>
    <row r="2915" hidden="1">
      <c r="A2915" s="6" t="str">
        <f>IFERROR(__xludf.DUMMYFUNCTION("""COMPUTED_VALUE"""),"innovaciones satori tech s.c")</f>
        <v>innovaciones satori tech s.c</v>
      </c>
      <c r="B2915" s="4"/>
      <c r="C2915" s="4"/>
    </row>
    <row r="2916" hidden="1">
      <c r="A2916" s="6" t="str">
        <f>IFERROR(__xludf.DUMMYFUNCTION("""COMPUTED_VALUE"""),"manpower")</f>
        <v>manpower</v>
      </c>
      <c r="B2916" s="6" t="str">
        <f>IFERROR(__xludf.DUMMYFUNCTION("""COMPUTED_VALUE"""),"Estados Unidos")</f>
        <v>Estados Unidos</v>
      </c>
      <c r="C2916" s="6" t="str">
        <f>IFERROR(__xludf.DUMMYFUNCTION("""COMPUTED_VALUE"""),"Software Factory / Staffing")</f>
        <v>Software Factory / Staffing</v>
      </c>
    </row>
    <row r="2917" hidden="1">
      <c r="A2917" s="6" t="str">
        <f>IFERROR(__xludf.DUMMYFUNCTION("""COMPUTED_VALUE"""),"emprestur")</f>
        <v>emprestur</v>
      </c>
      <c r="B2917" s="4"/>
      <c r="C2917" s="6" t="str">
        <f>IFERROR(__xludf.DUMMYFUNCTION("""COMPUTED_VALUE"""),"Logistics")</f>
        <v>Logistics</v>
      </c>
    </row>
    <row r="2918" hidden="1">
      <c r="A2918" s="6" t="str">
        <f>IFERROR(__xludf.DUMMYFUNCTION("""COMPUTED_VALUE"""),"wunderman thompson colombia")</f>
        <v>wunderman thompson colombia</v>
      </c>
      <c r="B2918" s="6" t="str">
        <f>IFERROR(__xludf.DUMMYFUNCTION("""COMPUTED_VALUE"""),"Colombia")</f>
        <v>Colombia</v>
      </c>
      <c r="C2918" s="6" t="str">
        <f>IFERROR(__xludf.DUMMYFUNCTION("""COMPUTED_VALUE"""),"Marketing &amp; Advertising")</f>
        <v>Marketing &amp; Advertising</v>
      </c>
    </row>
    <row r="2919" hidden="1">
      <c r="A2919" s="6" t="str">
        <f>IFERROR(__xludf.DUMMYFUNCTION("""COMPUTED_VALUE"""),"alcaldia de santiago de cali")</f>
        <v>alcaldia de santiago de cali</v>
      </c>
      <c r="B2919" s="4"/>
      <c r="C2919" s="4"/>
    </row>
    <row r="2920" hidden="1">
      <c r="A2920" s="6" t="str">
        <f>IFERROR(__xludf.DUMMYFUNCTION("""COMPUTED_VALUE"""),"caracas digital")</f>
        <v>caracas digital</v>
      </c>
      <c r="B2920" s="4"/>
      <c r="C2920" s="6" t="str">
        <f>IFERROR(__xludf.DUMMYFUNCTION("""COMPUTED_VALUE"""),"Media &amp; Communication")</f>
        <v>Media &amp; Communication</v>
      </c>
    </row>
    <row r="2921" hidden="1">
      <c r="A2921" s="6" t="str">
        <f>IFERROR(__xludf.DUMMYFUNCTION("""COMPUTED_VALUE"""),"mecantronic solution")</f>
        <v>mecantronic solution</v>
      </c>
      <c r="B2921" s="4"/>
      <c r="C2921" s="4"/>
    </row>
    <row r="2922" hidden="1">
      <c r="A2922" s="6" t="str">
        <f>IFERROR(__xludf.DUMMYFUNCTION("""COMPUTED_VALUE"""),"andreani logística")</f>
        <v>andreani logística</v>
      </c>
      <c r="B2922" s="6" t="str">
        <f>IFERROR(__xludf.DUMMYFUNCTION("""COMPUTED_VALUE"""),"Brasil")</f>
        <v>Brasil</v>
      </c>
      <c r="C2922" s="6" t="str">
        <f>IFERROR(__xludf.DUMMYFUNCTION("""COMPUTED_VALUE"""),"Logistics")</f>
        <v>Logistics</v>
      </c>
    </row>
    <row r="2923" hidden="1">
      <c r="A2923" s="6" t="str">
        <f>IFERROR(__xludf.DUMMYFUNCTION("""COMPUTED_VALUE"""),"forum súper mayorista")</f>
        <v>forum súper mayorista</v>
      </c>
      <c r="B2923" s="6" t="str">
        <f>IFERROR(__xludf.DUMMYFUNCTION("""COMPUTED_VALUE"""),"Venezuela")</f>
        <v>Venezuela</v>
      </c>
      <c r="C2923" s="6" t="str">
        <f>IFERROR(__xludf.DUMMYFUNCTION("""COMPUTED_VALUE"""),"FMCG / Consumo masivo")</f>
        <v>FMCG / Consumo masivo</v>
      </c>
    </row>
    <row r="2924" hidden="1">
      <c r="A2924" s="6" t="str">
        <f>IFERROR(__xludf.DUMMYFUNCTION("""COMPUTED_VALUE"""),"itboom")</f>
        <v>itboom</v>
      </c>
      <c r="B2924" s="6" t="str">
        <f>IFERROR(__xludf.DUMMYFUNCTION("""COMPUTED_VALUE"""),"Polonia")</f>
        <v>Polonia</v>
      </c>
      <c r="C2924" s="6" t="str">
        <f>IFERROR(__xludf.DUMMYFUNCTION("""COMPUTED_VALUE"""),"Software Factory / Staffing")</f>
        <v>Software Factory / Staffing</v>
      </c>
    </row>
    <row r="2925" hidden="1">
      <c r="A2925" s="6" t="str">
        <f>IFERROR(__xludf.DUMMYFUNCTION("""COMPUTED_VALUE"""),"runa")</f>
        <v>runa</v>
      </c>
      <c r="B2925" s="4"/>
      <c r="C2925" s="4"/>
    </row>
    <row r="2926" hidden="1">
      <c r="A2926" s="6" t="str">
        <f>IFERROR(__xludf.DUMMYFUNCTION("""COMPUTED_VALUE"""),"tuxdi sas")</f>
        <v>tuxdi sas</v>
      </c>
      <c r="B2926" s="4"/>
      <c r="C2926" s="4"/>
    </row>
    <row r="2927" hidden="1">
      <c r="A2927" s="6" t="str">
        <f>IFERROR(__xludf.DUMMYFUNCTION("""COMPUTED_VALUE"""),"inteligencia analitica")</f>
        <v>inteligencia analitica</v>
      </c>
      <c r="B2927" s="6" t="str">
        <f>IFERROR(__xludf.DUMMYFUNCTION("""COMPUTED_VALUE"""),"Argentina")</f>
        <v>Argentina</v>
      </c>
      <c r="C2927" s="6" t="str">
        <f>IFERROR(__xludf.DUMMYFUNCTION("""COMPUTED_VALUE"""),"Software Factory / Staffing")</f>
        <v>Software Factory / Staffing</v>
      </c>
    </row>
    <row r="2928">
      <c r="A2928" s="6" t="str">
        <f>IFERROR(__xludf.DUMMYFUNCTION("""COMPUTED_VALUE"""),"viio")</f>
        <v>viio</v>
      </c>
      <c r="B2928" s="4"/>
      <c r="C2928" s="4"/>
    </row>
    <row r="2929">
      <c r="A2929" s="6" t="str">
        <f>IFERROR(__xludf.DUMMYFUNCTION("""COMPUTED_VALUE"""),"torre dormar")</f>
        <v>torre dormar</v>
      </c>
      <c r="B2929" s="4"/>
      <c r="C2929" s="4"/>
    </row>
    <row r="2930">
      <c r="A2930" s="6" t="str">
        <f>IFERROR(__xludf.DUMMYFUNCTION("""COMPUTED_VALUE"""),"7dev")</f>
        <v>7dev</v>
      </c>
      <c r="B2930" s="4"/>
      <c r="C2930" s="4"/>
    </row>
    <row r="2931">
      <c r="A2931" s="6" t="str">
        <f>IFERROR(__xludf.DUMMYFUNCTION("""COMPUTED_VALUE"""),"super")</f>
        <v>super</v>
      </c>
      <c r="B2931" s="6" t="str">
        <f>IFERROR(__xludf.DUMMYFUNCTION("""COMPUTED_VALUE"""),"Argentina")</f>
        <v>Argentina</v>
      </c>
      <c r="C2931" s="6" t="str">
        <f>IFERROR(__xludf.DUMMYFUNCTION("""COMPUTED_VALUE"""),"Messaging and Telecommunications")</f>
        <v>Messaging and Telecommunications</v>
      </c>
    </row>
    <row r="2932">
      <c r="A2932" s="6" t="str">
        <f>IFERROR(__xludf.DUMMYFUNCTION("""COMPUTED_VALUE"""),"logística mercantil")</f>
        <v>logística mercantil</v>
      </c>
      <c r="B2932" s="6" t="str">
        <f>IFERROR(__xludf.DUMMYFUNCTION("""COMPUTED_VALUE"""),"España")</f>
        <v>España</v>
      </c>
      <c r="C2932" s="6" t="str">
        <f>IFERROR(__xludf.DUMMYFUNCTION("""COMPUTED_VALUE"""),"Public Center")</f>
        <v>Public Center</v>
      </c>
    </row>
    <row r="2933">
      <c r="A2933" s="6" t="str">
        <f>IFERROR(__xludf.DUMMYFUNCTION("""COMPUTED_VALUE"""),"universidad pontificia bolivariana")</f>
        <v>universidad pontificia bolivariana</v>
      </c>
      <c r="B2933" s="6" t="str">
        <f>IFERROR(__xludf.DUMMYFUNCTION("""COMPUTED_VALUE"""),"Colombia")</f>
        <v>Colombia</v>
      </c>
      <c r="C2933" s="6" t="str">
        <f>IFERROR(__xludf.DUMMYFUNCTION("""COMPUTED_VALUE"""),"Education &amp; Edtech")</f>
        <v>Education &amp; Edtech</v>
      </c>
    </row>
    <row r="2934">
      <c r="A2934" s="6" t="str">
        <f>IFERROR(__xludf.DUMMYFUNCTION("""COMPUTED_VALUE"""),"tsf")</f>
        <v>tsf</v>
      </c>
      <c r="B2934" s="6" t="str">
        <f>IFERROR(__xludf.DUMMYFUNCTION("""COMPUTED_VALUE"""),"España")</f>
        <v>España</v>
      </c>
      <c r="C2934" s="6" t="str">
        <f>IFERROR(__xludf.DUMMYFUNCTION("""COMPUTED_VALUE"""),"Mechanical/Industrial Engineering")</f>
        <v>Mechanical/Industrial Engineering</v>
      </c>
    </row>
    <row r="2935">
      <c r="A2935" s="6" t="str">
        <f>IFERROR(__xludf.DUMMYFUNCTION("""COMPUTED_VALUE"""),"enternova")</f>
        <v>enternova</v>
      </c>
      <c r="B2935" s="4"/>
      <c r="C2935" s="6" t="str">
        <f>IFERROR(__xludf.DUMMYFUNCTION("""COMPUTED_VALUE"""),"Software Factory / Staffing")</f>
        <v>Software Factory / Staffing</v>
      </c>
    </row>
    <row r="2936">
      <c r="A2936" s="6" t="str">
        <f>IFERROR(__xludf.DUMMYFUNCTION("""COMPUTED_VALUE"""),"cenit sas")</f>
        <v>cenit sas</v>
      </c>
      <c r="B2936" s="4"/>
      <c r="C2936" s="4"/>
    </row>
    <row r="2937">
      <c r="A2937" s="6" t="str">
        <f>IFERROR(__xludf.DUMMYFUNCTION("""COMPUTED_VALUE"""),"compañia comercial curacao de colombia")</f>
        <v>compañia comercial curacao de colombia</v>
      </c>
      <c r="B2937" s="6" t="str">
        <f>IFERROR(__xludf.DUMMYFUNCTION("""COMPUTED_VALUE"""),"Colombia")</f>
        <v>Colombia</v>
      </c>
      <c r="C2937" s="6" t="str">
        <f>IFERROR(__xludf.DUMMYFUNCTION("""COMPUTED_VALUE"""),"Media &amp; Communication")</f>
        <v>Media &amp; Communication</v>
      </c>
    </row>
    <row r="2938">
      <c r="A2938" s="6" t="str">
        <f>IFERROR(__xludf.DUMMYFUNCTION("""COMPUTED_VALUE"""),"khem labs")</f>
        <v>khem labs</v>
      </c>
      <c r="B2938" s="6" t="str">
        <f>IFERROR(__xludf.DUMMYFUNCTION("""COMPUTED_VALUE"""),"Argentina")</f>
        <v>Argentina</v>
      </c>
      <c r="C2938" s="6" t="str">
        <f>IFERROR(__xludf.DUMMYFUNCTION("""COMPUTED_VALUE"""),"Software Factory / Staffing")</f>
        <v>Software Factory / Staffing</v>
      </c>
    </row>
    <row r="2939">
      <c r="A2939" s="6" t="str">
        <f>IFERROR(__xludf.DUMMYFUNCTION("""COMPUTED_VALUE"""),"mekan")</f>
        <v>mekan</v>
      </c>
      <c r="B2939" s="6" t="str">
        <f>IFERROR(__xludf.DUMMYFUNCTION("""COMPUTED_VALUE"""),"Colombia")</f>
        <v>Colombia</v>
      </c>
      <c r="C2939" s="6" t="str">
        <f>IFERROR(__xludf.DUMMYFUNCTION("""COMPUTED_VALUE"""),"Logistics")</f>
        <v>Logistics</v>
      </c>
    </row>
    <row r="2940">
      <c r="A2940" s="6" t="str">
        <f>IFERROR(__xludf.DUMMYFUNCTION("""COMPUTED_VALUE"""),"solvo global")</f>
        <v>solvo global</v>
      </c>
      <c r="B2940" s="6" t="str">
        <f>IFERROR(__xludf.DUMMYFUNCTION("""COMPUTED_VALUE"""),"Colombia")</f>
        <v>Colombia</v>
      </c>
      <c r="C2940" s="6" t="str">
        <f>IFERROR(__xludf.DUMMYFUNCTION("""COMPUTED_VALUE"""),"Other")</f>
        <v>Other</v>
      </c>
    </row>
    <row r="2941">
      <c r="A2941" s="6" t="str">
        <f>IFERROR(__xludf.DUMMYFUNCTION("""COMPUTED_VALUE"""),"cobro inmediato")</f>
        <v>cobro inmediato</v>
      </c>
      <c r="B2941" s="6" t="str">
        <f>IFERROR(__xludf.DUMMYFUNCTION("""COMPUTED_VALUE"""),"Argentina")</f>
        <v>Argentina</v>
      </c>
      <c r="C2941" s="6" t="str">
        <f>IFERROR(__xludf.DUMMYFUNCTION("""COMPUTED_VALUE"""),"Banking &amp; Financial Servicies")</f>
        <v>Banking &amp; Financial Servicies</v>
      </c>
    </row>
    <row r="2942">
      <c r="A2942" s="6" t="str">
        <f>IFERROR(__xludf.DUMMYFUNCTION("""COMPUTED_VALUE"""),"cas")</f>
        <v>cas</v>
      </c>
      <c r="B2942" s="6" t="str">
        <f>IFERROR(__xludf.DUMMYFUNCTION("""COMPUTED_VALUE"""),"Estados Unidos")</f>
        <v>Estados Unidos</v>
      </c>
      <c r="C2942" s="6" t="str">
        <f>IFERROR(__xludf.DUMMYFUNCTION("""COMPUTED_VALUE"""),"Software Factory / Staffing")</f>
        <v>Software Factory / Staffing</v>
      </c>
    </row>
    <row r="2943">
      <c r="A2943" s="6" t="str">
        <f>IFERROR(__xludf.DUMMYFUNCTION("""COMPUTED_VALUE"""),"imagine s.a.s")</f>
        <v>imagine s.a.s</v>
      </c>
      <c r="B2943" s="6" t="str">
        <f>IFERROR(__xludf.DUMMYFUNCTION("""COMPUTED_VALUE"""),"Colombia")</f>
        <v>Colombia</v>
      </c>
      <c r="C2943" s="6" t="str">
        <f>IFERROR(__xludf.DUMMYFUNCTION("""COMPUTED_VALUE"""),"Software Factory / Staffing")</f>
        <v>Software Factory / Staffing</v>
      </c>
    </row>
    <row r="2944">
      <c r="A2944" s="6" t="str">
        <f>IFERROR(__xludf.DUMMYFUNCTION("""COMPUTED_VALUE"""),"clínica bonnadona prevenir")</f>
        <v>clínica bonnadona prevenir</v>
      </c>
      <c r="B2944" s="4"/>
      <c r="C2944" s="6" t="str">
        <f>IFERROR(__xludf.DUMMYFUNCTION("""COMPUTED_VALUE"""),"Health")</f>
        <v>Health</v>
      </c>
    </row>
    <row r="2945">
      <c r="A2945" s="6" t="str">
        <f>IFERROR(__xludf.DUMMYFUNCTION("""COMPUTED_VALUE"""),"18 dev")</f>
        <v>18 dev</v>
      </c>
      <c r="B2945" s="4"/>
      <c r="C2945" s="4"/>
    </row>
    <row r="2946">
      <c r="A2946" s="6" t="str">
        <f>IFERROR(__xludf.DUMMYFUNCTION("""COMPUTED_VALUE"""),"intresco")</f>
        <v>intresco</v>
      </c>
      <c r="B2946" s="6" t="str">
        <f>IFERROR(__xludf.DUMMYFUNCTION("""COMPUTED_VALUE"""),"Colombia")</f>
        <v>Colombia</v>
      </c>
      <c r="C2946" s="6" t="str">
        <f>IFERROR(__xludf.DUMMYFUNCTION("""COMPUTED_VALUE"""),"Software Factory / Staffing")</f>
        <v>Software Factory / Staffing</v>
      </c>
    </row>
    <row r="2947">
      <c r="A2947" s="6" t="str">
        <f>IFERROR(__xludf.DUMMYFUNCTION("""COMPUTED_VALUE"""),"fundación desarrollo humano juan carlos marrugo vega")</f>
        <v>fundación desarrollo humano juan carlos marrugo vega</v>
      </c>
      <c r="B2947" s="4"/>
      <c r="C2947" s="4"/>
    </row>
    <row r="2948">
      <c r="A2948" s="6" t="str">
        <f>IFERROR(__xludf.DUMMYFUNCTION("""COMPUTED_VALUE"""),"jausme")</f>
        <v>jausme</v>
      </c>
      <c r="B2948" s="6" t="str">
        <f>IFERROR(__xludf.DUMMYFUNCTION("""COMPUTED_VALUE"""),"Colombia")</f>
        <v>Colombia</v>
      </c>
      <c r="C2948" s="6" t="str">
        <f>IFERROR(__xludf.DUMMYFUNCTION("""COMPUTED_VALUE"""),"Software Factory / Staffing")</f>
        <v>Software Factory / Staffing</v>
      </c>
    </row>
    <row r="2949">
      <c r="A2949" s="6" t="str">
        <f>IFERROR(__xludf.DUMMYFUNCTION("""COMPUTED_VALUE"""),"buendata")</f>
        <v>buendata</v>
      </c>
      <c r="B2949" s="4"/>
      <c r="C2949" s="4"/>
    </row>
    <row r="2950">
      <c r="A2950" s="6" t="str">
        <f>IFERROR(__xludf.DUMMYFUNCTION("""COMPUTED_VALUE"""),"neowyze")</f>
        <v>neowyze</v>
      </c>
      <c r="B2950" s="4"/>
      <c r="C2950" s="6" t="str">
        <f>IFERROR(__xludf.DUMMYFUNCTION("""COMPUTED_VALUE"""),"Software Factory / Staffing")</f>
        <v>Software Factory / Staffing</v>
      </c>
    </row>
    <row r="2951">
      <c r="A2951" s="6" t="str">
        <f>IFERROR(__xludf.DUMMYFUNCTION("""COMPUTED_VALUE"""),"municipalidad de salsipuedes")</f>
        <v>municipalidad de salsipuedes</v>
      </c>
      <c r="B2951" s="4"/>
      <c r="C2951" s="6" t="str">
        <f>IFERROR(__xludf.DUMMYFUNCTION("""COMPUTED_VALUE"""),"Public Center")</f>
        <v>Public Center</v>
      </c>
    </row>
    <row r="2952">
      <c r="A2952" s="6" t="str">
        <f>IFERROR(__xludf.DUMMYFUNCTION("""COMPUTED_VALUE"""),"persei vivarium")</f>
        <v>persei vivarium</v>
      </c>
      <c r="B2952" s="6" t="str">
        <f>IFERROR(__xludf.DUMMYFUNCTION("""COMPUTED_VALUE"""),"España")</f>
        <v>España</v>
      </c>
      <c r="C2952" s="6" t="str">
        <f>IFERROR(__xludf.DUMMYFUNCTION("""COMPUTED_VALUE"""),"Software Factory / Staffing")</f>
        <v>Software Factory / Staffing</v>
      </c>
    </row>
    <row r="2953">
      <c r="A2953" s="6" t="str">
        <f>IFERROR(__xludf.DUMMYFUNCTION("""COMPUTED_VALUE"""),"beyond sports")</f>
        <v>beyond sports</v>
      </c>
      <c r="B2953" s="6" t="str">
        <f>IFERROR(__xludf.DUMMYFUNCTION("""COMPUTED_VALUE"""),"Países Bajos")</f>
        <v>Países Bajos</v>
      </c>
      <c r="C2953" s="6" t="str">
        <f>IFERROR(__xludf.DUMMYFUNCTION("""COMPUTED_VALUE"""),"Media &amp; Communication")</f>
        <v>Media &amp; Communication</v>
      </c>
    </row>
    <row r="2954">
      <c r="A2954" s="6" t="str">
        <f>IFERROR(__xludf.DUMMYFUNCTION("""COMPUTED_VALUE"""),"clasyou")</f>
        <v>clasyou</v>
      </c>
      <c r="B2954" s="6" t="str">
        <f>IFERROR(__xludf.DUMMYFUNCTION("""COMPUTED_VALUE"""),"Estados Unidos")</f>
        <v>Estados Unidos</v>
      </c>
      <c r="C2954" s="6" t="str">
        <f>IFERROR(__xludf.DUMMYFUNCTION("""COMPUTED_VALUE"""),"Education &amp; Edtech")</f>
        <v>Education &amp; Edtech</v>
      </c>
    </row>
    <row r="2955">
      <c r="A2955" s="6" t="str">
        <f>IFERROR(__xludf.DUMMYFUNCTION("""COMPUTED_VALUE"""),"amber green")</f>
        <v>amber green</v>
      </c>
      <c r="B2955" s="4"/>
      <c r="C2955" s="6" t="str">
        <f>IFERROR(__xludf.DUMMYFUNCTION("""COMPUTED_VALUE"""),"Software Factory / Staffing")</f>
        <v>Software Factory / Staffing</v>
      </c>
    </row>
    <row r="2956">
      <c r="A2956" s="6" t="str">
        <f>IFERROR(__xludf.DUMMYFUNCTION("""COMPUTED_VALUE"""),"critical software")</f>
        <v>critical software</v>
      </c>
      <c r="B2956" s="4"/>
      <c r="C2956" s="6" t="str">
        <f>IFERROR(__xludf.DUMMYFUNCTION("""COMPUTED_VALUE"""),"Software Factory / Staffing")</f>
        <v>Software Factory / Staffing</v>
      </c>
    </row>
    <row r="2957">
      <c r="A2957" s="6" t="str">
        <f>IFERROR(__xludf.DUMMYFUNCTION("""COMPUTED_VALUE"""),"colegio magistrados")</f>
        <v>colegio magistrados</v>
      </c>
      <c r="B2957" s="6" t="str">
        <f>IFERROR(__xludf.DUMMYFUNCTION("""COMPUTED_VALUE"""),"Argentina")</f>
        <v>Argentina</v>
      </c>
      <c r="C2957" s="6" t="str">
        <f>IFERROR(__xludf.DUMMYFUNCTION("""COMPUTED_VALUE"""),"Other")</f>
        <v>Other</v>
      </c>
    </row>
    <row r="2958">
      <c r="A2958" s="6" t="str">
        <f>IFERROR(__xludf.DUMMYFUNCTION("""COMPUTED_VALUE"""),"sib 2000")</f>
        <v>sib 2000</v>
      </c>
      <c r="B2958" s="4"/>
      <c r="C2958" s="4"/>
    </row>
    <row r="2959">
      <c r="A2959" s="6" t="str">
        <f>IFERROR(__xludf.DUMMYFUNCTION("""COMPUTED_VALUE"""),"bistrosoft")</f>
        <v>bistrosoft</v>
      </c>
      <c r="B2959" s="4"/>
      <c r="C2959" s="4"/>
    </row>
    <row r="2960">
      <c r="A2960" s="6" t="str">
        <f>IFERROR(__xludf.DUMMYFUNCTION("""COMPUTED_VALUE"""),"digital value")</f>
        <v>digital value</v>
      </c>
      <c r="B2960" s="6" t="str">
        <f>IFERROR(__xludf.DUMMYFUNCTION("""COMPUTED_VALUE"""),"España")</f>
        <v>España</v>
      </c>
      <c r="C2960" s="6" t="str">
        <f>IFERROR(__xludf.DUMMYFUNCTION("""COMPUTED_VALUE"""),"Software Factory / Staffing")</f>
        <v>Software Factory / Staffing</v>
      </c>
    </row>
    <row r="2961">
      <c r="A2961" s="6" t="str">
        <f>IFERROR(__xludf.DUMMYFUNCTION("""COMPUTED_VALUE"""),"rythm")</f>
        <v>rythm</v>
      </c>
      <c r="B2961" s="4"/>
      <c r="C2961" s="6" t="str">
        <f>IFERROR(__xludf.DUMMYFUNCTION("""COMPUTED_VALUE"""),"Health")</f>
        <v>Health</v>
      </c>
    </row>
    <row r="2962">
      <c r="A2962" s="6" t="str">
        <f>IFERROR(__xludf.DUMMYFUNCTION("""COMPUTED_VALUE"""),"stratton nea s.a:")</f>
        <v>stratton nea s.a:</v>
      </c>
      <c r="B2962" s="4"/>
      <c r="C2962" s="4"/>
    </row>
    <row r="2963">
      <c r="A2963" s="6" t="str">
        <f>IFERROR(__xludf.DUMMYFUNCTION("""COMPUTED_VALUE"""),"bimbo")</f>
        <v>bimbo</v>
      </c>
      <c r="B2963" s="4"/>
      <c r="C2963" s="4"/>
    </row>
    <row r="2964">
      <c r="A2964" s="6" t="str">
        <f>IFERROR(__xludf.DUMMYFUNCTION("""COMPUTED_VALUE"""),"argenprom srl")</f>
        <v>argenprom srl</v>
      </c>
      <c r="B2964" s="4"/>
      <c r="C2964" s="4"/>
    </row>
    <row r="2965">
      <c r="A2965" s="6" t="str">
        <f>IFERROR(__xludf.DUMMYFUNCTION("""COMPUTED_VALUE"""),"farmafe")</f>
        <v>farmafe</v>
      </c>
      <c r="B2965" s="6" t="str">
        <f>IFERROR(__xludf.DUMMYFUNCTION("""COMPUTED_VALUE"""),"Argentina")</f>
        <v>Argentina</v>
      </c>
      <c r="C2965" s="6" t="str">
        <f>IFERROR(__xludf.DUMMYFUNCTION("""COMPUTED_VALUE"""),"Health")</f>
        <v>Health</v>
      </c>
    </row>
    <row r="2966">
      <c r="A2966" s="6" t="str">
        <f>IFERROR(__xludf.DUMMYFUNCTION("""COMPUTED_VALUE"""),"polyworks mexico")</f>
        <v>polyworks mexico</v>
      </c>
      <c r="B2966" s="6" t="str">
        <f>IFERROR(__xludf.DUMMYFUNCTION("""COMPUTED_VALUE"""),"Chile")</f>
        <v>Chile</v>
      </c>
      <c r="C2966" s="6" t="str">
        <f>IFERROR(__xludf.DUMMYFUNCTION("""COMPUTED_VALUE"""),"Software Factory / Staffing")</f>
        <v>Software Factory / Staffing</v>
      </c>
    </row>
    <row r="2967">
      <c r="A2967" s="6" t="str">
        <f>IFERROR(__xludf.DUMMYFUNCTION("""COMPUTED_VALUE"""),"mo&amp;pc")</f>
        <v>mo&amp;pc</v>
      </c>
      <c r="B2967" s="6" t="str">
        <f>IFERROR(__xludf.DUMMYFUNCTION("""COMPUTED_VALUE"""),"Estados Unidos")</f>
        <v>Estados Unidos</v>
      </c>
      <c r="C2967" s="6" t="str">
        <f>IFERROR(__xludf.DUMMYFUNCTION("""COMPUTED_VALUE"""),"FMCG / Consumo masivo")</f>
        <v>FMCG / Consumo masivo</v>
      </c>
    </row>
    <row r="2968">
      <c r="A2968" s="6" t="str">
        <f>IFERROR(__xludf.DUMMYFUNCTION("""COMPUTED_VALUE"""),"el foco del genio")</f>
        <v>el foco del genio</v>
      </c>
      <c r="B2968" s="4"/>
      <c r="C2968" s="4"/>
    </row>
    <row r="2969">
      <c r="A2969" s="6" t="str">
        <f>IFERROR(__xludf.DUMMYFUNCTION("""COMPUTED_VALUE"""),"andromeda")</f>
        <v>andromeda</v>
      </c>
      <c r="B2969" s="6" t="str">
        <f>IFERROR(__xludf.DUMMYFUNCTION("""COMPUTED_VALUE"""),"India")</f>
        <v>India</v>
      </c>
      <c r="C2969" s="6" t="str">
        <f>IFERROR(__xludf.DUMMYFUNCTION("""COMPUTED_VALUE"""),"Banking &amp; Financial Servicies")</f>
        <v>Banking &amp; Financial Servicies</v>
      </c>
    </row>
    <row r="2970">
      <c r="A2970" s="6" t="str">
        <f>IFERROR(__xludf.DUMMYFUNCTION("""COMPUTED_VALUE"""),"a-sistemas")</f>
        <v>a-sistemas</v>
      </c>
      <c r="B2970" s="6" t="str">
        <f>IFERROR(__xludf.DUMMYFUNCTION("""COMPUTED_VALUE"""),"España")</f>
        <v>España</v>
      </c>
      <c r="C2970" s="6" t="str">
        <f>IFERROR(__xludf.DUMMYFUNCTION("""COMPUTED_VALUE"""),"Logistics")</f>
        <v>Logistics</v>
      </c>
    </row>
    <row r="2971">
      <c r="A2971" s="6" t="str">
        <f>IFERROR(__xludf.DUMMYFUNCTION("""COMPUTED_VALUE"""),"facultad de ciecias medicas")</f>
        <v>facultad de ciecias medicas</v>
      </c>
      <c r="B2971" s="4"/>
      <c r="C2971" s="4"/>
    </row>
    <row r="2972">
      <c r="A2972" s="6" t="str">
        <f>IFERROR(__xludf.DUMMYFUNCTION("""COMPUTED_VALUE"""),"credix")</f>
        <v>credix</v>
      </c>
      <c r="B2972" s="6" t="str">
        <f>IFERROR(__xludf.DUMMYFUNCTION("""COMPUTED_VALUE"""),"Costa Rica")</f>
        <v>Costa Rica</v>
      </c>
      <c r="C2972" s="6" t="str">
        <f>IFERROR(__xludf.DUMMYFUNCTION("""COMPUTED_VALUE"""),"Banking &amp; Financial Servicies")</f>
        <v>Banking &amp; Financial Servicies</v>
      </c>
    </row>
    <row r="2973">
      <c r="A2973" s="6" t="str">
        <f>IFERROR(__xludf.DUMMYFUNCTION("""COMPUTED_VALUE"""),"tres grupo creativo")</f>
        <v>tres grupo creativo</v>
      </c>
      <c r="B2973" s="6" t="str">
        <f>IFERROR(__xludf.DUMMYFUNCTION("""COMPUTED_VALUE"""),"Colombia")</f>
        <v>Colombia</v>
      </c>
      <c r="C2973" s="6" t="str">
        <f>IFERROR(__xludf.DUMMYFUNCTION("""COMPUTED_VALUE"""),"Media &amp; Communication")</f>
        <v>Media &amp; Communication</v>
      </c>
    </row>
    <row r="2974">
      <c r="A2974" s="6" t="str">
        <f>IFERROR(__xludf.DUMMYFUNCTION("""COMPUTED_VALUE"""),"access informatica")</f>
        <v>access informatica</v>
      </c>
      <c r="B2974" s="6" t="str">
        <f>IFERROR(__xludf.DUMMYFUNCTION("""COMPUTED_VALUE"""),"Argentina")</f>
        <v>Argentina</v>
      </c>
      <c r="C2974" s="6" t="str">
        <f>IFERROR(__xludf.DUMMYFUNCTION("""COMPUTED_VALUE"""),"Management Consulting")</f>
        <v>Management Consulting</v>
      </c>
    </row>
    <row r="2975">
      <c r="A2975" s="6" t="str">
        <f>IFERROR(__xludf.DUMMYFUNCTION("""COMPUTED_VALUE"""),"sdise sac")</f>
        <v>sdise sac</v>
      </c>
      <c r="B2975" s="6" t="str">
        <f>IFERROR(__xludf.DUMMYFUNCTION("""COMPUTED_VALUE"""),"Perú")</f>
        <v>Perú</v>
      </c>
      <c r="C2975" s="6" t="str">
        <f>IFERROR(__xludf.DUMMYFUNCTION("""COMPUTED_VALUE"""),"Software Factory / Staffing")</f>
        <v>Software Factory / Staffing</v>
      </c>
    </row>
    <row r="2976">
      <c r="A2976" s="6" t="str">
        <f>IFERROR(__xludf.DUMMYFUNCTION("""COMPUTED_VALUE"""),"fluxus sac")</f>
        <v>fluxus sac</v>
      </c>
      <c r="B2976" s="4"/>
      <c r="C2976" s="4"/>
    </row>
    <row r="2977">
      <c r="A2977" s="6" t="str">
        <f>IFERROR(__xludf.DUMMYFUNCTION("""COMPUTED_VALUE"""),"grupo mok")</f>
        <v>grupo mok</v>
      </c>
      <c r="B2977" s="4"/>
      <c r="C2977" s="6" t="str">
        <f>IFERROR(__xludf.DUMMYFUNCTION("""COMPUTED_VALUE"""),"Other")</f>
        <v>Other</v>
      </c>
    </row>
    <row r="2978">
      <c r="A2978" s="6" t="str">
        <f>IFERROR(__xludf.DUMMYFUNCTION("""COMPUTED_VALUE"""),"keola")</f>
        <v>keola</v>
      </c>
      <c r="B2978" s="4"/>
      <c r="C2978" s="6" t="str">
        <f>IFERROR(__xludf.DUMMYFUNCTION("""COMPUTED_VALUE"""),"Software Factory / Staffing")</f>
        <v>Software Factory / Staffing</v>
      </c>
    </row>
    <row r="2979">
      <c r="A2979" s="6" t="str">
        <f>IFERROR(__xludf.DUMMYFUNCTION("""COMPUTED_VALUE"""),"enfoque 7")</f>
        <v>enfoque 7</v>
      </c>
      <c r="B2979" s="4"/>
      <c r="C2979" s="6" t="str">
        <f>IFERROR(__xludf.DUMMYFUNCTION("""COMPUTED_VALUE"""),"Software Factory / Staffing")</f>
        <v>Software Factory / Staffing</v>
      </c>
    </row>
    <row r="2980">
      <c r="A2980" s="6" t="str">
        <f>IFERROR(__xludf.DUMMYFUNCTION("""COMPUTED_VALUE"""),"crack the code s.a.c")</f>
        <v>crack the code s.a.c</v>
      </c>
      <c r="B2980" s="4"/>
      <c r="C2980" s="4"/>
    </row>
    <row r="2981">
      <c r="A2981" s="6" t="str">
        <f>IFERROR(__xludf.DUMMYFUNCTION("""COMPUTED_VALUE"""),"sof.ia")</f>
        <v>sof.ia</v>
      </c>
      <c r="B2981" s="4"/>
      <c r="C2981" s="6" t="str">
        <f>IFERROR(__xludf.DUMMYFUNCTION("""COMPUTED_VALUE"""),"Software Factory / Staffing")</f>
        <v>Software Factory / Staffing</v>
      </c>
    </row>
    <row r="2982">
      <c r="A2982" s="6" t="str">
        <f>IFERROR(__xludf.DUMMYFUNCTION("""COMPUTED_VALUE"""),"anfler solutions srl")</f>
        <v>anfler solutions srl</v>
      </c>
      <c r="B2982" s="4"/>
      <c r="C2982" s="4"/>
    </row>
    <row r="2983">
      <c r="A2983" s="6" t="str">
        <f>IFERROR(__xludf.DUMMYFUNCTION("""COMPUTED_VALUE"""),"sg systems paraguay e.a.s")</f>
        <v>sg systems paraguay e.a.s</v>
      </c>
      <c r="B2983" s="4"/>
      <c r="C2983" s="4"/>
    </row>
    <row r="2984">
      <c r="A2984" s="6" t="str">
        <f>IFERROR(__xludf.DUMMYFUNCTION("""COMPUTED_VALUE"""),"kairox")</f>
        <v>kairox</v>
      </c>
      <c r="B2984" s="6" t="str">
        <f>IFERROR(__xludf.DUMMYFUNCTION("""COMPUTED_VALUE"""),"España")</f>
        <v>España</v>
      </c>
      <c r="C2984" s="6" t="str">
        <f>IFERROR(__xludf.DUMMYFUNCTION("""COMPUTED_VALUE"""),"Software Factory / Staffing")</f>
        <v>Software Factory / Staffing</v>
      </c>
    </row>
    <row r="2985">
      <c r="A2985" s="6" t="str">
        <f>IFERROR(__xludf.DUMMYFUNCTION("""COMPUTED_VALUE"""),"gravitad")</f>
        <v>gravitad</v>
      </c>
      <c r="B2985" s="4"/>
      <c r="C2985" s="6" t="str">
        <f>IFERROR(__xludf.DUMMYFUNCTION("""COMPUTED_VALUE"""),"Management Consulting")</f>
        <v>Management Consulting</v>
      </c>
    </row>
    <row r="2986">
      <c r="A2986" s="6" t="str">
        <f>IFERROR(__xludf.DUMMYFUNCTION("""COMPUTED_VALUE"""),"koi")</f>
        <v>koi</v>
      </c>
      <c r="B2986" s="4"/>
      <c r="C2986" s="6" t="str">
        <f>IFERROR(__xludf.DUMMYFUNCTION("""COMPUTED_VALUE"""),"Gaming")</f>
        <v>Gaming</v>
      </c>
    </row>
    <row r="2987">
      <c r="A2987" s="6" t="str">
        <f>IFERROR(__xludf.DUMMYFUNCTION("""COMPUTED_VALUE"""),"stratton nea s.a")</f>
        <v>stratton nea s.a</v>
      </c>
      <c r="B2987" s="4"/>
      <c r="C2987" s="4"/>
    </row>
    <row r="2988">
      <c r="A2988" s="6" t="str">
        <f>IFERROR(__xludf.DUMMYFUNCTION("""COMPUTED_VALUE"""),"coding giants")</f>
        <v>coding giants</v>
      </c>
      <c r="B2988" s="4"/>
      <c r="C2988" s="6" t="str">
        <f>IFERROR(__xludf.DUMMYFUNCTION("""COMPUTED_VALUE"""),"Education &amp; Edtech")</f>
        <v>Education &amp; Edtech</v>
      </c>
    </row>
    <row r="2989">
      <c r="A2989" s="6" t="str">
        <f>IFERROR(__xludf.DUMMYFUNCTION("""COMPUTED_VALUE"""),"grow up")</f>
        <v>grow up</v>
      </c>
      <c r="B2989" s="6" t="str">
        <f>IFERROR(__xludf.DUMMYFUNCTION("""COMPUTED_VALUE"""),"India")</f>
        <v>India</v>
      </c>
      <c r="C2989" s="6" t="str">
        <f>IFERROR(__xludf.DUMMYFUNCTION("""COMPUTED_VALUE"""),"Human Resources")</f>
        <v>Human Resources</v>
      </c>
    </row>
    <row r="2990">
      <c r="A2990" s="6" t="str">
        <f>IFERROR(__xludf.DUMMYFUNCTION("""COMPUTED_VALUE"""),"international research institute of north carolina")</f>
        <v>international research institute of north carolina</v>
      </c>
      <c r="B2990" s="6" t="str">
        <f>IFERROR(__xludf.DUMMYFUNCTION("""COMPUTED_VALUE"""),"Estados Unidos")</f>
        <v>Estados Unidos</v>
      </c>
      <c r="C2990" s="6" t="str">
        <f>IFERROR(__xludf.DUMMYFUNCTION("""COMPUTED_VALUE"""),"Education &amp; Edtech")</f>
        <v>Education &amp; Edtech</v>
      </c>
    </row>
    <row r="2991">
      <c r="A2991" s="6" t="str">
        <f>IFERROR(__xludf.DUMMYFUNCTION("""COMPUTED_VALUE"""),"tolstoy")</f>
        <v>tolstoy</v>
      </c>
      <c r="B2991" s="6" t="str">
        <f>IFERROR(__xludf.DUMMYFUNCTION("""COMPUTED_VALUE"""),"Estados Unidos")</f>
        <v>Estados Unidos</v>
      </c>
      <c r="C2991" s="6" t="str">
        <f>IFERROR(__xludf.DUMMYFUNCTION("""COMPUTED_VALUE"""),"Software Factory / Staffing")</f>
        <v>Software Factory / Staffing</v>
      </c>
    </row>
    <row r="2992">
      <c r="A2992" s="6" t="str">
        <f>IFERROR(__xludf.DUMMYFUNCTION("""COMPUTED_VALUE"""),"jasper blockchain")</f>
        <v>jasper blockchain</v>
      </c>
      <c r="B2992" s="6" t="str">
        <f>IFERROR(__xludf.DUMMYFUNCTION("""COMPUTED_VALUE"""),"Argentina")</f>
        <v>Argentina</v>
      </c>
      <c r="C2992" s="6" t="str">
        <f>IFERROR(__xludf.DUMMYFUNCTION("""COMPUTED_VALUE"""),"Software Factory / Staffing")</f>
        <v>Software Factory / Staffing</v>
      </c>
    </row>
    <row r="2993">
      <c r="A2993" s="6" t="str">
        <f>IFERROR(__xludf.DUMMYFUNCTION("""COMPUTED_VALUE"""),"datawise")</f>
        <v>datawise</v>
      </c>
      <c r="B2993" s="4"/>
      <c r="C2993" s="4"/>
    </row>
    <row r="2994">
      <c r="A2994" s="6" t="str">
        <f>IFERROR(__xludf.DUMMYFUNCTION("""COMPUTED_VALUE"""),"prospect ratings")</f>
        <v>prospect ratings</v>
      </c>
      <c r="B2994" s="6" t="str">
        <f>IFERROR(__xludf.DUMMYFUNCTION("""COMPUTED_VALUE"""),"Estados Unidos")</f>
        <v>Estados Unidos</v>
      </c>
      <c r="C2994" s="6" t="str">
        <f>IFERROR(__xludf.DUMMYFUNCTION("""COMPUTED_VALUE"""),"Other")</f>
        <v>Other</v>
      </c>
    </row>
    <row r="2995">
      <c r="A2995" s="6" t="str">
        <f>IFERROR(__xludf.DUMMYFUNCTION("""COMPUTED_VALUE"""),"corredores viales")</f>
        <v>corredores viales</v>
      </c>
      <c r="B2995" s="6" t="str">
        <f>IFERROR(__xludf.DUMMYFUNCTION("""COMPUTED_VALUE"""),"Argentina")</f>
        <v>Argentina</v>
      </c>
      <c r="C2995" s="6" t="str">
        <f>IFERROR(__xludf.DUMMYFUNCTION("""COMPUTED_VALUE"""),"Public Center")</f>
        <v>Public Center</v>
      </c>
    </row>
    <row r="2996">
      <c r="A2996" s="6" t="str">
        <f>IFERROR(__xludf.DUMMYFUNCTION("""COMPUTED_VALUE"""),"arkho")</f>
        <v>arkho</v>
      </c>
      <c r="B2996" s="6" t="str">
        <f>IFERROR(__xludf.DUMMYFUNCTION("""COMPUTED_VALUE"""),"Chile")</f>
        <v>Chile</v>
      </c>
      <c r="C2996" s="6" t="str">
        <f>IFERROR(__xludf.DUMMYFUNCTION("""COMPUTED_VALUE"""),"Software Factory / Staffing")</f>
        <v>Software Factory / Staffing</v>
      </c>
    </row>
    <row r="2997">
      <c r="A2997" s="6" t="str">
        <f>IFERROR(__xludf.DUMMYFUNCTION("""COMPUTED_VALUE"""),"kaba law group")</f>
        <v>kaba law group</v>
      </c>
      <c r="B2997" s="6" t="str">
        <f>IFERROR(__xludf.DUMMYFUNCTION("""COMPUTED_VALUE"""),"Estados Unidos")</f>
        <v>Estados Unidos</v>
      </c>
      <c r="C2997" s="6" t="str">
        <f>IFERROR(__xludf.DUMMYFUNCTION("""COMPUTED_VALUE"""),"Law/Legal Services")</f>
        <v>Law/Legal Services</v>
      </c>
    </row>
    <row r="2998">
      <c r="A2998" s="6" t="str">
        <f>IFERROR(__xludf.DUMMYFUNCTION("""COMPUTED_VALUE"""),"danone")</f>
        <v>danone</v>
      </c>
      <c r="B2998" s="4"/>
      <c r="C2998" s="6" t="str">
        <f>IFERROR(__xludf.DUMMYFUNCTION("""COMPUTED_VALUE"""),"FMCG / Consumo masivo")</f>
        <v>FMCG / Consumo masivo</v>
      </c>
    </row>
    <row r="2999">
      <c r="A2999" s="6" t="str">
        <f>IFERROR(__xludf.DUMMYFUNCTION("""COMPUTED_VALUE"""),"eseral")</f>
        <v>eseral</v>
      </c>
      <c r="B2999" s="4"/>
      <c r="C2999" s="6" t="str">
        <f>IFERROR(__xludf.DUMMYFUNCTION("""COMPUTED_VALUE"""),"Mechanical/Industrial Engineering")</f>
        <v>Mechanical/Industrial Engineering</v>
      </c>
    </row>
    <row r="3000">
      <c r="A3000" s="6" t="str">
        <f>IFERROR(__xludf.DUMMYFUNCTION("""COMPUTED_VALUE"""),"zenrise studio")</f>
        <v>zenrise studio</v>
      </c>
      <c r="B3000" s="4"/>
      <c r="C3000" s="6" t="str">
        <f>IFERROR(__xludf.DUMMYFUNCTION("""COMPUTED_VALUE"""),"Marketing &amp; Advertising")</f>
        <v>Marketing &amp; Advertising</v>
      </c>
    </row>
    <row r="3001">
      <c r="A3001" s="6" t="str">
        <f>IFERROR(__xludf.DUMMYFUNCTION("""COMPUTED_VALUE"""),"servicios urbanos s.a")</f>
        <v>servicios urbanos s.a</v>
      </c>
      <c r="B3001" s="6" t="str">
        <f>IFERROR(__xludf.DUMMYFUNCTION("""COMPUTED_VALUE"""),"Argentina")</f>
        <v>Argentina</v>
      </c>
      <c r="C3001" s="6" t="str">
        <f>IFERROR(__xludf.DUMMYFUNCTION("""COMPUTED_VALUE"""),"Software Factory / Staffing")</f>
        <v>Software Factory / Staffing</v>
      </c>
    </row>
    <row r="3002">
      <c r="A3002" s="6" t="str">
        <f>IFERROR(__xludf.DUMMYFUNCTION("""COMPUTED_VALUE"""),"rebel fund")</f>
        <v>rebel fund</v>
      </c>
      <c r="B3002" s="4"/>
      <c r="C3002" s="6" t="str">
        <f>IFERROR(__xludf.DUMMYFUNCTION("""COMPUTED_VALUE"""),"Banking &amp; Financial Servicies")</f>
        <v>Banking &amp; Financial Servicies</v>
      </c>
    </row>
    <row r="3003">
      <c r="A3003" s="6" t="str">
        <f>IFERROR(__xludf.DUMMYFUNCTION("""COMPUTED_VALUE"""),"rockingdata")</f>
        <v>rockingdata</v>
      </c>
      <c r="B3003" s="4"/>
      <c r="C3003" s="4"/>
    </row>
    <row r="3004">
      <c r="A3004" s="6" t="str">
        <f>IFERROR(__xludf.DUMMYFUNCTION("""COMPUTED_VALUE"""),"enrique r. zeni y cia saciafei")</f>
        <v>enrique r. zeni y cia saciafei</v>
      </c>
      <c r="B3004" s="4"/>
      <c r="C3004" s="6" t="str">
        <f>IFERROR(__xludf.DUMMYFUNCTION("""COMPUTED_VALUE"""),"Agtech / Agro")</f>
        <v>Agtech / Agro</v>
      </c>
    </row>
    <row r="3005">
      <c r="A3005" s="6" t="str">
        <f>IFERROR(__xludf.DUMMYFUNCTION("""COMPUTED_VALUE"""),"smart ecosystem, inc.")</f>
        <v>smart ecosystem, inc.</v>
      </c>
      <c r="B3005" s="4"/>
      <c r="C3005" s="4"/>
    </row>
    <row r="3006">
      <c r="A3006" s="6" t="str">
        <f>IFERROR(__xludf.DUMMYFUNCTION("""COMPUTED_VALUE"""),"repartosya")</f>
        <v>repartosya</v>
      </c>
      <c r="B3006" s="4"/>
      <c r="C3006" s="4"/>
    </row>
    <row r="3007">
      <c r="A3007" s="6" t="str">
        <f>IFERROR(__xludf.DUMMYFUNCTION("""COMPUTED_VALUE"""),"bigger")</f>
        <v>bigger</v>
      </c>
      <c r="B3007" s="6" t="str">
        <f>IFERROR(__xludf.DUMMYFUNCTION("""COMPUTED_VALUE"""),"Turquía")</f>
        <v>Turquía</v>
      </c>
      <c r="C3007" s="6" t="str">
        <f>IFERROR(__xludf.DUMMYFUNCTION("""COMPUTED_VALUE"""),"Gaming")</f>
        <v>Gaming</v>
      </c>
    </row>
    <row r="3008">
      <c r="A3008" s="6" t="str">
        <f>IFERROR(__xludf.DUMMYFUNCTION("""COMPUTED_VALUE"""),"lpa consulting")</f>
        <v>lpa consulting</v>
      </c>
      <c r="B3008" s="6" t="str">
        <f>IFERROR(__xludf.DUMMYFUNCTION("""COMPUTED_VALUE"""),"Argentina")</f>
        <v>Argentina</v>
      </c>
      <c r="C3008" s="6" t="str">
        <f>IFERROR(__xludf.DUMMYFUNCTION("""COMPUTED_VALUE"""),"Human Resources")</f>
        <v>Human Resources</v>
      </c>
    </row>
    <row r="3009">
      <c r="A3009" s="6" t="str">
        <f>IFERROR(__xludf.DUMMYFUNCTION("""COMPUTED_VALUE"""),"accion point")</f>
        <v>accion point</v>
      </c>
      <c r="B3009" s="4"/>
      <c r="C3009" s="4"/>
    </row>
    <row r="3010">
      <c r="A3010" s="7" t="str">
        <f>IFERROR(__xludf.DUMMYFUNCTION("""COMPUTED_VALUE"""),"apprende.cl")</f>
        <v>apprende.cl</v>
      </c>
      <c r="B3010" s="4"/>
      <c r="C3010" s="4"/>
    </row>
    <row r="3011">
      <c r="A3011" s="6" t="str">
        <f>IFERROR(__xludf.DUMMYFUNCTION("""COMPUTED_VALUE"""),"app academy")</f>
        <v>app academy</v>
      </c>
      <c r="B3011" s="6" t="str">
        <f>IFERROR(__xludf.DUMMYFUNCTION("""COMPUTED_VALUE"""),"Estados Unidos")</f>
        <v>Estados Unidos</v>
      </c>
      <c r="C3011" s="6" t="str">
        <f>IFERROR(__xludf.DUMMYFUNCTION("""COMPUTED_VALUE"""),"Software Factory / Staffing")</f>
        <v>Software Factory / Staffing</v>
      </c>
    </row>
    <row r="3012">
      <c r="A3012" s="6" t="str">
        <f>IFERROR(__xludf.DUMMYFUNCTION("""COMPUTED_VALUE"""),"grupo consiti")</f>
        <v>grupo consiti</v>
      </c>
      <c r="B3012" s="6" t="str">
        <f>IFERROR(__xludf.DUMMYFUNCTION("""COMPUTED_VALUE"""),"El Salvador")</f>
        <v>El Salvador</v>
      </c>
      <c r="C3012" s="6" t="str">
        <f>IFERROR(__xludf.DUMMYFUNCTION("""COMPUTED_VALUE"""),"Software Factory / Staffing")</f>
        <v>Software Factory / Staffing</v>
      </c>
    </row>
    <row r="3013">
      <c r="A3013" s="6" t="str">
        <f>IFERROR(__xludf.DUMMYFUNCTION("""COMPUTED_VALUE"""),"numen academia")</f>
        <v>numen academia</v>
      </c>
      <c r="B3013" s="6" t="str">
        <f>IFERROR(__xludf.DUMMYFUNCTION("""COMPUTED_VALUE"""),"Argentina")</f>
        <v>Argentina</v>
      </c>
      <c r="C3013" s="6" t="str">
        <f>IFERROR(__xludf.DUMMYFUNCTION("""COMPUTED_VALUE"""),"Education &amp; Edtech")</f>
        <v>Education &amp; Edtech</v>
      </c>
    </row>
    <row r="3014">
      <c r="A3014" s="6" t="str">
        <f>IFERROR(__xludf.DUMMYFUNCTION("""COMPUTED_VALUE"""),"jphlions")</f>
        <v>jphlions</v>
      </c>
      <c r="B3014" s="4"/>
      <c r="C3014" s="4"/>
    </row>
    <row r="3015">
      <c r="A3015" s="6" t="str">
        <f>IFERROR(__xludf.DUMMYFUNCTION("""COMPUTED_VALUE"""),"quiroga law office")</f>
        <v>quiroga law office</v>
      </c>
      <c r="B3015" s="6" t="str">
        <f>IFERROR(__xludf.DUMMYFUNCTION("""COMPUTED_VALUE"""),"Estados Unidos")</f>
        <v>Estados Unidos</v>
      </c>
      <c r="C3015" s="6" t="str">
        <f>IFERROR(__xludf.DUMMYFUNCTION("""COMPUTED_VALUE"""),"Law/Legal Services")</f>
        <v>Law/Legal Services</v>
      </c>
    </row>
    <row r="3016">
      <c r="A3016" s="6" t="str">
        <f>IFERROR(__xludf.DUMMYFUNCTION("""COMPUTED_VALUE"""),"rotounderworld")</f>
        <v>rotounderworld</v>
      </c>
      <c r="B3016" s="4"/>
      <c r="C3016" s="4"/>
    </row>
    <row r="3017">
      <c r="A3017" s="6" t="str">
        <f>IFERROR(__xludf.DUMMYFUNCTION("""COMPUTED_VALUE"""),"min. de educacion")</f>
        <v>min. de educacion</v>
      </c>
      <c r="B3017" s="4"/>
      <c r="C3017" s="4"/>
    </row>
    <row r="3018">
      <c r="A3018" s="6" t="str">
        <f>IFERROR(__xludf.DUMMYFUNCTION("""COMPUTED_VALUE"""),"eiche")</f>
        <v>eiche</v>
      </c>
      <c r="B3018" s="6" t="str">
        <f>IFERROR(__xludf.DUMMYFUNCTION("""COMPUTED_VALUE"""),"Estados Unidos")</f>
        <v>Estados Unidos</v>
      </c>
      <c r="C3018" s="6" t="str">
        <f>IFERROR(__xludf.DUMMYFUNCTION("""COMPUTED_VALUE"""),"Energy")</f>
        <v>Energy</v>
      </c>
    </row>
    <row r="3019">
      <c r="A3019" s="6" t="str">
        <f>IFERROR(__xludf.DUMMYFUNCTION("""COMPUTED_VALUE"""),"fractalia")</f>
        <v>fractalia</v>
      </c>
      <c r="B3019" s="6" t="str">
        <f>IFERROR(__xludf.DUMMYFUNCTION("""COMPUTED_VALUE"""),"España")</f>
        <v>España</v>
      </c>
      <c r="C3019" s="6" t="str">
        <f>IFERROR(__xludf.DUMMYFUNCTION("""COMPUTED_VALUE"""),"Messaging and Telecommunications")</f>
        <v>Messaging and Telecommunications</v>
      </c>
    </row>
    <row r="3020">
      <c r="A3020" s="6" t="str">
        <f>IFERROR(__xludf.DUMMYFUNCTION("""COMPUTED_VALUE"""),"zylalabs")</f>
        <v>zylalabs</v>
      </c>
      <c r="B3020" s="4"/>
      <c r="C3020" s="4"/>
    </row>
    <row r="3021">
      <c r="A3021" s="6" t="str">
        <f>IFERROR(__xludf.DUMMYFUNCTION("""COMPUTED_VALUE"""),"citytech s.a.")</f>
        <v>citytech s.a.</v>
      </c>
      <c r="B3021" s="4"/>
      <c r="C3021" s="6" t="str">
        <f>IFERROR(__xludf.DUMMYFUNCTION("""COMPUTED_VALUE"""),"Other")</f>
        <v>Other</v>
      </c>
    </row>
    <row r="3022">
      <c r="A3022" s="6" t="str">
        <f>IFERROR(__xludf.DUMMYFUNCTION("""COMPUTED_VALUE"""),"replypro")</f>
        <v>replypro</v>
      </c>
      <c r="B3022" s="4"/>
      <c r="C3022" s="6" t="str">
        <f>IFERROR(__xludf.DUMMYFUNCTION("""COMPUTED_VALUE"""),"Software Factory / Staffing")</f>
        <v>Software Factory / Staffing</v>
      </c>
    </row>
    <row r="3023">
      <c r="A3023" s="6" t="str">
        <f>IFERROR(__xludf.DUMMYFUNCTION("""COMPUTED_VALUE"""),"syk sa")</f>
        <v>syk sa</v>
      </c>
      <c r="B3023" s="6" t="str">
        <f>IFERROR(__xludf.DUMMYFUNCTION("""COMPUTED_VALUE"""),"India")</f>
        <v>India</v>
      </c>
      <c r="C3023" s="6" t="str">
        <f>IFERROR(__xludf.DUMMYFUNCTION("""COMPUTED_VALUE"""),"Software Factory / Staffing")</f>
        <v>Software Factory / Staffing</v>
      </c>
    </row>
    <row r="3024">
      <c r="A3024" s="6" t="str">
        <f>IFERROR(__xludf.DUMMYFUNCTION("""COMPUTED_VALUE"""),"citibanamex")</f>
        <v>citibanamex</v>
      </c>
      <c r="B3024" s="4"/>
      <c r="C3024" s="4"/>
    </row>
    <row r="3025">
      <c r="A3025" s="6" t="str">
        <f>IFERROR(__xludf.DUMMYFUNCTION("""COMPUTED_VALUE"""),"amdromeda")</f>
        <v>amdromeda</v>
      </c>
      <c r="B3025" s="6" t="str">
        <f>IFERROR(__xludf.DUMMYFUNCTION("""COMPUTED_VALUE"""),"India")</f>
        <v>India</v>
      </c>
      <c r="C3025" s="6" t="str">
        <f>IFERROR(__xludf.DUMMYFUNCTION("""COMPUTED_VALUE"""),"Other")</f>
        <v>Other</v>
      </c>
    </row>
    <row r="3026">
      <c r="A3026" s="6" t="str">
        <f>IFERROR(__xludf.DUMMYFUNCTION("""COMPUTED_VALUE"""),"esencia.app")</f>
        <v>esencia.app</v>
      </c>
      <c r="B3026" s="4"/>
      <c r="C3026" s="6" t="str">
        <f>IFERROR(__xludf.DUMMYFUNCTION("""COMPUTED_VALUE"""),"Software Factory / Staffing")</f>
        <v>Software Factory / Staffing</v>
      </c>
    </row>
    <row r="3027">
      <c r="A3027" s="6" t="str">
        <f>IFERROR(__xludf.DUMMYFUNCTION("""COMPUTED_VALUE"""),"taxes software")</f>
        <v>taxes software</v>
      </c>
      <c r="B3027" s="6" t="str">
        <f>IFERROR(__xludf.DUMMYFUNCTION("""COMPUTED_VALUE"""),"Argentina")</f>
        <v>Argentina</v>
      </c>
      <c r="C3027" s="6" t="str">
        <f>IFERROR(__xludf.DUMMYFUNCTION("""COMPUTED_VALUE"""),"Software Factory / Staffing")</f>
        <v>Software Factory / Staffing</v>
      </c>
    </row>
    <row r="3028">
      <c r="A3028" s="6" t="str">
        <f>IFERROR(__xludf.DUMMYFUNCTION("""COMPUTED_VALUE"""),"parrade")</f>
        <v>parrade</v>
      </c>
      <c r="B3028" s="4"/>
      <c r="C3028" s="4"/>
    </row>
    <row r="3029">
      <c r="A3029" s="6" t="str">
        <f>IFERROR(__xludf.DUMMYFUNCTION("""COMPUTED_VALUE"""),"dharma digital marketing")</f>
        <v>dharma digital marketing</v>
      </c>
      <c r="B3029" s="6" t="str">
        <f>IFERROR(__xludf.DUMMYFUNCTION("""COMPUTED_VALUE"""),"Colombia")</f>
        <v>Colombia</v>
      </c>
      <c r="C3029" s="6" t="str">
        <f>IFERROR(__xludf.DUMMYFUNCTION("""COMPUTED_VALUE"""),"Marketing &amp; Advertising")</f>
        <v>Marketing &amp; Advertising</v>
      </c>
    </row>
    <row r="3030">
      <c r="A3030" s="6" t="str">
        <f>IFERROR(__xludf.DUMMYFUNCTION("""COMPUTED_VALUE"""),"immergo")</f>
        <v>immergo</v>
      </c>
      <c r="B3030" s="4"/>
      <c r="C3030" s="6" t="str">
        <f>IFERROR(__xludf.DUMMYFUNCTION("""COMPUTED_VALUE"""),"Media &amp; Communication")</f>
        <v>Media &amp; Communication</v>
      </c>
    </row>
    <row r="3031">
      <c r="A3031" s="6" t="str">
        <f>IFERROR(__xludf.DUMMYFUNCTION("""COMPUTED_VALUE"""),"intelicorps")</f>
        <v>intelicorps</v>
      </c>
      <c r="B3031" s="4"/>
      <c r="C3031" s="6" t="str">
        <f>IFERROR(__xludf.DUMMYFUNCTION("""COMPUTED_VALUE"""),"Software Factory / Staffing")</f>
        <v>Software Factory / Staffing</v>
      </c>
    </row>
    <row r="3032">
      <c r="A3032" s="6" t="str">
        <f>IFERROR(__xludf.DUMMYFUNCTION("""COMPUTED_VALUE"""),"dashrd")</f>
        <v>dashrd</v>
      </c>
      <c r="B3032" s="4"/>
      <c r="C3032" s="6" t="str">
        <f>IFERROR(__xludf.DUMMYFUNCTION("""COMPUTED_VALUE"""),"Software Factory / Staffing")</f>
        <v>Software Factory / Staffing</v>
      </c>
    </row>
    <row r="3033">
      <c r="A3033" s="6" t="str">
        <f>IFERROR(__xludf.DUMMYFUNCTION("""COMPUTED_VALUE"""),"grut studio")</f>
        <v>grut studio</v>
      </c>
      <c r="B3033" s="6" t="str">
        <f>IFERROR(__xludf.DUMMYFUNCTION("""COMPUTED_VALUE"""),"México")</f>
        <v>México</v>
      </c>
      <c r="C3033" s="6" t="str">
        <f>IFERROR(__xludf.DUMMYFUNCTION("""COMPUTED_VALUE"""),"Software Factory / Staffing")</f>
        <v>Software Factory / Staffing</v>
      </c>
    </row>
    <row r="3034">
      <c r="A3034" s="6" t="str">
        <f>IFERROR(__xludf.DUMMYFUNCTION("""COMPUTED_VALUE"""),"ivisa")</f>
        <v>ivisa</v>
      </c>
      <c r="B3034" s="4"/>
      <c r="C3034" s="6" t="str">
        <f>IFERROR(__xludf.DUMMYFUNCTION("""COMPUTED_VALUE"""),"Software Factory / Staffing")</f>
        <v>Software Factory / Staffing</v>
      </c>
    </row>
    <row r="3035">
      <c r="A3035" s="6" t="str">
        <f>IFERROR(__xludf.DUMMYFUNCTION("""COMPUTED_VALUE"""),"sbx")</f>
        <v>sbx</v>
      </c>
      <c r="B3035" s="6" t="str">
        <f>IFERROR(__xludf.DUMMYFUNCTION("""COMPUTED_VALUE"""),"Estados Unidos")</f>
        <v>Estados Unidos</v>
      </c>
      <c r="C3035" s="6" t="str">
        <f>IFERROR(__xludf.DUMMYFUNCTION("""COMPUTED_VALUE"""),"Marketing &amp; Advertising")</f>
        <v>Marketing &amp; Advertising</v>
      </c>
    </row>
    <row r="3036">
      <c r="A3036" s="6" t="str">
        <f>IFERROR(__xludf.DUMMYFUNCTION("""COMPUTED_VALUE"""),"exemax")</f>
        <v>exemax</v>
      </c>
      <c r="B3036" s="6" t="str">
        <f>IFERROR(__xludf.DUMMYFUNCTION("""COMPUTED_VALUE"""),"Argentina")</f>
        <v>Argentina</v>
      </c>
      <c r="C3036" s="6" t="str">
        <f>IFERROR(__xludf.DUMMYFUNCTION("""COMPUTED_VALUE"""),"Management Consulting")</f>
        <v>Management Consulting</v>
      </c>
    </row>
    <row r="3037">
      <c r="A3037" s="6" t="str">
        <f>IFERROR(__xludf.DUMMYFUNCTION("""COMPUTED_VALUE"""),"quick code")</f>
        <v>quick code</v>
      </c>
      <c r="B3037" s="6" t="str">
        <f>IFERROR(__xludf.DUMMYFUNCTION("""COMPUTED_VALUE"""),"Portugal")</f>
        <v>Portugal</v>
      </c>
      <c r="C3037" s="6" t="str">
        <f>IFERROR(__xludf.DUMMYFUNCTION("""COMPUTED_VALUE"""),"FMCG / Consumo masivo")</f>
        <v>FMCG / Consumo masivo</v>
      </c>
    </row>
    <row r="3038">
      <c r="A3038" s="6" t="str">
        <f>IFERROR(__xludf.DUMMYFUNCTION("""COMPUTED_VALUE"""),"xaldigital")</f>
        <v>xaldigital</v>
      </c>
      <c r="B3038" s="6" t="str">
        <f>IFERROR(__xludf.DUMMYFUNCTION("""COMPUTED_VALUE"""),"México")</f>
        <v>México</v>
      </c>
      <c r="C3038" s="6" t="str">
        <f>IFERROR(__xludf.DUMMYFUNCTION("""COMPUTED_VALUE"""),"Software Factory / Staffing")</f>
        <v>Software Factory / Staffing</v>
      </c>
    </row>
    <row r="3039">
      <c r="A3039" s="6" t="str">
        <f>IFERROR(__xludf.DUMMYFUNCTION("""COMPUTED_VALUE"""),"roseti")</f>
        <v>roseti</v>
      </c>
      <c r="B3039" s="6" t="str">
        <f>IFERROR(__xludf.DUMMYFUNCTION("""COMPUTED_VALUE"""),"Francia")</f>
        <v>Francia</v>
      </c>
      <c r="C3039" s="6" t="str">
        <f>IFERROR(__xludf.DUMMYFUNCTION("""COMPUTED_VALUE"""),"PropTech / Real State")</f>
        <v>PropTech / Real State</v>
      </c>
    </row>
    <row r="3040">
      <c r="A3040" s="6" t="str">
        <f>IFERROR(__xludf.DUMMYFUNCTION("""COMPUTED_VALUE"""),"grupopeñaflor")</f>
        <v>grupopeñaflor</v>
      </c>
      <c r="B3040" s="4"/>
      <c r="C3040" s="4"/>
    </row>
    <row r="3041">
      <c r="A3041" s="7" t="str">
        <f>IFERROR(__xludf.DUMMYFUNCTION("""COMPUTED_VALUE"""),"piano.io")</f>
        <v>piano.io</v>
      </c>
      <c r="B3041" s="4"/>
      <c r="C3041" s="4"/>
    </row>
    <row r="3042">
      <c r="A3042" s="6" t="str">
        <f>IFERROR(__xludf.DUMMYFUNCTION("""COMPUTED_VALUE"""),"aoniken servicios it s.a.")</f>
        <v>aoniken servicios it s.a.</v>
      </c>
      <c r="B3042" s="6" t="str">
        <f>IFERROR(__xludf.DUMMYFUNCTION("""COMPUTED_VALUE"""),"Argentina")</f>
        <v>Argentina</v>
      </c>
      <c r="C3042" s="4"/>
    </row>
    <row r="3043">
      <c r="A3043" s="6" t="str">
        <f>IFERROR(__xludf.DUMMYFUNCTION("""COMPUTED_VALUE"""),"ad -cap grupo financiero")</f>
        <v>ad -cap grupo financiero</v>
      </c>
      <c r="B3043" s="4"/>
      <c r="C3043" s="4"/>
    </row>
    <row r="3044">
      <c r="A3044" s="6" t="str">
        <f>IFERROR(__xludf.DUMMYFUNCTION("""COMPUTED_VALUE"""),"ayuntamiento de adeje")</f>
        <v>ayuntamiento de adeje</v>
      </c>
      <c r="B3044" s="4"/>
      <c r="C3044" s="6" t="str">
        <f>IFERROR(__xludf.DUMMYFUNCTION("""COMPUTED_VALUE"""),"Mechanical/Industrial Engineering")</f>
        <v>Mechanical/Industrial Engineering</v>
      </c>
    </row>
    <row r="3045">
      <c r="A3045" s="6" t="str">
        <f>IFERROR(__xludf.DUMMYFUNCTION("""COMPUTED_VALUE"""),"syergiart sl")</f>
        <v>syergiart sl</v>
      </c>
      <c r="B3045" s="4"/>
      <c r="C3045" s="4"/>
    </row>
    <row r="3046">
      <c r="A3046" s="6" t="str">
        <f>IFERROR(__xludf.DUMMYFUNCTION("""COMPUTED_VALUE"""),"ensalud s.a")</f>
        <v>ensalud s.a</v>
      </c>
      <c r="B3046" s="4"/>
      <c r="C3046" s="4"/>
    </row>
    <row r="3047">
      <c r="A3047" s="6" t="str">
        <f>IFERROR(__xludf.DUMMYFUNCTION("""COMPUTED_VALUE"""),"sinergyat")</f>
        <v>sinergyat</v>
      </c>
      <c r="B3047" s="4"/>
      <c r="C3047" s="4"/>
    </row>
    <row r="3048">
      <c r="A3048" s="6" t="str">
        <f>IFERROR(__xludf.DUMMYFUNCTION("""COMPUTED_VALUE"""),"skillnet")</f>
        <v>skillnet</v>
      </c>
      <c r="B3048" s="6" t="str">
        <f>IFERROR(__xludf.DUMMYFUNCTION("""COMPUTED_VALUE"""),"Irlanda")</f>
        <v>Irlanda</v>
      </c>
      <c r="C3048" s="6" t="str">
        <f>IFERROR(__xludf.DUMMYFUNCTION("""COMPUTED_VALUE"""),"Education &amp; Edtech")</f>
        <v>Education &amp; Edtech</v>
      </c>
    </row>
    <row r="3049">
      <c r="A3049" s="6" t="str">
        <f>IFERROR(__xludf.DUMMYFUNCTION("""COMPUTED_VALUE"""),"asap consulting s.a.")</f>
        <v>asap consulting s.a.</v>
      </c>
      <c r="B3049" s="6" t="str">
        <f>IFERROR(__xludf.DUMMYFUNCTION("""COMPUTED_VALUE"""),"Argentina")</f>
        <v>Argentina</v>
      </c>
      <c r="C3049" s="6" t="str">
        <f>IFERROR(__xludf.DUMMYFUNCTION("""COMPUTED_VALUE"""),"Software Factory / Staffing")</f>
        <v>Software Factory / Staffing</v>
      </c>
    </row>
    <row r="3050">
      <c r="A3050" s="6" t="str">
        <f>IFERROR(__xludf.DUMMYFUNCTION("""COMPUTED_VALUE"""),"mbtek")</f>
        <v>mbtek</v>
      </c>
      <c r="B3050" s="4"/>
      <c r="C3050" s="6" t="str">
        <f>IFERROR(__xludf.DUMMYFUNCTION("""COMPUTED_VALUE"""),"FMCG / Consumo masivo")</f>
        <v>FMCG / Consumo masivo</v>
      </c>
    </row>
    <row r="3051">
      <c r="A3051" s="6" t="str">
        <f>IFERROR(__xludf.DUMMYFUNCTION("""COMPUTED_VALUE"""),"caja de cs economicas de santa fe")</f>
        <v>caja de cs economicas de santa fe</v>
      </c>
      <c r="B3051" s="4"/>
      <c r="C3051" s="4"/>
    </row>
    <row r="3052">
      <c r="A3052" s="6" t="str">
        <f>IFERROR(__xludf.DUMMYFUNCTION("""COMPUTED_VALUE"""),"ab-inbev")</f>
        <v>ab-inbev</v>
      </c>
      <c r="B3052" s="4"/>
      <c r="C3052" s="4"/>
    </row>
    <row r="3053">
      <c r="A3053" s="6" t="str">
        <f>IFERROR(__xludf.DUMMYFUNCTION("""COMPUTED_VALUE"""),"pyd")</f>
        <v>pyd</v>
      </c>
      <c r="B3053" s="6" t="str">
        <f>IFERROR(__xludf.DUMMYFUNCTION("""COMPUTED_VALUE"""),"España")</f>
        <v>España</v>
      </c>
      <c r="C3053" s="6" t="str">
        <f>IFERROR(__xludf.DUMMYFUNCTION("""COMPUTED_VALUE"""),"FMCG / Consumo masivo")</f>
        <v>FMCG / Consumo masivo</v>
      </c>
    </row>
    <row r="3054">
      <c r="A3054" s="6" t="str">
        <f>IFERROR(__xludf.DUMMYFUNCTION("""COMPUTED_VALUE"""),"personal class")</f>
        <v>personal class</v>
      </c>
      <c r="B3054" s="6" t="str">
        <f>IFERROR(__xludf.DUMMYFUNCTION("""COMPUTED_VALUE"""),"Perú")</f>
        <v>Perú</v>
      </c>
      <c r="C3054" s="6" t="str">
        <f>IFERROR(__xludf.DUMMYFUNCTION("""COMPUTED_VALUE"""),"Education &amp; Edtech")</f>
        <v>Education &amp; Edtech</v>
      </c>
    </row>
    <row r="3055">
      <c r="A3055" s="6" t="str">
        <f>IFERROR(__xludf.DUMMYFUNCTION("""COMPUTED_VALUE"""),"fixershoes")</f>
        <v>fixershoes</v>
      </c>
      <c r="B3055" s="4"/>
      <c r="C3055" s="4"/>
    </row>
    <row r="3056">
      <c r="A3056" s="6" t="str">
        <f>IFERROR(__xludf.DUMMYFUNCTION("""COMPUTED_VALUE"""),"resistance sas")</f>
        <v>resistance sas</v>
      </c>
      <c r="B3056" s="6" t="str">
        <f>IFERROR(__xludf.DUMMYFUNCTION("""COMPUTED_VALUE"""),"Colombia")</f>
        <v>Colombia</v>
      </c>
      <c r="C3056" s="6" t="str">
        <f>IFERROR(__xludf.DUMMYFUNCTION("""COMPUTED_VALUE"""),"Cibersecurity")</f>
        <v>Cibersecurity</v>
      </c>
    </row>
    <row r="3057">
      <c r="A3057" s="6" t="str">
        <f>IFERROR(__xludf.DUMMYFUNCTION("""COMPUTED_VALUE"""),"caprome")</f>
        <v>caprome</v>
      </c>
      <c r="B3057" s="4"/>
      <c r="C3057" s="4"/>
    </row>
    <row r="3058">
      <c r="A3058" s="6" t="str">
        <f>IFERROR(__xludf.DUMMYFUNCTION("""COMPUTED_VALUE"""),"bicicletas milan")</f>
        <v>bicicletas milan</v>
      </c>
      <c r="B3058" s="4"/>
      <c r="C3058" s="6" t="str">
        <f>IFERROR(__xludf.DUMMYFUNCTION("""COMPUTED_VALUE"""),"Other")</f>
        <v>Other</v>
      </c>
    </row>
    <row r="3059">
      <c r="A3059" s="6" t="str">
        <f>IFERROR(__xludf.DUMMYFUNCTION("""COMPUTED_VALUE"""),"botero media")</f>
        <v>botero media</v>
      </c>
      <c r="B3059" s="6" t="str">
        <f>IFERROR(__xludf.DUMMYFUNCTION("""COMPUTED_VALUE"""),"Colombia")</f>
        <v>Colombia</v>
      </c>
      <c r="C3059" s="6" t="str">
        <f>IFERROR(__xludf.DUMMYFUNCTION("""COMPUTED_VALUE"""),"Marketing &amp; Advertising")</f>
        <v>Marketing &amp; Advertising</v>
      </c>
    </row>
    <row r="3060">
      <c r="A3060" s="6" t="str">
        <f>IFERROR(__xludf.DUMMYFUNCTION("""COMPUTED_VALUE"""),"softlond sas")</f>
        <v>softlond sas</v>
      </c>
      <c r="B3060" s="4"/>
      <c r="C3060" s="4"/>
    </row>
    <row r="3061">
      <c r="A3061" s="6" t="str">
        <f>IFERROR(__xludf.DUMMYFUNCTION("""COMPUTED_VALUE"""),"wip")</f>
        <v>wip</v>
      </c>
      <c r="B3061" s="4"/>
      <c r="C3061" s="6" t="str">
        <f>IFERROR(__xludf.DUMMYFUNCTION("""COMPUTED_VALUE"""),"Software Factory / Staffing")</f>
        <v>Software Factory / Staffing</v>
      </c>
    </row>
    <row r="3062">
      <c r="A3062" s="6" t="str">
        <f>IFERROR(__xludf.DUMMYFUNCTION("""COMPUTED_VALUE"""),"umb")</f>
        <v>umb</v>
      </c>
      <c r="B3062" s="6" t="str">
        <f>IFERROR(__xludf.DUMMYFUNCTION("""COMPUTED_VALUE"""),"Estados Unidos")</f>
        <v>Estados Unidos</v>
      </c>
      <c r="C3062" s="6" t="str">
        <f>IFERROR(__xludf.DUMMYFUNCTION("""COMPUTED_VALUE"""),"Banking &amp; Financial Servicies")</f>
        <v>Banking &amp; Financial Servicies</v>
      </c>
    </row>
    <row r="3063">
      <c r="A3063" s="6" t="str">
        <f>IFERROR(__xludf.DUMMYFUNCTION("""COMPUTED_VALUE"""),"adval")</f>
        <v>adval</v>
      </c>
      <c r="B3063" s="4"/>
      <c r="C3063" s="6" t="str">
        <f>IFERROR(__xludf.DUMMYFUNCTION("""COMPUTED_VALUE"""),"Mechanical/Industrial Engineering")</f>
        <v>Mechanical/Industrial Engineering</v>
      </c>
    </row>
    <row r="3064">
      <c r="A3064" s="6" t="str">
        <f>IFERROR(__xludf.DUMMYFUNCTION("""COMPUTED_VALUE"""),"dataforgex")</f>
        <v>dataforgex</v>
      </c>
      <c r="B3064" s="6" t="str">
        <f>IFERROR(__xludf.DUMMYFUNCTION("""COMPUTED_VALUE"""),"Argentina")</f>
        <v>Argentina</v>
      </c>
      <c r="C3064" s="6" t="str">
        <f>IFERROR(__xludf.DUMMYFUNCTION("""COMPUTED_VALUE"""),"Software Factory / Staffing")</f>
        <v>Software Factory / Staffing</v>
      </c>
    </row>
    <row r="3065">
      <c r="A3065" s="6" t="str">
        <f>IFERROR(__xludf.DUMMYFUNCTION("""COMPUTED_VALUE"""),"casa hospital san juan de dios")</f>
        <v>casa hospital san juan de dios</v>
      </c>
      <c r="B3065" s="6" t="str">
        <f>IFERROR(__xludf.DUMMYFUNCTION("""COMPUTED_VALUE"""),"Argentina")</f>
        <v>Argentina</v>
      </c>
      <c r="C3065" s="6" t="str">
        <f>IFERROR(__xludf.DUMMYFUNCTION("""COMPUTED_VALUE"""),"Health")</f>
        <v>Health</v>
      </c>
    </row>
    <row r="3066">
      <c r="A3066" s="6" t="str">
        <f>IFERROR(__xludf.DUMMYFUNCTION("""COMPUTED_VALUE"""),"liceo campestre")</f>
        <v>liceo campestre</v>
      </c>
      <c r="B3066" s="6" t="str">
        <f>IFERROR(__xludf.DUMMYFUNCTION("""COMPUTED_VALUE"""),"Italia")</f>
        <v>Italia</v>
      </c>
      <c r="C3066" s="6" t="str">
        <f>IFERROR(__xludf.DUMMYFUNCTION("""COMPUTED_VALUE"""),"Education &amp; Edtech")</f>
        <v>Education &amp; Edtech</v>
      </c>
    </row>
    <row r="3067">
      <c r="A3067" s="6" t="str">
        <f>IFERROR(__xludf.DUMMYFUNCTION("""COMPUTED_VALUE"""),"assurant services argentina s.a.")</f>
        <v>assurant services argentina s.a.</v>
      </c>
      <c r="B3067" s="6" t="str">
        <f>IFERROR(__xludf.DUMMYFUNCTION("""COMPUTED_VALUE"""),"Estados Unidos")</f>
        <v>Estados Unidos</v>
      </c>
      <c r="C3067" s="6" t="str">
        <f>IFERROR(__xludf.DUMMYFUNCTION("""COMPUTED_VALUE"""),"Insurance")</f>
        <v>Insurance</v>
      </c>
    </row>
    <row r="3068">
      <c r="A3068" s="6" t="str">
        <f>IFERROR(__xludf.DUMMYFUNCTION("""COMPUTED_VALUE"""),"symplifica")</f>
        <v>symplifica</v>
      </c>
      <c r="B3068" s="6" t="str">
        <f>IFERROR(__xludf.DUMMYFUNCTION("""COMPUTED_VALUE"""),"Colombia")</f>
        <v>Colombia</v>
      </c>
      <c r="C3068" s="6" t="str">
        <f>IFERROR(__xludf.DUMMYFUNCTION("""COMPUTED_VALUE"""),"Software Factory / Staffing")</f>
        <v>Software Factory / Staffing</v>
      </c>
    </row>
    <row r="3069">
      <c r="A3069" s="6" t="str">
        <f>IFERROR(__xludf.DUMMYFUNCTION("""COMPUTED_VALUE"""),"maaji")</f>
        <v>maaji</v>
      </c>
      <c r="B3069" s="6" t="str">
        <f>IFERROR(__xludf.DUMMYFUNCTION("""COMPUTED_VALUE"""),"Colombia")</f>
        <v>Colombia</v>
      </c>
      <c r="C3069" s="6" t="str">
        <f>IFERROR(__xludf.DUMMYFUNCTION("""COMPUTED_VALUE"""),"FMCG / Consumo masivo")</f>
        <v>FMCG / Consumo masivo</v>
      </c>
    </row>
    <row r="3070">
      <c r="A3070" s="6" t="str">
        <f>IFERROR(__xludf.DUMMYFUNCTION("""COMPUTED_VALUE"""),"hideo 3d")</f>
        <v>hideo 3d</v>
      </c>
      <c r="B3070" s="6" t="str">
        <f>IFERROR(__xludf.DUMMYFUNCTION("""COMPUTED_VALUE"""),"México")</f>
        <v>México</v>
      </c>
      <c r="C3070" s="6" t="str">
        <f>IFERROR(__xludf.DUMMYFUNCTION("""COMPUTED_VALUE"""),"Mechanical/Industrial Engineering")</f>
        <v>Mechanical/Industrial Engineering</v>
      </c>
    </row>
    <row r="3071">
      <c r="A3071" s="6" t="str">
        <f>IFERROR(__xludf.DUMMYFUNCTION("""COMPUTED_VALUE"""),"controles empresariales coem")</f>
        <v>controles empresariales coem</v>
      </c>
      <c r="B3071" s="4"/>
      <c r="C3071" s="4"/>
    </row>
    <row r="3072">
      <c r="A3072" s="6" t="str">
        <f>IFERROR(__xludf.DUMMYFUNCTION("""COMPUTED_VALUE"""),"itecnis srl")</f>
        <v>itecnis srl</v>
      </c>
      <c r="B3072" s="4"/>
      <c r="C3072" s="4"/>
    </row>
    <row r="3073">
      <c r="A3073" s="6" t="str">
        <f>IFERROR(__xludf.DUMMYFUNCTION("""COMPUTED_VALUE"""),"rockstar solutions")</f>
        <v>rockstar solutions</v>
      </c>
      <c r="B3073" s="6" t="str">
        <f>IFERROR(__xludf.DUMMYFUNCTION("""COMPUTED_VALUE"""),"Argentina")</f>
        <v>Argentina</v>
      </c>
      <c r="C3073" s="6" t="str">
        <f>IFERROR(__xludf.DUMMYFUNCTION("""COMPUTED_VALUE"""),"Software Factory / Staffing")</f>
        <v>Software Factory / Staffing</v>
      </c>
    </row>
    <row r="3074">
      <c r="A3074" s="6" t="str">
        <f>IFERROR(__xludf.DUMMYFUNCTION("""COMPUTED_VALUE"""),"farmacia fatima")</f>
        <v>farmacia fatima</v>
      </c>
      <c r="B3074" s="6" t="str">
        <f>IFERROR(__xludf.DUMMYFUNCTION("""COMPUTED_VALUE"""),"Portugal")</f>
        <v>Portugal</v>
      </c>
      <c r="C3074" s="6" t="str">
        <f>IFERROR(__xludf.DUMMYFUNCTION("""COMPUTED_VALUE"""),"FMCG / Consumo masivo")</f>
        <v>FMCG / Consumo masivo</v>
      </c>
    </row>
    <row r="3075">
      <c r="A3075" s="6" t="str">
        <f>IFERROR(__xludf.DUMMYFUNCTION("""COMPUTED_VALUE"""),"taskus")</f>
        <v>taskus</v>
      </c>
      <c r="B3075" s="6" t="str">
        <f>IFERROR(__xludf.DUMMYFUNCTION("""COMPUTED_VALUE"""),"Estados Unidos")</f>
        <v>Estados Unidos</v>
      </c>
      <c r="C3075" s="6" t="str">
        <f>IFERROR(__xludf.DUMMYFUNCTION("""COMPUTED_VALUE"""),"Other")</f>
        <v>Other</v>
      </c>
    </row>
    <row r="3076">
      <c r="A3076" s="6" t="str">
        <f>IFERROR(__xludf.DUMMYFUNCTION("""COMPUTED_VALUE"""),"consultoría global s.a.")</f>
        <v>consultoría global s.a.</v>
      </c>
      <c r="B3076" s="4"/>
      <c r="C3076" s="6" t="str">
        <f>IFERROR(__xludf.DUMMYFUNCTION("""COMPUTED_VALUE"""),"Software Factory / Staffing")</f>
        <v>Software Factory / Staffing</v>
      </c>
    </row>
    <row r="3077">
      <c r="A3077" s="6" t="str">
        <f>IFERROR(__xludf.DUMMYFUNCTION("""COMPUTED_VALUE"""),"ministerio de seguridad de la provincia de tucuman")</f>
        <v>ministerio de seguridad de la provincia de tucuman</v>
      </c>
      <c r="B3077" s="6" t="str">
        <f>IFERROR(__xludf.DUMMYFUNCTION("""COMPUTED_VALUE"""),"Argentina")</f>
        <v>Argentina</v>
      </c>
      <c r="C3077" s="6" t="str">
        <f>IFERROR(__xludf.DUMMYFUNCTION("""COMPUTED_VALUE"""),"Public Center")</f>
        <v>Public Center</v>
      </c>
    </row>
    <row r="3078">
      <c r="A3078" s="6" t="str">
        <f>IFERROR(__xludf.DUMMYFUNCTION("""COMPUTED_VALUE"""),"universidad nacional de tres de febrero")</f>
        <v>universidad nacional de tres de febrero</v>
      </c>
      <c r="B3078" s="6" t="str">
        <f>IFERROR(__xludf.DUMMYFUNCTION("""COMPUTED_VALUE"""),"Argentina")</f>
        <v>Argentina</v>
      </c>
      <c r="C3078" s="6" t="str">
        <f>IFERROR(__xludf.DUMMYFUNCTION("""COMPUTED_VALUE"""),"Education &amp; Edtech")</f>
        <v>Education &amp; Edtech</v>
      </c>
    </row>
    <row r="3079">
      <c r="A3079" s="6" t="str">
        <f>IFERROR(__xludf.DUMMYFUNCTION("""COMPUTED_VALUE"""),"stay unique")</f>
        <v>stay unique</v>
      </c>
      <c r="B3079" s="6" t="str">
        <f>IFERROR(__xludf.DUMMYFUNCTION("""COMPUTED_VALUE"""),"Canadá")</f>
        <v>Canadá</v>
      </c>
      <c r="C3079" s="6" t="str">
        <f>IFERROR(__xludf.DUMMYFUNCTION("""COMPUTED_VALUE"""),"Travel and Tourism")</f>
        <v>Travel and Tourism</v>
      </c>
    </row>
    <row r="3080">
      <c r="A3080" s="6" t="str">
        <f>IFERROR(__xludf.DUMMYFUNCTION("""COMPUTED_VALUE"""),"soscontador")</f>
        <v>soscontador</v>
      </c>
      <c r="B3080" s="4"/>
      <c r="C3080" s="4"/>
    </row>
    <row r="3081">
      <c r="A3081" s="6" t="str">
        <f>IFERROR(__xludf.DUMMYFUNCTION("""COMPUTED_VALUE"""),"implameq s.a.s.")</f>
        <v>implameq s.a.s.</v>
      </c>
      <c r="B3081" s="4"/>
      <c r="C3081" s="4"/>
    </row>
    <row r="3082">
      <c r="A3082" s="6" t="str">
        <f>IFERROR(__xludf.DUMMYFUNCTION("""COMPUTED_VALUE"""),"prag,")</f>
        <v>prag,</v>
      </c>
      <c r="B3082" s="4"/>
      <c r="C3082" s="4"/>
    </row>
    <row r="3083">
      <c r="A3083" s="6" t="str">
        <f>IFERROR(__xludf.DUMMYFUNCTION("""COMPUTED_VALUE"""),"black &amp; orange")</f>
        <v>black &amp; orange</v>
      </c>
      <c r="B3083" s="6" t="str">
        <f>IFERROR(__xludf.DUMMYFUNCTION("""COMPUTED_VALUE"""),"Estados Unidos")</f>
        <v>Estados Unidos</v>
      </c>
      <c r="C3083" s="6" t="str">
        <f>IFERROR(__xludf.DUMMYFUNCTION("""COMPUTED_VALUE"""),"Mechanical/Industrial Engineering")</f>
        <v>Mechanical/Industrial Engineering</v>
      </c>
    </row>
    <row r="3084">
      <c r="A3084" s="6" t="str">
        <f>IFERROR(__xludf.DUMMYFUNCTION("""COMPUTED_VALUE"""),"inchcape digital")</f>
        <v>inchcape digital</v>
      </c>
      <c r="B3084" s="6" t="str">
        <f>IFERROR(__xludf.DUMMYFUNCTION("""COMPUTED_VALUE"""),"Filipinas")</f>
        <v>Filipinas</v>
      </c>
      <c r="C3084" s="6" t="str">
        <f>IFERROR(__xludf.DUMMYFUNCTION("""COMPUTED_VALUE"""),"Other")</f>
        <v>Other</v>
      </c>
    </row>
    <row r="3085">
      <c r="A3085" s="6" t="str">
        <f>IFERROR(__xludf.DUMMYFUNCTION("""COMPUTED_VALUE"""),"smarttrans")</f>
        <v>smarttrans</v>
      </c>
      <c r="B3085" s="4"/>
      <c r="C3085" s="6" t="str">
        <f>IFERROR(__xludf.DUMMYFUNCTION("""COMPUTED_VALUE"""),"Software Factory / Staffing")</f>
        <v>Software Factory / Staffing</v>
      </c>
    </row>
    <row r="3086">
      <c r="A3086" s="6" t="str">
        <f>IFERROR(__xludf.DUMMYFUNCTION("""COMPUTED_VALUE"""),"telemed")</f>
        <v>telemed</v>
      </c>
      <c r="B3086" s="4"/>
      <c r="C3086" s="6" t="str">
        <f>IFERROR(__xludf.DUMMYFUNCTION("""COMPUTED_VALUE"""),"Messaging and Telecommunications")</f>
        <v>Messaging and Telecommunications</v>
      </c>
    </row>
    <row r="3087">
      <c r="A3087" s="6" t="str">
        <f>IFERROR(__xludf.DUMMYFUNCTION("""COMPUTED_VALUE"""),"innovision sa")</f>
        <v>innovision sa</v>
      </c>
      <c r="B3087" s="4"/>
      <c r="C3087" s="4"/>
    </row>
    <row r="3088">
      <c r="A3088" s="6" t="str">
        <f>IFERROR(__xludf.DUMMYFUNCTION("""COMPUTED_VALUE"""),"urbaneja daniel sebastián")</f>
        <v>urbaneja daniel sebastián</v>
      </c>
      <c r="B3088" s="4"/>
      <c r="C3088" s="4"/>
    </row>
    <row r="3089">
      <c r="A3089" s="6" t="str">
        <f>IFERROR(__xludf.DUMMYFUNCTION("""COMPUTED_VALUE"""),"dc connected car gmbh")</f>
        <v>dc connected car gmbh</v>
      </c>
      <c r="B3089" s="6" t="str">
        <f>IFERROR(__xludf.DUMMYFUNCTION("""COMPUTED_VALUE"""),"Alemania")</f>
        <v>Alemania</v>
      </c>
      <c r="C3089" s="6" t="str">
        <f>IFERROR(__xludf.DUMMYFUNCTION("""COMPUTED_VALUE"""),"Software Factory / Staffing")</f>
        <v>Software Factory / Staffing</v>
      </c>
    </row>
    <row r="3090">
      <c r="A3090" s="6" t="str">
        <f>IFERROR(__xludf.DUMMYFUNCTION("""COMPUTED_VALUE"""),"libro de pases")</f>
        <v>libro de pases</v>
      </c>
      <c r="B3090" s="6" t="str">
        <f>IFERROR(__xludf.DUMMYFUNCTION("""COMPUTED_VALUE"""),"Estados Unidos")</f>
        <v>Estados Unidos</v>
      </c>
      <c r="C3090" s="6" t="str">
        <f>IFERROR(__xludf.DUMMYFUNCTION("""COMPUTED_VALUE"""),"Software Factory / Staffing")</f>
        <v>Software Factory / Staffing</v>
      </c>
    </row>
    <row r="3091">
      <c r="A3091" s="6" t="str">
        <f>IFERROR(__xludf.DUMMYFUNCTION("""COMPUTED_VALUE"""),"brandgestic")</f>
        <v>brandgestic</v>
      </c>
      <c r="B3091" s="4"/>
      <c r="C3091" s="6" t="str">
        <f>IFERROR(__xludf.DUMMYFUNCTION("""COMPUTED_VALUE"""),"Other")</f>
        <v>Other</v>
      </c>
    </row>
    <row r="3092">
      <c r="A3092" s="6" t="str">
        <f>IFERROR(__xludf.DUMMYFUNCTION("""COMPUTED_VALUE"""),"itecnis")</f>
        <v>itecnis</v>
      </c>
      <c r="B3092" s="4"/>
      <c r="C3092" s="6" t="str">
        <f>IFERROR(__xludf.DUMMYFUNCTION("""COMPUTED_VALUE"""),"Software Factory / Staffing")</f>
        <v>Software Factory / Staffing</v>
      </c>
    </row>
    <row r="3093">
      <c r="A3093" s="6" t="str">
        <f>IFERROR(__xludf.DUMMYFUNCTION("""COMPUTED_VALUE"""),"fluxai")</f>
        <v>fluxai</v>
      </c>
      <c r="B3093" s="4"/>
      <c r="C3093" s="6" t="str">
        <f>IFERROR(__xludf.DUMMYFUNCTION("""COMPUTED_VALUE"""),"Software Factory / Staffing")</f>
        <v>Software Factory / Staffing</v>
      </c>
    </row>
    <row r="3094">
      <c r="A3094" s="6" t="str">
        <f>IFERROR(__xludf.DUMMYFUNCTION("""COMPUTED_VALUE"""),"iss")</f>
        <v>iss</v>
      </c>
      <c r="B3094" s="4"/>
      <c r="C3094" s="4"/>
    </row>
    <row r="3095">
      <c r="A3095" s="6" t="str">
        <f>IFERROR(__xludf.DUMMYFUNCTION("""COMPUTED_VALUE"""),"in2tires")</f>
        <v>in2tires</v>
      </c>
      <c r="B3095" s="4"/>
      <c r="C3095" s="4"/>
    </row>
    <row r="3096">
      <c r="A3096" s="6" t="str">
        <f>IFERROR(__xludf.DUMMYFUNCTION("""COMPUTED_VALUE"""),"quarksoft")</f>
        <v>quarksoft</v>
      </c>
      <c r="B3096" s="6" t="str">
        <f>IFERROR(__xludf.DUMMYFUNCTION("""COMPUTED_VALUE"""),"México")</f>
        <v>México</v>
      </c>
      <c r="C3096" s="6" t="str">
        <f>IFERROR(__xludf.DUMMYFUNCTION("""COMPUTED_VALUE"""),"Software Factory / Staffing")</f>
        <v>Software Factory / Staffing</v>
      </c>
    </row>
    <row r="3097">
      <c r="A3097" s="6" t="str">
        <f>IFERROR(__xludf.DUMMYFUNCTION("""COMPUTED_VALUE"""),"skandia")</f>
        <v>skandia</v>
      </c>
      <c r="B3097" s="4"/>
      <c r="C3097" s="6" t="str">
        <f>IFERROR(__xludf.DUMMYFUNCTION("""COMPUTED_VALUE"""),"Insurance")</f>
        <v>Insurance</v>
      </c>
    </row>
    <row r="3098">
      <c r="A3098" s="6" t="str">
        <f>IFERROR(__xludf.DUMMYFUNCTION("""COMPUTED_VALUE"""),"qualtop")</f>
        <v>qualtop</v>
      </c>
      <c r="B3098" s="4"/>
      <c r="C3098" s="6" t="str">
        <f>IFERROR(__xludf.DUMMYFUNCTION("""COMPUTED_VALUE"""),"Software Factory / Staffing")</f>
        <v>Software Factory / Staffing</v>
      </c>
    </row>
    <row r="3099">
      <c r="A3099" s="6" t="str">
        <f>IFERROR(__xludf.DUMMYFUNCTION("""COMPUTED_VALUE"""),"protolylab")</f>
        <v>protolylab</v>
      </c>
      <c r="B3099" s="4"/>
      <c r="C3099" s="4"/>
    </row>
    <row r="3100">
      <c r="A3100" s="6" t="str">
        <f>IFERROR(__xludf.DUMMYFUNCTION("""COMPUTED_VALUE"""),"mojitosoft")</f>
        <v>mojitosoft</v>
      </c>
      <c r="B3100" s="4"/>
      <c r="C3100" s="4"/>
    </row>
    <row r="3101">
      <c r="A3101" s="6" t="str">
        <f>IFERROR(__xludf.DUMMYFUNCTION("""COMPUTED_VALUE"""),"mvp creator")</f>
        <v>mvp creator</v>
      </c>
      <c r="B3101" s="4"/>
      <c r="C3101" s="4"/>
    </row>
    <row r="3102">
      <c r="A3102" s="6" t="str">
        <f>IFERROR(__xludf.DUMMYFUNCTION("""COMPUTED_VALUE"""),"bottesini strings")</f>
        <v>bottesini strings</v>
      </c>
      <c r="B3102" s="4"/>
      <c r="C3102" s="4"/>
    </row>
    <row r="3103">
      <c r="A3103" s="6" t="str">
        <f>IFERROR(__xludf.DUMMYFUNCTION("""COMPUTED_VALUE"""),"frelance")</f>
        <v>frelance</v>
      </c>
      <c r="B3103" s="4"/>
      <c r="C3103" s="6" t="str">
        <f>IFERROR(__xludf.DUMMYFUNCTION("""COMPUTED_VALUE"""),"Software Factory / Staffing")</f>
        <v>Software Factory / Staffing</v>
      </c>
    </row>
    <row r="3104">
      <c r="A3104" s="6" t="str">
        <f>IFERROR(__xludf.DUMMYFUNCTION("""COMPUTED_VALUE"""),"plaindes")</f>
        <v>plaindes</v>
      </c>
      <c r="B3104" s="6" t="str">
        <f>IFERROR(__xludf.DUMMYFUNCTION("""COMPUTED_VALUE"""),"Perú")</f>
        <v>Perú</v>
      </c>
      <c r="C3104" s="6" t="str">
        <f>IFERROR(__xludf.DUMMYFUNCTION("""COMPUTED_VALUE"""),"Management Consulting")</f>
        <v>Management Consulting</v>
      </c>
    </row>
    <row r="3105">
      <c r="A3105" s="6" t="str">
        <f>IFERROR(__xludf.DUMMYFUNCTION("""COMPUTED_VALUE"""),"smi")</f>
        <v>smi</v>
      </c>
      <c r="B3105" s="4"/>
      <c r="C3105" s="6" t="str">
        <f>IFERROR(__xludf.DUMMYFUNCTION("""COMPUTED_VALUE"""),"FMCG / Consumo masivo")</f>
        <v>FMCG / Consumo masivo</v>
      </c>
    </row>
    <row r="3106">
      <c r="A3106" s="6" t="str">
        <f>IFERROR(__xludf.DUMMYFUNCTION("""COMPUTED_VALUE"""),"colegium")</f>
        <v>colegium</v>
      </c>
      <c r="B3106" s="6" t="str">
        <f>IFERROR(__xludf.DUMMYFUNCTION("""COMPUTED_VALUE"""),"Chile")</f>
        <v>Chile</v>
      </c>
      <c r="C3106" s="6" t="str">
        <f>IFERROR(__xludf.DUMMYFUNCTION("""COMPUTED_VALUE"""),"Software Factory / Staffing")</f>
        <v>Software Factory / Staffing</v>
      </c>
    </row>
    <row r="3107">
      <c r="A3107" s="6" t="str">
        <f>IFERROR(__xludf.DUMMYFUNCTION("""COMPUTED_VALUE"""),"3ek soluciones integtrales de gestión")</f>
        <v>3ek soluciones integtrales de gestión</v>
      </c>
      <c r="B3107" s="4"/>
      <c r="C3107" s="4"/>
    </row>
    <row r="3108">
      <c r="A3108" s="6" t="str">
        <f>IFERROR(__xludf.DUMMYFUNCTION("""COMPUTED_VALUE"""),"nuclea")</f>
        <v>nuclea</v>
      </c>
      <c r="B3108" s="6" t="str">
        <f>IFERROR(__xludf.DUMMYFUNCTION("""COMPUTED_VALUE"""),"Brasil")</f>
        <v>Brasil</v>
      </c>
      <c r="C3108" s="6" t="str">
        <f>IFERROR(__xludf.DUMMYFUNCTION("""COMPUTED_VALUE"""),"Banking &amp; Financial Servicies")</f>
        <v>Banking &amp; Financial Servicies</v>
      </c>
    </row>
    <row r="3109">
      <c r="A3109" s="6" t="str">
        <f>IFERROR(__xludf.DUMMYFUNCTION("""COMPUTED_VALUE"""),"sute")</f>
        <v>sute</v>
      </c>
      <c r="B3109" s="6" t="str">
        <f>IFERROR(__xludf.DUMMYFUNCTION("""COMPUTED_VALUE"""),"Estados Unidos")</f>
        <v>Estados Unidos</v>
      </c>
      <c r="C3109" s="6" t="str">
        <f>IFERROR(__xludf.DUMMYFUNCTION("""COMPUTED_VALUE"""),"Software Factory / Staffing")</f>
        <v>Software Factory / Staffing</v>
      </c>
    </row>
    <row r="3110">
      <c r="A3110" s="6" t="str">
        <f>IFERROR(__xludf.DUMMYFUNCTION("""COMPUTED_VALUE"""),"academia nacional de ajedrez")</f>
        <v>academia nacional de ajedrez</v>
      </c>
      <c r="B3110" s="4"/>
      <c r="C3110" s="4"/>
    </row>
    <row r="3111">
      <c r="A3111" s="6" t="str">
        <f>IFERROR(__xludf.DUMMYFUNCTION("""COMPUTED_VALUE"""),"movizen")</f>
        <v>movizen</v>
      </c>
      <c r="B3111" s="6" t="str">
        <f>IFERROR(__xludf.DUMMYFUNCTION("""COMPUTED_VALUE"""),"Argentina")</f>
        <v>Argentina</v>
      </c>
      <c r="C3111" s="6" t="str">
        <f>IFERROR(__xludf.DUMMYFUNCTION("""COMPUTED_VALUE"""),"Software Factory / Staffing")</f>
        <v>Software Factory / Staffing</v>
      </c>
    </row>
    <row r="3112">
      <c r="A3112" s="6" t="str">
        <f>IFERROR(__xludf.DUMMYFUNCTION("""COMPUTED_VALUE"""),"dequo")</f>
        <v>dequo</v>
      </c>
      <c r="B3112" s="4"/>
      <c r="C3112" s="6" t="str">
        <f>IFERROR(__xludf.DUMMYFUNCTION("""COMPUTED_VALUE"""),"Law/Legal Services")</f>
        <v>Law/Legal Services</v>
      </c>
    </row>
    <row r="3113">
      <c r="A3113" s="6" t="str">
        <f>IFERROR(__xludf.DUMMYFUNCTION("""COMPUTED_VALUE"""),"combustibles pc srl")</f>
        <v>combustibles pc srl</v>
      </c>
      <c r="B3113" s="4"/>
      <c r="C3113" s="4"/>
    </row>
    <row r="3114">
      <c r="A3114" s="6" t="str">
        <f>IFERROR(__xludf.DUMMYFUNCTION("""COMPUTED_VALUE"""),"martin sz")</f>
        <v>martin sz</v>
      </c>
      <c r="B3114" s="4"/>
      <c r="C3114" s="4"/>
    </row>
    <row r="3115">
      <c r="A3115" s="6" t="str">
        <f>IFERROR(__xludf.DUMMYFUNCTION("""COMPUTED_VALUE"""),"dharma marketing")</f>
        <v>dharma marketing</v>
      </c>
      <c r="B3115" s="6" t="str">
        <f>IFERROR(__xludf.DUMMYFUNCTION("""COMPUTED_VALUE"""),"Canadá")</f>
        <v>Canadá</v>
      </c>
      <c r="C3115" s="6" t="str">
        <f>IFERROR(__xludf.DUMMYFUNCTION("""COMPUTED_VALUE"""),"Marketing &amp; Advertising")</f>
        <v>Marketing &amp; Advertising</v>
      </c>
    </row>
    <row r="3116">
      <c r="A3116" s="6" t="str">
        <f>IFERROR(__xludf.DUMMYFUNCTION("""COMPUTED_VALUE"""),"lempert s.a")</f>
        <v>lempert s.a</v>
      </c>
      <c r="B3116" s="4"/>
      <c r="C3116" s="4"/>
    </row>
    <row r="3117">
      <c r="A3117" s="6" t="str">
        <f>IFERROR(__xludf.DUMMYFUNCTION("""COMPUTED_VALUE"""),"synergiar")</f>
        <v>synergiar</v>
      </c>
      <c r="B3117" s="6" t="str">
        <f>IFERROR(__xludf.DUMMYFUNCTION("""COMPUTED_VALUE"""),"Argentina")</f>
        <v>Argentina</v>
      </c>
      <c r="C3117" s="6" t="str">
        <f>IFERROR(__xludf.DUMMYFUNCTION("""COMPUTED_VALUE"""),"Management Consulting")</f>
        <v>Management Consulting</v>
      </c>
    </row>
    <row r="3118">
      <c r="A3118" s="6" t="str">
        <f>IFERROR(__xludf.DUMMYFUNCTION("""COMPUTED_VALUE"""),"inceptia srl")</f>
        <v>inceptia srl</v>
      </c>
      <c r="B3118" s="4"/>
      <c r="C3118" s="4"/>
    </row>
    <row r="3119">
      <c r="A3119" s="6" t="str">
        <f>IFERROR(__xludf.DUMMYFUNCTION("""COMPUTED_VALUE"""),"process technologies sa")</f>
        <v>process technologies sa</v>
      </c>
      <c r="B3119" s="4"/>
      <c r="C3119" s="4"/>
    </row>
    <row r="3120">
      <c r="A3120" s="6" t="str">
        <f>IFERROR(__xludf.DUMMYFUNCTION("""COMPUTED_VALUE"""),"omdena")</f>
        <v>omdena</v>
      </c>
      <c r="B3120" s="6" t="str">
        <f>IFERROR(__xludf.DUMMYFUNCTION("""COMPUTED_VALUE"""),"Estados Unidos")</f>
        <v>Estados Unidos</v>
      </c>
      <c r="C3120" s="6" t="str">
        <f>IFERROR(__xludf.DUMMYFUNCTION("""COMPUTED_VALUE"""),"Software Factory / Staffing")</f>
        <v>Software Factory / Staffing</v>
      </c>
    </row>
    <row r="3121">
      <c r="A3121" s="6" t="str">
        <f>IFERROR(__xludf.DUMMYFUNCTION("""COMPUTED_VALUE"""),"municipalidad de san nicolas de los arroyos")</f>
        <v>municipalidad de san nicolas de los arroyos</v>
      </c>
      <c r="B3121" s="6" t="str">
        <f>IFERROR(__xludf.DUMMYFUNCTION("""COMPUTED_VALUE"""),"Argentina")</f>
        <v>Argentina</v>
      </c>
      <c r="C3121" s="6" t="str">
        <f>IFERROR(__xludf.DUMMYFUNCTION("""COMPUTED_VALUE"""),"Public Center")</f>
        <v>Public Center</v>
      </c>
    </row>
    <row r="3122">
      <c r="A3122" s="6" t="str">
        <f>IFERROR(__xludf.DUMMYFUNCTION("""COMPUTED_VALUE"""),"chronos apps")</f>
        <v>chronos apps</v>
      </c>
      <c r="B3122" s="4"/>
      <c r="C3122" s="4"/>
    </row>
    <row r="3123">
      <c r="A3123" s="6" t="str">
        <f>IFERROR(__xludf.DUMMYFUNCTION("""COMPUTED_VALUE"""),"synergiat")</f>
        <v>synergiat</v>
      </c>
      <c r="B3123" s="6" t="str">
        <f>IFERROR(__xludf.DUMMYFUNCTION("""COMPUTED_VALUE"""),"Canadá")</f>
        <v>Canadá</v>
      </c>
      <c r="C3123" s="6" t="str">
        <f>IFERROR(__xludf.DUMMYFUNCTION("""COMPUTED_VALUE"""),"Software Factory / Staffing")</f>
        <v>Software Factory / Staffing</v>
      </c>
    </row>
    <row r="3124">
      <c r="A3124" s="6" t="str">
        <f>IFERROR(__xludf.DUMMYFUNCTION("""COMPUTED_VALUE"""),"totalpack")</f>
        <v>totalpack</v>
      </c>
      <c r="B3124" s="6" t="str">
        <f>IFERROR(__xludf.DUMMYFUNCTION("""COMPUTED_VALUE"""),"Chile")</f>
        <v>Chile</v>
      </c>
      <c r="C3124" s="6" t="str">
        <f>IFERROR(__xludf.DUMMYFUNCTION("""COMPUTED_VALUE"""),"Software Factory / Staffing")</f>
        <v>Software Factory / Staffing</v>
      </c>
    </row>
    <row r="3125">
      <c r="A3125" s="6" t="str">
        <f>IFERROR(__xludf.DUMMYFUNCTION("""COMPUTED_VALUE"""),"dumax")</f>
        <v>dumax</v>
      </c>
      <c r="B3125" s="6" t="str">
        <f>IFERROR(__xludf.DUMMYFUNCTION("""COMPUTED_VALUE"""),"México")</f>
        <v>México</v>
      </c>
      <c r="C3125" s="6" t="str">
        <f>IFERROR(__xludf.DUMMYFUNCTION("""COMPUTED_VALUE"""),"Software Factory / Staffing")</f>
        <v>Software Factory / Staffing</v>
      </c>
    </row>
    <row r="3126">
      <c r="A3126" s="6" t="str">
        <f>IFERROR(__xludf.DUMMYFUNCTION("""COMPUTED_VALUE"""),"ypf")</f>
        <v>ypf</v>
      </c>
      <c r="B3126" s="6" t="str">
        <f>IFERROR(__xludf.DUMMYFUNCTION("""COMPUTED_VALUE"""),"Argentina")</f>
        <v>Argentina</v>
      </c>
      <c r="C3126" s="6" t="str">
        <f>IFERROR(__xludf.DUMMYFUNCTION("""COMPUTED_VALUE"""),"FMCG / Consumo masivo")</f>
        <v>FMCG / Consumo masivo</v>
      </c>
    </row>
    <row r="3127">
      <c r="A3127" s="6" t="str">
        <f>IFERROR(__xludf.DUMMYFUNCTION("""COMPUTED_VALUE"""),"freelance (centro de ojos)")</f>
        <v>freelance (centro de ojos)</v>
      </c>
      <c r="B3127" s="4"/>
      <c r="C3127" s="4"/>
    </row>
    <row r="3128">
      <c r="A3128" s="6" t="str">
        <f>IFERROR(__xludf.DUMMYFUNCTION("""COMPUTED_VALUE"""),"making sense")</f>
        <v>making sense</v>
      </c>
      <c r="B3128" s="6" t="str">
        <f>IFERROR(__xludf.DUMMYFUNCTION("""COMPUTED_VALUE"""),"Estados Unidos")</f>
        <v>Estados Unidos</v>
      </c>
      <c r="C3128" s="6" t="str">
        <f>IFERROR(__xludf.DUMMYFUNCTION("""COMPUTED_VALUE"""),"Software Factory / Staffing")</f>
        <v>Software Factory / Staffing</v>
      </c>
    </row>
    <row r="3129">
      <c r="A3129" s="6" t="str">
        <f>IFERROR(__xludf.DUMMYFUNCTION("""COMPUTED_VALUE"""),"dascalendar")</f>
        <v>dascalendar</v>
      </c>
      <c r="B3129" s="6" t="str">
        <f>IFERROR(__xludf.DUMMYFUNCTION("""COMPUTED_VALUE"""),"Estados Unidos")</f>
        <v>Estados Unidos</v>
      </c>
      <c r="C3129" s="6" t="str">
        <f>IFERROR(__xludf.DUMMYFUNCTION("""COMPUTED_VALUE"""),"Software Factory / Staffing")</f>
        <v>Software Factory / Staffing</v>
      </c>
    </row>
    <row r="3130">
      <c r="A3130" s="6" t="str">
        <f>IFERROR(__xludf.DUMMYFUNCTION("""COMPUTED_VALUE"""),"ontop")</f>
        <v>ontop</v>
      </c>
      <c r="B3130" s="6" t="str">
        <f>IFERROR(__xludf.DUMMYFUNCTION("""COMPUTED_VALUE"""),"No encontrado")</f>
        <v>No encontrado</v>
      </c>
      <c r="C3130" s="6" t="str">
        <f>IFERROR(__xludf.DUMMYFUNCTION("""COMPUTED_VALUE"""),"Banking &amp; Financial Servicies")</f>
        <v>Banking &amp; Financial Servicies</v>
      </c>
    </row>
    <row r="3131">
      <c r="A3131" s="6" t="str">
        <f>IFERROR(__xludf.DUMMYFUNCTION("""COMPUTED_VALUE"""),"diebold nixdorf")</f>
        <v>diebold nixdorf</v>
      </c>
      <c r="B3131" s="6" t="str">
        <f>IFERROR(__xludf.DUMMYFUNCTION("""COMPUTED_VALUE"""),"Estados Unidos")</f>
        <v>Estados Unidos</v>
      </c>
      <c r="C3131" s="6" t="str">
        <f>IFERROR(__xludf.DUMMYFUNCTION("""COMPUTED_VALUE"""),"Software Factory / Staffing")</f>
        <v>Software Factory / Staffing</v>
      </c>
    </row>
    <row r="3132">
      <c r="A3132" s="6" t="str">
        <f>IFERROR(__xludf.DUMMYFUNCTION("""COMPUTED_VALUE"""),"tinto techonology")</f>
        <v>tinto techonology</v>
      </c>
      <c r="B3132" s="4"/>
      <c r="C3132" s="4"/>
    </row>
    <row r="3133">
      <c r="A3133" s="6" t="str">
        <f>IFERROR(__xludf.DUMMYFUNCTION("""COMPUTED_VALUE"""),"roadway rescues llc")</f>
        <v>roadway rescues llc</v>
      </c>
      <c r="B3133" s="6" t="str">
        <f>IFERROR(__xludf.DUMMYFUNCTION("""COMPUTED_VALUE"""),"Estados Unidos")</f>
        <v>Estados Unidos</v>
      </c>
      <c r="C3133" s="6" t="str">
        <f>IFERROR(__xludf.DUMMYFUNCTION("""COMPUTED_VALUE"""),"Logistics")</f>
        <v>Logistics</v>
      </c>
    </row>
    <row r="3134">
      <c r="A3134" s="6" t="str">
        <f>IFERROR(__xludf.DUMMYFUNCTION("""COMPUTED_VALUE"""),"betternfaster")</f>
        <v>betternfaster</v>
      </c>
      <c r="B3134" s="4"/>
      <c r="C3134" s="4"/>
    </row>
    <row r="3135">
      <c r="A3135" s="6" t="str">
        <f>IFERROR(__xludf.DUMMYFUNCTION("""COMPUTED_VALUE"""),"smart air")</f>
        <v>smart air</v>
      </c>
      <c r="B3135" s="6" t="str">
        <f>IFERROR(__xludf.DUMMYFUNCTION("""COMPUTED_VALUE"""),"China")</f>
        <v>China</v>
      </c>
      <c r="C3135" s="6" t="str">
        <f>IFERROR(__xludf.DUMMYFUNCTION("""COMPUTED_VALUE"""),"Health")</f>
        <v>Health</v>
      </c>
    </row>
    <row r="3136">
      <c r="A3136" s="6" t="str">
        <f>IFERROR(__xludf.DUMMYFUNCTION("""COMPUTED_VALUE"""),"ulipop  sas")</f>
        <v>ulipop  sas</v>
      </c>
      <c r="B3136" s="4"/>
      <c r="C3136" s="4"/>
    </row>
    <row r="3137">
      <c r="A3137" s="6" t="str">
        <f>IFERROR(__xludf.DUMMYFUNCTION("""COMPUTED_VALUE"""),"transformarme s.a.s.")</f>
        <v>transformarme s.a.s.</v>
      </c>
      <c r="B3137" s="4"/>
      <c r="C3137" s="4"/>
    </row>
    <row r="3138">
      <c r="A3138" s="6" t="str">
        <f>IFERROR(__xludf.DUMMYFUNCTION("""COMPUTED_VALUE"""),"consultoria global s.a")</f>
        <v>consultoria global s.a</v>
      </c>
      <c r="B3138" s="4"/>
      <c r="C3138" s="6" t="str">
        <f>IFERROR(__xludf.DUMMYFUNCTION("""COMPUTED_VALUE"""),"Software Factory / Staffing")</f>
        <v>Software Factory / Staffing</v>
      </c>
    </row>
    <row r="3139">
      <c r="A3139" s="6" t="str">
        <f>IFERROR(__xludf.DUMMYFUNCTION("""COMPUTED_VALUE"""),"asteroid technologies")</f>
        <v>asteroid technologies</v>
      </c>
      <c r="B3139" s="6" t="str">
        <f>IFERROR(__xludf.DUMMYFUNCTION("""COMPUTED_VALUE"""),"Argentina")</f>
        <v>Argentina</v>
      </c>
      <c r="C3139" s="6" t="str">
        <f>IFERROR(__xludf.DUMMYFUNCTION("""COMPUTED_VALUE"""),"Software Factory / Staffing")</f>
        <v>Software Factory / Staffing</v>
      </c>
    </row>
    <row r="3140">
      <c r="A3140" s="6" t="str">
        <f>IFERROR(__xludf.DUMMYFUNCTION("""COMPUTED_VALUE"""),"one world global services")</f>
        <v>one world global services</v>
      </c>
      <c r="B3140" s="6" t="str">
        <f>IFERROR(__xludf.DUMMYFUNCTION("""COMPUTED_VALUE"""),"Estados Unidos")</f>
        <v>Estados Unidos</v>
      </c>
      <c r="C3140" s="6" t="str">
        <f>IFERROR(__xludf.DUMMYFUNCTION("""COMPUTED_VALUE"""),"Other")</f>
        <v>Other</v>
      </c>
    </row>
    <row r="3141">
      <c r="A3141" s="6" t="str">
        <f>IFERROR(__xludf.DUMMYFUNCTION("""COMPUTED_VALUE"""),"duomed s.a.")</f>
        <v>duomed s.a.</v>
      </c>
      <c r="B3141" s="4"/>
      <c r="C3141" s="4"/>
    </row>
    <row r="3142">
      <c r="A3142" s="6" t="str">
        <f>IFERROR(__xludf.DUMMYFUNCTION("""COMPUTED_VALUE"""),"dhl")</f>
        <v>dhl</v>
      </c>
      <c r="B3142" s="4"/>
      <c r="C3142" s="6" t="str">
        <f>IFERROR(__xludf.DUMMYFUNCTION("""COMPUTED_VALUE"""),"Logistics")</f>
        <v>Logistics</v>
      </c>
    </row>
    <row r="3143">
      <c r="A3143" s="6" t="str">
        <f>IFERROR(__xludf.DUMMYFUNCTION("""COMPUTED_VALUE"""),"jorge nicolas moralez")</f>
        <v>jorge nicolas moralez</v>
      </c>
      <c r="B3143" s="4"/>
      <c r="C3143" s="4"/>
    </row>
    <row r="3144">
      <c r="A3144" s="6" t="str">
        <f>IFERROR(__xludf.DUMMYFUNCTION("""COMPUTED_VALUE"""),"dedalord")</f>
        <v>dedalord</v>
      </c>
      <c r="B3144" s="6" t="str">
        <f>IFERROR(__xludf.DUMMYFUNCTION("""COMPUTED_VALUE"""),"Not found")</f>
        <v>Not found</v>
      </c>
      <c r="C3144" s="6" t="str">
        <f>IFERROR(__xludf.DUMMYFUNCTION("""COMPUTED_VALUE"""),"Gaming")</f>
        <v>Gaming</v>
      </c>
    </row>
    <row r="3145">
      <c r="A3145" s="6" t="str">
        <f>IFERROR(__xludf.DUMMYFUNCTION("""COMPUTED_VALUE"""),"the free website guys")</f>
        <v>the free website guys</v>
      </c>
      <c r="B3145" s="4"/>
      <c r="C3145" s="6" t="str">
        <f>IFERROR(__xludf.DUMMYFUNCTION("""COMPUTED_VALUE"""),"Other")</f>
        <v>Other</v>
      </c>
    </row>
    <row r="3146">
      <c r="A3146" s="6" t="str">
        <f>IFERROR(__xludf.DUMMYFUNCTION("""COMPUTED_VALUE"""),"bitflow")</f>
        <v>bitflow</v>
      </c>
      <c r="B3146" s="6" t="str">
        <f>IFERROR(__xludf.DUMMYFUNCTION("""COMPUTED_VALUE"""),"Estados Unidos")</f>
        <v>Estados Unidos</v>
      </c>
      <c r="C3146" s="6" t="str">
        <f>IFERROR(__xludf.DUMMYFUNCTION("""COMPUTED_VALUE"""),"Software Factory / Staffing")</f>
        <v>Software Factory / Staffing</v>
      </c>
    </row>
    <row r="3147">
      <c r="A3147" s="6" t="str">
        <f>IFERROR(__xludf.DUMMYFUNCTION("""COMPUTED_VALUE"""),"pi data strategy &amp; consulting")</f>
        <v>pi data strategy &amp; consulting</v>
      </c>
      <c r="B3147" s="4"/>
      <c r="C3147" s="4"/>
    </row>
    <row r="3148">
      <c r="A3148" s="6" t="str">
        <f>IFERROR(__xludf.DUMMYFUNCTION("""COMPUTED_VALUE"""),"dip. carlos salom")</f>
        <v>dip. carlos salom</v>
      </c>
      <c r="B3148" s="4"/>
      <c r="C3148" s="4"/>
    </row>
    <row r="3149">
      <c r="A3149" s="6" t="str">
        <f>IFERROR(__xludf.DUMMYFUNCTION("""COMPUTED_VALUE"""),"edataconsulting")</f>
        <v>edataconsulting</v>
      </c>
      <c r="B3149" s="6" t="str">
        <f>IFERROR(__xludf.DUMMYFUNCTION("""COMPUTED_VALUE"""),"Alemania")</f>
        <v>Alemania</v>
      </c>
      <c r="C3149" s="6" t="str">
        <f>IFERROR(__xludf.DUMMYFUNCTION("""COMPUTED_VALUE"""),"Software Factory / Staffing")</f>
        <v>Software Factory / Staffing</v>
      </c>
    </row>
    <row r="3150">
      <c r="A3150" s="6" t="str">
        <f>IFERROR(__xludf.DUMMYFUNCTION("""COMPUTED_VALUE"""),"sti ingenieria")</f>
        <v>sti ingenieria</v>
      </c>
      <c r="B3150" s="6" t="str">
        <f>IFERROR(__xludf.DUMMYFUNCTION("""COMPUTED_VALUE"""),"Argentina")</f>
        <v>Argentina</v>
      </c>
      <c r="C3150" s="6" t="str">
        <f>IFERROR(__xludf.DUMMYFUNCTION("""COMPUTED_VALUE"""),"Mechanical/Industrial Engineering")</f>
        <v>Mechanical/Industrial Engineering</v>
      </c>
    </row>
    <row r="3151">
      <c r="A3151" s="6" t="str">
        <f>IFERROR(__xludf.DUMMYFUNCTION("""COMPUTED_VALUE"""),"galaca sas")</f>
        <v>galaca sas</v>
      </c>
      <c r="B3151" s="4"/>
      <c r="C3151" s="4"/>
    </row>
    <row r="3152">
      <c r="A3152" s="6" t="str">
        <f>IFERROR(__xludf.DUMMYFUNCTION("""COMPUTED_VALUE"""),"daira it")</f>
        <v>daira it</v>
      </c>
      <c r="B3152" s="6" t="str">
        <f>IFERROR(__xludf.DUMMYFUNCTION("""COMPUTED_VALUE"""),"Not found")</f>
        <v>Not found</v>
      </c>
      <c r="C3152" s="6" t="str">
        <f>IFERROR(__xludf.DUMMYFUNCTION("""COMPUTED_VALUE"""),"Software Factory / Staffing")</f>
        <v>Software Factory / Staffing</v>
      </c>
    </row>
    <row r="3153">
      <c r="A3153" s="6" t="str">
        <f>IFERROR(__xludf.DUMMYFUNCTION("""COMPUTED_VALUE"""),"chicksgold")</f>
        <v>chicksgold</v>
      </c>
      <c r="B3153" s="4"/>
      <c r="C3153" s="4"/>
    </row>
    <row r="3154">
      <c r="A3154" s="6" t="str">
        <f>IFERROR(__xludf.DUMMYFUNCTION("""COMPUTED_VALUE"""),"pedidos ya")</f>
        <v>pedidos ya</v>
      </c>
      <c r="B3154" s="6" t="str">
        <f>IFERROR(__xludf.DUMMYFUNCTION("""COMPUTED_VALUE"""),"Uruguay")</f>
        <v>Uruguay</v>
      </c>
      <c r="C3154" s="6" t="str">
        <f>IFERROR(__xludf.DUMMYFUNCTION("""COMPUTED_VALUE"""),"Software Factory / Staffing")</f>
        <v>Software Factory / Staffing</v>
      </c>
    </row>
    <row r="3155">
      <c r="A3155" s="6" t="str">
        <f>IFERROR(__xludf.DUMMYFUNCTION("""COMPUTED_VALUE"""),"team gravitad")</f>
        <v>team gravitad</v>
      </c>
      <c r="B3155" s="4"/>
      <c r="C3155" s="4"/>
    </row>
    <row r="3156">
      <c r="A3156" s="6" t="str">
        <f>IFERROR(__xludf.DUMMYFUNCTION("""COMPUTED_VALUE"""),"cloudx")</f>
        <v>cloudx</v>
      </c>
      <c r="B3156" s="4"/>
      <c r="C3156" s="6" t="str">
        <f>IFERROR(__xludf.DUMMYFUNCTION("""COMPUTED_VALUE"""),"Software Factory / Staffing")</f>
        <v>Software Factory / Staffing</v>
      </c>
    </row>
    <row r="3157">
      <c r="A3157" s="6" t="str">
        <f>IFERROR(__xludf.DUMMYFUNCTION("""COMPUTED_VALUE"""),"halcón")</f>
        <v>halcón</v>
      </c>
      <c r="B3157" s="6" t="str">
        <f>IFERROR(__xludf.DUMMYFUNCTION("""COMPUTED_VALUE"""),"Emiratos Árabes Unidos")</f>
        <v>Emiratos Árabes Unidos</v>
      </c>
      <c r="C3157" s="6" t="str">
        <f>IFERROR(__xludf.DUMMYFUNCTION("""COMPUTED_VALUE"""),"Mechanical/Industrial Engineering")</f>
        <v>Mechanical/Industrial Engineering</v>
      </c>
    </row>
    <row r="3158">
      <c r="A3158" s="6" t="str">
        <f>IFERROR(__xludf.DUMMYFUNCTION("""COMPUTED_VALUE"""),"mercantil banco universal")</f>
        <v>mercantil banco universal</v>
      </c>
      <c r="B3158" s="4"/>
      <c r="C3158" s="4"/>
    </row>
    <row r="3159">
      <c r="A3159" s="6" t="str">
        <f>IFERROR(__xludf.DUMMYFUNCTION("""COMPUTED_VALUE"""),"tu mejor amigo")</f>
        <v>tu mejor amigo</v>
      </c>
      <c r="B3159" s="4"/>
      <c r="C3159" s="6" t="str">
        <f>IFERROR(__xludf.DUMMYFUNCTION("""COMPUTED_VALUE"""),"Software Factory / Staffing")</f>
        <v>Software Factory / Staffing</v>
      </c>
    </row>
    <row r="3160">
      <c r="A3160" s="6" t="str">
        <f>IFERROR(__xludf.DUMMYFUNCTION("""COMPUTED_VALUE"""),"taktiful")</f>
        <v>taktiful</v>
      </c>
      <c r="B3160" s="6" t="str">
        <f>IFERROR(__xludf.DUMMYFUNCTION("""COMPUTED_VALUE"""),"Estados Unidos")</f>
        <v>Estados Unidos</v>
      </c>
      <c r="C3160" s="6" t="str">
        <f>IFERROR(__xludf.DUMMYFUNCTION("""COMPUTED_VALUE"""),"Management Consulting")</f>
        <v>Management Consulting</v>
      </c>
    </row>
    <row r="3161">
      <c r="A3161" s="6" t="str">
        <f>IFERROR(__xludf.DUMMYFUNCTION("""COMPUTED_VALUE"""),"overtime advisors llc")</f>
        <v>overtime advisors llc</v>
      </c>
      <c r="B3161" s="6" t="str">
        <f>IFERROR(__xludf.DUMMYFUNCTION("""COMPUTED_VALUE"""),"Estados Unidos")</f>
        <v>Estados Unidos</v>
      </c>
      <c r="C3161" s="6" t="str">
        <f>IFERROR(__xludf.DUMMYFUNCTION("""COMPUTED_VALUE"""),"Management Consulting")</f>
        <v>Management Consulting</v>
      </c>
    </row>
    <row r="3162">
      <c r="A3162" s="6" t="str">
        <f>IFERROR(__xludf.DUMMYFUNCTION("""COMPUTED_VALUE"""),"it4u")</f>
        <v>it4u</v>
      </c>
      <c r="B3162" s="6" t="str">
        <f>IFERROR(__xludf.DUMMYFUNCTION("""COMPUTED_VALUE"""),"Bélgica")</f>
        <v>Bélgica</v>
      </c>
      <c r="C3162" s="6" t="str">
        <f>IFERROR(__xludf.DUMMYFUNCTION("""COMPUTED_VALUE"""),"Software Factory / Staffing")</f>
        <v>Software Factory / Staffing</v>
      </c>
    </row>
    <row r="3163">
      <c r="A3163" s="6" t="str">
        <f>IFERROR(__xludf.DUMMYFUNCTION("""COMPUTED_VALUE"""),"dl consultores")</f>
        <v>dl consultores</v>
      </c>
      <c r="B3163" s="4"/>
      <c r="C3163" s="6" t="str">
        <f>IFERROR(__xludf.DUMMYFUNCTION("""COMPUTED_VALUE"""),"Software Factory / Staffing")</f>
        <v>Software Factory / Staffing</v>
      </c>
    </row>
    <row r="3164">
      <c r="A3164" s="6" t="str">
        <f>IFERROR(__xludf.DUMMYFUNCTION("""COMPUTED_VALUE"""),"best garden")</f>
        <v>best garden</v>
      </c>
      <c r="B3164" s="6" t="str">
        <f>IFERROR(__xludf.DUMMYFUNCTION("""COMPUTED_VALUE"""),"España")</f>
        <v>España</v>
      </c>
      <c r="C3164" s="6" t="str">
        <f>IFERROR(__xludf.DUMMYFUNCTION("""COMPUTED_VALUE"""),"Other")</f>
        <v>Other</v>
      </c>
    </row>
    <row r="3165">
      <c r="A3165" s="6" t="str">
        <f>IFERROR(__xludf.DUMMYFUNCTION("""COMPUTED_VALUE"""),"cognisys")</f>
        <v>cognisys</v>
      </c>
      <c r="B3165" s="6" t="str">
        <f>IFERROR(__xludf.DUMMYFUNCTION("""COMPUTED_VALUE"""),"Reino Unido")</f>
        <v>Reino Unido</v>
      </c>
      <c r="C3165" s="6" t="str">
        <f>IFERROR(__xludf.DUMMYFUNCTION("""COMPUTED_VALUE"""),"Software Factory / Staffing")</f>
        <v>Software Factory / Staffing</v>
      </c>
    </row>
    <row r="3166">
      <c r="A3166" s="6" t="str">
        <f>IFERROR(__xludf.DUMMYFUNCTION("""COMPUTED_VALUE"""),"kodland")</f>
        <v>kodland</v>
      </c>
      <c r="B3166" s="4"/>
      <c r="C3166" s="6" t="str">
        <f>IFERROR(__xludf.DUMMYFUNCTION("""COMPUTED_VALUE"""),"Education &amp; Edtech")</f>
        <v>Education &amp; Edtech</v>
      </c>
    </row>
    <row r="3167">
      <c r="A3167" s="6" t="str">
        <f>IFERROR(__xludf.DUMMYFUNCTION("""COMPUTED_VALUE"""),"assets logisitica")</f>
        <v>assets logisitica</v>
      </c>
      <c r="B3167" s="4"/>
      <c r="C3167" s="4"/>
    </row>
    <row r="3168">
      <c r="A3168" s="6" t="str">
        <f>IFERROR(__xludf.DUMMYFUNCTION("""COMPUTED_VALUE"""),"contractorstest")</f>
        <v>contractorstest</v>
      </c>
      <c r="B3168" s="4"/>
      <c r="C3168" s="4"/>
    </row>
    <row r="3169">
      <c r="A3169" s="6" t="str">
        <f>IFERROR(__xludf.DUMMYFUNCTION("""COMPUTED_VALUE"""),"order technology")</f>
        <v>order technology</v>
      </c>
      <c r="B3169" s="6" t="str">
        <f>IFERROR(__xludf.DUMMYFUNCTION("""COMPUTED_VALUE"""),"Estados Unidos")</f>
        <v>Estados Unidos</v>
      </c>
      <c r="C3169" s="6" t="str">
        <f>IFERROR(__xludf.DUMMYFUNCTION("""COMPUTED_VALUE"""),"Software Factory / Staffing")</f>
        <v>Software Factory / Staffing</v>
      </c>
    </row>
    <row r="3170">
      <c r="A3170" s="6" t="str">
        <f>IFERROR(__xludf.DUMMYFUNCTION("""COMPUTED_VALUE"""),"direccion informatica, ministerio de hacienda y obra publica, provincia de san luis")</f>
        <v>direccion informatica, ministerio de hacienda y obra publica, provincia de san luis</v>
      </c>
      <c r="B3170" s="4"/>
      <c r="C3170" s="4"/>
    </row>
    <row r="3171">
      <c r="A3171" s="6" t="str">
        <f>IFERROR(__xludf.DUMMYFUNCTION("""COMPUTED_VALUE"""),"sena")</f>
        <v>sena</v>
      </c>
      <c r="B3171" s="4"/>
      <c r="C3171" s="6" t="str">
        <f>IFERROR(__xludf.DUMMYFUNCTION("""COMPUTED_VALUE"""),"Education &amp; Edtech")</f>
        <v>Education &amp; Edtech</v>
      </c>
    </row>
    <row r="3172">
      <c r="A3172" s="6" t="str">
        <f>IFERROR(__xludf.DUMMYFUNCTION("""COMPUTED_VALUE"""),"bpt software")</f>
        <v>bpt software</v>
      </c>
      <c r="B3172" s="6" t="str">
        <f>IFERROR(__xludf.DUMMYFUNCTION("""COMPUTED_VALUE"""),"Colombia")</f>
        <v>Colombia</v>
      </c>
      <c r="C3172" s="6" t="str">
        <f>IFERROR(__xludf.DUMMYFUNCTION("""COMPUTED_VALUE"""),"Software Factory / Staffing")</f>
        <v>Software Factory / Staffing</v>
      </c>
    </row>
    <row r="3173">
      <c r="A3173" s="6" t="str">
        <f>IFERROR(__xludf.DUMMYFUNCTION("""COMPUTED_VALUE"""),"howard gardner school")</f>
        <v>howard gardner school</v>
      </c>
      <c r="B3173" s="6" t="str">
        <f>IFERROR(__xludf.DUMMYFUNCTION("""COMPUTED_VALUE"""),"Estados Unidos")</f>
        <v>Estados Unidos</v>
      </c>
      <c r="C3173" s="6" t="str">
        <f>IFERROR(__xludf.DUMMYFUNCTION("""COMPUTED_VALUE"""),"Education &amp; Edtech")</f>
        <v>Education &amp; Edtech</v>
      </c>
    </row>
    <row r="3174">
      <c r="A3174" s="6" t="str">
        <f>IFERROR(__xludf.DUMMYFUNCTION("""COMPUTED_VALUE"""),"twototango")</f>
        <v>twototango</v>
      </c>
      <c r="B3174" s="4"/>
      <c r="C3174" s="4"/>
    </row>
    <row r="3175">
      <c r="A3175" s="6" t="str">
        <f>IFERROR(__xludf.DUMMYFUNCTION("""COMPUTED_VALUE"""),"truora")</f>
        <v>truora</v>
      </c>
      <c r="B3175" s="6" t="str">
        <f>IFERROR(__xludf.DUMMYFUNCTION("""COMPUTED_VALUE"""),"Estados Unidos")</f>
        <v>Estados Unidos</v>
      </c>
      <c r="C3175" s="6" t="str">
        <f>IFERROR(__xludf.DUMMYFUNCTION("""COMPUTED_VALUE"""),"Software Factory / Staffing")</f>
        <v>Software Factory / Staffing</v>
      </c>
    </row>
    <row r="3176">
      <c r="A3176" s="6" t="str">
        <f>IFERROR(__xludf.DUMMYFUNCTION("""COMPUTED_VALUE"""),"duo0")</f>
        <v>duo0</v>
      </c>
      <c r="B3176" s="6" t="str">
        <f>IFERROR(__xludf.DUMMYFUNCTION("""COMPUTED_VALUE"""),"Argentina")</f>
        <v>Argentina</v>
      </c>
      <c r="C3176" s="6" t="str">
        <f>IFERROR(__xludf.DUMMYFUNCTION("""COMPUTED_VALUE"""),"Other")</f>
        <v>Other</v>
      </c>
    </row>
    <row r="3177">
      <c r="A3177" s="6" t="str">
        <f>IFERROR(__xludf.DUMMYFUNCTION("""COMPUTED_VALUE"""),"numera sas")</f>
        <v>numera sas</v>
      </c>
      <c r="B3177" s="4"/>
      <c r="C3177" s="4"/>
    </row>
    <row r="3178">
      <c r="A3178" s="6" t="str">
        <f>IFERROR(__xludf.DUMMYFUNCTION("""COMPUTED_VALUE"""),"don may")</f>
        <v>don may</v>
      </c>
      <c r="B3178" s="6" t="str">
        <f>IFERROR(__xludf.DUMMYFUNCTION("""COMPUTED_VALUE"""),"Estados Unidos")</f>
        <v>Estados Unidos</v>
      </c>
      <c r="C3178" s="4"/>
    </row>
    <row r="3179">
      <c r="A3179" s="6" t="str">
        <f>IFERROR(__xludf.DUMMYFUNCTION("""COMPUTED_VALUE"""),"necta sa")</f>
        <v>necta sa</v>
      </c>
      <c r="B3179" s="4"/>
      <c r="C3179" s="4"/>
    </row>
    <row r="3180">
      <c r="A3180" s="6" t="str">
        <f>IFERROR(__xludf.DUMMYFUNCTION("""COMPUTED_VALUE"""),"sms ventures")</f>
        <v>sms ventures</v>
      </c>
      <c r="B3180" s="4"/>
      <c r="C3180" s="6" t="str">
        <f>IFERROR(__xludf.DUMMYFUNCTION("""COMPUTED_VALUE"""),"Media &amp; Communication")</f>
        <v>Media &amp; Communication</v>
      </c>
    </row>
    <row r="3181">
      <c r="A3181" s="6" t="str">
        <f>IFERROR(__xludf.DUMMYFUNCTION("""COMPUTED_VALUE"""),"garege deep analytics")</f>
        <v>garege deep analytics</v>
      </c>
      <c r="B3181" s="4"/>
      <c r="C3181" s="4"/>
    </row>
    <row r="3182">
      <c r="A3182" s="6" t="str">
        <f>IFERROR(__xludf.DUMMYFUNCTION("""COMPUTED_VALUE"""),"aicore sa")</f>
        <v>aicore sa</v>
      </c>
      <c r="B3182" s="4"/>
      <c r="C3182" s="4"/>
    </row>
    <row r="3183">
      <c r="A3183" s="6" t="str">
        <f>IFERROR(__xludf.DUMMYFUNCTION("""COMPUTED_VALUE"""),"uve solutions")</f>
        <v>uve solutions</v>
      </c>
      <c r="B3183" s="6" t="str">
        <f>IFERROR(__xludf.DUMMYFUNCTION("""COMPUTED_VALUE"""),"España")</f>
        <v>España</v>
      </c>
      <c r="C3183" s="6" t="str">
        <f>IFERROR(__xludf.DUMMYFUNCTION("""COMPUTED_VALUE"""),"Software Factory / Staffing")</f>
        <v>Software Factory / Staffing</v>
      </c>
    </row>
    <row r="3184">
      <c r="A3184" s="6" t="str">
        <f>IFERROR(__xludf.DUMMYFUNCTION("""COMPUTED_VALUE"""),"agrobolsa s.a")</f>
        <v>agrobolsa s.a</v>
      </c>
      <c r="B3184" s="6" t="str">
        <f>IFERROR(__xludf.DUMMYFUNCTION("""COMPUTED_VALUE"""),"Colombia")</f>
        <v>Colombia</v>
      </c>
      <c r="C3184" s="6" t="str">
        <f>IFERROR(__xludf.DUMMYFUNCTION("""COMPUTED_VALUE"""),"Banking &amp; Financial Servicies")</f>
        <v>Banking &amp; Financial Servicies</v>
      </c>
    </row>
    <row r="3185">
      <c r="A3185" s="6" t="str">
        <f>IFERROR(__xludf.DUMMYFUNCTION("""COMPUTED_VALUE"""),"platinum")</f>
        <v>platinum</v>
      </c>
      <c r="B3185" s="6" t="str">
        <f>IFERROR(__xludf.DUMMYFUNCTION("""COMPUTED_VALUE"""),"Estados Unidos")</f>
        <v>Estados Unidos</v>
      </c>
      <c r="C3185" s="6" t="str">
        <f>IFERROR(__xludf.DUMMYFUNCTION("""COMPUTED_VALUE"""),"Other")</f>
        <v>Other</v>
      </c>
    </row>
    <row r="3186">
      <c r="A3186" s="6" t="str">
        <f>IFERROR(__xludf.DUMMYFUNCTION("""COMPUTED_VALUE"""),"onixdigital")</f>
        <v>onixdigital</v>
      </c>
      <c r="B3186" s="4"/>
      <c r="C3186" s="4"/>
    </row>
    <row r="3187">
      <c r="A3187" s="6" t="str">
        <f>IFERROR(__xludf.DUMMYFUNCTION("""COMPUTED_VALUE"""),"ciomprix")</f>
        <v>ciomprix</v>
      </c>
      <c r="B3187" s="6" t="str">
        <f>IFERROR(__xludf.DUMMYFUNCTION("""COMPUTED_VALUE"""),"Colombia")</f>
        <v>Colombia</v>
      </c>
      <c r="C3187" s="6" t="str">
        <f>IFERROR(__xludf.DUMMYFUNCTION("""COMPUTED_VALUE"""),"Software Factory / Staffing")</f>
        <v>Software Factory / Staffing</v>
      </c>
    </row>
    <row r="3188">
      <c r="A3188" s="6" t="str">
        <f>IFERROR(__xludf.DUMMYFUNCTION("""COMPUTED_VALUE"""),"r8 write tech corp")</f>
        <v>r8 write tech corp</v>
      </c>
      <c r="B3188" s="4"/>
      <c r="C3188" s="4"/>
    </row>
    <row r="3189">
      <c r="A3189" s="6" t="str">
        <f>IFERROR(__xludf.DUMMYFUNCTION("""COMPUTED_VALUE"""),"bioinnova technologies sas,")</f>
        <v>bioinnova technologies sas,</v>
      </c>
      <c r="B3189" s="4"/>
      <c r="C3189" s="4"/>
    </row>
    <row r="3190">
      <c r="A3190" s="6" t="str">
        <f>IFERROR(__xludf.DUMMYFUNCTION("""COMPUTED_VALUE"""),"tenx")</f>
        <v>tenx</v>
      </c>
      <c r="B3190" s="6" t="str">
        <f>IFERROR(__xludf.DUMMYFUNCTION("""COMPUTED_VALUE"""),"Argentina")</f>
        <v>Argentina</v>
      </c>
      <c r="C3190" s="6" t="str">
        <f>IFERROR(__xludf.DUMMYFUNCTION("""COMPUTED_VALUE"""),"Software Factory / Staffing")</f>
        <v>Software Factory / Staffing</v>
      </c>
    </row>
    <row r="3191">
      <c r="A3191" s="6" t="str">
        <f>IFERROR(__xludf.DUMMYFUNCTION("""COMPUTED_VALUE"""),"c&amp;c temporal s.a.s")</f>
        <v>c&amp;c temporal s.a.s</v>
      </c>
      <c r="B3191" s="6" t="str">
        <f>IFERROR(__xludf.DUMMYFUNCTION("""COMPUTED_VALUE"""),"España")</f>
        <v>España</v>
      </c>
      <c r="C3191" s="6" t="str">
        <f>IFERROR(__xludf.DUMMYFUNCTION("""COMPUTED_VALUE"""),"Health")</f>
        <v>Health</v>
      </c>
    </row>
    <row r="3192">
      <c r="A3192" s="6" t="str">
        <f>IFERROR(__xludf.DUMMYFUNCTION("""COMPUTED_VALUE"""),"fupad")</f>
        <v>fupad</v>
      </c>
      <c r="B3192" s="6" t="str">
        <f>IFERROR(__xludf.DUMMYFUNCTION("""COMPUTED_VALUE"""),"Colombia")</f>
        <v>Colombia</v>
      </c>
      <c r="C3192" s="6" t="str">
        <f>IFERROR(__xludf.DUMMYFUNCTION("""COMPUTED_VALUE"""),"Other")</f>
        <v>Other</v>
      </c>
    </row>
    <row r="3193">
      <c r="A3193" s="6" t="str">
        <f>IFERROR(__xludf.DUMMYFUNCTION("""COMPUTED_VALUE"""),"punto net")</f>
        <v>punto net</v>
      </c>
      <c r="B3193" s="6" t="str">
        <f>IFERROR(__xludf.DUMMYFUNCTION("""COMPUTED_VALUE"""),"Ecuador")</f>
        <v>Ecuador</v>
      </c>
      <c r="C3193" s="6" t="str">
        <f>IFERROR(__xludf.DUMMYFUNCTION("""COMPUTED_VALUE"""),"Messaging and Telecommunications")</f>
        <v>Messaging and Telecommunications</v>
      </c>
    </row>
    <row r="3194">
      <c r="A3194" s="6" t="str">
        <f>IFERROR(__xludf.DUMMYFUNCTION("""COMPUTED_VALUE"""),"collins s.a")</f>
        <v>collins s.a</v>
      </c>
      <c r="B3194" s="4"/>
      <c r="C3194" s="6" t="str">
        <f>IFERROR(__xludf.DUMMYFUNCTION("""COMPUTED_VALUE"""),"FMCG / Consumo masivo")</f>
        <v>FMCG / Consumo masivo</v>
      </c>
    </row>
    <row r="3195">
      <c r="A3195" s="6" t="str">
        <f>IFERROR(__xludf.DUMMYFUNCTION("""COMPUTED_VALUE"""),"adopta un junior")</f>
        <v>adopta un junior</v>
      </c>
      <c r="B3195" s="4"/>
      <c r="C3195" s="4"/>
    </row>
    <row r="3196">
      <c r="A3196" s="6" t="str">
        <f>IFERROR(__xludf.DUMMYFUNCTION("""COMPUTED_VALUE"""),"dizizid")</f>
        <v>dizizid</v>
      </c>
      <c r="B3196" s="4"/>
      <c r="C3196" s="4"/>
    </row>
    <row r="3197">
      <c r="A3197" s="6" t="str">
        <f>IFERROR(__xludf.DUMMYFUNCTION("""COMPUTED_VALUE"""),"cooperativa farmaceutica de litoral")</f>
        <v>cooperativa farmaceutica de litoral</v>
      </c>
      <c r="B3197" s="4"/>
      <c r="C3197" s="4"/>
    </row>
    <row r="3198">
      <c r="A3198" s="6" t="str">
        <f>IFERROR(__xludf.DUMMYFUNCTION("""COMPUTED_VALUE"""),"fgd")</f>
        <v>fgd</v>
      </c>
      <c r="B3198" s="6" t="str">
        <f>IFERROR(__xludf.DUMMYFUNCTION("""COMPUTED_VALUE"""),"Países Bajos")</f>
        <v>Países Bajos</v>
      </c>
      <c r="C3198" s="6" t="str">
        <f>IFERROR(__xludf.DUMMYFUNCTION("""COMPUTED_VALUE"""),"Insurance")</f>
        <v>Insurance</v>
      </c>
    </row>
    <row r="3199">
      <c r="A3199" s="6" t="str">
        <f>IFERROR(__xludf.DUMMYFUNCTION("""COMPUTED_VALUE"""),"brainsum")</f>
        <v>brainsum</v>
      </c>
      <c r="B3199" s="6" t="str">
        <f>IFERROR(__xludf.DUMMYFUNCTION("""COMPUTED_VALUE"""),"Estados Unidos")</f>
        <v>Estados Unidos</v>
      </c>
      <c r="C3199" s="6" t="str">
        <f>IFERROR(__xludf.DUMMYFUNCTION("""COMPUTED_VALUE"""),"Software Factory / Staffing")</f>
        <v>Software Factory / Staffing</v>
      </c>
    </row>
    <row r="3200">
      <c r="A3200" s="6" t="str">
        <f>IFERROR(__xludf.DUMMYFUNCTION("""COMPUTED_VALUE"""),"ypsilon")</f>
        <v>ypsilon</v>
      </c>
      <c r="B3200" s="6" t="str">
        <f>IFERROR(__xludf.DUMMYFUNCTION("""COMPUTED_VALUE"""),"España")</f>
        <v>España</v>
      </c>
      <c r="C3200" s="6" t="str">
        <f>IFERROR(__xludf.DUMMYFUNCTION("""COMPUTED_VALUE"""),"Other")</f>
        <v>Other</v>
      </c>
    </row>
    <row r="3201">
      <c r="A3201" s="6" t="str">
        <f>IFERROR(__xludf.DUMMYFUNCTION("""COMPUTED_VALUE"""),"sport club")</f>
        <v>sport club</v>
      </c>
      <c r="B3201" s="6" t="str">
        <f>IFERROR(__xludf.DUMMYFUNCTION("""COMPUTED_VALUE"""),"Brasil")</f>
        <v>Brasil</v>
      </c>
      <c r="C3201" s="6" t="str">
        <f>IFERROR(__xludf.DUMMYFUNCTION("""COMPUTED_VALUE"""),"Media &amp; Communication")</f>
        <v>Media &amp; Communication</v>
      </c>
    </row>
    <row r="3202">
      <c r="A3202" s="6" t="str">
        <f>IFERROR(__xludf.DUMMYFUNCTION("""COMPUTED_VALUE"""),"petroshore compliance")</f>
        <v>petroshore compliance</v>
      </c>
      <c r="B3202" s="4"/>
      <c r="C3202" s="6" t="str">
        <f>IFERROR(__xludf.DUMMYFUNCTION("""COMPUTED_VALUE"""),"Energy")</f>
        <v>Energy</v>
      </c>
    </row>
    <row r="3203">
      <c r="A3203" s="6" t="str">
        <f>IFERROR(__xludf.DUMMYFUNCTION("""COMPUTED_VALUE"""),"thalamus")</f>
        <v>thalamus</v>
      </c>
      <c r="B3203" s="6" t="str">
        <f>IFERROR(__xludf.DUMMYFUNCTION("""COMPUTED_VALUE"""),"Estados Unidos")</f>
        <v>Estados Unidos</v>
      </c>
      <c r="C3203" s="6" t="str">
        <f>IFERROR(__xludf.DUMMYFUNCTION("""COMPUTED_VALUE"""),"Software Factory / Staffing")</f>
        <v>Software Factory / Staffing</v>
      </c>
    </row>
    <row r="3204">
      <c r="A3204" s="6" t="str">
        <f>IFERROR(__xludf.DUMMYFUNCTION("""COMPUTED_VALUE"""),"udd")</f>
        <v>udd</v>
      </c>
      <c r="B3204" s="6" t="str">
        <f>IFERROR(__xludf.DUMMYFUNCTION("""COMPUTED_VALUE"""),"Chile")</f>
        <v>Chile</v>
      </c>
      <c r="C3204" s="6" t="str">
        <f>IFERROR(__xludf.DUMMYFUNCTION("""COMPUTED_VALUE"""),"Other")</f>
        <v>Other</v>
      </c>
    </row>
    <row r="3205">
      <c r="A3205" s="6" t="str">
        <f>IFERROR(__xludf.DUMMYFUNCTION("""COMPUTED_VALUE"""),"mediline")</f>
        <v>mediline</v>
      </c>
      <c r="B3205" s="4"/>
      <c r="C3205" s="6" t="str">
        <f>IFERROR(__xludf.DUMMYFUNCTION("""COMPUTED_VALUE"""),"Other")</f>
        <v>Other</v>
      </c>
    </row>
    <row r="3206">
      <c r="A3206" s="6" t="str">
        <f>IFERROR(__xludf.DUMMYFUNCTION("""COMPUTED_VALUE"""),"huubie")</f>
        <v>huubie</v>
      </c>
      <c r="B3206" s="4"/>
      <c r="C3206" s="6" t="str">
        <f>IFERROR(__xludf.DUMMYFUNCTION("""COMPUTED_VALUE"""),"Other")</f>
        <v>Other</v>
      </c>
    </row>
    <row r="3207">
      <c r="A3207" s="6" t="str">
        <f>IFERROR(__xludf.DUMMYFUNCTION("""COMPUTED_VALUE"""),"urban science")</f>
        <v>urban science</v>
      </c>
      <c r="B3207" s="6" t="str">
        <f>IFERROR(__xludf.DUMMYFUNCTION("""COMPUTED_VALUE"""),"Estados Unidos")</f>
        <v>Estados Unidos</v>
      </c>
      <c r="C3207" s="6" t="str">
        <f>IFERROR(__xludf.DUMMYFUNCTION("""COMPUTED_VALUE"""),"Other")</f>
        <v>Other</v>
      </c>
    </row>
    <row r="3208">
      <c r="A3208" s="6" t="str">
        <f>IFERROR(__xludf.DUMMYFUNCTION("""COMPUTED_VALUE"""),"chinchilla games")</f>
        <v>chinchilla games</v>
      </c>
      <c r="B3208" s="4"/>
      <c r="C3208" s="4"/>
    </row>
    <row r="3209">
      <c r="A3209" s="6" t="str">
        <f>IFERROR(__xludf.DUMMYFUNCTION("""COMPUTED_VALUE"""),"retcom")</f>
        <v>retcom</v>
      </c>
      <c r="B3209" s="4"/>
      <c r="C3209" s="6" t="str">
        <f>IFERROR(__xludf.DUMMYFUNCTION("""COMPUTED_VALUE"""),"Messaging and Telecommunications")</f>
        <v>Messaging and Telecommunications</v>
      </c>
    </row>
    <row r="3210">
      <c r="A3210" s="6" t="str">
        <f>IFERROR(__xludf.DUMMYFUNCTION("""COMPUTED_VALUE"""),"master loyalty group")</f>
        <v>master loyalty group</v>
      </c>
      <c r="B3210" s="6" t="str">
        <f>IFERROR(__xludf.DUMMYFUNCTION("""COMPUTED_VALUE"""),"México")</f>
        <v>México</v>
      </c>
      <c r="C3210" s="6" t="str">
        <f>IFERROR(__xludf.DUMMYFUNCTION("""COMPUTED_VALUE"""),"Marketing &amp; Advertising")</f>
        <v>Marketing &amp; Advertising</v>
      </c>
    </row>
    <row r="3211">
      <c r="A3211" s="6" t="str">
        <f>IFERROR(__xludf.DUMMYFUNCTION("""COMPUTED_VALUE"""),"eurekaplicaciones")</f>
        <v>eurekaplicaciones</v>
      </c>
      <c r="B3211" s="6" t="str">
        <f>IFERROR(__xludf.DUMMYFUNCTION("""COMPUTED_VALUE"""),"Argentina")</f>
        <v>Argentina</v>
      </c>
      <c r="C3211" s="4"/>
    </row>
    <row r="3212">
      <c r="A3212" s="6" t="str">
        <f>IFERROR(__xludf.DUMMYFUNCTION("""COMPUTED_VALUE"""),"corporativo torres corzo")</f>
        <v>corporativo torres corzo</v>
      </c>
      <c r="B3212" s="4"/>
      <c r="C3212" s="6" t="str">
        <f>IFERROR(__xludf.DUMMYFUNCTION("""COMPUTED_VALUE"""),"Other")</f>
        <v>Other</v>
      </c>
    </row>
    <row r="3213">
      <c r="A3213" s="6" t="str">
        <f>IFERROR(__xludf.DUMMYFUNCTION("""COMPUTED_VALUE"""),"turing corp")</f>
        <v>turing corp</v>
      </c>
      <c r="B3213" s="6" t="str">
        <f>IFERROR(__xludf.DUMMYFUNCTION("""COMPUTED_VALUE"""),"Argentina")</f>
        <v>Argentina</v>
      </c>
      <c r="C3213" s="6" t="str">
        <f>IFERROR(__xludf.DUMMYFUNCTION("""COMPUTED_VALUE"""),"Software Factory / Staffing")</f>
        <v>Software Factory / Staffing</v>
      </c>
    </row>
    <row r="3214">
      <c r="A3214" s="6" t="str">
        <f>IFERROR(__xludf.DUMMYFUNCTION("""COMPUTED_VALUE"""),"horticulture master ltd.")</f>
        <v>horticulture master ltd.</v>
      </c>
      <c r="B3214" s="4"/>
      <c r="C3214" s="6" t="str">
        <f>IFERROR(__xludf.DUMMYFUNCTION("""COMPUTED_VALUE"""),"Software Factory / Staffing")</f>
        <v>Software Factory / Staffing</v>
      </c>
    </row>
    <row r="3215">
      <c r="A3215" s="6" t="str">
        <f>IFERROR(__xludf.DUMMYFUNCTION("""COMPUTED_VALUE"""),"eva seguros")</f>
        <v>eva seguros</v>
      </c>
      <c r="B3215" s="6" t="str">
        <f>IFERROR(__xludf.DUMMYFUNCTION("""COMPUTED_VALUE"""),"España")</f>
        <v>España</v>
      </c>
      <c r="C3215" s="6" t="str">
        <f>IFERROR(__xludf.DUMMYFUNCTION("""COMPUTED_VALUE"""),"Insurance")</f>
        <v>Insurance</v>
      </c>
    </row>
    <row r="3216">
      <c r="A3216" s="6" t="str">
        <f>IFERROR(__xludf.DUMMYFUNCTION("""COMPUTED_VALUE"""),"sphere consulting s.a.c.")</f>
        <v>sphere consulting s.a.c.</v>
      </c>
      <c r="B3216" s="6" t="str">
        <f>IFERROR(__xludf.DUMMYFUNCTION("""COMPUTED_VALUE"""),"Perú")</f>
        <v>Perú</v>
      </c>
      <c r="C3216" s="6" t="str">
        <f>IFERROR(__xludf.DUMMYFUNCTION("""COMPUTED_VALUE"""),"Software Factory / Staffing")</f>
        <v>Software Factory / Staffing</v>
      </c>
    </row>
    <row r="3217">
      <c r="A3217" s="6" t="str">
        <f>IFERROR(__xludf.DUMMYFUNCTION("""COMPUTED_VALUE"""),"innova solutions")</f>
        <v>innova solutions</v>
      </c>
      <c r="B3217" s="6" t="str">
        <f>IFERROR(__xludf.DUMMYFUNCTION("""COMPUTED_VALUE"""),"Estados Unidos")</f>
        <v>Estados Unidos</v>
      </c>
      <c r="C3217" s="6" t="str">
        <f>IFERROR(__xludf.DUMMYFUNCTION("""COMPUTED_VALUE"""),"Software Factory / Staffing")</f>
        <v>Software Factory / Staffing</v>
      </c>
    </row>
    <row r="3218">
      <c r="A3218" s="6" t="str">
        <f>IFERROR(__xludf.DUMMYFUNCTION("""COMPUTED_VALUE"""),"feroflex")</f>
        <v>feroflex</v>
      </c>
      <c r="B3218" s="6" t="str">
        <f>IFERROR(__xludf.DUMMYFUNCTION("""COMPUTED_VALUE"""),"Estonia")</f>
        <v>Estonia</v>
      </c>
      <c r="C3218" s="6" t="str">
        <f>IFERROR(__xludf.DUMMYFUNCTION("""COMPUTED_VALUE"""),"Construction")</f>
        <v>Construction</v>
      </c>
    </row>
    <row r="3219">
      <c r="A3219" s="6" t="str">
        <f>IFERROR(__xludf.DUMMYFUNCTION("""COMPUTED_VALUE"""),"green&amp;co")</f>
        <v>green&amp;co</v>
      </c>
      <c r="B3219" s="6" t="str">
        <f>IFERROR(__xludf.DUMMYFUNCTION("""COMPUTED_VALUE"""),"Italia")</f>
        <v>Italia</v>
      </c>
      <c r="C3219" s="6" t="str">
        <f>IFERROR(__xludf.DUMMYFUNCTION("""COMPUTED_VALUE"""),"Mechanical/Industrial Engineering")</f>
        <v>Mechanical/Industrial Engineering</v>
      </c>
    </row>
    <row r="3220">
      <c r="A3220" s="6" t="str">
        <f>IFERROR(__xludf.DUMMYFUNCTION("""COMPUTED_VALUE"""),"municipalidad lujan de cuyo")</f>
        <v>municipalidad lujan de cuyo</v>
      </c>
      <c r="B3220" s="6" t="str">
        <f>IFERROR(__xludf.DUMMYFUNCTION("""COMPUTED_VALUE"""),"Argentina")</f>
        <v>Argentina</v>
      </c>
      <c r="C3220" s="6" t="str">
        <f>IFERROR(__xludf.DUMMYFUNCTION("""COMPUTED_VALUE"""),"Public Center")</f>
        <v>Public Center</v>
      </c>
    </row>
    <row r="3221">
      <c r="A3221" s="6" t="str">
        <f>IFERROR(__xludf.DUMMYFUNCTION("""COMPUTED_VALUE"""),"max segur")</f>
        <v>max segur</v>
      </c>
      <c r="B3221" s="4"/>
      <c r="C3221" s="6" t="str">
        <f>IFERROR(__xludf.DUMMYFUNCTION("""COMPUTED_VALUE"""),"Other")</f>
        <v>Other</v>
      </c>
    </row>
    <row r="3222">
      <c r="A3222" s="6" t="str">
        <f>IFERROR(__xludf.DUMMYFUNCTION("""COMPUTED_VALUE"""),"seemple")</f>
        <v>seemple</v>
      </c>
      <c r="B3222" s="6" t="str">
        <f>IFERROR(__xludf.DUMMYFUNCTION("""COMPUTED_VALUE"""),"Argentina")</f>
        <v>Argentina</v>
      </c>
      <c r="C3222" s="6" t="str">
        <f>IFERROR(__xludf.DUMMYFUNCTION("""COMPUTED_VALUE"""),"Marketing &amp; Advertising")</f>
        <v>Marketing &amp; Advertising</v>
      </c>
    </row>
    <row r="3223">
      <c r="A3223" s="6" t="str">
        <f>IFERROR(__xludf.DUMMYFUNCTION("""COMPUTED_VALUE"""),"taktiful software solutions llc")</f>
        <v>taktiful software solutions llc</v>
      </c>
      <c r="B3223" s="4"/>
      <c r="C3223" s="4"/>
    </row>
    <row r="3224">
      <c r="A3224" s="6" t="str">
        <f>IFERROR(__xludf.DUMMYFUNCTION("""COMPUTED_VALUE"""),"win")</f>
        <v>win</v>
      </c>
      <c r="B3224" s="6" t="str">
        <f>IFERROR(__xludf.DUMMYFUNCTION("""COMPUTED_VALUE"""),"Estados Unidos")</f>
        <v>Estados Unidos</v>
      </c>
      <c r="C3224" s="6" t="str">
        <f>IFERROR(__xludf.DUMMYFUNCTION("""COMPUTED_VALUE"""),"Other")</f>
        <v>Other</v>
      </c>
    </row>
    <row r="3225">
      <c r="A3225" s="6" t="str">
        <f>IFERROR(__xludf.DUMMYFUNCTION("""COMPUTED_VALUE"""),"make")</f>
        <v>make</v>
      </c>
      <c r="B3225" s="4"/>
      <c r="C3225" s="6" t="str">
        <f>IFERROR(__xludf.DUMMYFUNCTION("""COMPUTED_VALUE"""),"FMCG / Consumo masivo")</f>
        <v>FMCG / Consumo masivo</v>
      </c>
    </row>
    <row r="3226">
      <c r="A3226" s="6" t="str">
        <f>IFERROR(__xludf.DUMMYFUNCTION("""COMPUTED_VALUE"""),"prisma")</f>
        <v>prisma</v>
      </c>
      <c r="B3226" s="6" t="str">
        <f>IFERROR(__xludf.DUMMYFUNCTION("""COMPUTED_VALUE"""),"Argentina")</f>
        <v>Argentina</v>
      </c>
      <c r="C3226" s="6" t="str">
        <f>IFERROR(__xludf.DUMMYFUNCTION("""COMPUTED_VALUE"""),"Software Factory / Staffing")</f>
        <v>Software Factory / Staffing</v>
      </c>
    </row>
    <row r="3227">
      <c r="A3227" s="6" t="str">
        <f>IFERROR(__xludf.DUMMYFUNCTION("""COMPUTED_VALUE"""),"noc noc")</f>
        <v>noc noc</v>
      </c>
      <c r="B3227" s="6" t="str">
        <f>IFERROR(__xludf.DUMMYFUNCTION("""COMPUTED_VALUE"""),"Estados Unidos")</f>
        <v>Estados Unidos</v>
      </c>
      <c r="C3227" s="6" t="str">
        <f>IFERROR(__xludf.DUMMYFUNCTION("""COMPUTED_VALUE"""),"Mechanical/Industrial Engineering")</f>
        <v>Mechanical/Industrial Engineering</v>
      </c>
    </row>
    <row r="3228">
      <c r="A3228" s="6" t="str">
        <f>IFERROR(__xludf.DUMMYFUNCTION("""COMPUTED_VALUE"""),"vopper")</f>
        <v>vopper</v>
      </c>
      <c r="B3228" s="6" t="str">
        <f>IFERROR(__xludf.DUMMYFUNCTION("""COMPUTED_VALUE"""),"México")</f>
        <v>México</v>
      </c>
      <c r="C3228" s="6" t="str">
        <f>IFERROR(__xludf.DUMMYFUNCTION("""COMPUTED_VALUE"""),"Public Center")</f>
        <v>Public Center</v>
      </c>
    </row>
    <row r="3229">
      <c r="A3229" s="6" t="str">
        <f>IFERROR(__xludf.DUMMYFUNCTION("""COMPUTED_VALUE"""),"unilever de argentina s.a")</f>
        <v>unilever de argentina s.a</v>
      </c>
      <c r="B3229" s="4"/>
      <c r="C3229" s="4"/>
    </row>
    <row r="3230">
      <c r="A3230" s="6" t="str">
        <f>IFERROR(__xludf.DUMMYFUNCTION("""COMPUTED_VALUE"""),"keg off tap")</f>
        <v>keg off tap</v>
      </c>
      <c r="B3230" s="4"/>
      <c r="C3230" s="4"/>
    </row>
    <row r="3231">
      <c r="A3231" s="6" t="str">
        <f>IFERROR(__xludf.DUMMYFUNCTION("""COMPUTED_VALUE"""),"el conjuro bar")</f>
        <v>el conjuro bar</v>
      </c>
      <c r="B3231" s="4"/>
      <c r="C3231" s="4"/>
    </row>
    <row r="3232">
      <c r="A3232" s="6" t="str">
        <f>IFERROR(__xludf.DUMMYFUNCTION("""COMPUTED_VALUE"""),"squad s.r.l")</f>
        <v>squad s.r.l</v>
      </c>
      <c r="B3232" s="4"/>
      <c r="C3232" s="4"/>
    </row>
    <row r="3233">
      <c r="A3233" s="6" t="str">
        <f>IFERROR(__xludf.DUMMYFUNCTION("""COMPUTED_VALUE"""),"awa industry")</f>
        <v>awa industry</v>
      </c>
      <c r="B3233" s="4"/>
      <c r="C3233" s="6" t="str">
        <f>IFERROR(__xludf.DUMMYFUNCTION("""COMPUTED_VALUE"""),"Law/Legal Services")</f>
        <v>Law/Legal Services</v>
      </c>
    </row>
    <row r="3234">
      <c r="A3234" s="6" t="str">
        <f>IFERROR(__xludf.DUMMYFUNCTION("""COMPUTED_VALUE"""),"rht")</f>
        <v>rht</v>
      </c>
      <c r="B3234" s="6" t="str">
        <f>IFERROR(__xludf.DUMMYFUNCTION("""COMPUTED_VALUE"""),"Argentina")</f>
        <v>Argentina</v>
      </c>
      <c r="C3234" s="6" t="str">
        <f>IFERROR(__xludf.DUMMYFUNCTION("""COMPUTED_VALUE"""),"Software Factory / Staffing")</f>
        <v>Software Factory / Staffing</v>
      </c>
    </row>
    <row r="3235">
      <c r="A3235" s="6" t="str">
        <f>IFERROR(__xludf.DUMMYFUNCTION("""COMPUTED_VALUE"""),"sonep srl")</f>
        <v>sonep srl</v>
      </c>
      <c r="B3235" s="4"/>
      <c r="C3235" s="4"/>
    </row>
    <row r="3236">
      <c r="A3236" s="6" t="str">
        <f>IFERROR(__xludf.DUMMYFUNCTION("""COMPUTED_VALUE"""),"maquisistema")</f>
        <v>maquisistema</v>
      </c>
      <c r="B3236" s="6" t="str">
        <f>IFERROR(__xludf.DUMMYFUNCTION("""COMPUTED_VALUE"""),"Perú")</f>
        <v>Perú</v>
      </c>
      <c r="C3236" s="6" t="str">
        <f>IFERROR(__xludf.DUMMYFUNCTION("""COMPUTED_VALUE"""),"Banking &amp; Financial Servicies")</f>
        <v>Banking &amp; Financial Servicies</v>
      </c>
    </row>
    <row r="3237">
      <c r="A3237" s="6" t="str">
        <f>IFERROR(__xludf.DUMMYFUNCTION("""COMPUTED_VALUE"""),"g2itsolutions")</f>
        <v>g2itsolutions</v>
      </c>
      <c r="B3237" s="4"/>
      <c r="C3237" s="4"/>
    </row>
    <row r="3238">
      <c r="A3238" s="6" t="str">
        <f>IFERROR(__xludf.DUMMYFUNCTION("""COMPUTED_VALUE"""),"root software empredimiento")</f>
        <v>root software empredimiento</v>
      </c>
      <c r="B3238" s="4"/>
      <c r="C3238" s="4"/>
    </row>
    <row r="3239">
      <c r="A3239" s="6" t="str">
        <f>IFERROR(__xludf.DUMMYFUNCTION("""COMPUTED_VALUE"""),"running pips")</f>
        <v>running pips</v>
      </c>
      <c r="B3239" s="4"/>
      <c r="C3239" s="4"/>
    </row>
    <row r="3240">
      <c r="A3240" s="6" t="str">
        <f>IFERROR(__xludf.DUMMYFUNCTION("""COMPUTED_VALUE"""),"rupt")</f>
        <v>rupt</v>
      </c>
      <c r="B3240" s="4"/>
      <c r="C3240" s="4"/>
    </row>
    <row r="3241">
      <c r="A3241" s="6" t="str">
        <f>IFERROR(__xludf.DUMMYFUNCTION("""COMPUTED_VALUE"""),"zaple")</f>
        <v>zaple</v>
      </c>
      <c r="B3241" s="6" t="str">
        <f>IFERROR(__xludf.DUMMYFUNCTION("""COMPUTED_VALUE"""),"Argentina")</f>
        <v>Argentina</v>
      </c>
      <c r="C3241" s="6" t="str">
        <f>IFERROR(__xludf.DUMMYFUNCTION("""COMPUTED_VALUE"""),"Marketing &amp; Advertising")</f>
        <v>Marketing &amp; Advertising</v>
      </c>
    </row>
    <row r="3242">
      <c r="A3242" s="6" t="str">
        <f>IFERROR(__xludf.DUMMYFUNCTION("""COMPUTED_VALUE"""),"a &amp; j supply c.a")</f>
        <v>a &amp; j supply c.a</v>
      </c>
      <c r="B3242" s="4"/>
      <c r="C3242" s="6" t="str">
        <f>IFERROR(__xludf.DUMMYFUNCTION("""COMPUTED_VALUE"""),"FMCG / Consumo masivo")</f>
        <v>FMCG / Consumo masivo</v>
      </c>
    </row>
    <row r="3243">
      <c r="A3243" s="6" t="str">
        <f>IFERROR(__xludf.DUMMYFUNCTION("""COMPUTED_VALUE"""),"innovus software")</f>
        <v>innovus software</v>
      </c>
      <c r="B3243" s="6" t="str">
        <f>IFERROR(__xludf.DUMMYFUNCTION("""COMPUTED_VALUE"""),"Argentina")</f>
        <v>Argentina</v>
      </c>
      <c r="C3243" s="6" t="str">
        <f>IFERROR(__xludf.DUMMYFUNCTION("""COMPUTED_VALUE"""),"Software Factory / Staffing")</f>
        <v>Software Factory / Staffing</v>
      </c>
    </row>
    <row r="3244">
      <c r="A3244" s="6" t="str">
        <f>IFERROR(__xludf.DUMMYFUNCTION("""COMPUTED_VALUE"""),"dataart")</f>
        <v>dataart</v>
      </c>
      <c r="B3244" s="6" t="str">
        <f>IFERROR(__xludf.DUMMYFUNCTION("""COMPUTED_VALUE"""),"Estados Unidos")</f>
        <v>Estados Unidos</v>
      </c>
      <c r="C3244" s="6" t="str">
        <f>IFERROR(__xludf.DUMMYFUNCTION("""COMPUTED_VALUE"""),"Software Factory / Staffing")</f>
        <v>Software Factory / Staffing</v>
      </c>
    </row>
    <row r="3245">
      <c r="A3245" s="6" t="str">
        <f>IFERROR(__xludf.DUMMYFUNCTION("""COMPUTED_VALUE"""),"recamier espinosa y asociados")</f>
        <v>recamier espinosa y asociados</v>
      </c>
      <c r="B3245" s="4"/>
      <c r="C3245" s="4"/>
    </row>
    <row r="3246">
      <c r="A3246" s="6" t="str">
        <f>IFERROR(__xludf.DUMMYFUNCTION("""COMPUTED_VALUE"""),"ulipop sas")</f>
        <v>ulipop sas</v>
      </c>
      <c r="B3246" s="4"/>
      <c r="C3246" s="4"/>
    </row>
    <row r="3247">
      <c r="A3247" s="6" t="str">
        <f>IFERROR(__xludf.DUMMYFUNCTION("""COMPUTED_VALUE"""),"clostech")</f>
        <v>clostech</v>
      </c>
      <c r="B3247" s="6" t="str">
        <f>IFERROR(__xludf.DUMMYFUNCTION("""COMPUTED_VALUE"""),"Argentina")</f>
        <v>Argentina</v>
      </c>
      <c r="C3247" s="6" t="str">
        <f>IFERROR(__xludf.DUMMYFUNCTION("""COMPUTED_VALUE"""),"Software Factory / Staffing")</f>
        <v>Software Factory / Staffing</v>
      </c>
    </row>
    <row r="3248">
      <c r="A3248" s="6" t="str">
        <f>IFERROR(__xludf.DUMMYFUNCTION("""COMPUTED_VALUE"""),"el dorado research group")</f>
        <v>el dorado research group</v>
      </c>
      <c r="B3248" s="4"/>
      <c r="C3248" s="4"/>
    </row>
    <row r="3249">
      <c r="A3249" s="6" t="str">
        <f>IFERROR(__xludf.DUMMYFUNCTION("""COMPUTED_VALUE"""),"asociación civil nueva mente")</f>
        <v>asociación civil nueva mente</v>
      </c>
      <c r="B3249" s="4"/>
      <c r="C3249" s="4"/>
    </row>
    <row r="3250">
      <c r="A3250" s="6" t="str">
        <f>IFERROR(__xludf.DUMMYFUNCTION("""COMPUTED_VALUE"""),"yoinvierto")</f>
        <v>yoinvierto</v>
      </c>
      <c r="B3250" s="6" t="str">
        <f>IFERROR(__xludf.DUMMYFUNCTION("""COMPUTED_VALUE"""),"Malta")</f>
        <v>Malta</v>
      </c>
      <c r="C3250" s="6" t="str">
        <f>IFERROR(__xludf.DUMMYFUNCTION("""COMPUTED_VALUE"""),"Education &amp; Edtech")</f>
        <v>Education &amp; Edtech</v>
      </c>
    </row>
    <row r="3251">
      <c r="A3251" s="6" t="str">
        <f>IFERROR(__xludf.DUMMYFUNCTION("""COMPUTED_VALUE"""),"spaceguru")</f>
        <v>spaceguru</v>
      </c>
      <c r="B3251" s="6" t="str">
        <f>IFERROR(__xludf.DUMMYFUNCTION("""COMPUTED_VALUE"""),"Argentina")</f>
        <v>Argentina</v>
      </c>
      <c r="C3251" s="6" t="str">
        <f>IFERROR(__xludf.DUMMYFUNCTION("""COMPUTED_VALUE"""),"Other")</f>
        <v>Other</v>
      </c>
    </row>
    <row r="3252">
      <c r="A3252" s="6" t="str">
        <f>IFERROR(__xludf.DUMMYFUNCTION("""COMPUTED_VALUE"""),"chango consultora")</f>
        <v>chango consultora</v>
      </c>
      <c r="B3252" s="4"/>
      <c r="C3252" s="6" t="str">
        <f>IFERROR(__xludf.DUMMYFUNCTION("""COMPUTED_VALUE"""),"Management Consulting")</f>
        <v>Management Consulting</v>
      </c>
    </row>
    <row r="3253">
      <c r="A3253" s="6" t="str">
        <f>IFERROR(__xludf.DUMMYFUNCTION("""COMPUTED_VALUE"""),"manuable")</f>
        <v>manuable</v>
      </c>
      <c r="B3253" s="6" t="str">
        <f>IFERROR(__xludf.DUMMYFUNCTION("""COMPUTED_VALUE"""),"México")</f>
        <v>México</v>
      </c>
      <c r="C3253" s="6" t="str">
        <f>IFERROR(__xludf.DUMMYFUNCTION("""COMPUTED_VALUE"""),"Software Factory / Staffing")</f>
        <v>Software Factory / Staffing</v>
      </c>
    </row>
    <row r="3254">
      <c r="A3254" s="6" t="str">
        <f>IFERROR(__xludf.DUMMYFUNCTION("""COMPUTED_VALUE"""),"galactikos")</f>
        <v>galactikos</v>
      </c>
      <c r="B3254" s="4"/>
      <c r="C3254" s="6" t="str">
        <f>IFERROR(__xludf.DUMMYFUNCTION("""COMPUTED_VALUE"""),"Software Factory / Staffing")</f>
        <v>Software Factory / Staffing</v>
      </c>
    </row>
    <row r="3255">
      <c r="A3255" s="6" t="str">
        <f>IFERROR(__xludf.DUMMYFUNCTION("""COMPUTED_VALUE"""),"castro ingenieria")</f>
        <v>castro ingenieria</v>
      </c>
      <c r="B3255" s="4"/>
      <c r="C3255" s="4"/>
    </row>
    <row r="3256">
      <c r="A3256" s="6" t="str">
        <f>IFERROR(__xludf.DUMMYFUNCTION("""COMPUTED_VALUE"""),"gravidad")</f>
        <v>gravidad</v>
      </c>
      <c r="B3256" s="4"/>
      <c r="C3256" s="4"/>
    </row>
    <row r="3257">
      <c r="A3257" s="6" t="str">
        <f>IFERROR(__xludf.DUMMYFUNCTION("""COMPUTED_VALUE"""),"marcos gallardo")</f>
        <v>marcos gallardo</v>
      </c>
      <c r="B3257" s="4"/>
      <c r="C3257" s="4"/>
    </row>
    <row r="3258">
      <c r="A3258" s="6" t="str">
        <f>IFERROR(__xludf.DUMMYFUNCTION("""COMPUTED_VALUE"""),"bld argentina s.r.l.")</f>
        <v>bld argentina s.r.l.</v>
      </c>
      <c r="B3258" s="4"/>
      <c r="C3258" s="4"/>
    </row>
    <row r="3259">
      <c r="A3259" s="6" t="str">
        <f>IFERROR(__xludf.DUMMYFUNCTION("""COMPUTED_VALUE"""),"analitics town")</f>
        <v>analitics town</v>
      </c>
      <c r="B3259" s="4"/>
      <c r="C3259" s="4"/>
    </row>
    <row r="3260">
      <c r="A3260" s="6" t="str">
        <f>IFERROR(__xludf.DUMMYFUNCTION("""COMPUTED_VALUE"""),"impera")</f>
        <v>impera</v>
      </c>
      <c r="B3260" s="4"/>
      <c r="C3260" s="6" t="str">
        <f>IFERROR(__xludf.DUMMYFUNCTION("""COMPUTED_VALUE"""),"Software Factory / Staffing")</f>
        <v>Software Factory / Staffing</v>
      </c>
    </row>
    <row r="3261">
      <c r="A3261" s="6" t="str">
        <f>IFERROR(__xludf.DUMMYFUNCTION("""COMPUTED_VALUE"""),"piso 29")</f>
        <v>piso 29</v>
      </c>
      <c r="B3261" s="6" t="str">
        <f>IFERROR(__xludf.DUMMYFUNCTION("""COMPUTED_VALUE"""),"Chile")</f>
        <v>Chile</v>
      </c>
      <c r="C3261" s="6" t="str">
        <f>IFERROR(__xludf.DUMMYFUNCTION("""COMPUTED_VALUE"""),"Marketing &amp; Advertising")</f>
        <v>Marketing &amp; Advertising</v>
      </c>
    </row>
    <row r="3262">
      <c r="A3262" s="6" t="str">
        <f>IFERROR(__xludf.DUMMYFUNCTION("""COMPUTED_VALUE"""),"supermat")</f>
        <v>supermat</v>
      </c>
      <c r="B3262" s="6" t="str">
        <f>IFERROR(__xludf.DUMMYFUNCTION("""COMPUTED_VALUE"""),"Estados Unidos")</f>
        <v>Estados Unidos</v>
      </c>
      <c r="C3262" s="4"/>
    </row>
    <row r="3263">
      <c r="A3263" s="6" t="str">
        <f>IFERROR(__xludf.DUMMYFUNCTION("""COMPUTED_VALUE"""),"yoab undurraga")</f>
        <v>yoab undurraga</v>
      </c>
      <c r="B3263" s="4"/>
      <c r="C3263" s="4"/>
    </row>
    <row r="3264">
      <c r="A3264" s="6" t="str">
        <f>IFERROR(__xludf.DUMMYFUNCTION("""COMPUTED_VALUE"""),"vox-ventures s.a.")</f>
        <v>vox-ventures s.a.</v>
      </c>
      <c r="B3264" s="4"/>
      <c r="C3264" s="4"/>
    </row>
    <row r="3265">
      <c r="A3265" s="6" t="str">
        <f>IFERROR(__xludf.DUMMYFUNCTION("""COMPUTED_VALUE"""),"3dvision")</f>
        <v>3dvision</v>
      </c>
      <c r="B3265" s="6" t="str">
        <f>IFERROR(__xludf.DUMMYFUNCTION("""COMPUTED_VALUE"""),"Israel")</f>
        <v>Israel</v>
      </c>
      <c r="C3265" s="6" t="str">
        <f>IFERROR(__xludf.DUMMYFUNCTION("""COMPUTED_VALUE"""),"Media &amp; Communication")</f>
        <v>Media &amp; Communication</v>
      </c>
    </row>
    <row r="3266">
      <c r="A3266" s="6" t="str">
        <f>IFERROR(__xludf.DUMMYFUNCTION("""COMPUTED_VALUE"""),"lexy")</f>
        <v>lexy</v>
      </c>
      <c r="B3266" s="4"/>
      <c r="C3266" s="4"/>
    </row>
    <row r="3267">
      <c r="A3267" s="6" t="str">
        <f>IFERROR(__xludf.DUMMYFUNCTION("""COMPUTED_VALUE"""),"inlaze")</f>
        <v>inlaze</v>
      </c>
      <c r="B3267" s="6" t="str">
        <f>IFERROR(__xludf.DUMMYFUNCTION("""COMPUTED_VALUE"""),"Colombia")</f>
        <v>Colombia</v>
      </c>
      <c r="C3267" s="6" t="str">
        <f>IFERROR(__xludf.DUMMYFUNCTION("""COMPUTED_VALUE"""),"Software Factory / Staffing")</f>
        <v>Software Factory / Staffing</v>
      </c>
    </row>
    <row r="3268">
      <c r="A3268" s="6" t="str">
        <f>IFERROR(__xludf.DUMMYFUNCTION("""COMPUTED_VALUE"""),"social learning")</f>
        <v>social learning</v>
      </c>
      <c r="B3268" s="6" t="str">
        <f>IFERROR(__xludf.DUMMYFUNCTION("""COMPUTED_VALUE"""),"Argentina")</f>
        <v>Argentina</v>
      </c>
      <c r="C3268" s="6" t="str">
        <f>IFERROR(__xludf.DUMMYFUNCTION("""COMPUTED_VALUE"""),"Education &amp; Edtech")</f>
        <v>Education &amp; Edtech</v>
      </c>
    </row>
    <row r="3269">
      <c r="A3269" s="6" t="str">
        <f>IFERROR(__xludf.DUMMYFUNCTION("""COMPUTED_VALUE"""),"seiza spa")</f>
        <v>seiza spa</v>
      </c>
      <c r="B3269" s="4"/>
      <c r="C3269" s="6" t="str">
        <f>IFERROR(__xludf.DUMMYFUNCTION("""COMPUTED_VALUE"""),"Software Factory / Staffing")</f>
        <v>Software Factory / Staffing</v>
      </c>
    </row>
    <row r="3270">
      <c r="A3270" s="6" t="str">
        <f>IFERROR(__xludf.DUMMYFUNCTION("""COMPUTED_VALUE"""),"nextbyn")</f>
        <v>nextbyn</v>
      </c>
      <c r="B3270" s="4"/>
      <c r="C3270" s="6" t="str">
        <f>IFERROR(__xludf.DUMMYFUNCTION("""COMPUTED_VALUE"""),"Software Factory / Staffing")</f>
        <v>Software Factory / Staffing</v>
      </c>
    </row>
    <row r="3271">
      <c r="A3271" s="6" t="str">
        <f>IFERROR(__xludf.DUMMYFUNCTION("""COMPUTED_VALUE"""),"universidad nacional de la rioja")</f>
        <v>universidad nacional de la rioja</v>
      </c>
      <c r="B3271" s="6" t="str">
        <f>IFERROR(__xludf.DUMMYFUNCTION("""COMPUTED_VALUE"""),"Argentina")</f>
        <v>Argentina</v>
      </c>
      <c r="C3271" s="6" t="str">
        <f>IFERROR(__xludf.DUMMYFUNCTION("""COMPUTED_VALUE"""),"Education &amp; Edtech")</f>
        <v>Education &amp; Edtech</v>
      </c>
    </row>
    <row r="3272">
      <c r="A3272" s="6" t="str">
        <f>IFERROR(__xludf.DUMMYFUNCTION("""COMPUTED_VALUE"""),"crisp studio")</f>
        <v>crisp studio</v>
      </c>
      <c r="B3272" s="6" t="str">
        <f>IFERROR(__xludf.DUMMYFUNCTION("""COMPUTED_VALUE"""),"España")</f>
        <v>España</v>
      </c>
      <c r="C3272" s="6" t="str">
        <f>IFERROR(__xludf.DUMMYFUNCTION("""COMPUTED_VALUE"""),"Software Factory / Staffing")</f>
        <v>Software Factory / Staffing</v>
      </c>
    </row>
    <row r="3273">
      <c r="A3273" s="6" t="str">
        <f>IFERROR(__xludf.DUMMYFUNCTION("""COMPUTED_VALUE"""),"breik spa")</f>
        <v>breik spa</v>
      </c>
      <c r="B3273" s="4"/>
      <c r="C3273" s="4"/>
    </row>
    <row r="3274">
      <c r="A3274" s="6" t="str">
        <f>IFERROR(__xludf.DUMMYFUNCTION("""COMPUTED_VALUE"""),"sos contador")</f>
        <v>sos contador</v>
      </c>
      <c r="B3274" s="6" t="str">
        <f>IFERROR(__xludf.DUMMYFUNCTION("""COMPUTED_VALUE"""),"Argentina")</f>
        <v>Argentina</v>
      </c>
      <c r="C3274" s="6" t="str">
        <f>IFERROR(__xludf.DUMMYFUNCTION("""COMPUTED_VALUE"""),"Accounting")</f>
        <v>Accounting</v>
      </c>
    </row>
    <row r="3275">
      <c r="A3275" s="6" t="str">
        <f>IFERROR(__xludf.DUMMYFUNCTION("""COMPUTED_VALUE"""),"remotetask")</f>
        <v>remotetask</v>
      </c>
      <c r="B3275" s="4"/>
      <c r="C3275" s="4"/>
    </row>
    <row r="3276">
      <c r="A3276" s="6" t="str">
        <f>IFERROR(__xludf.DUMMYFUNCTION("""COMPUTED_VALUE"""),"amaw")</f>
        <v>amaw</v>
      </c>
      <c r="B3276" s="4"/>
      <c r="C3276" s="6" t="str">
        <f>IFERROR(__xludf.DUMMYFUNCTION("""COMPUTED_VALUE"""),"Other")</f>
        <v>Other</v>
      </c>
    </row>
    <row r="3277">
      <c r="A3277" s="6" t="str">
        <f>IFERROR(__xludf.DUMMYFUNCTION("""COMPUTED_VALUE"""),"fridom sas")</f>
        <v>fridom sas</v>
      </c>
      <c r="B3277" s="4"/>
      <c r="C3277" s="4"/>
    </row>
    <row r="3278">
      <c r="A3278" s="6" t="str">
        <f>IFERROR(__xludf.DUMMYFUNCTION("""COMPUTED_VALUE"""),"ready")</f>
        <v>ready</v>
      </c>
      <c r="B3278" s="4"/>
      <c r="C3278" s="6" t="str">
        <f>IFERROR(__xludf.DUMMYFUNCTION("""COMPUTED_VALUE"""),"Human Resources")</f>
        <v>Human Resources</v>
      </c>
    </row>
    <row r="3279">
      <c r="A3279" s="6" t="str">
        <f>IFERROR(__xludf.DUMMYFUNCTION("""COMPUTED_VALUE"""),"sunrise tower")</f>
        <v>sunrise tower</v>
      </c>
      <c r="B3279" s="6" t="str">
        <f>IFERROR(__xludf.DUMMYFUNCTION("""COMPUTED_VALUE"""),"India")</f>
        <v>India</v>
      </c>
      <c r="C3279" s="6" t="str">
        <f>IFERROR(__xludf.DUMMYFUNCTION("""COMPUTED_VALUE"""),"PropTech / Real State")</f>
        <v>PropTech / Real State</v>
      </c>
    </row>
    <row r="3280">
      <c r="A3280" s="6" t="str">
        <f>IFERROR(__xludf.DUMMYFUNCTION("""COMPUTED_VALUE"""),"aon")</f>
        <v>aon</v>
      </c>
      <c r="B3280" s="4"/>
      <c r="C3280" s="6" t="str">
        <f>IFERROR(__xludf.DUMMYFUNCTION("""COMPUTED_VALUE"""),"Banking &amp; Financial Servicies")</f>
        <v>Banking &amp; Financial Servicies</v>
      </c>
    </row>
    <row r="3281">
      <c r="A3281" s="6" t="str">
        <f>IFERROR(__xludf.DUMMYFUNCTION("""COMPUTED_VALUE"""),"ciegate technologies global, inc.")</f>
        <v>ciegate technologies global, inc.</v>
      </c>
      <c r="B3281" s="4"/>
      <c r="C3281" s="4"/>
    </row>
    <row r="3282">
      <c r="A3282" s="6" t="str">
        <f>IFERROR(__xludf.DUMMYFUNCTION("""COMPUTED_VALUE"""),"osnet sas")</f>
        <v>osnet sas</v>
      </c>
      <c r="B3282" s="4"/>
      <c r="C3282" s="4"/>
    </row>
    <row r="3283">
      <c r="A3283" s="6" t="str">
        <f>IFERROR(__xludf.DUMMYFUNCTION("""COMPUTED_VALUE"""),"cqpi")</f>
        <v>cqpi</v>
      </c>
      <c r="B3283" s="4"/>
      <c r="C3283" s="4"/>
    </row>
    <row r="3284">
      <c r="A3284" s="6" t="str">
        <f>IFERROR(__xludf.DUMMYFUNCTION("""COMPUTED_VALUE"""),"ecco")</f>
        <v>ecco</v>
      </c>
      <c r="B3284" s="6" t="str">
        <f>IFERROR(__xludf.DUMMYFUNCTION("""COMPUTED_VALUE"""),"Dinamarca")</f>
        <v>Dinamarca</v>
      </c>
      <c r="C3284" s="6" t="str">
        <f>IFERROR(__xludf.DUMMYFUNCTION("""COMPUTED_VALUE"""),"Other")</f>
        <v>Other</v>
      </c>
    </row>
    <row r="3285">
      <c r="A3285" s="6" t="str">
        <f>IFERROR(__xludf.DUMMYFUNCTION("""COMPUTED_VALUE"""),"shopping del panadero")</f>
        <v>shopping del panadero</v>
      </c>
      <c r="B3285" s="6" t="str">
        <f>IFERROR(__xludf.DUMMYFUNCTION("""COMPUTED_VALUE"""),"Argentina")</f>
        <v>Argentina</v>
      </c>
      <c r="C3285" s="4"/>
    </row>
    <row r="3286">
      <c r="A3286" s="6" t="str">
        <f>IFERROR(__xludf.DUMMYFUNCTION("""COMPUTED_VALUE"""),"unad")</f>
        <v>unad</v>
      </c>
      <c r="B3286" s="6" t="str">
        <f>IFERROR(__xludf.DUMMYFUNCTION("""COMPUTED_VALUE"""),"Colombia")</f>
        <v>Colombia</v>
      </c>
      <c r="C3286" s="6" t="str">
        <f>IFERROR(__xludf.DUMMYFUNCTION("""COMPUTED_VALUE"""),"Education &amp; Edtech")</f>
        <v>Education &amp; Edtech</v>
      </c>
    </row>
    <row r="3287">
      <c r="A3287" s="6" t="str">
        <f>IFERROR(__xludf.DUMMYFUNCTION("""COMPUTED_VALUE"""),"sanatorio mayo privado sa")</f>
        <v>sanatorio mayo privado sa</v>
      </c>
      <c r="B3287" s="4"/>
      <c r="C3287" s="4"/>
    </row>
    <row r="3288">
      <c r="A3288" s="6" t="str">
        <f>IFERROR(__xludf.DUMMYFUNCTION("""COMPUTED_VALUE"""),"dequo srl")</f>
        <v>dequo srl</v>
      </c>
      <c r="B3288" s="4"/>
      <c r="C3288" s="4"/>
    </row>
    <row r="3289">
      <c r="A3289" s="6" t="str">
        <f>IFERROR(__xludf.DUMMYFUNCTION("""COMPUTED_VALUE"""),"outsourcing")</f>
        <v>outsourcing</v>
      </c>
      <c r="B3289" s="6" t="str">
        <f>IFERROR(__xludf.DUMMYFUNCTION("""COMPUTED_VALUE"""),"Bangladesh")</f>
        <v>Bangladesh</v>
      </c>
      <c r="C3289" s="6" t="str">
        <f>IFERROR(__xludf.DUMMYFUNCTION("""COMPUTED_VALUE"""),"Other")</f>
        <v>Other</v>
      </c>
    </row>
    <row r="3290">
      <c r="A3290" s="6" t="str">
        <f>IFERROR(__xludf.DUMMYFUNCTION("""COMPUTED_VALUE"""),"tla srl")</f>
        <v>tla srl</v>
      </c>
      <c r="B3290" s="4"/>
      <c r="C3290" s="4"/>
    </row>
    <row r="3291">
      <c r="A3291" s="6" t="str">
        <f>IFERROR(__xludf.DUMMYFUNCTION("""COMPUTED_VALUE"""),"hiva")</f>
        <v>hiva</v>
      </c>
      <c r="B3291" s="4"/>
      <c r="C3291" s="6" t="str">
        <f>IFERROR(__xludf.DUMMYFUNCTION("""COMPUTED_VALUE"""),"FMCG / Consumo masivo")</f>
        <v>FMCG / Consumo masivo</v>
      </c>
    </row>
    <row r="3292">
      <c r="A3292" s="6" t="str">
        <f>IFERROR(__xludf.DUMMYFUNCTION("""COMPUTED_VALUE"""),"montagne")</f>
        <v>montagne</v>
      </c>
      <c r="B3292" s="4"/>
      <c r="C3292" s="6" t="str">
        <f>IFERROR(__xludf.DUMMYFUNCTION("""COMPUTED_VALUE"""),"FMCG / Consumo masivo")</f>
        <v>FMCG / Consumo masivo</v>
      </c>
    </row>
    <row r="3293">
      <c r="A3293" s="6" t="str">
        <f>IFERROR(__xludf.DUMMYFUNCTION("""COMPUTED_VALUE"""),"helios")</f>
        <v>helios</v>
      </c>
      <c r="B3293" s="6" t="str">
        <f>IFERROR(__xludf.DUMMYFUNCTION("""COMPUTED_VALUE"""),"Israel")</f>
        <v>Israel</v>
      </c>
      <c r="C3293" s="6" t="str">
        <f>IFERROR(__xludf.DUMMYFUNCTION("""COMPUTED_VALUE"""),"Other")</f>
        <v>Other</v>
      </c>
    </row>
    <row r="3294">
      <c r="A3294" s="6" t="str">
        <f>IFERROR(__xludf.DUMMYFUNCTION("""COMPUTED_VALUE"""),"think and dev")</f>
        <v>think and dev</v>
      </c>
      <c r="B3294" s="6" t="str">
        <f>IFERROR(__xludf.DUMMYFUNCTION("""COMPUTED_VALUE"""),"Estados Unidos")</f>
        <v>Estados Unidos</v>
      </c>
      <c r="C3294" s="6" t="str">
        <f>IFERROR(__xludf.DUMMYFUNCTION("""COMPUTED_VALUE"""),"Software Factory / Staffing")</f>
        <v>Software Factory / Staffing</v>
      </c>
    </row>
    <row r="3295">
      <c r="A3295" s="6" t="str">
        <f>IFERROR(__xludf.DUMMYFUNCTION("""COMPUTED_VALUE"""),"ypsilon ingeligencia digital")</f>
        <v>ypsilon ingeligencia digital</v>
      </c>
      <c r="B3295" s="4"/>
      <c r="C3295" s="4"/>
    </row>
    <row r="3296">
      <c r="A3296" s="6" t="str">
        <f>IFERROR(__xludf.DUMMYFUNCTION("""COMPUTED_VALUE"""),"karggu")</f>
        <v>karggu</v>
      </c>
      <c r="B3296" s="6" t="str">
        <f>IFERROR(__xludf.DUMMYFUNCTION("""COMPUTED_VALUE"""),"México")</f>
        <v>México</v>
      </c>
      <c r="C3296" s="6" t="str">
        <f>IFERROR(__xludf.DUMMYFUNCTION("""COMPUTED_VALUE"""),"Software Factory / Staffing")</f>
        <v>Software Factory / Staffing</v>
      </c>
    </row>
    <row r="3297">
      <c r="A3297" s="6" t="str">
        <f>IFERROR(__xludf.DUMMYFUNCTION("""COMPUTED_VALUE"""),"ha bicicletas")</f>
        <v>ha bicicletas</v>
      </c>
      <c r="B3297" s="6" t="str">
        <f>IFERROR(__xludf.DUMMYFUNCTION("""COMPUTED_VALUE"""),"Colombia")</f>
        <v>Colombia</v>
      </c>
      <c r="C3297" s="6" t="str">
        <f>IFERROR(__xludf.DUMMYFUNCTION("""COMPUTED_VALUE"""),"Other")</f>
        <v>Other</v>
      </c>
    </row>
    <row r="3298">
      <c r="A3298" s="6" t="str">
        <f>IFERROR(__xludf.DUMMYFUNCTION("""COMPUTED_VALUE"""),"roagro")</f>
        <v>roagro</v>
      </c>
      <c r="B3298" s="6" t="str">
        <f>IFERROR(__xludf.DUMMYFUNCTION("""COMPUTED_VALUE"""),"Argentina")</f>
        <v>Argentina</v>
      </c>
      <c r="C3298" s="6" t="str">
        <f>IFERROR(__xludf.DUMMYFUNCTION("""COMPUTED_VALUE"""),"Agtech / Agro")</f>
        <v>Agtech / Agro</v>
      </c>
    </row>
    <row r="3299">
      <c r="A3299" s="6" t="str">
        <f>IFERROR(__xludf.DUMMYFUNCTION("""COMPUTED_VALUE"""),"indicum technology")</f>
        <v>indicum technology</v>
      </c>
      <c r="B3299" s="4"/>
      <c r="C3299" s="4"/>
    </row>
    <row r="3300">
      <c r="A3300" s="6" t="str">
        <f>IFERROR(__xludf.DUMMYFUNCTION("""COMPUTED_VALUE"""),"kheiron co")</f>
        <v>kheiron co</v>
      </c>
      <c r="B3300" s="6" t="str">
        <f>IFERROR(__xludf.DUMMYFUNCTION("""COMPUTED_VALUE"""),"Inglaterra")</f>
        <v>Inglaterra</v>
      </c>
      <c r="C3300" s="6" t="str">
        <f>IFERROR(__xludf.DUMMYFUNCTION("""COMPUTED_VALUE"""),"Health")</f>
        <v>Health</v>
      </c>
    </row>
    <row r="3301">
      <c r="A3301" s="6" t="str">
        <f>IFERROR(__xludf.DUMMYFUNCTION("""COMPUTED_VALUE"""),"branchnew")</f>
        <v>branchnew</v>
      </c>
      <c r="B3301" s="4"/>
      <c r="C3301" s="4"/>
    </row>
    <row r="3302">
      <c r="A3302" s="6" t="str">
        <f>IFERROR(__xludf.DUMMYFUNCTION("""COMPUTED_VALUE"""),"fraudkeeper")</f>
        <v>fraudkeeper</v>
      </c>
      <c r="B3302" s="6" t="str">
        <f>IFERROR(__xludf.DUMMYFUNCTION("""COMPUTED_VALUE"""),"Argentina")</f>
        <v>Argentina</v>
      </c>
      <c r="C3302" s="6" t="str">
        <f>IFERROR(__xludf.DUMMYFUNCTION("""COMPUTED_VALUE"""),"Insurance")</f>
        <v>Insurance</v>
      </c>
    </row>
    <row r="3303">
      <c r="A3303" s="6" t="str">
        <f>IFERROR(__xludf.DUMMYFUNCTION("""COMPUTED_VALUE"""),"upro")</f>
        <v>upro</v>
      </c>
      <c r="B3303" s="4"/>
      <c r="C3303" s="6" t="str">
        <f>IFERROR(__xludf.DUMMYFUNCTION("""COMPUTED_VALUE"""),"Software Factory / Staffing")</f>
        <v>Software Factory / Staffing</v>
      </c>
    </row>
    <row r="3304">
      <c r="A3304" s="6" t="str">
        <f>IFERROR(__xludf.DUMMYFUNCTION("""COMPUTED_VALUE"""),"silmag")</f>
        <v>silmag</v>
      </c>
      <c r="B3304" s="6" t="str">
        <f>IFERROR(__xludf.DUMMYFUNCTION("""COMPUTED_VALUE"""),"Argentina")</f>
        <v>Argentina</v>
      </c>
      <c r="C3304" s="6" t="str">
        <f>IFERROR(__xludf.DUMMYFUNCTION("""COMPUTED_VALUE"""),"Health")</f>
        <v>Health</v>
      </c>
    </row>
    <row r="3305">
      <c r="A3305" s="6" t="str">
        <f>IFERROR(__xludf.DUMMYFUNCTION("""COMPUTED_VALUE"""),"empresa anonima")</f>
        <v>empresa anonima</v>
      </c>
      <c r="B3305" s="4"/>
      <c r="C3305" s="6" t="str">
        <f>IFERROR(__xludf.DUMMYFUNCTION("""COMPUTED_VALUE"""),"Construction")</f>
        <v>Construction</v>
      </c>
    </row>
    <row r="3306">
      <c r="A3306" s="6" t="str">
        <f>IFERROR(__xludf.DUMMYFUNCTION("""COMPUTED_VALUE"""),"creaapps")</f>
        <v>creaapps</v>
      </c>
      <c r="B3306" s="6" t="str">
        <f>IFERROR(__xludf.DUMMYFUNCTION("""COMPUTED_VALUE"""),"Estados Unidos")</f>
        <v>Estados Unidos</v>
      </c>
      <c r="C3306" s="6" t="str">
        <f>IFERROR(__xludf.DUMMYFUNCTION("""COMPUTED_VALUE"""),"Software Factory / Staffing")</f>
        <v>Software Factory / Staffing</v>
      </c>
    </row>
    <row r="3307">
      <c r="A3307" s="6" t="str">
        <f>IFERROR(__xludf.DUMMYFUNCTION("""COMPUTED_VALUE"""),"fixup")</f>
        <v>fixup</v>
      </c>
      <c r="B3307" s="6" t="str">
        <f>IFERROR(__xludf.DUMMYFUNCTION("""COMPUTED_VALUE"""),"Turquía")</f>
        <v>Turquía</v>
      </c>
      <c r="C3307" s="6" t="str">
        <f>IFERROR(__xludf.DUMMYFUNCTION("""COMPUTED_VALUE"""),"Banking &amp; Financial Servicies")</f>
        <v>Banking &amp; Financial Servicies</v>
      </c>
    </row>
    <row r="3308">
      <c r="A3308" s="6" t="str">
        <f>IFERROR(__xludf.DUMMYFUNCTION("""COMPUTED_VALUE"""),"bayton sa")</f>
        <v>bayton sa</v>
      </c>
      <c r="B3308" s="4"/>
      <c r="C3308" s="4"/>
    </row>
    <row r="3309">
      <c r="A3309" s="6" t="str">
        <f>IFERROR(__xludf.DUMMYFUNCTION("""COMPUTED_VALUE"""),"once")</f>
        <v>once</v>
      </c>
      <c r="B3309" s="6" t="str">
        <f>IFERROR(__xludf.DUMMYFUNCTION("""COMPUTED_VALUE"""),"España")</f>
        <v>España</v>
      </c>
      <c r="C3309" s="6" t="str">
        <f>IFERROR(__xludf.DUMMYFUNCTION("""COMPUTED_VALUE"""),"Public Center")</f>
        <v>Public Center</v>
      </c>
    </row>
    <row r="3310">
      <c r="A3310" s="6" t="str">
        <f>IFERROR(__xludf.DUMMYFUNCTION("""COMPUTED_VALUE"""),"zurich insurance")</f>
        <v>zurich insurance</v>
      </c>
      <c r="B3310" s="4"/>
      <c r="C3310" s="4"/>
    </row>
    <row r="3311">
      <c r="A3311" s="6" t="str">
        <f>IFERROR(__xludf.DUMMYFUNCTION("""COMPUTED_VALUE"""),"xira intelligence")</f>
        <v>xira intelligence</v>
      </c>
      <c r="B3311" s="4"/>
      <c r="C3311" s="4"/>
    </row>
    <row r="3312">
      <c r="A3312" s="6" t="str">
        <f>IFERROR(__xludf.DUMMYFUNCTION("""COMPUTED_VALUE"""),"circulo de sub oficiales y agentes de la policia de corrientes")</f>
        <v>circulo de sub oficiales y agentes de la policia de corrientes</v>
      </c>
      <c r="B3312" s="4"/>
      <c r="C3312" s="4"/>
    </row>
    <row r="3313">
      <c r="A3313" s="6" t="str">
        <f>IFERROR(__xludf.DUMMYFUNCTION("""COMPUTED_VALUE"""),"dragontec")</f>
        <v>dragontec</v>
      </c>
      <c r="B3313" s="4"/>
      <c r="C3313" s="6" t="str">
        <f>IFERROR(__xludf.DUMMYFUNCTION("""COMPUTED_VALUE"""),"Messaging and Telecommunications")</f>
        <v>Messaging and Telecommunications</v>
      </c>
    </row>
    <row r="3314">
      <c r="A3314" s="6" t="str">
        <f>IFERROR(__xludf.DUMMYFUNCTION("""COMPUTED_VALUE"""),"reseramos")</f>
        <v>reseramos</v>
      </c>
      <c r="B3314" s="4"/>
      <c r="C3314" s="4"/>
    </row>
    <row r="3315">
      <c r="A3315" s="6" t="str">
        <f>IFERROR(__xludf.DUMMYFUNCTION("""COMPUTED_VALUE"""),"petroandina s.r.l.")</f>
        <v>petroandina s.r.l.</v>
      </c>
      <c r="B3315" s="4"/>
      <c r="C3315" s="4"/>
    </row>
    <row r="3316">
      <c r="A3316" s="6" t="str">
        <f>IFERROR(__xludf.DUMMYFUNCTION("""COMPUTED_VALUE"""),"joaquín garcia")</f>
        <v>joaquín garcia</v>
      </c>
      <c r="B3316" s="6" t="str">
        <f>IFERROR(__xludf.DUMMYFUNCTION("""COMPUTED_VALUE"""),"España")</f>
        <v>España</v>
      </c>
      <c r="C3316" s="6" t="str">
        <f>IFERROR(__xludf.DUMMYFUNCTION("""COMPUTED_VALUE"""),"Management Consulting")</f>
        <v>Management Consulting</v>
      </c>
    </row>
    <row r="3317">
      <c r="A3317" s="6" t="str">
        <f>IFERROR(__xludf.DUMMYFUNCTION("""COMPUTED_VALUE"""),"farmacias peruanas")</f>
        <v>farmacias peruanas</v>
      </c>
      <c r="B3317" s="6" t="str">
        <f>IFERROR(__xludf.DUMMYFUNCTION("""COMPUTED_VALUE"""),"Perú")</f>
        <v>Perú</v>
      </c>
      <c r="C3317" s="6" t="str">
        <f>IFERROR(__xludf.DUMMYFUNCTION("""COMPUTED_VALUE"""),"Health")</f>
        <v>Health</v>
      </c>
    </row>
    <row r="3318">
      <c r="A3318" s="6" t="str">
        <f>IFERROR(__xludf.DUMMYFUNCTION("""COMPUTED_VALUE"""),"pacta")</f>
        <v>pacta</v>
      </c>
      <c r="B3318" s="6" t="str">
        <f>IFERROR(__xludf.DUMMYFUNCTION("""COMPUTED_VALUE"""),"India")</f>
        <v>India</v>
      </c>
      <c r="C3318" s="6" t="str">
        <f>IFERROR(__xludf.DUMMYFUNCTION("""COMPUTED_VALUE"""),"Law/Legal Services")</f>
        <v>Law/Legal Services</v>
      </c>
    </row>
    <row r="3319">
      <c r="A3319" s="6" t="str">
        <f>IFERROR(__xludf.DUMMYFUNCTION("""COMPUTED_VALUE"""),"delfoi")</f>
        <v>delfoi</v>
      </c>
      <c r="B3319" s="6" t="str">
        <f>IFERROR(__xludf.DUMMYFUNCTION("""COMPUTED_VALUE"""),"find")</f>
        <v>find</v>
      </c>
      <c r="C3319" s="6" t="str">
        <f>IFERROR(__xludf.DUMMYFUNCTION("""COMPUTED_VALUE"""),"Software Factory / Staffing")</f>
        <v>Software Factory / Staffing</v>
      </c>
    </row>
    <row r="3320">
      <c r="A3320" s="6" t="str">
        <f>IFERROR(__xludf.DUMMYFUNCTION("""COMPUTED_VALUE"""),"lft solutions")</f>
        <v>lft solutions</v>
      </c>
      <c r="B3320" s="6" t="str">
        <f>IFERROR(__xludf.DUMMYFUNCTION("""COMPUTED_VALUE"""),"Canada")</f>
        <v>Canada</v>
      </c>
      <c r="C3320" s="6" t="str">
        <f>IFERROR(__xludf.DUMMYFUNCTION("""COMPUTED_VALUE"""),"Mechanical/Industrial Engineering")</f>
        <v>Mechanical/Industrial Engineering</v>
      </c>
    </row>
    <row r="3321">
      <c r="A3321" s="6" t="str">
        <f>IFERROR(__xludf.DUMMYFUNCTION("""COMPUTED_VALUE"""),"codetogether")</f>
        <v>codetogether</v>
      </c>
      <c r="B3321" s="4"/>
      <c r="C3321" s="6" t="str">
        <f>IFERROR(__xludf.DUMMYFUNCTION("""COMPUTED_VALUE"""),"Software Factory / Staffing")</f>
        <v>Software Factory / Staffing</v>
      </c>
    </row>
    <row r="3322">
      <c r="A3322" s="6" t="str">
        <f>IFERROR(__xludf.DUMMYFUNCTION("""COMPUTED_VALUE"""),"ingertec s.r.l")</f>
        <v>ingertec s.r.l</v>
      </c>
      <c r="B3322" s="4"/>
      <c r="C3322" s="4"/>
    </row>
    <row r="3323">
      <c r="A3323" s="6" t="str">
        <f>IFERROR(__xludf.DUMMYFUNCTION("""COMPUTED_VALUE"""),"viatur srl")</f>
        <v>viatur srl</v>
      </c>
      <c r="B3323" s="4"/>
      <c r="C3323" s="4"/>
    </row>
    <row r="3324">
      <c r="A3324" s="6" t="str">
        <f>IFERROR(__xludf.DUMMYFUNCTION("""COMPUTED_VALUE"""),"universidad nacional de lujan")</f>
        <v>universidad nacional de lujan</v>
      </c>
      <c r="B3324" s="4"/>
      <c r="C3324" s="6" t="str">
        <f>IFERROR(__xludf.DUMMYFUNCTION("""COMPUTED_VALUE"""),"Education &amp; Edtech")</f>
        <v>Education &amp; Edtech</v>
      </c>
    </row>
    <row r="3325">
      <c r="A3325" s="6" t="str">
        <f>IFERROR(__xludf.DUMMYFUNCTION("""COMPUTED_VALUE"""),"marquez constructora desarrollista")</f>
        <v>marquez constructora desarrollista</v>
      </c>
      <c r="B3325" s="6" t="str">
        <f>IFERROR(__xludf.DUMMYFUNCTION("""COMPUTED_VALUE"""),"Argentina")</f>
        <v>Argentina</v>
      </c>
      <c r="C3325" s="6" t="str">
        <f>IFERROR(__xludf.DUMMYFUNCTION("""COMPUTED_VALUE"""),"Construction")</f>
        <v>Construction</v>
      </c>
    </row>
    <row r="3326">
      <c r="A3326" s="6" t="str">
        <f>IFERROR(__xludf.DUMMYFUNCTION("""COMPUTED_VALUE"""),"helios system")</f>
        <v>helios system</v>
      </c>
      <c r="B3326" s="6" t="str">
        <f>IFERROR(__xludf.DUMMYFUNCTION("""COMPUTED_VALUE"""),"Argentina")</f>
        <v>Argentina</v>
      </c>
      <c r="C3326" s="6" t="str">
        <f>IFERROR(__xludf.DUMMYFUNCTION("""COMPUTED_VALUE"""),"Management Consulting")</f>
        <v>Management Consulting</v>
      </c>
    </row>
    <row r="3327">
      <c r="A3327" s="7" t="str">
        <f>IFERROR(__xludf.DUMMYFUNCTION("""COMPUTED_VALUE"""),"ucrop.it")</f>
        <v>ucrop.it</v>
      </c>
      <c r="B3327" s="6" t="str">
        <f>IFERROR(__xludf.DUMMYFUNCTION("""COMPUTED_VALUE"""),"Argentina")</f>
        <v>Argentina</v>
      </c>
      <c r="C3327" s="6" t="str">
        <f>IFERROR(__xludf.DUMMYFUNCTION("""COMPUTED_VALUE"""),"Agtech / Agro")</f>
        <v>Agtech / Agro</v>
      </c>
    </row>
    <row r="3328">
      <c r="A3328" s="6" t="str">
        <f>IFERROR(__xludf.DUMMYFUNCTION("""COMPUTED_VALUE"""),"ministerio de seguridad de la provincia de neuquen")</f>
        <v>ministerio de seguridad de la provincia de neuquen</v>
      </c>
      <c r="B3328" s="6" t="str">
        <f>IFERROR(__xludf.DUMMYFUNCTION("""COMPUTED_VALUE"""),"Argentina")</f>
        <v>Argentina</v>
      </c>
      <c r="C3328" s="6" t="str">
        <f>IFERROR(__xludf.DUMMYFUNCTION("""COMPUTED_VALUE"""),"Public Center")</f>
        <v>Public Center</v>
      </c>
    </row>
    <row r="3329">
      <c r="A3329" s="6" t="str">
        <f>IFERROR(__xludf.DUMMYFUNCTION("""COMPUTED_VALUE"""),"lynx soluciones sa")</f>
        <v>lynx soluciones sa</v>
      </c>
      <c r="B3329" s="4"/>
      <c r="C3329" s="4"/>
    </row>
    <row r="3330">
      <c r="A3330" s="6" t="str">
        <f>IFERROR(__xludf.DUMMYFUNCTION("""COMPUTED_VALUE"""),"jimena medina")</f>
        <v>jimena medina</v>
      </c>
      <c r="B3330" s="4"/>
      <c r="C3330" s="4"/>
    </row>
    <row r="3331">
      <c r="A3331" s="6" t="str">
        <f>IFERROR(__xludf.DUMMYFUNCTION("""COMPUTED_VALUE"""),"entur")</f>
        <v>entur</v>
      </c>
      <c r="B3331" s="6" t="str">
        <f>IFERROR(__xludf.DUMMYFUNCTION("""COMPUTED_VALUE"""),"Noruega")</f>
        <v>Noruega</v>
      </c>
      <c r="C3331" s="6" t="str">
        <f>IFERROR(__xludf.DUMMYFUNCTION("""COMPUTED_VALUE"""),"Software Factory / Staffing")</f>
        <v>Software Factory / Staffing</v>
      </c>
    </row>
    <row r="3332">
      <c r="A3332" s="6" t="str">
        <f>IFERROR(__xludf.DUMMYFUNCTION("""COMPUTED_VALUE"""),"uncaus")</f>
        <v>uncaus</v>
      </c>
      <c r="B3332" s="4"/>
      <c r="C3332" s="6" t="str">
        <f>IFERROR(__xludf.DUMMYFUNCTION("""COMPUTED_VALUE"""),"Education &amp; Edtech")</f>
        <v>Education &amp; Edtech</v>
      </c>
    </row>
    <row r="3333">
      <c r="A3333" s="6" t="str">
        <f>IFERROR(__xludf.DUMMYFUNCTION("""COMPUTED_VALUE"""),"tcs technology consulting")</f>
        <v>tcs technology consulting</v>
      </c>
      <c r="B3333" s="6" t="str">
        <f>IFERROR(__xludf.DUMMYFUNCTION("""COMPUTED_VALUE"""),"Venezuela")</f>
        <v>Venezuela</v>
      </c>
      <c r="C3333" s="6" t="str">
        <f>IFERROR(__xludf.DUMMYFUNCTION("""COMPUTED_VALUE"""),"Software Factory / Staffing")</f>
        <v>Software Factory / Staffing</v>
      </c>
    </row>
    <row r="3334">
      <c r="A3334" s="6" t="str">
        <f>IFERROR(__xludf.DUMMYFUNCTION("""COMPUTED_VALUE"""),"411 locals")</f>
        <v>411 locals</v>
      </c>
      <c r="B3334" s="6" t="str">
        <f>IFERROR(__xludf.DUMMYFUNCTION("""COMPUTED_VALUE"""),"Estados Unidos")</f>
        <v>Estados Unidos</v>
      </c>
      <c r="C3334" s="6" t="str">
        <f>IFERROR(__xludf.DUMMYFUNCTION("""COMPUTED_VALUE"""),"Management Consulting")</f>
        <v>Management Consulting</v>
      </c>
    </row>
    <row r="3335">
      <c r="A3335" s="6" t="str">
        <f>IFERROR(__xludf.DUMMYFUNCTION("""COMPUTED_VALUE"""),"d.l.r. s.a.")</f>
        <v>d.l.r. s.a.</v>
      </c>
      <c r="B3335" s="6" t="str">
        <f>IFERROR(__xludf.DUMMYFUNCTION("""COMPUTED_VALUE"""),"Italia")</f>
        <v>Italia</v>
      </c>
      <c r="C3335" s="6" t="str">
        <f>IFERROR(__xludf.DUMMYFUNCTION("""COMPUTED_VALUE"""),"Software Factory / Staffing")</f>
        <v>Software Factory / Staffing</v>
      </c>
    </row>
    <row r="3336">
      <c r="A3336" s="6" t="str">
        <f>IFERROR(__xludf.DUMMYFUNCTION("""COMPUTED_VALUE"""),"agora partnership")</f>
        <v>agora partnership</v>
      </c>
      <c r="B3336" s="4"/>
      <c r="C3336" s="4"/>
    </row>
    <row r="3337">
      <c r="A3337" s="6" t="str">
        <f>IFERROR(__xludf.DUMMYFUNCTION("""COMPUTED_VALUE"""),"bim soluciones")</f>
        <v>bim soluciones</v>
      </c>
      <c r="B3337" s="6" t="str">
        <f>IFERROR(__xludf.DUMMYFUNCTION("""COMPUTED_VALUE"""),"España")</f>
        <v>España</v>
      </c>
      <c r="C3337" s="6" t="str">
        <f>IFERROR(__xludf.DUMMYFUNCTION("""COMPUTED_VALUE"""),"Construction")</f>
        <v>Construction</v>
      </c>
    </row>
    <row r="3338">
      <c r="A3338" s="6" t="str">
        <f>IFERROR(__xludf.DUMMYFUNCTION("""COMPUTED_VALUE"""),"ciampagna")</f>
        <v>ciampagna</v>
      </c>
      <c r="B3338" s="6" t="str">
        <f>IFERROR(__xludf.DUMMYFUNCTION("""COMPUTED_VALUE"""),"Argentina")</f>
        <v>Argentina</v>
      </c>
      <c r="C3338" s="6" t="str">
        <f>IFERROR(__xludf.DUMMYFUNCTION("""COMPUTED_VALUE"""),"Software Factory / Staffing")</f>
        <v>Software Factory / Staffing</v>
      </c>
    </row>
    <row r="3339">
      <c r="A3339" s="6" t="str">
        <f>IFERROR(__xludf.DUMMYFUNCTION("""COMPUTED_VALUE"""),"gacitua y asociados")</f>
        <v>gacitua y asociados</v>
      </c>
      <c r="B3339" s="4"/>
      <c r="C3339" s="4"/>
    </row>
    <row r="3340">
      <c r="A3340" s="6" t="str">
        <f>IFERROR(__xludf.DUMMYFUNCTION("""COMPUTED_VALUE"""),"bitmerang s.a.")</f>
        <v>bitmerang s.a.</v>
      </c>
      <c r="B3340" s="4"/>
      <c r="C3340" s="4"/>
    </row>
    <row r="3341">
      <c r="A3341" s="6" t="str">
        <f>IFERROR(__xludf.DUMMYFUNCTION("""COMPUTED_VALUE"""),"surgicalmed")</f>
        <v>surgicalmed</v>
      </c>
      <c r="B3341" s="6" t="str">
        <f>IFERROR(__xludf.DUMMYFUNCTION("""COMPUTED_VALUE"""),"España")</f>
        <v>España</v>
      </c>
      <c r="C3341" s="6" t="str">
        <f>IFERROR(__xludf.DUMMYFUNCTION("""COMPUTED_VALUE"""),"Health")</f>
        <v>Health</v>
      </c>
    </row>
    <row r="3342">
      <c r="A3342" s="6" t="str">
        <f>IFERROR(__xludf.DUMMYFUNCTION("""COMPUTED_VALUE"""),"cahuana")</f>
        <v>cahuana</v>
      </c>
      <c r="B3342" s="6" t="str">
        <f>IFERROR(__xludf.DUMMYFUNCTION("""COMPUTED_VALUE"""),"Perú")</f>
        <v>Perú</v>
      </c>
      <c r="C3342" s="6" t="str">
        <f>IFERROR(__xludf.DUMMYFUNCTION("""COMPUTED_VALUE"""),"FMCG / Consumo masivo")</f>
        <v>FMCG / Consumo masivo</v>
      </c>
    </row>
    <row r="3343">
      <c r="A3343" s="6" t="str">
        <f>IFERROR(__xludf.DUMMYFUNCTION("""COMPUTED_VALUE"""),"instituto arnold gesell")</f>
        <v>instituto arnold gesell</v>
      </c>
      <c r="B3343" s="4"/>
      <c r="C3343" s="6" t="str">
        <f>IFERROR(__xludf.DUMMYFUNCTION("""COMPUTED_VALUE"""),"Education &amp; Edtech")</f>
        <v>Education &amp; Edtech</v>
      </c>
    </row>
    <row r="3344">
      <c r="A3344" s="6" t="str">
        <f>IFERROR(__xludf.DUMMYFUNCTION("""COMPUTED_VALUE"""),"mundo obd sa")</f>
        <v>mundo obd sa</v>
      </c>
      <c r="B3344" s="4"/>
      <c r="C3344" s="4"/>
    </row>
    <row r="3345">
      <c r="A3345" s="6" t="str">
        <f>IFERROR(__xludf.DUMMYFUNCTION("""COMPUTED_VALUE"""),"delet")</f>
        <v>delet</v>
      </c>
      <c r="B3345" s="6" t="str">
        <f>IFERROR(__xludf.DUMMYFUNCTION("""COMPUTED_VALUE"""),"Estados Unidos")</f>
        <v>Estados Unidos</v>
      </c>
      <c r="C3345" s="6" t="str">
        <f>IFERROR(__xludf.DUMMYFUNCTION("""COMPUTED_VALUE"""),"Software Factory / Staffing")</f>
        <v>Software Factory / Staffing</v>
      </c>
    </row>
    <row r="3346">
      <c r="A3346" s="6" t="str">
        <f>IFERROR(__xludf.DUMMYFUNCTION("""COMPUTED_VALUE"""),"trueway realty")</f>
        <v>trueway realty</v>
      </c>
      <c r="B3346" s="4"/>
      <c r="C3346" s="4"/>
    </row>
    <row r="3347">
      <c r="A3347" s="6" t="str">
        <f>IFERROR(__xludf.DUMMYFUNCTION("""COMPUTED_VALUE"""),"digy")</f>
        <v>digy</v>
      </c>
      <c r="B3347" s="6" t="str">
        <f>IFERROR(__xludf.DUMMYFUNCTION("""COMPUTED_VALUE"""),"India")</f>
        <v>India</v>
      </c>
      <c r="C3347" s="6" t="str">
        <f>IFERROR(__xludf.DUMMYFUNCTION("""COMPUTED_VALUE"""),"Marketing &amp; Advertising")</f>
        <v>Marketing &amp; Advertising</v>
      </c>
    </row>
    <row r="3348">
      <c r="A3348" s="6" t="str">
        <f>IFERROR(__xludf.DUMMYFUNCTION("""COMPUTED_VALUE"""),"thomson reuters")</f>
        <v>thomson reuters</v>
      </c>
      <c r="B3348" s="6" t="str">
        <f>IFERROR(__xludf.DUMMYFUNCTION("""COMPUTED_VALUE"""),"Canadá")</f>
        <v>Canadá</v>
      </c>
      <c r="C3348" s="6" t="str">
        <f>IFERROR(__xludf.DUMMYFUNCTION("""COMPUTED_VALUE"""),"Software Factory / Staffing")</f>
        <v>Software Factory / Staffing</v>
      </c>
    </row>
    <row r="3349">
      <c r="A3349" s="6" t="str">
        <f>IFERROR(__xludf.DUMMYFUNCTION("""COMPUTED_VALUE"""),"scale up media agency")</f>
        <v>scale up media agency</v>
      </c>
      <c r="B3349" s="6" t="str">
        <f>IFERROR(__xludf.DUMMYFUNCTION("""COMPUTED_VALUE"""),"Estados Unidos")</f>
        <v>Estados Unidos</v>
      </c>
      <c r="C3349" s="6" t="str">
        <f>IFERROR(__xludf.DUMMYFUNCTION("""COMPUTED_VALUE"""),"Marketing &amp; Advertising")</f>
        <v>Marketing &amp; Advertising</v>
      </c>
    </row>
    <row r="3350">
      <c r="A3350" s="6" t="str">
        <f>IFERROR(__xludf.DUMMYFUNCTION("""COMPUTED_VALUE"""),"grido")</f>
        <v>grido</v>
      </c>
      <c r="B3350" s="6" t="str">
        <f>IFERROR(__xludf.DUMMYFUNCTION("""COMPUTED_VALUE"""),"Argentina")</f>
        <v>Argentina</v>
      </c>
      <c r="C3350" s="6" t="str">
        <f>IFERROR(__xludf.DUMMYFUNCTION("""COMPUTED_VALUE"""),"FMCG / Consumo masivo")</f>
        <v>FMCG / Consumo masivo</v>
      </c>
    </row>
    <row r="3351">
      <c r="A3351" s="6" t="str">
        <f>IFERROR(__xludf.DUMMYFUNCTION("""COMPUTED_VALUE"""),"n-shoke")</f>
        <v>n-shoke</v>
      </c>
      <c r="B3351" s="4"/>
      <c r="C3351" s="6" t="str">
        <f>IFERROR(__xludf.DUMMYFUNCTION("""COMPUTED_VALUE"""),"Management Consulting")</f>
        <v>Management Consulting</v>
      </c>
    </row>
    <row r="3352">
      <c r="A3352" s="6" t="str">
        <f>IFERROR(__xludf.DUMMYFUNCTION("""COMPUTED_VALUE"""),"jesus del gran poder s.a.")</f>
        <v>jesus del gran poder s.a.</v>
      </c>
      <c r="B3352" s="6" t="str">
        <f>IFERROR(__xludf.DUMMYFUNCTION("""COMPUTED_VALUE"""),"Bolivia")</f>
        <v>Bolivia</v>
      </c>
      <c r="C3352" s="6" t="str">
        <f>IFERROR(__xludf.DUMMYFUNCTION("""COMPUTED_VALUE"""),"Banking &amp; Financial Servicies")</f>
        <v>Banking &amp; Financial Servicies</v>
      </c>
    </row>
    <row r="3353">
      <c r="A3353" s="6" t="str">
        <f>IFERROR(__xludf.DUMMYFUNCTION("""COMPUTED_VALUE"""),"grupo lamar")</f>
        <v>grupo lamar</v>
      </c>
      <c r="B3353" s="4"/>
      <c r="C3353" s="4"/>
    </row>
    <row r="3354">
      <c r="A3354" s="6" t="str">
        <f>IFERROR(__xludf.DUMMYFUNCTION("""COMPUTED_VALUE"""),"a.e.l.e.m. s.a.s.")</f>
        <v>a.e.l.e.m. s.a.s.</v>
      </c>
      <c r="B3354" s="4"/>
      <c r="C3354" s="4"/>
    </row>
    <row r="3355">
      <c r="A3355" s="6" t="str">
        <f>IFERROR(__xludf.DUMMYFUNCTION("""COMPUTED_VALUE"""),"firstplug")</f>
        <v>firstplug</v>
      </c>
      <c r="B3355" s="4"/>
      <c r="C3355" s="4"/>
    </row>
    <row r="3356">
      <c r="A3356" s="6" t="str">
        <f>IFERROR(__xludf.DUMMYFUNCTION("""COMPUTED_VALUE"""),"mernet")</f>
        <v>mernet</v>
      </c>
      <c r="B3356" s="4"/>
      <c r="C3356" s="6" t="str">
        <f>IFERROR(__xludf.DUMMYFUNCTION("""COMPUTED_VALUE"""),"Other")</f>
        <v>Other</v>
      </c>
    </row>
    <row r="3357">
      <c r="A3357" s="6" t="str">
        <f>IFERROR(__xludf.DUMMYFUNCTION("""COMPUTED_VALUE"""),"blankfact")</f>
        <v>blankfact</v>
      </c>
      <c r="B3357" s="4"/>
      <c r="C3357" s="4"/>
    </row>
    <row r="3358">
      <c r="A3358" s="6" t="str">
        <f>IFERROR(__xludf.DUMMYFUNCTION("""COMPUTED_VALUE"""),"datax")</f>
        <v>datax</v>
      </c>
      <c r="B3358" s="6" t="str">
        <f>IFERROR(__xludf.DUMMYFUNCTION("""COMPUTED_VALUE"""),"Tailandia")</f>
        <v>Tailandia</v>
      </c>
      <c r="C3358" s="6" t="str">
        <f>IFERROR(__xludf.DUMMYFUNCTION("""COMPUTED_VALUE"""),"Data &amp; Analytics")</f>
        <v>Data &amp; Analytics</v>
      </c>
    </row>
    <row r="3359">
      <c r="A3359" s="6" t="str">
        <f>IFERROR(__xludf.DUMMYFUNCTION("""COMPUTED_VALUE"""),"jardins grill")</f>
        <v>jardins grill</v>
      </c>
      <c r="B3359" s="6" t="str">
        <f>IFERROR(__xludf.DUMMYFUNCTION("""COMPUTED_VALUE"""),"Brasil")</f>
        <v>Brasil</v>
      </c>
      <c r="C3359" s="6" t="str">
        <f>IFERROR(__xludf.DUMMYFUNCTION("""COMPUTED_VALUE"""),"Other")</f>
        <v>Other</v>
      </c>
    </row>
    <row r="3360">
      <c r="A3360" s="6" t="str">
        <f>IFERROR(__xludf.DUMMYFUNCTION("""COMPUTED_VALUE"""),"buzz marketing")</f>
        <v>buzz marketing</v>
      </c>
      <c r="B3360" s="6" t="str">
        <f>IFERROR(__xludf.DUMMYFUNCTION("""COMPUTED_VALUE"""),"India")</f>
        <v>India</v>
      </c>
      <c r="C3360" s="6" t="str">
        <f>IFERROR(__xludf.DUMMYFUNCTION("""COMPUTED_VALUE"""),"Marketing &amp; Advertising")</f>
        <v>Marketing &amp; Advertising</v>
      </c>
    </row>
    <row r="3361">
      <c r="A3361" s="6" t="str">
        <f>IFERROR(__xludf.DUMMYFUNCTION("""COMPUTED_VALUE"""),"bigger tech")</f>
        <v>bigger tech</v>
      </c>
      <c r="B3361" s="6" t="str">
        <f>IFERROR(__xludf.DUMMYFUNCTION("""COMPUTED_VALUE"""),"Inglaterra")</f>
        <v>Inglaterra</v>
      </c>
      <c r="C3361" s="6" t="str">
        <f>IFERROR(__xludf.DUMMYFUNCTION("""COMPUTED_VALUE"""),"Software Factory / Staffing")</f>
        <v>Software Factory / Staffing</v>
      </c>
    </row>
    <row r="3362">
      <c r="A3362" s="6" t="str">
        <f>IFERROR(__xludf.DUMMYFUNCTION("""COMPUTED_VALUE"""),"ises")</f>
        <v>ises</v>
      </c>
      <c r="B3362" s="6" t="str">
        <f>IFERROR(__xludf.DUMMYFUNCTION("""COMPUTED_VALUE"""),"Colombia")</f>
        <v>Colombia</v>
      </c>
      <c r="C3362" s="6" t="str">
        <f>IFERROR(__xludf.DUMMYFUNCTION("""COMPUTED_VALUE"""),"Energy")</f>
        <v>Energy</v>
      </c>
    </row>
    <row r="3363">
      <c r="A3363" s="6" t="str">
        <f>IFERROR(__xludf.DUMMYFUNCTION("""COMPUTED_VALUE"""),"kami pac spa")</f>
        <v>kami pac spa</v>
      </c>
      <c r="B3363" s="4"/>
      <c r="C3363" s="4"/>
    </row>
    <row r="3364">
      <c r="A3364" s="6" t="str">
        <f>IFERROR(__xludf.DUMMYFUNCTION("""COMPUTED_VALUE"""),"smart twigs")</f>
        <v>smart twigs</v>
      </c>
      <c r="B3364" s="6" t="str">
        <f>IFERROR(__xludf.DUMMYFUNCTION("""COMPUTED_VALUE"""),"Estados Unidos")</f>
        <v>Estados Unidos</v>
      </c>
      <c r="C3364" s="6" t="str">
        <f>IFERROR(__xludf.DUMMYFUNCTION("""COMPUTED_VALUE"""),"Software Factory / Staffing")</f>
        <v>Software Factory / Staffing</v>
      </c>
    </row>
    <row r="3365">
      <c r="A3365" s="6" t="str">
        <f>IFERROR(__xludf.DUMMYFUNCTION("""COMPUTED_VALUE"""),"kibernum")</f>
        <v>kibernum</v>
      </c>
      <c r="B3365" s="6" t="str">
        <f>IFERROR(__xludf.DUMMYFUNCTION("""COMPUTED_VALUE"""),"Chile")</f>
        <v>Chile</v>
      </c>
      <c r="C3365" s="6" t="str">
        <f>IFERROR(__xludf.DUMMYFUNCTION("""COMPUTED_VALUE"""),"Software Factory / Staffing")</f>
        <v>Software Factory / Staffing</v>
      </c>
    </row>
    <row r="3366">
      <c r="A3366" s="6" t="str">
        <f>IFERROR(__xludf.DUMMYFUNCTION("""COMPUTED_VALUE"""),"geti solutions")</f>
        <v>geti solutions</v>
      </c>
      <c r="B3366" s="4"/>
      <c r="C3366" s="6" t="str">
        <f>IFERROR(__xludf.DUMMYFUNCTION("""COMPUTED_VALUE"""),"Software Factory / Staffing")</f>
        <v>Software Factory / Staffing</v>
      </c>
    </row>
    <row r="3367">
      <c r="A3367" s="6" t="str">
        <f>IFERROR(__xludf.DUMMYFUNCTION("""COMPUTED_VALUE"""),"campoalto")</f>
        <v>campoalto</v>
      </c>
      <c r="B3367" s="6" t="str">
        <f>IFERROR(__xludf.DUMMYFUNCTION("""COMPUTED_VALUE"""),"Colombia")</f>
        <v>Colombia</v>
      </c>
      <c r="C3367" s="6" t="str">
        <f>IFERROR(__xludf.DUMMYFUNCTION("""COMPUTED_VALUE"""),"Education &amp; Edtech")</f>
        <v>Education &amp; Edtech</v>
      </c>
    </row>
    <row r="3368">
      <c r="A3368" s="6" t="str">
        <f>IFERROR(__xludf.DUMMYFUNCTION("""COMPUTED_VALUE"""),"serviquick")</f>
        <v>serviquick</v>
      </c>
      <c r="B3368" s="4"/>
      <c r="C3368" s="4"/>
    </row>
    <row r="3369">
      <c r="A3369" s="6" t="str">
        <f>IFERROR(__xludf.DUMMYFUNCTION("""COMPUTED_VALUE"""),"hola moda")</f>
        <v>hola moda</v>
      </c>
      <c r="B3369" s="4"/>
      <c r="C3369" s="6" t="str">
        <f>IFERROR(__xludf.DUMMYFUNCTION("""COMPUTED_VALUE"""),"Other")</f>
        <v>Other</v>
      </c>
    </row>
    <row r="3370">
      <c r="A3370" s="6" t="str">
        <f>IFERROR(__xludf.DUMMYFUNCTION("""COMPUTED_VALUE"""),"car2token")</f>
        <v>car2token</v>
      </c>
      <c r="B3370" s="6" t="str">
        <f>IFERROR(__xludf.DUMMYFUNCTION("""COMPUTED_VALUE"""),"Argentina")</f>
        <v>Argentina</v>
      </c>
      <c r="C3370" s="6" t="str">
        <f>IFERROR(__xludf.DUMMYFUNCTION("""COMPUTED_VALUE"""),"Banking &amp; Financial Servicies")</f>
        <v>Banking &amp; Financial Servicies</v>
      </c>
    </row>
    <row r="3371">
      <c r="A3371" s="6" t="str">
        <f>IFERROR(__xludf.DUMMYFUNCTION("""COMPUTED_VALUE"""),"leonardo torres")</f>
        <v>leonardo torres</v>
      </c>
      <c r="B3371" s="6" t="str">
        <f>IFERROR(__xludf.DUMMYFUNCTION("""COMPUTED_VALUE"""),"Brasil")</f>
        <v>Brasil</v>
      </c>
      <c r="C3371" s="6" t="str">
        <f>IFERROR(__xludf.DUMMYFUNCTION("""COMPUTED_VALUE"""),"Mechanical/Industrial Engineering")</f>
        <v>Mechanical/Industrial Engineering</v>
      </c>
    </row>
    <row r="3372">
      <c r="A3372" s="6" t="str">
        <f>IFERROR(__xludf.DUMMYFUNCTION("""COMPUTED_VALUE"""),"suma sas")</f>
        <v>suma sas</v>
      </c>
      <c r="B3372" s="6" t="str">
        <f>IFERROR(__xludf.DUMMYFUNCTION("""COMPUTED_VALUE"""),"Colombia")</f>
        <v>Colombia</v>
      </c>
      <c r="C3372" s="6" t="str">
        <f>IFERROR(__xludf.DUMMYFUNCTION("""COMPUTED_VALUE"""),"Other")</f>
        <v>Other</v>
      </c>
    </row>
    <row r="3373">
      <c r="A3373" s="6" t="str">
        <f>IFERROR(__xludf.DUMMYFUNCTION("""COMPUTED_VALUE"""),"chilling time")</f>
        <v>chilling time</v>
      </c>
      <c r="B3373" s="6" t="str">
        <f>IFERROR(__xludf.DUMMYFUNCTION("""COMPUTED_VALUE"""),"Colombia")</f>
        <v>Colombia</v>
      </c>
      <c r="C3373" s="6" t="str">
        <f>IFERROR(__xludf.DUMMYFUNCTION("""COMPUTED_VALUE"""),"Travel and Tourism")</f>
        <v>Travel and Tourism</v>
      </c>
    </row>
    <row r="3374">
      <c r="A3374" s="6" t="str">
        <f>IFERROR(__xludf.DUMMYFUNCTION("""COMPUTED_VALUE"""),"dr envio")</f>
        <v>dr envio</v>
      </c>
      <c r="B3374" s="6" t="str">
        <f>IFERROR(__xludf.DUMMYFUNCTION("""COMPUTED_VALUE"""),"México")</f>
        <v>México</v>
      </c>
      <c r="C3374" s="6" t="str">
        <f>IFERROR(__xludf.DUMMYFUNCTION("""COMPUTED_VALUE"""),"Logistics")</f>
        <v>Logistics</v>
      </c>
    </row>
    <row r="3375">
      <c r="A3375" s="6" t="str">
        <f>IFERROR(__xludf.DUMMYFUNCTION("""COMPUTED_VALUE"""),"aimedic")</f>
        <v>aimedic</v>
      </c>
      <c r="B3375" s="4"/>
      <c r="C3375" s="6" t="str">
        <f>IFERROR(__xludf.DUMMYFUNCTION("""COMPUTED_VALUE"""),"Software Factory / Staffing")</f>
        <v>Software Factory / Staffing</v>
      </c>
    </row>
    <row r="3376">
      <c r="A3376" s="6" t="str">
        <f>IFERROR(__xludf.DUMMYFUNCTION("""COMPUTED_VALUE"""),"opensistemas")</f>
        <v>opensistemas</v>
      </c>
      <c r="B3376" s="6" t="str">
        <f>IFERROR(__xludf.DUMMYFUNCTION("""COMPUTED_VALUE"""),"España")</f>
        <v>España</v>
      </c>
      <c r="C3376" s="6" t="str">
        <f>IFERROR(__xludf.DUMMYFUNCTION("""COMPUTED_VALUE"""),"Software Factory / Staffing")</f>
        <v>Software Factory / Staffing</v>
      </c>
    </row>
    <row r="3377">
      <c r="A3377" s="6" t="str">
        <f>IFERROR(__xludf.DUMMYFUNCTION("""COMPUTED_VALUE"""),"ramon carrillo sociedad del estado e.e.")</f>
        <v>ramon carrillo sociedad del estado e.e.</v>
      </c>
      <c r="B3377" s="4"/>
      <c r="C3377" s="4"/>
    </row>
    <row r="3378">
      <c r="A3378" s="6" t="str">
        <f>IFERROR(__xludf.DUMMYFUNCTION("""COMPUTED_VALUE"""),"gtc corporation")</f>
        <v>gtc corporation</v>
      </c>
      <c r="B3378" s="6" t="str">
        <f>IFERROR(__xludf.DUMMYFUNCTION("""COMPUTED_VALUE"""),"Emiratos Árabes Unidos")</f>
        <v>Emiratos Árabes Unidos</v>
      </c>
      <c r="C3378" s="6" t="str">
        <f>IFERROR(__xludf.DUMMYFUNCTION("""COMPUTED_VALUE"""),"Banking &amp; Financial Servicies")</f>
        <v>Banking &amp; Financial Servicies</v>
      </c>
    </row>
    <row r="3379">
      <c r="A3379" s="6" t="str">
        <f>IFERROR(__xludf.DUMMYFUNCTION("""COMPUTED_VALUE"""),"modelogeo")</f>
        <v>modelogeo</v>
      </c>
      <c r="B3379" s="4"/>
      <c r="C3379" s="4"/>
    </row>
    <row r="3380">
      <c r="A3380" s="6" t="str">
        <f>IFERROR(__xludf.DUMMYFUNCTION("""COMPUTED_VALUE"""),"ldc")</f>
        <v>ldc</v>
      </c>
      <c r="B3380" s="6" t="str">
        <f>IFERROR(__xludf.DUMMYFUNCTION("""COMPUTED_VALUE"""),"España")</f>
        <v>España</v>
      </c>
      <c r="C3380" s="6" t="str">
        <f>IFERROR(__xludf.DUMMYFUNCTION("""COMPUTED_VALUE"""),"Other")</f>
        <v>Other</v>
      </c>
    </row>
    <row r="3381">
      <c r="A3381" s="6" t="str">
        <f>IFERROR(__xludf.DUMMYFUNCTION("""COMPUTED_VALUE"""),"universidad")</f>
        <v>universidad</v>
      </c>
      <c r="B3381" s="6" t="str">
        <f>IFERROR(__xludf.DUMMYFUNCTION("""COMPUTED_VALUE"""),"Argentina")</f>
        <v>Argentina</v>
      </c>
      <c r="C3381" s="6" t="str">
        <f>IFERROR(__xludf.DUMMYFUNCTION("""COMPUTED_VALUE"""),"Education &amp; Edtech")</f>
        <v>Education &amp; Edtech</v>
      </c>
    </row>
    <row r="3382">
      <c r="A3382" s="6" t="str">
        <f>IFERROR(__xludf.DUMMYFUNCTION("""COMPUTED_VALUE"""),"multiempleos")</f>
        <v>multiempleos</v>
      </c>
      <c r="B3382" s="4"/>
      <c r="C3382" s="6" t="str">
        <f>IFERROR(__xludf.DUMMYFUNCTION("""COMPUTED_VALUE"""),"Human Resources")</f>
        <v>Human Resources</v>
      </c>
    </row>
    <row r="3383">
      <c r="A3383" s="6" t="str">
        <f>IFERROR(__xludf.DUMMYFUNCTION("""COMPUTED_VALUE"""),"legal hub")</f>
        <v>legal hub</v>
      </c>
      <c r="B3383" s="6" t="str">
        <f>IFERROR(__xludf.DUMMYFUNCTION("""COMPUTED_VALUE"""),"Argentina")</f>
        <v>Argentina</v>
      </c>
      <c r="C3383" s="6" t="str">
        <f>IFERROR(__xludf.DUMMYFUNCTION("""COMPUTED_VALUE"""),"Law/Legal Services")</f>
        <v>Law/Legal Services</v>
      </c>
    </row>
    <row r="3384">
      <c r="A3384" s="6" t="str">
        <f>IFERROR(__xludf.DUMMYFUNCTION("""COMPUTED_VALUE"""),"duppla")</f>
        <v>duppla</v>
      </c>
      <c r="B3384" s="6" t="str">
        <f>IFERROR(__xludf.DUMMYFUNCTION("""COMPUTED_VALUE"""),"Colombia")</f>
        <v>Colombia</v>
      </c>
      <c r="C3384" s="6" t="str">
        <f>IFERROR(__xludf.DUMMYFUNCTION("""COMPUTED_VALUE"""),"Banking &amp; Financial Servicies")</f>
        <v>Banking &amp; Financial Servicies</v>
      </c>
    </row>
    <row r="3385">
      <c r="A3385" s="6" t="str">
        <f>IFERROR(__xludf.DUMMYFUNCTION("""COMPUTED_VALUE"""),"portal inmobiliario sas")</f>
        <v>portal inmobiliario sas</v>
      </c>
      <c r="B3385" s="4"/>
      <c r="C3385" s="4"/>
    </row>
    <row r="3386">
      <c r="A3386" s="6" t="str">
        <f>IFERROR(__xludf.DUMMYFUNCTION("""COMPUTED_VALUE"""),"acceda")</f>
        <v>acceda</v>
      </c>
      <c r="B3386" s="6" t="str">
        <f>IFERROR(__xludf.DUMMYFUNCTION("""COMPUTED_VALUE"""),"Argentina")</f>
        <v>Argentina</v>
      </c>
      <c r="C3386" s="6" t="str">
        <f>IFERROR(__xludf.DUMMYFUNCTION("""COMPUTED_VALUE"""),"Human Resources")</f>
        <v>Human Resources</v>
      </c>
    </row>
    <row r="3387">
      <c r="A3387" s="6" t="str">
        <f>IFERROR(__xludf.DUMMYFUNCTION("""COMPUTED_VALUE"""),"mairon castro")</f>
        <v>mairon castro</v>
      </c>
      <c r="B3387" s="4"/>
      <c r="C3387" s="4"/>
    </row>
    <row r="3388">
      <c r="A3388" s="6" t="str">
        <f>IFERROR(__xludf.DUMMYFUNCTION("""COMPUTED_VALUE"""),"global 66")</f>
        <v>global 66</v>
      </c>
      <c r="B3388" s="6" t="str">
        <f>IFERROR(__xludf.DUMMYFUNCTION("""COMPUTED_VALUE"""),"Chile")</f>
        <v>Chile</v>
      </c>
      <c r="C3388" s="6" t="str">
        <f>IFERROR(__xludf.DUMMYFUNCTION("""COMPUTED_VALUE"""),"Banking &amp; Financial Servicies")</f>
        <v>Banking &amp; Financial Servicies</v>
      </c>
    </row>
    <row r="3389">
      <c r="A3389" s="6" t="str">
        <f>IFERROR(__xludf.DUMMYFUNCTION("""COMPUTED_VALUE"""),"saludelectronica")</f>
        <v>saludelectronica</v>
      </c>
      <c r="B3389" s="4"/>
      <c r="C3389" s="4"/>
    </row>
    <row r="3390">
      <c r="A3390" s="6" t="str">
        <f>IFERROR(__xludf.DUMMYFUNCTION("""COMPUTED_VALUE"""),"calm")</f>
        <v>calm</v>
      </c>
      <c r="B3390" s="4"/>
      <c r="C3390" s="4"/>
    </row>
    <row r="3391">
      <c r="A3391" s="6" t="str">
        <f>IFERROR(__xludf.DUMMYFUNCTION("""COMPUTED_VALUE"""),"cenyt ingeniero y consultores sas")</f>
        <v>cenyt ingeniero y consultores sas</v>
      </c>
      <c r="B3391" s="4"/>
      <c r="C3391" s="4"/>
    </row>
    <row r="3392">
      <c r="A3392" s="6" t="str">
        <f>IFERROR(__xludf.DUMMYFUNCTION("""COMPUTED_VALUE"""),"fidelitytools")</f>
        <v>fidelitytools</v>
      </c>
      <c r="B3392" s="6" t="str">
        <f>IFERROR(__xludf.DUMMYFUNCTION("""COMPUTED_VALUE"""),"Argentina")</f>
        <v>Argentina</v>
      </c>
      <c r="C3392" s="6" t="str">
        <f>IFERROR(__xludf.DUMMYFUNCTION("""COMPUTED_VALUE"""),"Software Factory / Staffing")</f>
        <v>Software Factory / Staffing</v>
      </c>
    </row>
    <row r="3393">
      <c r="A3393" s="6" t="str">
        <f>IFERROR(__xludf.DUMMYFUNCTION("""COMPUTED_VALUE"""),"byraices")</f>
        <v>byraices</v>
      </c>
      <c r="B3393" s="6" t="str">
        <f>IFERROR(__xludf.DUMMYFUNCTION("""COMPUTED_VALUE"""),"Argentina")</f>
        <v>Argentina</v>
      </c>
      <c r="C3393" s="6" t="str">
        <f>IFERROR(__xludf.DUMMYFUNCTION("""COMPUTED_VALUE"""),"PropTech / Real State")</f>
        <v>PropTech / Real State</v>
      </c>
    </row>
    <row r="3394">
      <c r="A3394" s="6" t="str">
        <f>IFERROR(__xludf.DUMMYFUNCTION("""COMPUTED_VALUE"""),"stack overflight")</f>
        <v>stack overflight</v>
      </c>
      <c r="B3394" s="6" t="str">
        <f>IFERROR(__xludf.DUMMYFUNCTION("""COMPUTED_VALUE"""),"España")</f>
        <v>España</v>
      </c>
      <c r="C3394" s="6" t="str">
        <f>IFERROR(__xludf.DUMMYFUNCTION("""COMPUTED_VALUE"""),"Software Factory / Staffing")</f>
        <v>Software Factory / Staffing</v>
      </c>
    </row>
    <row r="3395">
      <c r="A3395" s="6" t="str">
        <f>IFERROR(__xludf.DUMMYFUNCTION("""COMPUTED_VALUE"""),"petit plast s.a.")</f>
        <v>petit plast s.a.</v>
      </c>
      <c r="B3395" s="4"/>
      <c r="C3395" s="4"/>
    </row>
    <row r="3396">
      <c r="A3396" s="6" t="str">
        <f>IFERROR(__xludf.DUMMYFUNCTION("""COMPUTED_VALUE"""),"redegal")</f>
        <v>redegal</v>
      </c>
      <c r="B3396" s="6" t="str">
        <f>IFERROR(__xludf.DUMMYFUNCTION("""COMPUTED_VALUE"""),"España")</f>
        <v>España</v>
      </c>
      <c r="C3396" s="6" t="str">
        <f>IFERROR(__xludf.DUMMYFUNCTION("""COMPUTED_VALUE"""),"Software Factory / Staffing")</f>
        <v>Software Factory / Staffing</v>
      </c>
    </row>
    <row r="3397">
      <c r="A3397" s="6" t="str">
        <f>IFERROR(__xludf.DUMMYFUNCTION("""COMPUTED_VALUE"""),"playa hotels and resorts")</f>
        <v>playa hotels and resorts</v>
      </c>
      <c r="B3397" s="6" t="str">
        <f>IFERROR(__xludf.DUMMYFUNCTION("""COMPUTED_VALUE"""),"Estados Unidos")</f>
        <v>Estados Unidos</v>
      </c>
      <c r="C3397" s="6" t="str">
        <f>IFERROR(__xludf.DUMMYFUNCTION("""COMPUTED_VALUE"""),"Travel and Tourism")</f>
        <v>Travel and Tourism</v>
      </c>
    </row>
    <row r="3398">
      <c r="A3398" s="6" t="str">
        <f>IFERROR(__xludf.DUMMYFUNCTION("""COMPUTED_VALUE"""),"moneyfi tecnologies")</f>
        <v>moneyfi tecnologies</v>
      </c>
      <c r="B3398" s="4"/>
      <c r="C3398" s="4"/>
    </row>
    <row r="3399">
      <c r="A3399" s="6" t="str">
        <f>IFERROR(__xludf.DUMMYFUNCTION("""COMPUTED_VALUE"""),"website depot")</f>
        <v>website depot</v>
      </c>
      <c r="B3399" s="6" t="str">
        <f>IFERROR(__xludf.DUMMYFUNCTION("""COMPUTED_VALUE"""),"Estados Unidos")</f>
        <v>Estados Unidos</v>
      </c>
      <c r="C3399" s="4"/>
    </row>
    <row r="3400">
      <c r="A3400" s="6" t="str">
        <f>IFERROR(__xludf.DUMMYFUNCTION("""COMPUTED_VALUE"""),"ey gds mexico")</f>
        <v>ey gds mexico</v>
      </c>
      <c r="B3400" s="6" t="str">
        <f>IFERROR(__xludf.DUMMYFUNCTION("""COMPUTED_VALUE"""),"Polonia")</f>
        <v>Polonia</v>
      </c>
      <c r="C3400" s="4"/>
    </row>
    <row r="3401">
      <c r="A3401" s="6" t="str">
        <f>IFERROR(__xludf.DUMMYFUNCTION("""COMPUTED_VALUE"""),"bodega chico zossi")</f>
        <v>bodega chico zossi</v>
      </c>
      <c r="B3401" s="4"/>
      <c r="C3401" s="4"/>
    </row>
    <row r="3402">
      <c r="A3402" s="6" t="str">
        <f>IFERROR(__xludf.DUMMYFUNCTION("""COMPUTED_VALUE"""),"ecometales sas")</f>
        <v>ecometales sas</v>
      </c>
      <c r="B3402" s="4"/>
      <c r="C3402" s="4"/>
    </row>
    <row r="3403">
      <c r="A3403" s="6" t="str">
        <f>IFERROR(__xludf.DUMMYFUNCTION("""COMPUTED_VALUE"""),"complejo alimenticio san salvador")</f>
        <v>complejo alimenticio san salvador</v>
      </c>
      <c r="B3403" s="6" t="str">
        <f>IFERROR(__xludf.DUMMYFUNCTION("""COMPUTED_VALUE"""),"Brasil")</f>
        <v>Brasil</v>
      </c>
      <c r="C3403" s="6" t="str">
        <f>IFERROR(__xludf.DUMMYFUNCTION("""COMPUTED_VALUE"""),"FMCG / Consumo masivo")</f>
        <v>FMCG / Consumo masivo</v>
      </c>
    </row>
    <row r="3404">
      <c r="A3404" s="6" t="str">
        <f>IFERROR(__xludf.DUMMYFUNCTION("""COMPUTED_VALUE"""),"acri")</f>
        <v>acri</v>
      </c>
      <c r="B3404" s="6" t="str">
        <f>IFERROR(__xludf.DUMMYFUNCTION("""COMPUTED_VALUE"""),"Italia")</f>
        <v>Italia</v>
      </c>
      <c r="C3404" s="6" t="str">
        <f>IFERROR(__xludf.DUMMYFUNCTION("""COMPUTED_VALUE"""),"Other")</f>
        <v>Other</v>
      </c>
    </row>
    <row r="3405">
      <c r="A3405" s="6" t="str">
        <f>IFERROR(__xludf.DUMMYFUNCTION("""COMPUTED_VALUE"""),"nextbooks")</f>
        <v>nextbooks</v>
      </c>
      <c r="B3405" s="4"/>
      <c r="C3405" s="4"/>
    </row>
    <row r="3406">
      <c r="A3406" s="6" t="str">
        <f>IFERROR(__xludf.DUMMYFUNCTION("""COMPUTED_VALUE"""),"c.e.i.p. bright beginnings s.c.r.l.")</f>
        <v>c.e.i.p. bright beginnings s.c.r.l.</v>
      </c>
      <c r="B3406" s="4"/>
      <c r="C3406" s="4"/>
    </row>
    <row r="3407">
      <c r="A3407" s="6" t="str">
        <f>IFERROR(__xludf.DUMMYFUNCTION("""COMPUTED_VALUE"""),"inlearning institutos")</f>
        <v>inlearning institutos</v>
      </c>
      <c r="B3407" s="4"/>
      <c r="C3407" s="6" t="str">
        <f>IFERROR(__xludf.DUMMYFUNCTION("""COMPUTED_VALUE"""),"Education &amp; Edtech")</f>
        <v>Education &amp; Edtech</v>
      </c>
    </row>
    <row r="3408">
      <c r="A3408" s="6" t="str">
        <f>IFERROR(__xludf.DUMMYFUNCTION("""COMPUTED_VALUE"""),"zest")</f>
        <v>zest</v>
      </c>
      <c r="B3408" s="6" t="str">
        <f>IFERROR(__xludf.DUMMYFUNCTION("""COMPUTED_VALUE"""),"Italia")</f>
        <v>Italia</v>
      </c>
      <c r="C3408" s="6" t="str">
        <f>IFERROR(__xludf.DUMMYFUNCTION("""COMPUTED_VALUE"""),"Banking &amp; Financial Servicies")</f>
        <v>Banking &amp; Financial Servicies</v>
      </c>
    </row>
    <row r="3409">
      <c r="A3409" s="6" t="str">
        <f>IFERROR(__xludf.DUMMYFUNCTION("""COMPUTED_VALUE"""),"cineplex s.a.")</f>
        <v>cineplex s.a.</v>
      </c>
      <c r="B3409" s="4"/>
      <c r="C3409" s="4"/>
    </row>
    <row r="3410">
      <c r="A3410" s="6" t="str">
        <f>IFERROR(__xludf.DUMMYFUNCTION("""COMPUTED_VALUE"""),"roca alliances")</f>
        <v>roca alliances</v>
      </c>
      <c r="B3410" s="6" t="str">
        <f>IFERROR(__xludf.DUMMYFUNCTION("""COMPUTED_VALUE"""),"México")</f>
        <v>México</v>
      </c>
      <c r="C3410" s="6" t="str">
        <f>IFERROR(__xludf.DUMMYFUNCTION("""COMPUTED_VALUE"""),"Management Consulting")</f>
        <v>Management Consulting</v>
      </c>
    </row>
    <row r="3411">
      <c r="A3411" s="6" t="str">
        <f>IFERROR(__xludf.DUMMYFUNCTION("""COMPUTED_VALUE"""),"carta ai")</f>
        <v>carta ai</v>
      </c>
      <c r="B3411" s="4"/>
      <c r="C3411" s="4"/>
    </row>
    <row r="3412">
      <c r="A3412" s="6" t="str">
        <f>IFERROR(__xludf.DUMMYFUNCTION("""COMPUTED_VALUE"""),"kantar")</f>
        <v>kantar</v>
      </c>
      <c r="B3412" s="4"/>
      <c r="C3412" s="6" t="str">
        <f>IFERROR(__xludf.DUMMYFUNCTION("""COMPUTED_VALUE"""),"Banking &amp; Financial Servicies")</f>
        <v>Banking &amp; Financial Servicies</v>
      </c>
    </row>
    <row r="3413">
      <c r="A3413" s="6" t="str">
        <f>IFERROR(__xludf.DUMMYFUNCTION("""COMPUTED_VALUE"""),"suma wealth")</f>
        <v>suma wealth</v>
      </c>
      <c r="B3413" s="4"/>
      <c r="C3413" s="6" t="str">
        <f>IFERROR(__xludf.DUMMYFUNCTION("""COMPUTED_VALUE"""),"Banking &amp; Financial Servicies")</f>
        <v>Banking &amp; Financial Servicies</v>
      </c>
    </row>
    <row r="3414">
      <c r="A3414" s="6" t="str">
        <f>IFERROR(__xludf.DUMMYFUNCTION("""COMPUTED_VALUE"""),"channelattribution")</f>
        <v>channelattribution</v>
      </c>
      <c r="B3414" s="4"/>
      <c r="C3414" s="6" t="str">
        <f>IFERROR(__xludf.DUMMYFUNCTION("""COMPUTED_VALUE"""),"Data &amp; Analytics")</f>
        <v>Data &amp; Analytics</v>
      </c>
    </row>
    <row r="3415">
      <c r="A3415" s="6" t="str">
        <f>IFERROR(__xludf.DUMMYFUNCTION("""COMPUTED_VALUE"""),"anclajes cima")</f>
        <v>anclajes cima</v>
      </c>
      <c r="B3415" s="4"/>
      <c r="C3415" s="4"/>
    </row>
    <row r="3416">
      <c r="A3416" s="6" t="str">
        <f>IFERROR(__xludf.DUMMYFUNCTION("""COMPUTED_VALUE"""),"outlier")</f>
        <v>outlier</v>
      </c>
      <c r="B3416" s="4"/>
      <c r="C3416" s="6" t="str">
        <f>IFERROR(__xludf.DUMMYFUNCTION("""COMPUTED_VALUE"""),"Software Factory / Staffing")</f>
        <v>Software Factory / Staffing</v>
      </c>
    </row>
    <row r="3417">
      <c r="A3417" s="6" t="str">
        <f>IFERROR(__xludf.DUMMYFUNCTION("""COMPUTED_VALUE"""),"vanv comp srl")</f>
        <v>vanv comp srl</v>
      </c>
      <c r="B3417" s="4"/>
      <c r="C3417" s="4"/>
    </row>
    <row r="3418">
      <c r="A3418" s="6" t="str">
        <f>IFERROR(__xludf.DUMMYFUNCTION("""COMPUTED_VALUE"""),"handytec")</f>
        <v>handytec</v>
      </c>
      <c r="B3418" s="6" t="str">
        <f>IFERROR(__xludf.DUMMYFUNCTION("""COMPUTED_VALUE"""),"Ecuador")</f>
        <v>Ecuador</v>
      </c>
      <c r="C3418" s="6" t="str">
        <f>IFERROR(__xludf.DUMMYFUNCTION("""COMPUTED_VALUE"""),"Data &amp; Analytics")</f>
        <v>Data &amp; Analytics</v>
      </c>
    </row>
    <row r="3419">
      <c r="A3419" s="6" t="str">
        <f>IFERROR(__xludf.DUMMYFUNCTION("""COMPUTED_VALUE"""),"instrutech")</f>
        <v>instrutech</v>
      </c>
      <c r="B3419" s="6" t="str">
        <f>IFERROR(__xludf.DUMMYFUNCTION("""COMPUTED_VALUE"""),"España")</f>
        <v>España</v>
      </c>
      <c r="C3419" s="6" t="str">
        <f>IFERROR(__xludf.DUMMYFUNCTION("""COMPUTED_VALUE"""),"Mechanical/Industrial Engineering")</f>
        <v>Mechanical/Industrial Engineering</v>
      </c>
    </row>
    <row r="3420">
      <c r="A3420" s="6" t="str">
        <f>IFERROR(__xludf.DUMMYFUNCTION("""COMPUTED_VALUE"""),"delta digital")</f>
        <v>delta digital</v>
      </c>
      <c r="B3420" s="6" t="str">
        <f>IFERROR(__xludf.DUMMYFUNCTION("""COMPUTED_VALUE"""),"Chile")</f>
        <v>Chile</v>
      </c>
      <c r="C3420" s="6" t="str">
        <f>IFERROR(__xludf.DUMMYFUNCTION("""COMPUTED_VALUE"""),"Marketing &amp; Advertising")</f>
        <v>Marketing &amp; Advertising</v>
      </c>
    </row>
    <row r="3421">
      <c r="A3421" s="6" t="str">
        <f>IFERROR(__xludf.DUMMYFUNCTION("""COMPUTED_VALUE"""),"bedu")</f>
        <v>bedu</v>
      </c>
      <c r="B3421" s="6" t="str">
        <f>IFERROR(__xludf.DUMMYFUNCTION("""COMPUTED_VALUE"""),"México")</f>
        <v>México</v>
      </c>
      <c r="C3421" s="6" t="str">
        <f>IFERROR(__xludf.DUMMYFUNCTION("""COMPUTED_VALUE"""),"Education &amp; Edtech")</f>
        <v>Education &amp; Edtech</v>
      </c>
    </row>
    <row r="3422">
      <c r="A3422" s="6" t="str">
        <f>IFERROR(__xludf.DUMMYFUNCTION("""COMPUTED_VALUE"""),"meanlight studio")</f>
        <v>meanlight studio</v>
      </c>
      <c r="B3422" s="4"/>
      <c r="C3422" s="4"/>
    </row>
    <row r="3423">
      <c r="A3423" s="6" t="str">
        <f>IFERROR(__xludf.DUMMYFUNCTION("""COMPUTED_VALUE"""),"segimed")</f>
        <v>segimed</v>
      </c>
      <c r="B3423" s="4"/>
      <c r="C3423" s="4"/>
    </row>
    <row r="3424">
      <c r="A3424" s="6" t="str">
        <f>IFERROR(__xludf.DUMMYFUNCTION("""COMPUTED_VALUE"""),"people's eyes")</f>
        <v>people's eyes</v>
      </c>
      <c r="B3424" s="6" t="str">
        <f>IFERROR(__xludf.DUMMYFUNCTION("""COMPUTED_VALUE"""),"Puerto Rico")</f>
        <v>Puerto Rico</v>
      </c>
      <c r="C3424" s="6" t="str">
        <f>IFERROR(__xludf.DUMMYFUNCTION("""COMPUTED_VALUE"""),"Marketing &amp; Advertising")</f>
        <v>Marketing &amp; Advertising</v>
      </c>
    </row>
    <row r="3425">
      <c r="A3425" s="6" t="str">
        <f>IFERROR(__xludf.DUMMYFUNCTION("""COMPUTED_VALUE"""),"emprendimientos satelitales sa")</f>
        <v>emprendimientos satelitales sa</v>
      </c>
      <c r="B3425" s="4"/>
      <c r="C3425" s="4"/>
    </row>
    <row r="3426">
      <c r="A3426" s="6" t="str">
        <f>IFERROR(__xludf.DUMMYFUNCTION("""COMPUTED_VALUE"""),"siderperu")</f>
        <v>siderperu</v>
      </c>
      <c r="B3426" s="6" t="str">
        <f>IFERROR(__xludf.DUMMYFUNCTION("""COMPUTED_VALUE"""),"México")</f>
        <v>México</v>
      </c>
      <c r="C3426" s="6" t="str">
        <f>IFERROR(__xludf.DUMMYFUNCTION("""COMPUTED_VALUE"""),"Other")</f>
        <v>Other</v>
      </c>
    </row>
    <row r="3427">
      <c r="A3427" s="6" t="str">
        <f>IFERROR(__xludf.DUMMYFUNCTION("""COMPUTED_VALUE"""),"by derm")</f>
        <v>by derm</v>
      </c>
      <c r="B3427" s="6" t="str">
        <f>IFERROR(__xludf.DUMMYFUNCTION("""COMPUTED_VALUE"""),"Argentina")</f>
        <v>Argentina</v>
      </c>
      <c r="C3427" s="6" t="str">
        <f>IFERROR(__xludf.DUMMYFUNCTION("""COMPUTED_VALUE"""),"Other")</f>
        <v>Other</v>
      </c>
    </row>
    <row r="3428">
      <c r="A3428" s="6" t="str">
        <f>IFERROR(__xludf.DUMMYFUNCTION("""COMPUTED_VALUE"""),"strongwood")</f>
        <v>strongwood</v>
      </c>
      <c r="B3428" s="6" t="str">
        <f>IFERROR(__xludf.DUMMYFUNCTION("""COMPUTED_VALUE"""),"Estados Unidos")</f>
        <v>Estados Unidos</v>
      </c>
      <c r="C3428" s="6" t="str">
        <f>IFERROR(__xludf.DUMMYFUNCTION("""COMPUTED_VALUE"""),"Construction")</f>
        <v>Construction</v>
      </c>
    </row>
    <row r="3429">
      <c r="A3429" s="6" t="str">
        <f>IFERROR(__xludf.DUMMYFUNCTION("""COMPUTED_VALUE"""),"cheil")</f>
        <v>cheil</v>
      </c>
      <c r="B3429" s="4"/>
      <c r="C3429" s="4"/>
    </row>
    <row r="3430">
      <c r="A3430" s="6" t="str">
        <f>IFERROR(__xludf.DUMMYFUNCTION("""COMPUTED_VALUE"""),"academia europea")</f>
        <v>academia europea</v>
      </c>
      <c r="B3430" s="4"/>
      <c r="C3430" s="6" t="str">
        <f>IFERROR(__xludf.DUMMYFUNCTION("""COMPUTED_VALUE"""),"Education &amp; Edtech")</f>
        <v>Education &amp; Edtech</v>
      </c>
    </row>
    <row r="3431">
      <c r="A3431" s="6" t="str">
        <f>IFERROR(__xludf.DUMMYFUNCTION("""COMPUTED_VALUE"""),"municipalidad bariloche")</f>
        <v>municipalidad bariloche</v>
      </c>
      <c r="B3431" s="6" t="str">
        <f>IFERROR(__xludf.DUMMYFUNCTION("""COMPUTED_VALUE"""),"Argentina")</f>
        <v>Argentina</v>
      </c>
      <c r="C3431" s="6" t="str">
        <f>IFERROR(__xludf.DUMMYFUNCTION("""COMPUTED_VALUE"""),"Public Center")</f>
        <v>Public Center</v>
      </c>
    </row>
    <row r="3432">
      <c r="A3432" s="6" t="str">
        <f>IFERROR(__xludf.DUMMYFUNCTION("""COMPUTED_VALUE"""),"double point")</f>
        <v>double point</v>
      </c>
      <c r="B3432" s="6" t="str">
        <f>IFERROR(__xludf.DUMMYFUNCTION("""COMPUTED_VALUE"""),"Finlandia")</f>
        <v>Finlandia</v>
      </c>
      <c r="C3432" s="6" t="str">
        <f>IFERROR(__xludf.DUMMYFUNCTION("""COMPUTED_VALUE"""),"Software Factory / Staffing")</f>
        <v>Software Factory / Staffing</v>
      </c>
    </row>
    <row r="3433">
      <c r="A3433" s="6" t="str">
        <f>IFERROR(__xludf.DUMMYFUNCTION("""COMPUTED_VALUE"""),"comercial del plata s.r.l.")</f>
        <v>comercial del plata s.r.l.</v>
      </c>
      <c r="B3433" s="4"/>
      <c r="C3433" s="6" t="str">
        <f>IFERROR(__xludf.DUMMYFUNCTION("""COMPUTED_VALUE"""),"FMCG / Consumo masivo")</f>
        <v>FMCG / Consumo masivo</v>
      </c>
    </row>
    <row r="3434">
      <c r="A3434" s="6" t="str">
        <f>IFERROR(__xludf.DUMMYFUNCTION("""COMPUTED_VALUE"""),"ehvert")</f>
        <v>ehvert</v>
      </c>
      <c r="B3434" s="6" t="str">
        <f>IFERROR(__xludf.DUMMYFUNCTION("""COMPUTED_VALUE"""),"Estados Unidos")</f>
        <v>Estados Unidos</v>
      </c>
      <c r="C3434" s="6" t="str">
        <f>IFERROR(__xludf.DUMMYFUNCTION("""COMPUTED_VALUE"""),"Mechanical/Industrial Engineering")</f>
        <v>Mechanical/Industrial Engineering</v>
      </c>
    </row>
    <row r="3435">
      <c r="A3435" s="6" t="str">
        <f>IFERROR(__xludf.DUMMYFUNCTION("""COMPUTED_VALUE"""),"colegio santa clara de asis")</f>
        <v>colegio santa clara de asis</v>
      </c>
      <c r="B3435" s="4"/>
      <c r="C3435" s="4"/>
    </row>
    <row r="3436">
      <c r="A3436" s="6" t="str">
        <f>IFERROR(__xludf.DUMMYFUNCTION("""COMPUTED_VALUE"""),"colegio bilingüe nueva galica")</f>
        <v>colegio bilingüe nueva galica</v>
      </c>
      <c r="B3436" s="4"/>
      <c r="C3436" s="4"/>
    </row>
    <row r="3437">
      <c r="A3437" s="6" t="str">
        <f>IFERROR(__xludf.DUMMYFUNCTION("""COMPUTED_VALUE"""),"edu passport")</f>
        <v>edu passport</v>
      </c>
      <c r="B3437" s="4"/>
      <c r="C3437" s="4"/>
    </row>
    <row r="3438">
      <c r="A3438" s="6" t="str">
        <f>IFERROR(__xludf.DUMMYFUNCTION("""COMPUTED_VALUE"""),"municipalidad de san nicolás de los arroyos")</f>
        <v>municipalidad de san nicolás de los arroyos</v>
      </c>
      <c r="B3438" s="6" t="str">
        <f>IFERROR(__xludf.DUMMYFUNCTION("""COMPUTED_VALUE"""),"Argentina")</f>
        <v>Argentina</v>
      </c>
      <c r="C3438" s="6" t="str">
        <f>IFERROR(__xludf.DUMMYFUNCTION("""COMPUTED_VALUE"""),"Public Center")</f>
        <v>Public Center</v>
      </c>
    </row>
    <row r="3439">
      <c r="A3439" s="6" t="str">
        <f>IFERROR(__xludf.DUMMYFUNCTION("""COMPUTED_VALUE"""),"pequeños genios")</f>
        <v>pequeños genios</v>
      </c>
      <c r="B3439" s="6" t="str">
        <f>IFERROR(__xludf.DUMMYFUNCTION("""COMPUTED_VALUE"""),"Argentina")</f>
        <v>Argentina</v>
      </c>
      <c r="C3439" s="6" t="str">
        <f>IFERROR(__xludf.DUMMYFUNCTION("""COMPUTED_VALUE"""),"Education &amp; Edtech")</f>
        <v>Education &amp; Edtech</v>
      </c>
    </row>
    <row r="3440">
      <c r="A3440" s="6" t="str">
        <f>IFERROR(__xludf.DUMMYFUNCTION("""COMPUTED_VALUE"""),"planify")</f>
        <v>planify</v>
      </c>
      <c r="B3440" s="6" t="str">
        <f>IFERROR(__xludf.DUMMYFUNCTION("""COMPUTED_VALUE"""),"India")</f>
        <v>India</v>
      </c>
      <c r="C3440" s="6" t="str">
        <f>IFERROR(__xludf.DUMMYFUNCTION("""COMPUTED_VALUE"""),"Banking &amp; Financial Servicies")</f>
        <v>Banking &amp; Financial Servicies</v>
      </c>
    </row>
    <row r="3441">
      <c r="A3441" s="6" t="str">
        <f>IFERROR(__xludf.DUMMYFUNCTION("""COMPUTED_VALUE"""),"crm partners")</f>
        <v>crm partners</v>
      </c>
      <c r="B3441" s="6" t="str">
        <f>IFERROR(__xludf.DUMMYFUNCTION("""COMPUTED_VALUE"""),"Israel")</f>
        <v>Israel</v>
      </c>
      <c r="C3441" s="6" t="str">
        <f>IFERROR(__xludf.DUMMYFUNCTION("""COMPUTED_VALUE"""),"Other")</f>
        <v>Other</v>
      </c>
    </row>
    <row r="3442">
      <c r="A3442" s="6" t="str">
        <f>IFERROR(__xludf.DUMMYFUNCTION("""COMPUTED_VALUE"""),"ascar dev")</f>
        <v>ascar dev</v>
      </c>
      <c r="B3442" s="4"/>
      <c r="C3442" s="4"/>
    </row>
    <row r="3443">
      <c r="A3443" s="6" t="str">
        <f>IFERROR(__xludf.DUMMYFUNCTION("""COMPUTED_VALUE"""),"ryr.asociados")</f>
        <v>ryr.asociados</v>
      </c>
      <c r="B3443" s="4"/>
      <c r="C3443" s="4"/>
    </row>
    <row r="3444">
      <c r="A3444" s="6" t="str">
        <f>IFERROR(__xludf.DUMMYFUNCTION("""COMPUTED_VALUE"""),"kyndryl")</f>
        <v>kyndryl</v>
      </c>
      <c r="B3444" s="6" t="str">
        <f>IFERROR(__xludf.DUMMYFUNCTION("""COMPUTED_VALUE"""),"Estados Unidos")</f>
        <v>Estados Unidos</v>
      </c>
      <c r="C3444" s="6" t="str">
        <f>IFERROR(__xludf.DUMMYFUNCTION("""COMPUTED_VALUE"""),"Software Factory / Staffing")</f>
        <v>Software Factory / Staffing</v>
      </c>
    </row>
    <row r="3445">
      <c r="A3445" s="6" t="str">
        <f>IFERROR(__xludf.DUMMYFUNCTION("""COMPUTED_VALUE"""),"s&amp;s corporate solutions llc")</f>
        <v>s&amp;s corporate solutions llc</v>
      </c>
      <c r="B3445" s="4"/>
      <c r="C3445" s="6" t="str">
        <f>IFERROR(__xludf.DUMMYFUNCTION("""COMPUTED_VALUE"""),"FMCG / Consumo masivo")</f>
        <v>FMCG / Consumo masivo</v>
      </c>
    </row>
    <row r="3446">
      <c r="A3446" s="6" t="str">
        <f>IFERROR(__xludf.DUMMYFUNCTION("""COMPUTED_VALUE"""),"bigview")</f>
        <v>bigview</v>
      </c>
      <c r="B3446" s="6" t="str">
        <f>IFERROR(__xludf.DUMMYFUNCTION("""COMPUTED_VALUE"""),"Colombia")</f>
        <v>Colombia</v>
      </c>
      <c r="C3446" s="6" t="str">
        <f>IFERROR(__xludf.DUMMYFUNCTION("""COMPUTED_VALUE"""),"Software Factory / Staffing")</f>
        <v>Software Factory / Staffing</v>
      </c>
    </row>
    <row r="3447">
      <c r="A3447" s="6" t="str">
        <f>IFERROR(__xludf.DUMMYFUNCTION("""COMPUTED_VALUE"""),"base labs")</f>
        <v>base labs</v>
      </c>
      <c r="B3447" s="6" t="str">
        <f>IFERROR(__xludf.DUMMYFUNCTION("""COMPUTED_VALUE"""),"México")</f>
        <v>México</v>
      </c>
      <c r="C3447" s="6" t="str">
        <f>IFERROR(__xludf.DUMMYFUNCTION("""COMPUTED_VALUE"""),"Software Factory / Staffing")</f>
        <v>Software Factory / Staffing</v>
      </c>
    </row>
    <row r="3448">
      <c r="A3448" s="6" t="str">
        <f>IFERROR(__xludf.DUMMYFUNCTION("""COMPUTED_VALUE"""),"mica group")</f>
        <v>mica group</v>
      </c>
      <c r="B3448" s="6" t="str">
        <f>IFERROR(__xludf.DUMMYFUNCTION("""COMPUTED_VALUE"""),"Estados Unidos")</f>
        <v>Estados Unidos</v>
      </c>
      <c r="C3448" s="6" t="str">
        <f>IFERROR(__xludf.DUMMYFUNCTION("""COMPUTED_VALUE"""),"Marketing &amp; Advertising")</f>
        <v>Marketing &amp; Advertising</v>
      </c>
    </row>
    <row r="3449">
      <c r="A3449" s="6" t="str">
        <f>IFERROR(__xludf.DUMMYFUNCTION("""COMPUTED_VALUE"""),"outlier ia")</f>
        <v>outlier ia</v>
      </c>
      <c r="B3449" s="4"/>
      <c r="C3449" s="6" t="str">
        <f>IFERROR(__xludf.DUMMYFUNCTION("""COMPUTED_VALUE"""),"Software Factory / Staffing")</f>
        <v>Software Factory / Staffing</v>
      </c>
    </row>
    <row r="3450">
      <c r="A3450" s="6" t="str">
        <f>IFERROR(__xludf.DUMMYFUNCTION("""COMPUTED_VALUE"""),"revolt")</f>
        <v>revolt</v>
      </c>
      <c r="B3450" s="6" t="str">
        <f>IFERROR(__xludf.DUMMYFUNCTION("""COMPUTED_VALUE"""),"Estados Unidos")</f>
        <v>Estados Unidos</v>
      </c>
      <c r="C3450" s="6" t="str">
        <f>IFERROR(__xludf.DUMMYFUNCTION("""COMPUTED_VALUE"""),"Software Factory / Staffing")</f>
        <v>Software Factory / Staffing</v>
      </c>
    </row>
    <row r="3451">
      <c r="A3451" s="6" t="str">
        <f>IFERROR(__xludf.DUMMYFUNCTION("""COMPUTED_VALUE"""),"tiempo exacto")</f>
        <v>tiempo exacto</v>
      </c>
      <c r="B3451" s="6" t="str">
        <f>IFERROR(__xludf.DUMMYFUNCTION("""COMPUTED_VALUE"""),"Panamá")</f>
        <v>Panamá</v>
      </c>
      <c r="C3451" s="6" t="str">
        <f>IFERROR(__xludf.DUMMYFUNCTION("""COMPUTED_VALUE"""),"Human Resources")</f>
        <v>Human Resources</v>
      </c>
    </row>
    <row r="3452">
      <c r="A3452" s="6" t="str">
        <f>IFERROR(__xludf.DUMMYFUNCTION("""COMPUTED_VALUE"""),"innova it")</f>
        <v>innova it</v>
      </c>
      <c r="B3452" s="6" t="str">
        <f>IFERROR(__xludf.DUMMYFUNCTION("""COMPUTED_VALUE"""),"España")</f>
        <v>España</v>
      </c>
      <c r="C3452" s="6" t="str">
        <f>IFERROR(__xludf.DUMMYFUNCTION("""COMPUTED_VALUE"""),"Education &amp; Edtech")</f>
        <v>Education &amp; Edtech</v>
      </c>
    </row>
    <row r="3453">
      <c r="A3453" s="6" t="str">
        <f>IFERROR(__xludf.DUMMYFUNCTION("""COMPUTED_VALUE"""),"todosgamers")</f>
        <v>todosgamers</v>
      </c>
      <c r="B3453" s="6" t="str">
        <f>IFERROR(__xludf.DUMMYFUNCTION("""COMPUTED_VALUE"""),"Argentina")</f>
        <v>Argentina</v>
      </c>
      <c r="C3453" s="6" t="str">
        <f>IFERROR(__xludf.DUMMYFUNCTION("""COMPUTED_VALUE"""),"Gaming")</f>
        <v>Gaming</v>
      </c>
    </row>
    <row r="3454">
      <c r="A3454" s="6" t="str">
        <f>IFERROR(__xludf.DUMMYFUNCTION("""COMPUTED_VALUE"""),"proven")</f>
        <v>proven</v>
      </c>
      <c r="B3454" s="6" t="str">
        <f>IFERROR(__xludf.DUMMYFUNCTION("""COMPUTED_VALUE"""),"Arabia")</f>
        <v>Arabia</v>
      </c>
      <c r="C3454" s="6" t="str">
        <f>IFERROR(__xludf.DUMMYFUNCTION("""COMPUTED_VALUE"""),"Management Consulting")</f>
        <v>Management Consulting</v>
      </c>
    </row>
    <row r="3455">
      <c r="A3455" s="6" t="str">
        <f>IFERROR(__xludf.DUMMYFUNCTION("""COMPUTED_VALUE"""),"universidad francisco de paula santander")</f>
        <v>universidad francisco de paula santander</v>
      </c>
      <c r="B3455" s="4"/>
      <c r="C3455" s="6" t="str">
        <f>IFERROR(__xludf.DUMMYFUNCTION("""COMPUTED_VALUE"""),"Education &amp; Edtech")</f>
        <v>Education &amp; Edtech</v>
      </c>
    </row>
    <row r="3456">
      <c r="A3456" s="6" t="str">
        <f>IFERROR(__xludf.DUMMYFUNCTION("""COMPUTED_VALUE"""),"dream junk studio")</f>
        <v>dream junk studio</v>
      </c>
      <c r="B3456" s="4"/>
      <c r="C3456" s="4"/>
    </row>
    <row r="3457">
      <c r="A3457" s="6" t="str">
        <f>IFERROR(__xludf.DUMMYFUNCTION("""COMPUTED_VALUE"""),"emtipay")</f>
        <v>emtipay</v>
      </c>
      <c r="B3457" s="4"/>
      <c r="C3457" s="4"/>
    </row>
    <row r="3458">
      <c r="A3458" s="6" t="str">
        <f>IFERROR(__xludf.DUMMYFUNCTION("""COMPUTED_VALUE"""),"5ca")</f>
        <v>5ca</v>
      </c>
      <c r="B3458" s="6" t="str">
        <f>IFERROR(__xludf.DUMMYFUNCTION("""COMPUTED_VALUE"""),"Países Bajos")</f>
        <v>Países Bajos</v>
      </c>
      <c r="C3458" s="6" t="str">
        <f>IFERROR(__xludf.DUMMYFUNCTION("""COMPUTED_VALUE"""),"Other")</f>
        <v>Other</v>
      </c>
    </row>
    <row r="3459">
      <c r="A3459" s="6" t="str">
        <f>IFERROR(__xludf.DUMMYFUNCTION("""COMPUTED_VALUE"""),"cafè")</f>
        <v>cafè</v>
      </c>
      <c r="B3459" s="4"/>
      <c r="C3459" s="6" t="str">
        <f>IFERROR(__xludf.DUMMYFUNCTION("""COMPUTED_VALUE"""),"Software Factory / Staffing")</f>
        <v>Software Factory / Staffing</v>
      </c>
    </row>
    <row r="3460">
      <c r="A3460" s="6" t="str">
        <f>IFERROR(__xludf.DUMMYFUNCTION("""COMPUTED_VALUE"""),"genialitys.a.s")</f>
        <v>genialitys.a.s</v>
      </c>
      <c r="B3460" s="4"/>
      <c r="C3460" s="6" t="str">
        <f>IFERROR(__xludf.DUMMYFUNCTION("""COMPUTED_VALUE"""),"FMCG / Consumo masivo")</f>
        <v>FMCG / Consumo masivo</v>
      </c>
    </row>
    <row r="3461">
      <c r="A3461" s="6" t="str">
        <f>IFERROR(__xludf.DUMMYFUNCTION("""COMPUTED_VALUE"""),"magis publicidad sas")</f>
        <v>magis publicidad sas</v>
      </c>
      <c r="B3461" s="4"/>
      <c r="C3461" s="4"/>
    </row>
    <row r="3462">
      <c r="A3462" s="6" t="str">
        <f>IFERROR(__xludf.DUMMYFUNCTION("""COMPUTED_VALUE"""),"precia")</f>
        <v>precia</v>
      </c>
      <c r="B3462" s="6" t="str">
        <f>IFERROR(__xludf.DUMMYFUNCTION("""COMPUTED_VALUE"""),"India")</f>
        <v>India</v>
      </c>
      <c r="C3462" s="6" t="str">
        <f>IFERROR(__xludf.DUMMYFUNCTION("""COMPUTED_VALUE"""),"Mechanical/Industrial Engineering")</f>
        <v>Mechanical/Industrial Engineering</v>
      </c>
    </row>
    <row r="3463">
      <c r="A3463" s="6" t="str">
        <f>IFERROR(__xludf.DUMMYFUNCTION("""COMPUTED_VALUE"""),"direccion informatica - ministario de hacienda e infraestructura")</f>
        <v>direccion informatica - ministario de hacienda e infraestructura</v>
      </c>
      <c r="B3463" s="4"/>
      <c r="C3463" s="4"/>
    </row>
    <row r="3464">
      <c r="A3464" s="6" t="str">
        <f>IFERROR(__xludf.DUMMYFUNCTION("""COMPUTED_VALUE"""),"mindfactory")</f>
        <v>mindfactory</v>
      </c>
      <c r="B3464" s="6" t="str">
        <f>IFERROR(__xludf.DUMMYFUNCTION("""COMPUTED_VALUE"""),"Argentina")</f>
        <v>Argentina</v>
      </c>
      <c r="C3464" s="6" t="str">
        <f>IFERROR(__xludf.DUMMYFUNCTION("""COMPUTED_VALUE"""),"Software Factory / Staffing")</f>
        <v>Software Factory / Staffing</v>
      </c>
    </row>
    <row r="3465">
      <c r="A3465" s="6" t="str">
        <f>IFERROR(__xludf.DUMMYFUNCTION("""COMPUTED_VALUE"""),"story dots")</f>
        <v>story dots</v>
      </c>
      <c r="B3465" s="6" t="str">
        <f>IFERROR(__xludf.DUMMYFUNCTION("""COMPUTED_VALUE"""),"Argentina")</f>
        <v>Argentina</v>
      </c>
      <c r="C3465" s="6" t="str">
        <f>IFERROR(__xludf.DUMMYFUNCTION("""COMPUTED_VALUE"""),"Software Factory / Staffing")</f>
        <v>Software Factory / Staffing</v>
      </c>
    </row>
    <row r="3466">
      <c r="A3466" s="6" t="str">
        <f>IFERROR(__xludf.DUMMYFUNCTION("""COMPUTED_VALUE"""),"distri-sur")</f>
        <v>distri-sur</v>
      </c>
      <c r="B3466" s="6" t="str">
        <f>IFERROR(__xludf.DUMMYFUNCTION("""COMPUTED_VALUE"""),"Argentina")</f>
        <v>Argentina</v>
      </c>
      <c r="C3466" s="6" t="str">
        <f>IFERROR(__xludf.DUMMYFUNCTION("""COMPUTED_VALUE"""),"FMCG / Consumo masivo")</f>
        <v>FMCG / Consumo masivo</v>
      </c>
    </row>
    <row r="3467">
      <c r="A3467" s="6" t="str">
        <f>IFERROR(__xludf.DUMMYFUNCTION("""COMPUTED_VALUE"""),"sistemas temporarios sa")</f>
        <v>sistemas temporarios sa</v>
      </c>
      <c r="B3467" s="4"/>
      <c r="C3467" s="4"/>
    </row>
    <row r="3468">
      <c r="A3468" s="6" t="str">
        <f>IFERROR(__xludf.DUMMYFUNCTION("""COMPUTED_VALUE"""),"vtex")</f>
        <v>vtex</v>
      </c>
      <c r="B3468" s="4"/>
      <c r="C3468" s="4"/>
    </row>
    <row r="3469">
      <c r="A3469" s="6" t="str">
        <f>IFERROR(__xludf.DUMMYFUNCTION("""COMPUTED_VALUE"""),"direccion provincial de rentas")</f>
        <v>direccion provincial de rentas</v>
      </c>
      <c r="B3469" s="4"/>
      <c r="C3469" s="6" t="str">
        <f>IFERROR(__xludf.DUMMYFUNCTION("""COMPUTED_VALUE"""),"Public Center")</f>
        <v>Public Center</v>
      </c>
    </row>
    <row r="3470">
      <c r="A3470" s="6" t="str">
        <f>IFERROR(__xludf.DUMMYFUNCTION("""COMPUTED_VALUE"""),"santa monica woods ltd")</f>
        <v>santa monica woods ltd</v>
      </c>
      <c r="B3470" s="6" t="str">
        <f>IFERROR(__xludf.DUMMYFUNCTION("""COMPUTED_VALUE"""),"España")</f>
        <v>España</v>
      </c>
      <c r="C3470" s="6" t="str">
        <f>IFERROR(__xludf.DUMMYFUNCTION("""COMPUTED_VALUE"""),"Construction")</f>
        <v>Construction</v>
      </c>
    </row>
    <row r="3471">
      <c r="A3471" s="6" t="str">
        <f>IFERROR(__xludf.DUMMYFUNCTION("""COMPUTED_VALUE"""),"solutions malls")</f>
        <v>solutions malls</v>
      </c>
      <c r="B3471" s="6" t="str">
        <f>IFERROR(__xludf.DUMMYFUNCTION("""COMPUTED_VALUE"""),"Argentina")</f>
        <v>Argentina</v>
      </c>
      <c r="C3471" s="6" t="str">
        <f>IFERROR(__xludf.DUMMYFUNCTION("""COMPUTED_VALUE"""),"Software Factory / Staffing")</f>
        <v>Software Factory / Staffing</v>
      </c>
    </row>
    <row r="3472">
      <c r="A3472" s="6" t="str">
        <f>IFERROR(__xludf.DUMMYFUNCTION("""COMPUTED_VALUE"""),"zingueria san luis")</f>
        <v>zingueria san luis</v>
      </c>
      <c r="B3472" s="6" t="str">
        <f>IFERROR(__xludf.DUMMYFUNCTION("""COMPUTED_VALUE"""),"Argentina")</f>
        <v>Argentina</v>
      </c>
      <c r="C3472" s="6" t="str">
        <f>IFERROR(__xludf.DUMMYFUNCTION("""COMPUTED_VALUE"""),"Construction")</f>
        <v>Construction</v>
      </c>
    </row>
    <row r="3473">
      <c r="A3473" s="6" t="str">
        <f>IFERROR(__xludf.DUMMYFUNCTION("""COMPUTED_VALUE"""),"wibbux")</f>
        <v>wibbux</v>
      </c>
      <c r="B3473" s="4"/>
      <c r="C3473" s="6" t="str">
        <f>IFERROR(__xludf.DUMMYFUNCTION("""COMPUTED_VALUE"""),"Software Factory / Staffing")</f>
        <v>Software Factory / Staffing</v>
      </c>
    </row>
    <row r="3474">
      <c r="A3474" s="6" t="str">
        <f>IFERROR(__xludf.DUMMYFUNCTION("""COMPUTED_VALUE"""),"data vimenca")</f>
        <v>data vimenca</v>
      </c>
      <c r="B3474" s="4"/>
      <c r="C3474" s="4"/>
    </row>
    <row r="3475">
      <c r="A3475" s="6" t="str">
        <f>IFERROR(__xludf.DUMMYFUNCTION("""COMPUTED_VALUE"""),"business integration partners")</f>
        <v>business integration partners</v>
      </c>
      <c r="B3475" s="4"/>
      <c r="C3475" s="6" t="str">
        <f>IFERROR(__xludf.DUMMYFUNCTION("""COMPUTED_VALUE"""),"Management Consulting")</f>
        <v>Management Consulting</v>
      </c>
    </row>
    <row r="3476">
      <c r="A3476" s="6" t="str">
        <f>IFERROR(__xludf.DUMMYFUNCTION("""COMPUTED_VALUE"""),"alan silcher")</f>
        <v>alan silcher</v>
      </c>
      <c r="B3476" s="4"/>
      <c r="C3476" s="4"/>
    </row>
    <row r="3477">
      <c r="A3477" s="6" t="str">
        <f>IFERROR(__xludf.DUMMYFUNCTION("""COMPUTED_VALUE"""),"strategico tech")</f>
        <v>strategico tech</v>
      </c>
      <c r="B3477" s="6" t="str">
        <f>IFERROR(__xludf.DUMMYFUNCTION("""COMPUTED_VALUE"""),"Italia")</f>
        <v>Italia</v>
      </c>
      <c r="C3477" s="6" t="str">
        <f>IFERROR(__xludf.DUMMYFUNCTION("""COMPUTED_VALUE"""),"Software Factory / Staffing")</f>
        <v>Software Factory / Staffing</v>
      </c>
    </row>
    <row r="3478">
      <c r="A3478" s="6" t="str">
        <f>IFERROR(__xludf.DUMMYFUNCTION("""COMPUTED_VALUE"""),"bettercloud")</f>
        <v>bettercloud</v>
      </c>
      <c r="B3478" s="4"/>
      <c r="C3478" s="4"/>
    </row>
    <row r="3479">
      <c r="A3479" s="6" t="str">
        <f>IFERROR(__xludf.DUMMYFUNCTION("""COMPUTED_VALUE"""),"hermes music")</f>
        <v>hermes music</v>
      </c>
      <c r="B3479" s="6" t="str">
        <f>IFERROR(__xludf.DUMMYFUNCTION("""COMPUTED_VALUE"""),"México")</f>
        <v>México</v>
      </c>
      <c r="C3479" s="6" t="str">
        <f>IFERROR(__xludf.DUMMYFUNCTION("""COMPUTED_VALUE"""),"Other")</f>
        <v>Other</v>
      </c>
    </row>
    <row r="3480">
      <c r="A3480" s="6" t="str">
        <f>IFERROR(__xludf.DUMMYFUNCTION("""COMPUTED_VALUE"""),"entermyinvoice")</f>
        <v>entermyinvoice</v>
      </c>
      <c r="B3480" s="6" t="str">
        <f>IFERROR(__xludf.DUMMYFUNCTION("""COMPUTED_VALUE"""),"Canadá")</f>
        <v>Canadá</v>
      </c>
      <c r="C3480" s="6" t="str">
        <f>IFERROR(__xludf.DUMMYFUNCTION("""COMPUTED_VALUE"""),"Software Factory / Staffing")</f>
        <v>Software Factory / Staffing</v>
      </c>
    </row>
    <row r="3481">
      <c r="A3481" s="6" t="str">
        <f>IFERROR(__xludf.DUMMYFUNCTION("""COMPUTED_VALUE"""),"consultoria global s.a.")</f>
        <v>consultoria global s.a.</v>
      </c>
      <c r="B3481" s="6" t="str">
        <f>IFERROR(__xludf.DUMMYFUNCTION("""COMPUTED_VALUE"""),"Argentina")</f>
        <v>Argentina</v>
      </c>
      <c r="C3481" s="6" t="str">
        <f>IFERROR(__xludf.DUMMYFUNCTION("""COMPUTED_VALUE"""),"Software Factory / Staffing")</f>
        <v>Software Factory / Staffing</v>
      </c>
    </row>
    <row r="3482">
      <c r="A3482" s="6" t="str">
        <f>IFERROR(__xludf.DUMMYFUNCTION("""COMPUTED_VALUE"""),"ul solutions")</f>
        <v>ul solutions</v>
      </c>
      <c r="B3482" s="4"/>
      <c r="C3482" s="4"/>
    </row>
    <row r="3483">
      <c r="A3483" s="6" t="str">
        <f>IFERROR(__xludf.DUMMYFUNCTION("""COMPUTED_VALUE"""),"jc marketing")</f>
        <v>jc marketing</v>
      </c>
      <c r="B3483" s="6" t="str">
        <f>IFERROR(__xludf.DUMMYFUNCTION("""COMPUTED_VALUE"""),"Argentina")</f>
        <v>Argentina</v>
      </c>
      <c r="C3483" s="6" t="str">
        <f>IFERROR(__xludf.DUMMYFUNCTION("""COMPUTED_VALUE"""),"Marketing &amp; Advertising")</f>
        <v>Marketing &amp; Advertising</v>
      </c>
    </row>
    <row r="3484">
      <c r="A3484" s="6" t="str">
        <f>IFERROR(__xludf.DUMMYFUNCTION("""COMPUTED_VALUE"""),"viasite")</f>
        <v>viasite</v>
      </c>
      <c r="B3484" s="6" t="str">
        <f>IFERROR(__xludf.DUMMYFUNCTION("""COMPUTED_VALUE"""),"México")</f>
        <v>México</v>
      </c>
      <c r="C3484" s="6" t="str">
        <f>IFERROR(__xludf.DUMMYFUNCTION("""COMPUTED_VALUE"""),"Media &amp; Communication")</f>
        <v>Media &amp; Communication</v>
      </c>
    </row>
    <row r="3485">
      <c r="A3485" s="6" t="str">
        <f>IFERROR(__xludf.DUMMYFUNCTION("""COMPUTED_VALUE"""),"vanguardia tecnologica en control de emisiones contaminantes vehiculares")</f>
        <v>vanguardia tecnologica en control de emisiones contaminantes vehiculares</v>
      </c>
      <c r="B3485" s="4"/>
      <c r="C3485" s="4"/>
    </row>
    <row r="3486">
      <c r="A3486" s="6" t="str">
        <f>IFERROR(__xludf.DUMMYFUNCTION("""COMPUTED_VALUE"""),"ecom s.a")</f>
        <v>ecom s.a</v>
      </c>
      <c r="B3486" s="6" t="str">
        <f>IFERROR(__xludf.DUMMYFUNCTION("""COMPUTED_VALUE"""),"Argentina")</f>
        <v>Argentina</v>
      </c>
      <c r="C3486" s="6" t="str">
        <f>IFERROR(__xludf.DUMMYFUNCTION("""COMPUTED_VALUE"""),"Software Factory / Staffing")</f>
        <v>Software Factory / Staffing</v>
      </c>
    </row>
    <row r="3487">
      <c r="A3487" s="6" t="str">
        <f>IFERROR(__xludf.DUMMYFUNCTION("""COMPUTED_VALUE"""),"flexxus s.a.")</f>
        <v>flexxus s.a.</v>
      </c>
      <c r="B3487" s="4"/>
      <c r="C3487" s="4"/>
    </row>
    <row r="3488">
      <c r="A3488" s="6" t="str">
        <f>IFERROR(__xludf.DUMMYFUNCTION("""COMPUTED_VALUE"""),"todoalojamiento")</f>
        <v>todoalojamiento</v>
      </c>
      <c r="B3488" s="6" t="str">
        <f>IFERROR(__xludf.DUMMYFUNCTION("""COMPUTED_VALUE"""),"Argentina")</f>
        <v>Argentina</v>
      </c>
      <c r="C3488" s="6" t="str">
        <f>IFERROR(__xludf.DUMMYFUNCTION("""COMPUTED_VALUE"""),"Software Factory / Staffing")</f>
        <v>Software Factory / Staffing</v>
      </c>
    </row>
    <row r="3489">
      <c r="A3489" s="6" t="str">
        <f>IFERROR(__xludf.DUMMYFUNCTION("""COMPUTED_VALUE"""),"bigodoo")</f>
        <v>bigodoo</v>
      </c>
      <c r="B3489" s="4"/>
      <c r="C3489" s="6" t="str">
        <f>IFERROR(__xludf.DUMMYFUNCTION("""COMPUTED_VALUE"""),"Software Factory / Staffing")</f>
        <v>Software Factory / Staffing</v>
      </c>
    </row>
    <row r="3490">
      <c r="A3490" s="6" t="str">
        <f>IFERROR(__xludf.DUMMYFUNCTION("""COMPUTED_VALUE"""),"orbisdata perú")</f>
        <v>orbisdata perú</v>
      </c>
      <c r="B3490" s="4"/>
      <c r="C3490" s="4"/>
    </row>
    <row r="3491">
      <c r="A3491" s="6" t="str">
        <f>IFERROR(__xludf.DUMMYFUNCTION("""COMPUTED_VALUE"""),"cms delsur")</f>
        <v>cms delsur</v>
      </c>
      <c r="B3491" s="4"/>
      <c r="C3491" s="4"/>
    </row>
    <row r="3492">
      <c r="A3492" s="6" t="str">
        <f>IFERROR(__xludf.DUMMYFUNCTION("""COMPUTED_VALUE"""),"rojosoft")</f>
        <v>rojosoft</v>
      </c>
      <c r="B3492" s="4"/>
      <c r="C3492" s="4"/>
    </row>
    <row r="3493">
      <c r="A3493" s="6" t="str">
        <f>IFERROR(__xludf.DUMMYFUNCTION("""COMPUTED_VALUE"""),"iqnet")</f>
        <v>iqnet</v>
      </c>
      <c r="B3493" s="6" t="str">
        <f>IFERROR(__xludf.DUMMYFUNCTION("""COMPUTED_VALUE"""),"Suiza")</f>
        <v>Suiza</v>
      </c>
      <c r="C3493" s="6" t="str">
        <f>IFERROR(__xludf.DUMMYFUNCTION("""COMPUTED_VALUE"""),"Other")</f>
        <v>Other</v>
      </c>
    </row>
    <row r="3494">
      <c r="A3494" s="6" t="str">
        <f>IFERROR(__xludf.DUMMYFUNCTION("""COMPUTED_VALUE"""),"valtec")</f>
        <v>valtec</v>
      </c>
      <c r="B3494" s="4"/>
      <c r="C3494" s="4"/>
    </row>
    <row r="3495">
      <c r="A3495" s="6" t="str">
        <f>IFERROR(__xludf.DUMMYFUNCTION("""COMPUTED_VALUE"""),"integreat comunicaciones s.a.c")</f>
        <v>integreat comunicaciones s.a.c</v>
      </c>
      <c r="B3495" s="4"/>
      <c r="C3495" s="4"/>
    </row>
    <row r="3496">
      <c r="A3496" s="6" t="str">
        <f>IFERROR(__xludf.DUMMYFUNCTION("""COMPUTED_VALUE"""),"choucair testing")</f>
        <v>choucair testing</v>
      </c>
      <c r="B3496" s="4"/>
      <c r="C3496" s="4"/>
    </row>
    <row r="3497">
      <c r="A3497" s="6" t="str">
        <f>IFERROR(__xludf.DUMMYFUNCTION("""COMPUTED_VALUE"""),"industrias san miguel")</f>
        <v>industrias san miguel</v>
      </c>
      <c r="B3497" s="6" t="str">
        <f>IFERROR(__xludf.DUMMYFUNCTION("""COMPUTED_VALUE"""),"Perú")</f>
        <v>Perú</v>
      </c>
      <c r="C3497" s="6" t="str">
        <f>IFERROR(__xludf.DUMMYFUNCTION("""COMPUTED_VALUE"""),"FMCG / Consumo masivo")</f>
        <v>FMCG / Consumo masivo</v>
      </c>
    </row>
    <row r="3498">
      <c r="A3498" s="6" t="str">
        <f>IFERROR(__xludf.DUMMYFUNCTION("""COMPUTED_VALUE"""),"equans perú")</f>
        <v>equans perú</v>
      </c>
      <c r="B3498" s="4"/>
      <c r="C3498" s="4"/>
    </row>
    <row r="3499">
      <c r="A3499" s="6" t="str">
        <f>IFERROR(__xludf.DUMMYFUNCTION("""COMPUTED_VALUE"""),"nomade soft")</f>
        <v>nomade soft</v>
      </c>
      <c r="B3499" s="4"/>
      <c r="C3499" s="6" t="str">
        <f>IFERROR(__xludf.DUMMYFUNCTION("""COMPUTED_VALUE"""),"Software Factory / Staffing")</f>
        <v>Software Factory / Staffing</v>
      </c>
    </row>
    <row r="3500">
      <c r="A3500" s="6" t="str">
        <f>IFERROR(__xludf.DUMMYFUNCTION("""COMPUTED_VALUE"""),"arisale")</f>
        <v>arisale</v>
      </c>
      <c r="B3500" s="6" t="str">
        <f>IFERROR(__xludf.DUMMYFUNCTION("""COMPUTED_VALUE"""),"Perú")</f>
        <v>Perú</v>
      </c>
      <c r="C3500" s="6" t="str">
        <f>IFERROR(__xludf.DUMMYFUNCTION("""COMPUTED_VALUE"""),"Software Factory / Staffing")</f>
        <v>Software Factory / Staffing</v>
      </c>
    </row>
    <row r="3501">
      <c r="A3501" s="6" t="str">
        <f>IFERROR(__xludf.DUMMYFUNCTION("""COMPUTED_VALUE"""),"nestle")</f>
        <v>nestle</v>
      </c>
      <c r="B3501" s="4"/>
      <c r="C3501" s="6" t="str">
        <f>IFERROR(__xludf.DUMMYFUNCTION("""COMPUTED_VALUE"""),"FMCG / Consumo masivo")</f>
        <v>FMCG / Consumo masivo</v>
      </c>
    </row>
    <row r="3502">
      <c r="A3502" s="6" t="str">
        <f>IFERROR(__xludf.DUMMYFUNCTION("""COMPUTED_VALUE"""),"itti digital")</f>
        <v>itti digital</v>
      </c>
      <c r="B3502" s="4"/>
      <c r="C3502" s="6" t="str">
        <f>IFERROR(__xludf.DUMMYFUNCTION("""COMPUTED_VALUE"""),"Other")</f>
        <v>Other</v>
      </c>
    </row>
    <row r="3503">
      <c r="A3503" s="6" t="str">
        <f>IFERROR(__xludf.DUMMYFUNCTION("""COMPUTED_VALUE"""),"como1contacto")</f>
        <v>como1contacto</v>
      </c>
      <c r="B3503" s="4"/>
      <c r="C3503" s="4"/>
    </row>
    <row r="3504">
      <c r="A3504" s="6" t="str">
        <f>IFERROR(__xludf.DUMMYFUNCTION("""COMPUTED_VALUE"""),"cala projects")</f>
        <v>cala projects</v>
      </c>
      <c r="B3504" s="4"/>
      <c r="C3504" s="4"/>
    </row>
    <row r="3505">
      <c r="A3505" s="6" t="str">
        <f>IFERROR(__xludf.DUMMYFUNCTION("""COMPUTED_VALUE"""),"percona")</f>
        <v>percona</v>
      </c>
      <c r="B3505" s="6" t="str">
        <f>IFERROR(__xludf.DUMMYFUNCTION("""COMPUTED_VALUE"""),"Estados Unidos")</f>
        <v>Estados Unidos</v>
      </c>
      <c r="C3505" s="6" t="str">
        <f>IFERROR(__xludf.DUMMYFUNCTION("""COMPUTED_VALUE"""),"Software Factory / Staffing")</f>
        <v>Software Factory / Staffing</v>
      </c>
    </row>
    <row r="3506">
      <c r="A3506" s="6" t="str">
        <f>IFERROR(__xludf.DUMMYFUNCTION("""COMPUTED_VALUE"""),"branak")</f>
        <v>branak</v>
      </c>
      <c r="B3506" s="4"/>
      <c r="C3506" s="4"/>
    </row>
    <row r="3507">
      <c r="A3507" s="6" t="str">
        <f>IFERROR(__xludf.DUMMYFUNCTION("""COMPUTED_VALUE"""),"pay per tic sa")</f>
        <v>pay per tic sa</v>
      </c>
      <c r="B3507" s="4"/>
      <c r="C3507" s="4"/>
    </row>
    <row r="3508">
      <c r="A3508" s="6" t="str">
        <f>IFERROR(__xludf.DUMMYFUNCTION("""COMPUTED_VALUE"""),"singularity health")</f>
        <v>singularity health</v>
      </c>
      <c r="B3508" s="6" t="str">
        <f>IFERROR(__xludf.DUMMYFUNCTION("""COMPUTED_VALUE"""),"Canada")</f>
        <v>Canada</v>
      </c>
      <c r="C3508" s="6" t="str">
        <f>IFERROR(__xludf.DUMMYFUNCTION("""COMPUTED_VALUE"""),"Health")</f>
        <v>Health</v>
      </c>
    </row>
    <row r="3509">
      <c r="A3509" s="6" t="str">
        <f>IFERROR(__xludf.DUMMYFUNCTION("""COMPUTED_VALUE"""),"andesita sas")</f>
        <v>andesita sas</v>
      </c>
      <c r="B3509" s="4"/>
      <c r="C3509" s="4"/>
    </row>
    <row r="3510">
      <c r="A3510" s="6" t="str">
        <f>IFERROR(__xludf.DUMMYFUNCTION("""COMPUTED_VALUE"""),"tribekya")</f>
        <v>tribekya</v>
      </c>
      <c r="B3510" s="6" t="str">
        <f>IFERROR(__xludf.DUMMYFUNCTION("""COMPUTED_VALUE"""),"Colombia")</f>
        <v>Colombia</v>
      </c>
      <c r="C3510" s="6" t="str">
        <f>IFERROR(__xludf.DUMMYFUNCTION("""COMPUTED_VALUE"""),"Education &amp; Edtech")</f>
        <v>Education &amp; Edtech</v>
      </c>
    </row>
    <row r="3511">
      <c r="A3511" s="6" t="str">
        <f>IFERROR(__xludf.DUMMYFUNCTION("""COMPUTED_VALUE"""),"2clics")</f>
        <v>2clics</v>
      </c>
      <c r="B3511" s="6" t="str">
        <f>IFERROR(__xludf.DUMMYFUNCTION("""COMPUTED_VALUE"""),"Argentina")</f>
        <v>Argentina</v>
      </c>
      <c r="C3511" s="6" t="str">
        <f>IFERROR(__xludf.DUMMYFUNCTION("""COMPUTED_VALUE"""),"Software Factory / Staffing")</f>
        <v>Software Factory / Staffing</v>
      </c>
    </row>
    <row r="3512">
      <c r="A3512" s="6" t="str">
        <f>IFERROR(__xludf.DUMMYFUNCTION("""COMPUTED_VALUE"""),"bummiai")</f>
        <v>bummiai</v>
      </c>
      <c r="B3512" s="4"/>
      <c r="C3512" s="4"/>
    </row>
    <row r="3513">
      <c r="A3513" s="6" t="str">
        <f>IFERROR(__xludf.DUMMYFUNCTION("""COMPUTED_VALUE"""),"capital certainty")</f>
        <v>capital certainty</v>
      </c>
      <c r="B3513" s="4"/>
      <c r="C3513" s="4"/>
    </row>
    <row r="3514">
      <c r="A3514" s="6" t="str">
        <f>IFERROR(__xludf.DUMMYFUNCTION("""COMPUTED_VALUE"""),"basdonax ai")</f>
        <v>basdonax ai</v>
      </c>
      <c r="B3514" s="4"/>
      <c r="C3514" s="6" t="str">
        <f>IFERROR(__xludf.DUMMYFUNCTION("""COMPUTED_VALUE"""),"Software Factory / Staffing")</f>
        <v>Software Factory / Staffing</v>
      </c>
    </row>
    <row r="3515">
      <c r="A3515" s="6" t="str">
        <f>IFERROR(__xludf.DUMMYFUNCTION("""COMPUTED_VALUE"""),"desafío latam")</f>
        <v>desafío latam</v>
      </c>
      <c r="B3515" s="6" t="str">
        <f>IFERROR(__xludf.DUMMYFUNCTION("""COMPUTED_VALUE"""),"Chile")</f>
        <v>Chile</v>
      </c>
      <c r="C3515" s="6" t="str">
        <f>IFERROR(__xludf.DUMMYFUNCTION("""COMPUTED_VALUE"""),"Education &amp; Edtech")</f>
        <v>Education &amp; Edtech</v>
      </c>
    </row>
    <row r="3516">
      <c r="A3516" s="6" t="str">
        <f>IFERROR(__xludf.DUMMYFUNCTION("""COMPUTED_VALUE"""),"dill")</f>
        <v>dill</v>
      </c>
      <c r="B3516" s="4"/>
      <c r="C3516" s="6" t="str">
        <f>IFERROR(__xludf.DUMMYFUNCTION("""COMPUTED_VALUE"""),"Software Factory / Staffing")</f>
        <v>Software Factory / Staffing</v>
      </c>
    </row>
    <row r="3517">
      <c r="A3517" s="6" t="str">
        <f>IFERROR(__xludf.DUMMYFUNCTION("""COMPUTED_VALUE"""),"galante d' antonio")</f>
        <v>galante d' antonio</v>
      </c>
      <c r="B3517" s="6" t="str">
        <f>IFERROR(__xludf.DUMMYFUNCTION("""COMPUTED_VALUE"""),"Argentina")</f>
        <v>Argentina</v>
      </c>
      <c r="C3517" s="6" t="str">
        <f>IFERROR(__xludf.DUMMYFUNCTION("""COMPUTED_VALUE"""),"Other")</f>
        <v>Other</v>
      </c>
    </row>
    <row r="3518">
      <c r="A3518" s="6" t="str">
        <f>IFERROR(__xludf.DUMMYFUNCTION("""COMPUTED_VALUE"""),"uma health argentina sa")</f>
        <v>uma health argentina sa</v>
      </c>
      <c r="B3518" s="4"/>
      <c r="C3518" s="6" t="str">
        <f>IFERROR(__xludf.DUMMYFUNCTION("""COMPUTED_VALUE"""),"Health")</f>
        <v>Health</v>
      </c>
    </row>
    <row r="3519">
      <c r="A3519" s="6" t="str">
        <f>IFERROR(__xludf.DUMMYFUNCTION("""COMPUTED_VALUE"""),"indigital xp")</f>
        <v>indigital xp</v>
      </c>
      <c r="B3519" s="4"/>
      <c r="C3519" s="4"/>
    </row>
    <row r="3520">
      <c r="A3520" s="6" t="str">
        <f>IFERROR(__xludf.DUMMYFUNCTION("""COMPUTED_VALUE"""),"tenpearls sac")</f>
        <v>tenpearls sac</v>
      </c>
      <c r="B3520" s="4"/>
      <c r="C3520" s="4"/>
    </row>
    <row r="3521">
      <c r="A3521" s="6" t="str">
        <f>IFERROR(__xludf.DUMMYFUNCTION("""COMPUTED_VALUE"""),"inibep")</f>
        <v>inibep</v>
      </c>
      <c r="B3521" s="4"/>
      <c r="C3521" s="4"/>
    </row>
    <row r="3522">
      <c r="A3522" s="6" t="str">
        <f>IFERROR(__xludf.DUMMYFUNCTION("""COMPUTED_VALUE"""),"sherpa.wtf")</f>
        <v>sherpa.wtf</v>
      </c>
      <c r="B3522" s="6" t="str">
        <f>IFERROR(__xludf.DUMMYFUNCTION("""COMPUTED_VALUE"""),"Estados Unidos")</f>
        <v>Estados Unidos</v>
      </c>
      <c r="C3522" s="6" t="str">
        <f>IFERROR(__xludf.DUMMYFUNCTION("""COMPUTED_VALUE"""),"Software Factory / Staffing")</f>
        <v>Software Factory / Staffing</v>
      </c>
    </row>
    <row r="3523">
      <c r="A3523" s="6" t="str">
        <f>IFERROR(__xludf.DUMMYFUNCTION("""COMPUTED_VALUE"""),"vindow")</f>
        <v>vindow</v>
      </c>
      <c r="B3523" s="6" t="str">
        <f>IFERROR(__xludf.DUMMYFUNCTION("""COMPUTED_VALUE"""),"Estados Unidos")</f>
        <v>Estados Unidos</v>
      </c>
      <c r="C3523" s="6" t="str">
        <f>IFERROR(__xludf.DUMMYFUNCTION("""COMPUTED_VALUE"""),"Software Factory / Staffing")</f>
        <v>Software Factory / Staffing</v>
      </c>
    </row>
    <row r="3524">
      <c r="A3524" s="6" t="str">
        <f>IFERROR(__xludf.DUMMYFUNCTION("""COMPUTED_VALUE"""),"rysconnect")</f>
        <v>rysconnect</v>
      </c>
      <c r="B3524" s="6" t="str">
        <f>IFERROR(__xludf.DUMMYFUNCTION("""COMPUTED_VALUE"""),"México")</f>
        <v>México</v>
      </c>
      <c r="C3524" s="6" t="str">
        <f>IFERROR(__xludf.DUMMYFUNCTION("""COMPUTED_VALUE"""),"Software Factory / Staffing")</f>
        <v>Software Factory / Staffing</v>
      </c>
    </row>
    <row r="3525">
      <c r="A3525" s="6" t="str">
        <f>IFERROR(__xludf.DUMMYFUNCTION("""COMPUTED_VALUE"""),"packapp")</f>
        <v>packapp</v>
      </c>
      <c r="B3525" s="6" t="str">
        <f>IFERROR(__xludf.DUMMYFUNCTION("""COMPUTED_VALUE"""),"Argentina")</f>
        <v>Argentina</v>
      </c>
      <c r="C3525" s="6" t="str">
        <f>IFERROR(__xludf.DUMMYFUNCTION("""COMPUTED_VALUE"""),"Software Factory / Staffing")</f>
        <v>Software Factory / Staffing</v>
      </c>
    </row>
    <row r="3526">
      <c r="A3526" s="6" t="str">
        <f>IFERROR(__xludf.DUMMYFUNCTION("""COMPUTED_VALUE"""),"invisible")</f>
        <v>invisible</v>
      </c>
      <c r="B3526" s="4"/>
      <c r="C3526" s="6" t="str">
        <f>IFERROR(__xludf.DUMMYFUNCTION("""COMPUTED_VALUE"""),"Management Consulting")</f>
        <v>Management Consulting</v>
      </c>
    </row>
    <row r="3527">
      <c r="A3527" s="6" t="str">
        <f>IFERROR(__xludf.DUMMYFUNCTION("""COMPUTED_VALUE"""),"leafpress")</f>
        <v>leafpress</v>
      </c>
      <c r="B3527" s="4"/>
      <c r="C3527" s="6" t="str">
        <f>IFERROR(__xludf.DUMMYFUNCTION("""COMPUTED_VALUE"""),"Other")</f>
        <v>Other</v>
      </c>
    </row>
    <row r="3528">
      <c r="A3528" s="6" t="str">
        <f>IFERROR(__xludf.DUMMYFUNCTION("""COMPUTED_VALUE"""),"making sense llc")</f>
        <v>making sense llc</v>
      </c>
      <c r="B3528" s="6" t="str">
        <f>IFERROR(__xludf.DUMMYFUNCTION("""COMPUTED_VALUE"""),"Estados Unidos")</f>
        <v>Estados Unidos</v>
      </c>
      <c r="C3528" s="6" t="str">
        <f>IFERROR(__xludf.DUMMYFUNCTION("""COMPUTED_VALUE"""),"Software Factory / Staffing")</f>
        <v>Software Factory / Staffing</v>
      </c>
    </row>
    <row r="3529">
      <c r="A3529" s="6" t="str">
        <f>IFERROR(__xludf.DUMMYFUNCTION("""COMPUTED_VALUE"""),"switchit")</f>
        <v>switchit</v>
      </c>
      <c r="B3529" s="4"/>
      <c r="C3529" s="4"/>
    </row>
    <row r="3530">
      <c r="A3530" s="6" t="str">
        <f>IFERROR(__xludf.DUMMYFUNCTION("""COMPUTED_VALUE"""),"cloudgaia")</f>
        <v>cloudgaia</v>
      </c>
      <c r="B3530" s="4"/>
      <c r="C3530" s="4"/>
    </row>
    <row r="3531">
      <c r="A3531" s="6" t="str">
        <f>IFERROR(__xludf.DUMMYFUNCTION("""COMPUTED_VALUE"""),"mercurio soft")</f>
        <v>mercurio soft</v>
      </c>
      <c r="B3531" s="4"/>
      <c r="C3531" s="6" t="str">
        <f>IFERROR(__xludf.DUMMYFUNCTION("""COMPUTED_VALUE"""),"Software Factory / Staffing")</f>
        <v>Software Factory / Staffing</v>
      </c>
    </row>
    <row r="3532">
      <c r="A3532" s="6" t="str">
        <f>IFERROR(__xludf.DUMMYFUNCTION("""COMPUTED_VALUE"""),"circulo medico de salta")</f>
        <v>circulo medico de salta</v>
      </c>
      <c r="B3532" s="6" t="str">
        <f>IFERROR(__xludf.DUMMYFUNCTION("""COMPUTED_VALUE"""),"Argentina")</f>
        <v>Argentina</v>
      </c>
      <c r="C3532" s="4"/>
    </row>
    <row r="3533">
      <c r="A3533" s="6" t="str">
        <f>IFERROR(__xludf.DUMMYFUNCTION("""COMPUTED_VALUE"""),"bairesdev")</f>
        <v>bairesdev</v>
      </c>
      <c r="B3533" s="6" t="str">
        <f>IFERROR(__xludf.DUMMYFUNCTION("""COMPUTED_VALUE"""),"Estados Unidos")</f>
        <v>Estados Unidos</v>
      </c>
      <c r="C3533" s="6" t="str">
        <f>IFERROR(__xludf.DUMMYFUNCTION("""COMPUTED_VALUE"""),"Software Factory / Staffing")</f>
        <v>Software Factory / Staffing</v>
      </c>
    </row>
    <row r="3534">
      <c r="A3534" s="6" t="str">
        <f>IFERROR(__xludf.DUMMYFUNCTION("""COMPUTED_VALUE"""),"grupo yuma")</f>
        <v>grupo yuma</v>
      </c>
      <c r="B3534" s="6" t="str">
        <f>IFERROR(__xludf.DUMMYFUNCTION("""COMPUTED_VALUE"""),"Brasil")</f>
        <v>Brasil</v>
      </c>
      <c r="C3534" s="6" t="str">
        <f>IFERROR(__xludf.DUMMYFUNCTION("""COMPUTED_VALUE"""),"FMCG / Consumo masivo")</f>
        <v>FMCG / Consumo masivo</v>
      </c>
    </row>
    <row r="3535">
      <c r="A3535" s="6" t="str">
        <f>IFERROR(__xludf.DUMMYFUNCTION("""COMPUTED_VALUE"""),"gonzalo chirinos")</f>
        <v>gonzalo chirinos</v>
      </c>
      <c r="B3535" s="4"/>
      <c r="C3535" s="4"/>
    </row>
    <row r="3536">
      <c r="A3536" s="6" t="str">
        <f>IFERROR(__xludf.DUMMYFUNCTION("""COMPUTED_VALUE"""),"seis")</f>
        <v>seis</v>
      </c>
      <c r="B3536" s="4"/>
      <c r="C3536" s="4"/>
    </row>
    <row r="3537">
      <c r="A3537" s="6" t="str">
        <f>IFERROR(__xludf.DUMMYFUNCTION("""COMPUTED_VALUE"""),"gestión informática iso")</f>
        <v>gestión informática iso</v>
      </c>
      <c r="B3537" s="6" t="str">
        <f>IFERROR(__xludf.DUMMYFUNCTION("""COMPUTED_VALUE"""),"España")</f>
        <v>España</v>
      </c>
      <c r="C3537" s="6" t="str">
        <f>IFERROR(__xludf.DUMMYFUNCTION("""COMPUTED_VALUE"""),"Software Factory / Staffing")</f>
        <v>Software Factory / Staffing</v>
      </c>
    </row>
    <row r="3538">
      <c r="A3538" s="6" t="str">
        <f>IFERROR(__xludf.DUMMYFUNCTION("""COMPUTED_VALUE"""),"apros")</f>
        <v>apros</v>
      </c>
      <c r="B3538" s="6" t="str">
        <f>IFERROR(__xludf.DUMMYFUNCTION("""COMPUTED_VALUE"""),"Estados Unidos")</f>
        <v>Estados Unidos</v>
      </c>
      <c r="C3538" s="6" t="str">
        <f>IFERROR(__xludf.DUMMYFUNCTION("""COMPUTED_VALUE"""),"Software Factory / Staffing")</f>
        <v>Software Factory / Staffing</v>
      </c>
    </row>
    <row r="3539">
      <c r="A3539" s="6" t="str">
        <f>IFERROR(__xludf.DUMMYFUNCTION("""COMPUTED_VALUE"""),"bealit")</f>
        <v>bealit</v>
      </c>
      <c r="B3539" s="4"/>
      <c r="C3539" s="4"/>
    </row>
    <row r="3540">
      <c r="A3540" s="6" t="str">
        <f>IFERROR(__xludf.DUMMYFUNCTION("""COMPUTED_VALUE"""),"teambots")</f>
        <v>teambots</v>
      </c>
      <c r="B3540" s="4"/>
      <c r="C3540" s="4"/>
    </row>
    <row r="3541">
      <c r="A3541" s="6" t="str">
        <f>IFERROR(__xludf.DUMMYFUNCTION("""COMPUTED_VALUE"""),"kan it")</f>
        <v>kan it</v>
      </c>
      <c r="B3541" s="6" t="str">
        <f>IFERROR(__xludf.DUMMYFUNCTION("""COMPUTED_VALUE"""),"Australia")</f>
        <v>Australia</v>
      </c>
      <c r="C3541" s="6" t="str">
        <f>IFERROR(__xludf.DUMMYFUNCTION("""COMPUTED_VALUE"""),"Software Factory / Staffing")</f>
        <v>Software Factory / Staffing</v>
      </c>
    </row>
    <row r="3542">
      <c r="A3542" s="6" t="str">
        <f>IFERROR(__xludf.DUMMYFUNCTION("""COMPUTED_VALUE"""),"bitconsulting")</f>
        <v>bitconsulting</v>
      </c>
      <c r="B3542" s="4"/>
      <c r="C3542" s="6" t="str">
        <f>IFERROR(__xludf.DUMMYFUNCTION("""COMPUTED_VALUE"""),"Software Factory / Staffing")</f>
        <v>Software Factory / Staffing</v>
      </c>
    </row>
    <row r="3543">
      <c r="A3543" s="6" t="str">
        <f>IFERROR(__xludf.DUMMYFUNCTION("""COMPUTED_VALUE"""),"atenea ai")</f>
        <v>atenea ai</v>
      </c>
      <c r="B3543" s="4"/>
      <c r="C3543" s="6" t="str">
        <f>IFERROR(__xludf.DUMMYFUNCTION("""COMPUTED_VALUE"""),"Software Factory / Staffing")</f>
        <v>Software Factory / Staffing</v>
      </c>
    </row>
    <row r="3544">
      <c r="A3544" s="6" t="str">
        <f>IFERROR(__xludf.DUMMYFUNCTION("""COMPUTED_VALUE"""),"finniu")</f>
        <v>finniu</v>
      </c>
      <c r="B3544" s="6" t="str">
        <f>IFERROR(__xludf.DUMMYFUNCTION("""COMPUTED_VALUE"""),"Perú")</f>
        <v>Perú</v>
      </c>
      <c r="C3544" s="6" t="str">
        <f>IFERROR(__xludf.DUMMYFUNCTION("""COMPUTED_VALUE"""),"Banking &amp; Financial Servicies")</f>
        <v>Banking &amp; Financial Servicies</v>
      </c>
    </row>
    <row r="3545">
      <c r="A3545" s="6" t="str">
        <f>IFERROR(__xludf.DUMMYFUNCTION("""COMPUTED_VALUE"""),"blockr")</f>
        <v>blockr</v>
      </c>
      <c r="B3545" s="6" t="str">
        <f>IFERROR(__xludf.DUMMYFUNCTION("""COMPUTED_VALUE"""),"`")</f>
        <v>`</v>
      </c>
      <c r="C3545" s="6" t="str">
        <f>IFERROR(__xludf.DUMMYFUNCTION("""COMPUTED_VALUE"""),"Software Factory / Staffing")</f>
        <v>Software Factory / Staffing</v>
      </c>
    </row>
    <row r="3546">
      <c r="A3546" s="6" t="str">
        <f>IFERROR(__xludf.DUMMYFUNCTION("""COMPUTED_VALUE"""),"neoxpat limited")</f>
        <v>neoxpat limited</v>
      </c>
      <c r="B3546" s="4"/>
      <c r="C3546" s="4"/>
    </row>
    <row r="3547">
      <c r="A3547" s="6" t="str">
        <f>IFERROR(__xludf.DUMMYFUNCTION("""COMPUTED_VALUE"""),"stroke scan")</f>
        <v>stroke scan</v>
      </c>
      <c r="B3547" s="4"/>
      <c r="C3547" s="4"/>
    </row>
    <row r="3548">
      <c r="A3548" s="6" t="str">
        <f>IFERROR(__xludf.DUMMYFUNCTION("""COMPUTED_VALUE"""),"ayrée")</f>
        <v>ayrée</v>
      </c>
      <c r="B3548" s="4"/>
      <c r="C3548" s="4"/>
    </row>
    <row r="3549">
      <c r="A3549" s="6" t="str">
        <f>IFERROR(__xludf.DUMMYFUNCTION("""COMPUTED_VALUE"""),"claro")</f>
        <v>claro</v>
      </c>
      <c r="B3549" s="6" t="str">
        <f>IFERROR(__xludf.DUMMYFUNCTION("""COMPUTED_VALUE"""),"Brasil")</f>
        <v>Brasil</v>
      </c>
      <c r="C3549" s="6" t="str">
        <f>IFERROR(__xludf.DUMMYFUNCTION("""COMPUTED_VALUE"""),"Messaging and Telecommunications")</f>
        <v>Messaging and Telecommunications</v>
      </c>
    </row>
    <row r="3550">
      <c r="A3550" s="6" t="str">
        <f>IFERROR(__xludf.DUMMYFUNCTION("""COMPUTED_VALUE"""),"betrusty")</f>
        <v>betrusty</v>
      </c>
      <c r="B3550" s="6" t="str">
        <f>IFERROR(__xludf.DUMMYFUNCTION("""COMPUTED_VALUE"""),"Argentina")</f>
        <v>Argentina</v>
      </c>
      <c r="C3550" s="6" t="str">
        <f>IFERROR(__xludf.DUMMYFUNCTION("""COMPUTED_VALUE"""),"Software Factory / Staffing")</f>
        <v>Software Factory / Staffing</v>
      </c>
    </row>
    <row r="3551">
      <c r="A3551" s="6" t="str">
        <f>IFERROR(__xludf.DUMMYFUNCTION("""COMPUTED_VALUE"""),"weatherford international argentina")</f>
        <v>weatherford international argentina</v>
      </c>
      <c r="B3551" s="6" t="str">
        <f>IFERROR(__xludf.DUMMYFUNCTION("""COMPUTED_VALUE"""),"Estados Unidos")</f>
        <v>Estados Unidos</v>
      </c>
      <c r="C3551" s="6" t="str">
        <f>IFERROR(__xludf.DUMMYFUNCTION("""COMPUTED_VALUE"""),"Energy")</f>
        <v>Energy</v>
      </c>
    </row>
    <row r="3552">
      <c r="A3552" s="6" t="str">
        <f>IFERROR(__xludf.DUMMYFUNCTION("""COMPUTED_VALUE"""),"kamchatka")</f>
        <v>kamchatka</v>
      </c>
      <c r="B3552" s="4"/>
      <c r="C3552" s="4"/>
    </row>
    <row r="3553">
      <c r="A3553" s="6" t="str">
        <f>IFERROR(__xludf.DUMMYFUNCTION("""COMPUTED_VALUE"""),"betrusy")</f>
        <v>betrusy</v>
      </c>
      <c r="B3553" s="4"/>
      <c r="C3553" s="4"/>
    </row>
    <row r="3554">
      <c r="A3554" s="6" t="str">
        <f>IFERROR(__xludf.DUMMYFUNCTION("""COMPUTED_VALUE"""),"sofka technologies sas")</f>
        <v>sofka technologies sas</v>
      </c>
      <c r="B3554" s="4"/>
      <c r="C3554" s="4"/>
    </row>
    <row r="3555">
      <c r="A3555" s="6" t="str">
        <f>IFERROR(__xludf.DUMMYFUNCTION("""COMPUTED_VALUE"""),"brokerware")</f>
        <v>brokerware</v>
      </c>
      <c r="B3555" s="4"/>
      <c r="C3555" s="4"/>
    </row>
    <row r="3556">
      <c r="A3556" s="6" t="str">
        <f>IFERROR(__xludf.DUMMYFUNCTION("""COMPUTED_VALUE"""),"urucorp")</f>
        <v>urucorp</v>
      </c>
      <c r="B3556" s="6" t="str">
        <f>IFERROR(__xludf.DUMMYFUNCTION("""COMPUTED_VALUE"""),"Uruguay")</f>
        <v>Uruguay</v>
      </c>
      <c r="C3556" s="6" t="str">
        <f>IFERROR(__xludf.DUMMYFUNCTION("""COMPUTED_VALUE"""),"Software Factory / Staffing")</f>
        <v>Software Factory / Staffing</v>
      </c>
    </row>
    <row r="3557">
      <c r="A3557" s="6" t="str">
        <f>IFERROR(__xludf.DUMMYFUNCTION("""COMPUTED_VALUE"""),"cinépolis")</f>
        <v>cinépolis</v>
      </c>
      <c r="B3557" s="6" t="str">
        <f>IFERROR(__xludf.DUMMYFUNCTION("""COMPUTED_VALUE"""),"México")</f>
        <v>México</v>
      </c>
      <c r="C3557" s="6" t="str">
        <f>IFERROR(__xludf.DUMMYFUNCTION("""COMPUTED_VALUE"""),"Other")</f>
        <v>Other</v>
      </c>
    </row>
    <row r="3558">
      <c r="A3558" s="6" t="str">
        <f>IFERROR(__xludf.DUMMYFUNCTION("""COMPUTED_VALUE"""),"servinformacion")</f>
        <v>servinformacion</v>
      </c>
      <c r="B3558" s="4"/>
      <c r="C3558" s="6" t="str">
        <f>IFERROR(__xludf.DUMMYFUNCTION("""COMPUTED_VALUE"""),"Management Consulting")</f>
        <v>Management Consulting</v>
      </c>
    </row>
    <row r="3559">
      <c r="A3559" s="6" t="str">
        <f>IFERROR(__xludf.DUMMYFUNCTION("""COMPUTED_VALUE"""),"garnet technology")</f>
        <v>garnet technology</v>
      </c>
      <c r="B3559" s="6" t="str">
        <f>IFERROR(__xludf.DUMMYFUNCTION("""COMPUTED_VALUE"""),"Argentina")</f>
        <v>Argentina</v>
      </c>
      <c r="C3559" s="6" t="str">
        <f>IFERROR(__xludf.DUMMYFUNCTION("""COMPUTED_VALUE"""),"Other")</f>
        <v>Other</v>
      </c>
    </row>
    <row r="3560">
      <c r="A3560" s="6" t="str">
        <f>IFERROR(__xludf.DUMMYFUNCTION("""COMPUTED_VALUE"""),"lothal blockchain sa")</f>
        <v>lothal blockchain sa</v>
      </c>
      <c r="B3560" s="4"/>
      <c r="C3560" s="4"/>
    </row>
    <row r="3561">
      <c r="A3561" s="6" t="str">
        <f>IFERROR(__xludf.DUMMYFUNCTION("""COMPUTED_VALUE"""),"municipalidad de santa clara de jujuy")</f>
        <v>municipalidad de santa clara de jujuy</v>
      </c>
      <c r="B3561" s="6" t="str">
        <f>IFERROR(__xludf.DUMMYFUNCTION("""COMPUTED_VALUE"""),"Perú")</f>
        <v>Perú</v>
      </c>
      <c r="C3561" s="6" t="str">
        <f>IFERROR(__xludf.DUMMYFUNCTION("""COMPUTED_VALUE"""),"Public Center")</f>
        <v>Public Center</v>
      </c>
    </row>
    <row r="3562">
      <c r="A3562" s="6" t="str">
        <f>IFERROR(__xludf.DUMMYFUNCTION("""COMPUTED_VALUE"""),"alleycorp sur")</f>
        <v>alleycorp sur</v>
      </c>
      <c r="B3562" s="4"/>
      <c r="C3562" s="6" t="str">
        <f>IFERROR(__xludf.DUMMYFUNCTION("""COMPUTED_VALUE"""),"Software Factory / Staffing")</f>
        <v>Software Factory / Staffing</v>
      </c>
    </row>
    <row r="3563">
      <c r="A3563" s="6" t="str">
        <f>IFERROR(__xludf.DUMMYFUNCTION("""COMPUTED_VALUE"""),"unilever")</f>
        <v>unilever</v>
      </c>
      <c r="B3563" s="4"/>
      <c r="C3563" s="4"/>
    </row>
    <row r="3564">
      <c r="A3564" s="6" t="str">
        <f>IFERROR(__xludf.DUMMYFUNCTION("""COMPUTED_VALUE"""),"juzgado de faltas")</f>
        <v>juzgado de faltas</v>
      </c>
      <c r="B3564" s="4"/>
      <c r="C3564" s="4"/>
    </row>
    <row r="3565">
      <c r="A3565" s="6" t="str">
        <f>IFERROR(__xludf.DUMMYFUNCTION("""COMPUTED_VALUE"""),"le pain qutidien")</f>
        <v>le pain qutidien</v>
      </c>
      <c r="B3565" s="4"/>
      <c r="C3565" s="4"/>
    </row>
    <row r="3566">
      <c r="A3566" s="6" t="str">
        <f>IFERROR(__xludf.DUMMYFUNCTION("""COMPUTED_VALUE"""),"distribuidora cuyana")</f>
        <v>distribuidora cuyana</v>
      </c>
      <c r="B3566" s="4"/>
      <c r="C3566" s="4"/>
    </row>
    <row r="3567">
      <c r="A3567" s="6" t="str">
        <f>IFERROR(__xludf.DUMMYFUNCTION("""COMPUTED_VALUE"""),"kiura")</f>
        <v>kiura</v>
      </c>
      <c r="B3567" s="4"/>
      <c r="C3567" s="4"/>
    </row>
    <row r="3568">
      <c r="A3568" s="6" t="str">
        <f>IFERROR(__xludf.DUMMYFUNCTION("""COMPUTED_VALUE"""),"bit")</f>
        <v>bit</v>
      </c>
      <c r="B3568" s="4"/>
      <c r="C3568" s="4"/>
    </row>
    <row r="3569">
      <c r="A3569" s="6" t="str">
        <f>IFERROR(__xludf.DUMMYFUNCTION("""COMPUTED_VALUE"""),"innova code")</f>
        <v>innova code</v>
      </c>
      <c r="B3569" s="4"/>
      <c r="C3569" s="4"/>
    </row>
    <row r="3570">
      <c r="A3570" s="6" t="str">
        <f>IFERROR(__xludf.DUMMYFUNCTION("""COMPUTED_VALUE"""),"mancii")</f>
        <v>mancii</v>
      </c>
      <c r="B3570" s="4"/>
      <c r="C3570" s="4"/>
    </row>
    <row r="3571">
      <c r="A3571" s="6" t="str">
        <f>IFERROR(__xludf.DUMMYFUNCTION("""COMPUTED_VALUE"""),"tucán marketing digital")</f>
        <v>tucán marketing digital</v>
      </c>
      <c r="B3571" s="4"/>
      <c r="C3571" s="4"/>
    </row>
    <row r="3572">
      <c r="A3572" s="6" t="str">
        <f>IFERROR(__xludf.DUMMYFUNCTION("""COMPUTED_VALUE"""),"wireless sur")</f>
        <v>wireless sur</v>
      </c>
      <c r="B3572" s="4"/>
      <c r="C3572" s="4"/>
    </row>
    <row r="3573">
      <c r="A3573" s="6" t="str">
        <f>IFERROR(__xludf.DUMMYFUNCTION("""COMPUTED_VALUE"""),"samtel")</f>
        <v>samtel</v>
      </c>
      <c r="B3573" s="4"/>
      <c r="C3573" s="4"/>
    </row>
    <row r="3574">
      <c r="A3574" s="6" t="str">
        <f>IFERROR(__xludf.DUMMYFUNCTION("""COMPUTED_VALUE"""),"softimo")</f>
        <v>softimo</v>
      </c>
      <c r="B3574" s="4"/>
      <c r="C3574" s="4"/>
    </row>
    <row r="3575">
      <c r="A3575" s="6" t="str">
        <f>IFERROR(__xludf.DUMMYFUNCTION("""COMPUTED_VALUE"""),"persat")</f>
        <v>persat</v>
      </c>
      <c r="B3575" s="4"/>
      <c r="C3575" s="4"/>
    </row>
    <row r="3576">
      <c r="A3576" s="6" t="str">
        <f>IFERROR(__xludf.DUMMYFUNCTION("""COMPUTED_VALUE"""),"colegio jhon dewey")</f>
        <v>colegio jhon dewey</v>
      </c>
      <c r="B3576" s="4"/>
      <c r="C3576" s="4"/>
    </row>
    <row r="3577">
      <c r="A3577" s="6" t="str">
        <f>IFERROR(__xludf.DUMMYFUNCTION("""COMPUTED_VALUE"""),"smartway")</f>
        <v>smartway</v>
      </c>
      <c r="B3577" s="4"/>
      <c r="C3577" s="4"/>
    </row>
    <row r="3578">
      <c r="A3578" s="6" t="str">
        <f>IFERROR(__xludf.DUMMYFUNCTION("""COMPUTED_VALUE"""),"mega")</f>
        <v>mega</v>
      </c>
      <c r="B3578" s="4"/>
      <c r="C3578" s="4"/>
    </row>
    <row r="3579">
      <c r="A3579" s="6" t="str">
        <f>IFERROR(__xludf.DUMMYFUNCTION("""COMPUTED_VALUE"""),"haomai technology")</f>
        <v>haomai technology</v>
      </c>
      <c r="B3579" s="4"/>
      <c r="C3579" s="4"/>
    </row>
    <row r="3580">
      <c r="A3580" s="6" t="str">
        <f>IFERROR(__xludf.DUMMYFUNCTION("""COMPUTED_VALUE"""),"inegi")</f>
        <v>inegi</v>
      </c>
      <c r="B3580" s="4"/>
      <c r="C3580" s="4"/>
    </row>
    <row r="3581">
      <c r="A3581" s="6" t="str">
        <f>IFERROR(__xludf.DUMMYFUNCTION("""COMPUTED_VALUE"""),"south")</f>
        <v>south</v>
      </c>
      <c r="B3581" s="4"/>
      <c r="C3581" s="4"/>
    </row>
    <row r="3582">
      <c r="A3582" s="6" t="str">
        <f>IFERROR(__xludf.DUMMYFUNCTION("""COMPUTED_VALUE"""),"televisaunivision")</f>
        <v>televisaunivision</v>
      </c>
      <c r="B3582" s="4"/>
      <c r="C3582" s="4"/>
    </row>
    <row r="3583">
      <c r="A3583" s="6" t="str">
        <f>IFERROR(__xludf.DUMMYFUNCTION("""COMPUTED_VALUE"""),"ecosistemas")</f>
        <v>ecosistemas</v>
      </c>
      <c r="B3583" s="4"/>
      <c r="C3583" s="4"/>
    </row>
    <row r="3584">
      <c r="A3584" s="6" t="str">
        <f>IFERROR(__xludf.DUMMYFUNCTION("""COMPUTED_VALUE"""),"universidad tecnologica de méxico")</f>
        <v>universidad tecnologica de méxico</v>
      </c>
      <c r="B3584" s="4"/>
      <c r="C3584" s="4"/>
    </row>
    <row r="3585">
      <c r="A3585" s="6" t="str">
        <f>IFERROR(__xludf.DUMMYFUNCTION("""COMPUTED_VALUE"""),"tualo")</f>
        <v>tualo</v>
      </c>
      <c r="B3585" s="4"/>
      <c r="C3585" s="4"/>
    </row>
    <row r="3586">
      <c r="A3586" s="6" t="str">
        <f>IFERROR(__xludf.DUMMYFUNCTION("""COMPUTED_VALUE"""),"aardvark partners")</f>
        <v>aardvark partners</v>
      </c>
      <c r="B3586" s="4"/>
      <c r="C3586" s="4"/>
    </row>
    <row r="3587">
      <c r="A3587" s="6" t="str">
        <f>IFERROR(__xludf.DUMMYFUNCTION("""COMPUTED_VALUE"""),"gobierno de la ciudad de bsas")</f>
        <v>gobierno de la ciudad de bsas</v>
      </c>
      <c r="B3587" s="4"/>
      <c r="C3587" s="4"/>
    </row>
    <row r="3588">
      <c r="A3588" s="6" t="str">
        <f>IFERROR(__xludf.DUMMYFUNCTION("""COMPUTED_VALUE"""),"digito")</f>
        <v>digito</v>
      </c>
      <c r="B3588" s="4"/>
      <c r="C3588" s="4"/>
    </row>
    <row r="3589">
      <c r="A3589" s="6" t="str">
        <f>IFERROR(__xludf.DUMMYFUNCTION("""COMPUTED_VALUE"""),"monstruo creativo")</f>
        <v>monstruo creativo</v>
      </c>
      <c r="B3589" s="4"/>
      <c r="C3589" s="4"/>
    </row>
    <row r="3590">
      <c r="A3590" s="6" t="str">
        <f>IFERROR(__xludf.DUMMYFUNCTION("""COMPUTED_VALUE"""),"iderma capilar")</f>
        <v>iderma capilar</v>
      </c>
      <c r="B3590" s="4"/>
      <c r="C3590" s="4"/>
    </row>
    <row r="3591">
      <c r="A3591" s="6" t="str">
        <f>IFERROR(__xludf.DUMMYFUNCTION("""COMPUTED_VALUE"""),"aprendizaje digital sac")</f>
        <v>aprendizaje digital sac</v>
      </c>
      <c r="B3591" s="4"/>
      <c r="C3591" s="4"/>
    </row>
    <row r="3592">
      <c r="A3592" s="6" t="str">
        <f>IFERROR(__xludf.DUMMYFUNCTION("""COMPUTED_VALUE"""),"carmen arce company")</f>
        <v>carmen arce company</v>
      </c>
      <c r="B3592" s="4"/>
      <c r="C3592" s="4"/>
    </row>
    <row r="3593">
      <c r="A3593" s="6" t="str">
        <f>IFERROR(__xludf.DUMMYFUNCTION("""COMPUTED_VALUE"""),"khipu")</f>
        <v>khipu</v>
      </c>
      <c r="B3593" s="4"/>
      <c r="C3593" s="4"/>
    </row>
    <row r="3594">
      <c r="A3594" s="6" t="str">
        <f>IFERROR(__xludf.DUMMYFUNCTION("""COMPUTED_VALUE"""),"evoluciona")</f>
        <v>evoluciona</v>
      </c>
      <c r="B3594" s="4"/>
      <c r="C3594" s="4"/>
    </row>
    <row r="3595">
      <c r="A3595" s="6" t="str">
        <f>IFERROR(__xludf.DUMMYFUNCTION("""COMPUTED_VALUE"""),"homeland language services")</f>
        <v>homeland language services</v>
      </c>
      <c r="B3595" s="4"/>
      <c r="C3595" s="4"/>
    </row>
    <row r="3596">
      <c r="A3596" s="6" t="str">
        <f>IFERROR(__xludf.DUMMYFUNCTION("""COMPUTED_VALUE"""),"agencia marlon")</f>
        <v>agencia marlon</v>
      </c>
      <c r="B3596" s="4"/>
      <c r="C3596" s="4"/>
    </row>
    <row r="3597">
      <c r="A3597" s="6" t="str">
        <f>IFERROR(__xludf.DUMMYFUNCTION("""COMPUTED_VALUE"""),"panificados martin")</f>
        <v>panificados martin</v>
      </c>
      <c r="B3597" s="4"/>
      <c r="C3597" s="4"/>
    </row>
    <row r="3598">
      <c r="A3598" s="6" t="str">
        <f>IFERROR(__xludf.DUMMYFUNCTION("""COMPUTED_VALUE"""),"revelo")</f>
        <v>revelo</v>
      </c>
      <c r="B3598" s="4"/>
      <c r="C3598" s="4"/>
    </row>
    <row r="3599">
      <c r="A3599" s="6" t="str">
        <f>IFERROR(__xludf.DUMMYFUNCTION("""COMPUTED_VALUE"""),"mercately")</f>
        <v>mercately</v>
      </c>
      <c r="B3599" s="4"/>
      <c r="C3599" s="4"/>
    </row>
    <row r="3600">
      <c r="A3600" s="6" t="str">
        <f>IFERROR(__xludf.DUMMYFUNCTION("""COMPUTED_VALUE"""),"betterandfaster")</f>
        <v>betterandfaster</v>
      </c>
      <c r="B3600" s="4"/>
      <c r="C3600" s="4"/>
    </row>
    <row r="3601">
      <c r="A3601" s="6" t="str">
        <f>IFERROR(__xludf.DUMMYFUNCTION("""COMPUTED_VALUE"""),"geo")</f>
        <v>geo</v>
      </c>
      <c r="B3601" s="4"/>
      <c r="C3601" s="4"/>
    </row>
    <row r="3602">
      <c r="A3602" s="6" t="str">
        <f>IFERROR(__xludf.DUMMYFUNCTION("""COMPUTED_VALUE"""),"dacompany s.a.c.")</f>
        <v>dacompany s.a.c.</v>
      </c>
      <c r="B3602" s="4"/>
      <c r="C3602" s="4"/>
    </row>
    <row r="3603">
      <c r="A3603" s="6" t="str">
        <f>IFERROR(__xludf.DUMMYFUNCTION("""COMPUTED_VALUE"""),"instituto los robles")</f>
        <v>instituto los robles</v>
      </c>
      <c r="B3603" s="4"/>
      <c r="C3603" s="4"/>
    </row>
    <row r="3604">
      <c r="A3604" s="6" t="str">
        <f>IFERROR(__xludf.DUMMYFUNCTION("""COMPUTED_VALUE"""),"ldn gestion")</f>
        <v>ldn gestion</v>
      </c>
      <c r="B3604" s="4"/>
      <c r="C3604" s="4"/>
    </row>
    <row r="3605">
      <c r="A3605" s="6" t="str">
        <f>IFERROR(__xludf.DUMMYFUNCTION("""COMPUTED_VALUE"""),"luba")</f>
        <v>luba</v>
      </c>
      <c r="B3605" s="4"/>
      <c r="C3605" s="4"/>
    </row>
    <row r="3606">
      <c r="A3606" s="6" t="str">
        <f>IFERROR(__xludf.DUMMYFUNCTION("""COMPUTED_VALUE"""),"rentlysoft")</f>
        <v>rentlysoft</v>
      </c>
      <c r="B3606" s="4"/>
      <c r="C3606" s="4"/>
    </row>
    <row r="3607">
      <c r="A3607" s="6" t="str">
        <f>IFERROR(__xludf.DUMMYFUNCTION("""COMPUTED_VALUE"""),"adinfluence")</f>
        <v>adinfluence</v>
      </c>
      <c r="B3607" s="4"/>
      <c r="C3607" s="4"/>
    </row>
    <row r="3608">
      <c r="A3608" s="6" t="str">
        <f>IFERROR(__xludf.DUMMYFUNCTION("""COMPUTED_VALUE"""),"aditi consulting")</f>
        <v>aditi consulting</v>
      </c>
      <c r="B3608" s="4"/>
      <c r="C3608" s="4"/>
    </row>
    <row r="3609">
      <c r="A3609" s="6" t="str">
        <f>IFERROR(__xludf.DUMMYFUNCTION("""COMPUTED_VALUE"""),"maatai")</f>
        <v>maatai</v>
      </c>
      <c r="B3609" s="4"/>
      <c r="C3609" s="4"/>
    </row>
    <row r="3610">
      <c r="A3610" s="6" t="str">
        <f>IFERROR(__xludf.DUMMYFUNCTION("""COMPUTED_VALUE"""),"hyperreality company")</f>
        <v>hyperreality company</v>
      </c>
      <c r="B3610" s="4"/>
      <c r="C3610" s="4"/>
    </row>
    <row r="3611">
      <c r="A3611" s="6" t="str">
        <f>IFERROR(__xludf.DUMMYFUNCTION("""COMPUTED_VALUE"""),"brainlabs")</f>
        <v>brainlabs</v>
      </c>
      <c r="B3611" s="4"/>
      <c r="C3611" s="4"/>
    </row>
    <row r="3612">
      <c r="A3612" s="6" t="str">
        <f>IFERROR(__xludf.DUMMYFUNCTION("""COMPUTED_VALUE"""),"novigo technology")</f>
        <v>novigo technology</v>
      </c>
      <c r="B3612" s="4"/>
      <c r="C3612" s="4"/>
    </row>
    <row r="3613">
      <c r="A3613" s="6" t="str">
        <f>IFERROR(__xludf.DUMMYFUNCTION("""COMPUTED_VALUE"""),"calm es simple")</f>
        <v>calm es simple</v>
      </c>
      <c r="B3613" s="4"/>
      <c r="C3613" s="4"/>
    </row>
    <row r="3614">
      <c r="A3614" s="6" t="str">
        <f>IFERROR(__xludf.DUMMYFUNCTION("""COMPUTED_VALUE"""),"ar consultores srl")</f>
        <v>ar consultores srl</v>
      </c>
      <c r="B3614" s="4"/>
      <c r="C3614" s="4"/>
    </row>
    <row r="3615">
      <c r="A3615" s="6" t="str">
        <f>IFERROR(__xludf.DUMMYFUNCTION("""COMPUTED_VALUE"""),"infinita consulting")</f>
        <v>infinita consulting</v>
      </c>
      <c r="B3615" s="4"/>
      <c r="C3615" s="4"/>
    </row>
    <row r="3616">
      <c r="A3616" s="6" t="str">
        <f>IFERROR(__xludf.DUMMYFUNCTION("""COMPUTED_VALUE"""),"oechsle s.a.")</f>
        <v>oechsle s.a.</v>
      </c>
      <c r="B3616" s="4"/>
      <c r="C3616" s="4"/>
    </row>
    <row r="3617">
      <c r="A3617" s="6" t="str">
        <f>IFERROR(__xludf.DUMMYFUNCTION("""COMPUTED_VALUE"""),"edupassport")</f>
        <v>edupassport</v>
      </c>
      <c r="B3617" s="4"/>
      <c r="C3617" s="4"/>
    </row>
    <row r="3618">
      <c r="A3618" s="6" t="str">
        <f>IFERROR(__xludf.DUMMYFUNCTION("""COMPUTED_VALUE"""),"grupo dos rios")</f>
        <v>grupo dos rios</v>
      </c>
      <c r="B3618" s="4"/>
      <c r="C3618" s="4"/>
    </row>
    <row r="3619">
      <c r="A3619" s="6" t="str">
        <f>IFERROR(__xludf.DUMMYFUNCTION("""COMPUTED_VALUE"""),"exceser")</f>
        <v>exceser</v>
      </c>
      <c r="B3619" s="4"/>
      <c r="C3619" s="4"/>
    </row>
    <row r="3620">
      <c r="A3620" s="6" t="str">
        <f>IFERROR(__xludf.DUMMYFUNCTION("""COMPUTED_VALUE"""),"caja popular cristobal colón")</f>
        <v>caja popular cristobal colón</v>
      </c>
      <c r="B3620" s="4"/>
      <c r="C3620" s="4"/>
    </row>
    <row r="3621">
      <c r="A3621" s="6" t="str">
        <f>IFERROR(__xludf.DUMMYFUNCTION("""COMPUTED_VALUE"""),"grupo proare")</f>
        <v>grupo proare</v>
      </c>
      <c r="B3621" s="4"/>
      <c r="C3621" s="4"/>
    </row>
    <row r="3622">
      <c r="A3622" s="6" t="str">
        <f>IFERROR(__xludf.DUMMYFUNCTION("""COMPUTED_VALUE"""),"gtc")</f>
        <v>gtc</v>
      </c>
      <c r="B3622" s="4"/>
      <c r="C3622" s="4"/>
    </row>
    <row r="3623">
      <c r="A3623" s="6" t="str">
        <f>IFERROR(__xludf.DUMMYFUNCTION("""COMPUTED_VALUE"""),"ycs pr corp")</f>
        <v>ycs pr corp</v>
      </c>
      <c r="B3623" s="4"/>
      <c r="C3623" s="4"/>
    </row>
    <row r="3624">
      <c r="A3624" s="6" t="str">
        <f>IFERROR(__xludf.DUMMYFUNCTION("""COMPUTED_VALUE"""),"bdcatalyst")</f>
        <v>bdcatalyst</v>
      </c>
      <c r="B3624" s="4"/>
      <c r="C3624" s="4"/>
    </row>
    <row r="3625">
      <c r="A3625" s="6" t="str">
        <f>IFERROR(__xludf.DUMMYFUNCTION("""COMPUTED_VALUE"""),"talento digital")</f>
        <v>talento digital</v>
      </c>
      <c r="B3625" s="4"/>
      <c r="C3625" s="4"/>
    </row>
    <row r="3626">
      <c r="A3626" s="6" t="str">
        <f>IFERROR(__xludf.DUMMYFUNCTION("""COMPUTED_VALUE"""),"stenox analytics")</f>
        <v>stenox analytics</v>
      </c>
      <c r="B3626" s="4"/>
      <c r="C3626" s="4"/>
    </row>
    <row r="3627">
      <c r="A3627" s="6" t="str">
        <f>IFERROR(__xludf.DUMMYFUNCTION("""COMPUTED_VALUE"""),"zafra s.a")</f>
        <v>zafra s.a</v>
      </c>
      <c r="B3627" s="4"/>
      <c r="C3627" s="4"/>
    </row>
    <row r="3628">
      <c r="A3628" s="6" t="str">
        <f>IFERROR(__xludf.DUMMYFUNCTION("""COMPUTED_VALUE"""),"leisure accommodation collective pty ltd")</f>
        <v>leisure accommodation collective pty ltd</v>
      </c>
      <c r="B3628" s="4"/>
      <c r="C3628" s="4"/>
    </row>
    <row r="3629">
      <c r="A3629" s="6" t="str">
        <f>IFERROR(__xludf.DUMMYFUNCTION("""COMPUTED_VALUE"""),"kiche")</f>
        <v>kiche</v>
      </c>
      <c r="B3629" s="4"/>
      <c r="C3629" s="4"/>
    </row>
    <row r="3630">
      <c r="A3630" s="6" t="str">
        <f>IFERROR(__xludf.DUMMYFUNCTION("""COMPUTED_VALUE"""),"emporio la rosa")</f>
        <v>emporio la rosa</v>
      </c>
      <c r="B3630" s="4"/>
      <c r="C3630" s="4"/>
    </row>
    <row r="3631">
      <c r="A3631" s="6" t="str">
        <f>IFERROR(__xludf.DUMMYFUNCTION("""COMPUTED_VALUE"""),"skydropx")</f>
        <v>skydropx</v>
      </c>
      <c r="B3631" s="4"/>
      <c r="C3631" s="4"/>
    </row>
    <row r="3632">
      <c r="A3632" s="6" t="str">
        <f>IFERROR(__xludf.DUMMYFUNCTION("""COMPUTED_VALUE"""),"noswar studio")</f>
        <v>noswar studio</v>
      </c>
      <c r="B3632" s="4"/>
      <c r="C3632" s="4"/>
    </row>
    <row r="3633">
      <c r="A3633" s="6" t="str">
        <f>IFERROR(__xludf.DUMMYFUNCTION("""COMPUTED_VALUE"""),"evolución i3")</f>
        <v>evolución i3</v>
      </c>
      <c r="B3633" s="4"/>
      <c r="C3633" s="4"/>
    </row>
    <row r="3634">
      <c r="A3634" s="6" t="str">
        <f>IFERROR(__xludf.DUMMYFUNCTION("""COMPUTED_VALUE"""),"the store intelligence")</f>
        <v>the store intelligence</v>
      </c>
      <c r="B3634" s="4"/>
      <c r="C3634" s="4"/>
    </row>
    <row r="3635">
      <c r="A3635" s="6" t="str">
        <f>IFERROR(__xludf.DUMMYFUNCTION("""COMPUTED_VALUE"""),"gwocu")</f>
        <v>gwocu</v>
      </c>
      <c r="B3635" s="4"/>
      <c r="C3635" s="4"/>
    </row>
    <row r="3636">
      <c r="A3636" s="6" t="str">
        <f>IFERROR(__xludf.DUMMYFUNCTION("""COMPUTED_VALUE"""),"camea")</f>
        <v>camea</v>
      </c>
      <c r="B3636" s="4"/>
      <c r="C3636" s="4"/>
    </row>
    <row r="3637">
      <c r="A3637" s="6" t="str">
        <f>IFERROR(__xludf.DUMMYFUNCTION("""COMPUTED_VALUE"""),"taktify")</f>
        <v>taktify</v>
      </c>
      <c r="B3637" s="4"/>
      <c r="C3637" s="4"/>
    </row>
    <row r="3638">
      <c r="A3638" s="6" t="str">
        <f>IFERROR(__xludf.DUMMYFUNCTION("""COMPUTED_VALUE"""),"nextailabs")</f>
        <v>nextailabs</v>
      </c>
      <c r="B3638" s="4"/>
      <c r="C3638" s="4"/>
    </row>
    <row r="3639">
      <c r="A3639" s="6" t="str">
        <f>IFERROR(__xludf.DUMMYFUNCTION("""COMPUTED_VALUE"""),"iol invertironline")</f>
        <v>iol invertironline</v>
      </c>
      <c r="B3639" s="4"/>
      <c r="C3639" s="4"/>
    </row>
    <row r="3640">
      <c r="A3640" s="6" t="str">
        <f>IFERROR(__xludf.DUMMYFUNCTION("""COMPUTED_VALUE"""),"andes bpo")</f>
        <v>andes bpo</v>
      </c>
      <c r="B3640" s="4"/>
      <c r="C3640" s="4"/>
    </row>
    <row r="3641">
      <c r="A3641" s="6" t="str">
        <f>IFERROR(__xludf.DUMMYFUNCTION("""COMPUTED_VALUE"""),"cabildo muysca de suba")</f>
        <v>cabildo muysca de suba</v>
      </c>
      <c r="B3641" s="4"/>
      <c r="C3641" s="4"/>
    </row>
    <row r="3642">
      <c r="A3642" s="6" t="str">
        <f>IFERROR(__xludf.DUMMYFUNCTION("""COMPUTED_VALUE"""),"universidad de palermo")</f>
        <v>universidad de palermo</v>
      </c>
      <c r="B3642" s="4"/>
      <c r="C3642" s="4"/>
    </row>
    <row r="3643">
      <c r="A3643" s="6" t="str">
        <f>IFERROR(__xludf.DUMMYFUNCTION("""COMPUTED_VALUE"""),"rop st digitall")</f>
        <v>rop st digitall</v>
      </c>
      <c r="B3643" s="4"/>
      <c r="C3643" s="4"/>
    </row>
    <row r="3644">
      <c r="A3644" s="6" t="str">
        <f>IFERROR(__xludf.DUMMYFUNCTION("""COMPUTED_VALUE"""),"ticxar")</f>
        <v>ticxar</v>
      </c>
      <c r="B3644" s="4"/>
      <c r="C3644" s="4"/>
    </row>
    <row r="3645">
      <c r="A3645" s="6" t="str">
        <f>IFERROR(__xludf.DUMMYFUNCTION("""COMPUTED_VALUE"""),"hospital nacional de clincias")</f>
        <v>hospital nacional de clincias</v>
      </c>
      <c r="B3645" s="4"/>
      <c r="C3645" s="4"/>
    </row>
    <row r="3646">
      <c r="A3646" s="6" t="str">
        <f>IFERROR(__xludf.DUMMYFUNCTION("""COMPUTED_VALUE"""),"atower")</f>
        <v>atower</v>
      </c>
      <c r="B3646" s="4"/>
      <c r="C3646" s="4"/>
    </row>
    <row r="3647">
      <c r="A3647" s="4"/>
      <c r="B3647" s="4"/>
      <c r="C3647" s="4"/>
    </row>
    <row r="3648">
      <c r="A3648" s="4"/>
      <c r="B3648" s="4"/>
      <c r="C3648" s="4"/>
    </row>
    <row r="3649">
      <c r="A3649" s="4"/>
      <c r="B3649" s="4"/>
      <c r="C3649" s="4"/>
    </row>
    <row r="3650">
      <c r="A3650" s="4"/>
      <c r="B3650" s="4"/>
      <c r="C3650" s="4"/>
    </row>
    <row r="3651">
      <c r="A3651" s="4"/>
      <c r="B3651" s="4"/>
      <c r="C3651" s="4"/>
    </row>
    <row r="3652">
      <c r="A3652" s="4"/>
      <c r="B3652" s="4"/>
      <c r="C3652" s="4"/>
    </row>
    <row r="3653">
      <c r="A3653" s="4"/>
      <c r="B3653" s="4"/>
      <c r="C3653" s="4"/>
    </row>
    <row r="3654">
      <c r="A3654" s="4"/>
      <c r="B3654" s="4"/>
      <c r="C3654" s="4"/>
    </row>
    <row r="3655">
      <c r="A3655" s="4"/>
      <c r="B3655" s="4"/>
      <c r="C3655" s="4"/>
    </row>
    <row r="3656">
      <c r="A3656" s="4"/>
      <c r="B3656" s="4"/>
      <c r="C3656" s="4"/>
    </row>
    <row r="3657">
      <c r="A3657" s="4"/>
      <c r="B3657" s="4"/>
      <c r="C3657" s="4"/>
    </row>
    <row r="3658">
      <c r="A3658" s="4"/>
      <c r="B3658" s="4"/>
      <c r="C3658" s="4"/>
    </row>
    <row r="3659">
      <c r="A3659" s="4"/>
      <c r="B3659" s="4"/>
      <c r="C3659" s="4"/>
    </row>
    <row r="3660">
      <c r="A3660" s="4"/>
      <c r="B3660" s="4"/>
      <c r="C3660" s="4"/>
    </row>
    <row r="3661">
      <c r="A3661" s="4"/>
      <c r="B3661" s="4"/>
      <c r="C3661" s="4"/>
    </row>
    <row r="3662">
      <c r="A3662" s="4"/>
      <c r="B3662" s="4"/>
      <c r="C3662" s="4"/>
    </row>
    <row r="3663">
      <c r="A3663" s="4"/>
      <c r="B3663" s="4"/>
      <c r="C3663" s="4"/>
    </row>
    <row r="3664">
      <c r="A3664" s="4"/>
      <c r="B3664" s="4"/>
      <c r="C3664" s="4"/>
    </row>
    <row r="3665">
      <c r="A3665" s="4"/>
      <c r="B3665" s="4"/>
      <c r="C3665" s="4"/>
    </row>
    <row r="3666">
      <c r="A3666" s="4"/>
      <c r="B3666" s="4"/>
      <c r="C3666" s="4"/>
    </row>
    <row r="3667">
      <c r="A3667" s="4"/>
      <c r="B3667" s="4"/>
      <c r="C3667" s="4"/>
    </row>
    <row r="3668">
      <c r="A3668" s="4"/>
      <c r="B3668" s="4"/>
      <c r="C3668" s="4"/>
    </row>
    <row r="3669">
      <c r="A3669" s="4"/>
      <c r="B3669" s="4"/>
      <c r="C3669" s="4"/>
    </row>
    <row r="3670">
      <c r="A3670" s="4"/>
      <c r="B3670" s="4"/>
      <c r="C3670" s="4"/>
    </row>
    <row r="3671">
      <c r="A3671" s="4"/>
      <c r="B3671" s="4"/>
      <c r="C3671" s="4"/>
    </row>
    <row r="3672">
      <c r="A3672" s="4"/>
      <c r="B3672" s="4"/>
      <c r="C3672" s="4"/>
    </row>
    <row r="3673">
      <c r="A3673" s="4"/>
      <c r="B3673" s="4"/>
      <c r="C3673" s="4"/>
    </row>
    <row r="3674">
      <c r="A3674" s="4"/>
      <c r="B3674" s="4"/>
      <c r="C3674" s="4"/>
    </row>
    <row r="3675">
      <c r="A3675" s="4"/>
      <c r="B3675" s="4"/>
      <c r="C3675" s="4"/>
    </row>
    <row r="3676">
      <c r="A3676" s="4"/>
      <c r="B3676" s="4"/>
      <c r="C3676" s="4"/>
    </row>
    <row r="3677">
      <c r="A3677" s="4"/>
      <c r="B3677" s="4"/>
      <c r="C3677" s="4"/>
    </row>
    <row r="3678">
      <c r="A3678" s="4"/>
      <c r="B3678" s="4"/>
      <c r="C3678" s="4"/>
    </row>
    <row r="3679">
      <c r="A3679" s="4"/>
      <c r="B3679" s="4"/>
      <c r="C3679" s="4"/>
    </row>
    <row r="3680">
      <c r="A3680" s="4"/>
      <c r="B3680" s="4"/>
      <c r="C3680" s="4"/>
    </row>
    <row r="3681">
      <c r="A3681" s="4"/>
      <c r="B3681" s="4"/>
      <c r="C3681" s="4"/>
    </row>
    <row r="3682">
      <c r="A3682" s="4"/>
      <c r="B3682" s="4"/>
      <c r="C3682" s="4"/>
    </row>
    <row r="3683">
      <c r="A3683" s="4"/>
      <c r="B3683" s="4"/>
      <c r="C3683" s="4"/>
    </row>
    <row r="3684">
      <c r="A3684" s="4"/>
      <c r="B3684" s="4"/>
      <c r="C3684" s="4"/>
    </row>
    <row r="3685">
      <c r="A3685" s="4"/>
      <c r="B3685" s="4"/>
      <c r="C3685" s="4"/>
    </row>
    <row r="3686">
      <c r="A3686" s="4"/>
      <c r="B3686" s="4"/>
      <c r="C3686" s="4"/>
    </row>
    <row r="3687">
      <c r="A3687" s="4"/>
      <c r="B3687" s="4"/>
      <c r="C3687" s="4"/>
    </row>
    <row r="3688">
      <c r="A3688" s="4"/>
      <c r="B3688" s="4"/>
      <c r="C3688" s="4"/>
    </row>
    <row r="3689">
      <c r="A3689" s="4"/>
      <c r="B3689" s="4"/>
      <c r="C3689" s="4"/>
    </row>
    <row r="3690">
      <c r="A3690" s="4"/>
      <c r="B3690" s="4"/>
      <c r="C3690" s="4"/>
    </row>
    <row r="3691">
      <c r="A3691" s="4"/>
      <c r="B3691" s="4"/>
      <c r="C3691" s="4"/>
    </row>
    <row r="3692">
      <c r="A3692" s="4"/>
      <c r="B3692" s="4"/>
      <c r="C3692" s="4"/>
    </row>
    <row r="3693">
      <c r="A3693" s="4"/>
      <c r="B3693" s="4"/>
      <c r="C3693" s="4"/>
    </row>
    <row r="3694">
      <c r="A3694" s="4"/>
      <c r="B3694" s="4"/>
      <c r="C3694" s="4"/>
    </row>
    <row r="3695">
      <c r="A3695" s="4"/>
      <c r="B3695" s="4"/>
      <c r="C3695" s="4"/>
    </row>
    <row r="3696">
      <c r="A3696" s="4"/>
      <c r="B3696" s="4"/>
      <c r="C3696" s="4"/>
    </row>
    <row r="3697">
      <c r="A3697" s="4"/>
      <c r="B3697" s="4"/>
      <c r="C3697" s="4"/>
    </row>
    <row r="3698">
      <c r="A3698" s="4"/>
      <c r="B3698" s="4"/>
      <c r="C3698" s="4"/>
    </row>
    <row r="3699">
      <c r="A3699" s="4"/>
      <c r="B3699" s="4"/>
      <c r="C3699" s="4"/>
    </row>
    <row r="3700">
      <c r="A3700" s="4"/>
      <c r="B3700" s="4"/>
      <c r="C3700" s="4"/>
    </row>
    <row r="3701">
      <c r="A3701" s="4"/>
      <c r="B3701" s="4"/>
      <c r="C3701" s="4"/>
    </row>
    <row r="3702">
      <c r="A3702" s="4"/>
      <c r="B3702" s="4"/>
      <c r="C3702" s="4"/>
    </row>
    <row r="3703">
      <c r="A3703" s="4"/>
      <c r="B3703" s="4"/>
      <c r="C3703" s="4"/>
    </row>
    <row r="3704">
      <c r="A3704" s="4"/>
      <c r="B3704" s="4"/>
      <c r="C3704" s="4"/>
    </row>
    <row r="3705">
      <c r="A3705" s="4"/>
      <c r="B3705" s="4"/>
      <c r="C3705" s="4"/>
    </row>
    <row r="3706">
      <c r="A3706" s="4"/>
      <c r="B3706" s="4"/>
      <c r="C3706" s="4"/>
    </row>
    <row r="3707">
      <c r="A3707" s="4"/>
      <c r="B3707" s="4"/>
      <c r="C3707" s="4"/>
    </row>
    <row r="3708">
      <c r="A3708" s="4"/>
      <c r="B3708" s="4"/>
      <c r="C3708" s="4"/>
    </row>
    <row r="3709">
      <c r="A3709" s="4"/>
      <c r="B3709" s="4"/>
      <c r="C3709" s="4"/>
    </row>
    <row r="3710">
      <c r="A3710" s="4"/>
      <c r="B3710" s="4"/>
      <c r="C3710" s="4"/>
    </row>
    <row r="3711">
      <c r="A3711" s="4"/>
      <c r="B3711" s="4"/>
      <c r="C3711" s="4"/>
    </row>
    <row r="3712">
      <c r="A3712" s="4"/>
      <c r="B3712" s="4"/>
      <c r="C3712" s="4"/>
    </row>
    <row r="3713">
      <c r="A3713" s="4"/>
      <c r="B3713" s="4"/>
      <c r="C3713" s="4"/>
    </row>
    <row r="3714">
      <c r="A3714" s="4"/>
      <c r="B3714" s="4"/>
      <c r="C3714" s="4"/>
    </row>
    <row r="3715">
      <c r="A3715" s="4"/>
      <c r="B3715" s="4"/>
      <c r="C3715" s="4"/>
    </row>
    <row r="3716">
      <c r="A3716" s="4"/>
      <c r="B3716" s="4"/>
      <c r="C3716" s="4"/>
    </row>
    <row r="3717">
      <c r="A3717" s="4"/>
      <c r="B3717" s="4"/>
      <c r="C3717" s="4"/>
    </row>
    <row r="3718">
      <c r="A3718" s="4"/>
      <c r="B3718" s="4"/>
      <c r="C3718" s="4"/>
    </row>
    <row r="3719">
      <c r="A3719" s="4"/>
      <c r="B3719" s="4"/>
      <c r="C3719" s="4"/>
    </row>
    <row r="3720">
      <c r="A3720" s="4"/>
      <c r="B3720" s="4"/>
      <c r="C3720" s="4"/>
    </row>
    <row r="3721">
      <c r="A3721" s="4"/>
      <c r="B3721" s="4"/>
      <c r="C3721" s="4"/>
    </row>
    <row r="3722">
      <c r="A3722" s="4"/>
      <c r="B3722" s="4"/>
      <c r="C3722" s="4"/>
    </row>
    <row r="3723">
      <c r="A3723" s="4"/>
      <c r="B3723" s="4"/>
      <c r="C3723" s="4"/>
    </row>
    <row r="3724">
      <c r="A3724" s="4"/>
      <c r="B3724" s="4"/>
      <c r="C3724" s="4"/>
    </row>
    <row r="3725">
      <c r="A3725" s="4"/>
      <c r="B3725" s="4"/>
      <c r="C3725" s="4"/>
    </row>
    <row r="3726">
      <c r="A3726" s="4"/>
      <c r="B3726" s="4"/>
      <c r="C3726" s="4"/>
    </row>
    <row r="3727">
      <c r="A3727" s="4"/>
      <c r="B3727" s="4"/>
      <c r="C3727" s="4"/>
    </row>
    <row r="3728">
      <c r="A3728" s="4"/>
      <c r="B3728" s="4"/>
      <c r="C3728" s="4"/>
    </row>
    <row r="3729">
      <c r="A3729" s="4"/>
      <c r="B3729" s="4"/>
      <c r="C3729" s="4"/>
    </row>
    <row r="3730">
      <c r="A3730" s="4"/>
      <c r="B3730" s="4"/>
      <c r="C3730" s="4"/>
    </row>
    <row r="3731">
      <c r="A3731" s="4"/>
      <c r="B3731" s="4"/>
      <c r="C3731" s="4"/>
    </row>
    <row r="3732">
      <c r="A3732" s="4"/>
      <c r="B3732" s="4"/>
      <c r="C3732" s="4"/>
    </row>
    <row r="3733">
      <c r="A3733" s="4"/>
      <c r="B3733" s="4"/>
      <c r="C3733" s="4"/>
    </row>
    <row r="3734">
      <c r="A3734" s="4"/>
      <c r="B3734" s="4"/>
      <c r="C3734" s="4"/>
    </row>
    <row r="3735">
      <c r="A3735" s="4"/>
      <c r="B3735" s="4"/>
      <c r="C3735" s="4"/>
    </row>
    <row r="3736">
      <c r="A3736" s="4"/>
      <c r="B3736" s="4"/>
      <c r="C3736" s="4"/>
    </row>
    <row r="3737">
      <c r="A3737" s="4"/>
      <c r="B3737" s="4"/>
      <c r="C3737" s="4"/>
    </row>
    <row r="3738">
      <c r="A3738" s="4"/>
      <c r="B3738" s="4"/>
      <c r="C3738" s="4"/>
    </row>
    <row r="3739">
      <c r="A3739" s="4"/>
      <c r="B3739" s="4"/>
      <c r="C3739" s="4"/>
    </row>
    <row r="3740">
      <c r="A3740" s="4"/>
      <c r="B3740" s="4"/>
      <c r="C3740" s="4"/>
    </row>
    <row r="3741">
      <c r="A3741" s="4"/>
      <c r="B3741" s="4"/>
      <c r="C3741" s="4"/>
    </row>
    <row r="3742">
      <c r="A3742" s="4"/>
      <c r="B3742" s="4"/>
      <c r="C3742" s="4"/>
    </row>
    <row r="3743">
      <c r="A3743" s="4"/>
      <c r="B3743" s="4"/>
      <c r="C3743" s="4"/>
    </row>
    <row r="3744">
      <c r="A3744" s="4"/>
      <c r="B3744" s="4"/>
      <c r="C3744" s="4"/>
    </row>
    <row r="3745">
      <c r="A3745" s="4"/>
      <c r="B3745" s="4"/>
      <c r="C3745" s="4"/>
    </row>
    <row r="3746">
      <c r="A3746" s="4"/>
      <c r="B3746" s="4"/>
      <c r="C3746" s="4"/>
    </row>
    <row r="3747">
      <c r="A3747" s="4"/>
      <c r="B3747" s="4"/>
      <c r="C3747" s="4"/>
    </row>
    <row r="3748">
      <c r="A3748" s="4"/>
      <c r="B3748" s="4"/>
      <c r="C3748" s="4"/>
    </row>
    <row r="3749">
      <c r="A3749" s="4"/>
      <c r="B3749" s="4"/>
      <c r="C3749" s="4"/>
    </row>
    <row r="3750">
      <c r="A3750" s="4"/>
      <c r="B3750" s="4"/>
      <c r="C3750" s="4"/>
    </row>
    <row r="3751">
      <c r="A3751" s="4"/>
      <c r="B3751" s="4"/>
      <c r="C3751" s="4"/>
    </row>
    <row r="3752">
      <c r="A3752" s="4"/>
      <c r="B3752" s="4"/>
      <c r="C3752" s="4"/>
    </row>
    <row r="3753">
      <c r="A3753" s="4"/>
      <c r="B3753" s="4"/>
      <c r="C3753" s="4"/>
    </row>
    <row r="3754">
      <c r="A3754" s="4"/>
      <c r="B3754" s="4"/>
      <c r="C3754" s="4"/>
    </row>
    <row r="3755">
      <c r="A3755" s="4"/>
      <c r="B3755" s="4"/>
      <c r="C3755" s="4"/>
    </row>
    <row r="3756">
      <c r="A3756" s="4"/>
      <c r="B3756" s="4"/>
      <c r="C3756" s="4"/>
    </row>
    <row r="3757">
      <c r="A3757" s="4"/>
      <c r="B3757" s="4"/>
      <c r="C3757" s="4"/>
    </row>
    <row r="3758">
      <c r="A3758" s="4"/>
      <c r="B3758" s="4"/>
      <c r="C3758" s="4"/>
    </row>
    <row r="3759">
      <c r="A3759" s="4"/>
      <c r="B3759" s="4"/>
      <c r="C3759" s="4"/>
    </row>
    <row r="3760">
      <c r="A3760" s="4"/>
      <c r="B3760" s="4"/>
      <c r="C3760" s="4"/>
    </row>
    <row r="3761">
      <c r="A3761" s="4"/>
      <c r="B3761" s="4"/>
      <c r="C3761" s="4"/>
    </row>
    <row r="3762">
      <c r="A3762" s="4"/>
      <c r="B3762" s="4"/>
      <c r="C3762" s="4"/>
    </row>
    <row r="3763">
      <c r="A3763" s="4"/>
      <c r="B3763" s="4"/>
      <c r="C3763" s="4"/>
    </row>
    <row r="3764">
      <c r="A3764" s="4"/>
      <c r="B3764" s="4"/>
      <c r="C3764" s="4"/>
    </row>
    <row r="3765">
      <c r="A3765" s="4"/>
      <c r="B3765" s="4"/>
      <c r="C3765" s="4"/>
    </row>
    <row r="3766">
      <c r="A3766" s="4"/>
      <c r="B3766" s="4"/>
      <c r="C3766" s="4"/>
    </row>
    <row r="3767">
      <c r="A3767" s="4"/>
      <c r="B3767" s="4"/>
      <c r="C3767" s="4"/>
    </row>
    <row r="3768">
      <c r="A3768" s="4"/>
      <c r="B3768" s="4"/>
      <c r="C3768" s="4"/>
    </row>
    <row r="3769">
      <c r="A3769" s="4"/>
      <c r="B3769" s="4"/>
      <c r="C3769" s="4"/>
    </row>
    <row r="3770">
      <c r="A3770" s="4"/>
      <c r="B3770" s="4"/>
      <c r="C3770" s="4"/>
    </row>
    <row r="3771">
      <c r="A3771" s="4"/>
      <c r="B3771" s="4"/>
      <c r="C3771" s="4"/>
    </row>
    <row r="3772">
      <c r="A3772" s="4"/>
      <c r="B3772" s="4"/>
      <c r="C3772" s="4"/>
    </row>
    <row r="3773">
      <c r="A3773" s="4"/>
      <c r="B3773" s="4"/>
      <c r="C3773" s="4"/>
    </row>
    <row r="3774">
      <c r="A3774" s="4"/>
      <c r="B3774" s="4"/>
      <c r="C3774" s="4"/>
    </row>
    <row r="3775">
      <c r="A3775" s="4"/>
      <c r="B3775" s="4"/>
      <c r="C3775" s="4"/>
    </row>
    <row r="3776">
      <c r="A3776" s="4"/>
      <c r="B3776" s="4"/>
      <c r="C3776" s="4"/>
    </row>
    <row r="3777">
      <c r="A3777" s="4"/>
      <c r="B3777" s="4"/>
      <c r="C3777" s="4"/>
    </row>
    <row r="3778">
      <c r="A3778" s="4"/>
      <c r="B3778" s="4"/>
      <c r="C3778" s="4"/>
    </row>
    <row r="3779">
      <c r="A3779" s="4"/>
      <c r="B3779" s="4"/>
      <c r="C3779" s="4"/>
    </row>
    <row r="3780">
      <c r="A3780" s="4"/>
      <c r="B3780" s="4"/>
      <c r="C3780" s="4"/>
    </row>
    <row r="3781">
      <c r="A3781" s="4"/>
      <c r="B3781" s="4"/>
      <c r="C3781" s="4"/>
    </row>
    <row r="3782">
      <c r="A3782" s="4"/>
      <c r="B3782" s="4"/>
      <c r="C3782" s="4"/>
    </row>
    <row r="3783">
      <c r="A3783" s="4"/>
      <c r="B3783" s="4"/>
      <c r="C3783" s="4"/>
    </row>
    <row r="3784">
      <c r="A3784" s="4"/>
      <c r="B3784" s="4"/>
      <c r="C3784" s="4"/>
    </row>
    <row r="3785">
      <c r="A3785" s="4"/>
      <c r="B3785" s="4"/>
      <c r="C3785" s="4"/>
    </row>
    <row r="3786">
      <c r="A3786" s="4"/>
      <c r="B3786" s="4"/>
      <c r="C3786" s="4"/>
    </row>
    <row r="3787">
      <c r="A3787" s="4"/>
      <c r="B3787" s="4"/>
      <c r="C3787" s="4"/>
    </row>
    <row r="3788">
      <c r="A3788" s="4"/>
      <c r="B3788" s="4"/>
      <c r="C3788" s="4"/>
    </row>
    <row r="3789">
      <c r="A3789" s="4"/>
      <c r="B3789" s="4"/>
      <c r="C3789" s="4"/>
    </row>
    <row r="3790">
      <c r="A3790" s="4"/>
      <c r="B3790" s="4"/>
      <c r="C3790" s="4"/>
    </row>
    <row r="3791">
      <c r="A3791" s="4"/>
      <c r="B3791" s="4"/>
      <c r="C3791" s="4"/>
    </row>
    <row r="3792">
      <c r="A3792" s="4"/>
      <c r="B3792" s="4"/>
      <c r="C3792" s="4"/>
    </row>
    <row r="3793">
      <c r="A3793" s="4"/>
      <c r="B3793" s="4"/>
      <c r="C3793" s="4"/>
    </row>
    <row r="3794">
      <c r="A3794" s="4"/>
      <c r="B3794" s="4"/>
      <c r="C3794" s="4"/>
    </row>
    <row r="3795">
      <c r="A3795" s="4"/>
      <c r="B3795" s="4"/>
      <c r="C3795" s="4"/>
    </row>
    <row r="3796">
      <c r="A3796" s="4"/>
      <c r="B3796" s="4"/>
      <c r="C3796" s="4"/>
    </row>
    <row r="3797">
      <c r="A3797" s="4"/>
      <c r="B3797" s="4"/>
      <c r="C3797" s="4"/>
    </row>
    <row r="3798">
      <c r="A3798" s="4"/>
      <c r="B3798" s="4"/>
      <c r="C3798" s="4"/>
    </row>
    <row r="3799">
      <c r="A3799" s="4"/>
      <c r="B3799" s="4"/>
      <c r="C3799" s="4"/>
    </row>
    <row r="3800">
      <c r="A3800" s="4"/>
      <c r="B3800" s="4"/>
      <c r="C3800" s="4"/>
    </row>
    <row r="3801">
      <c r="A3801" s="4"/>
      <c r="B3801" s="4"/>
      <c r="C3801" s="4"/>
    </row>
    <row r="3802">
      <c r="A3802" s="4"/>
      <c r="B3802" s="4"/>
      <c r="C3802" s="4"/>
    </row>
    <row r="3803">
      <c r="A3803" s="4"/>
      <c r="B3803" s="4"/>
      <c r="C3803" s="4"/>
    </row>
    <row r="3804">
      <c r="A3804" s="4"/>
      <c r="B3804" s="4"/>
      <c r="C3804" s="4"/>
    </row>
    <row r="3805">
      <c r="A3805" s="4"/>
      <c r="B3805" s="4"/>
      <c r="C3805" s="4"/>
    </row>
    <row r="3806">
      <c r="A3806" s="4"/>
      <c r="B3806" s="4"/>
      <c r="C3806" s="4"/>
    </row>
    <row r="3807">
      <c r="A3807" s="4"/>
      <c r="B3807" s="4"/>
      <c r="C3807" s="4"/>
    </row>
    <row r="3808">
      <c r="A3808" s="4"/>
      <c r="B3808" s="4"/>
      <c r="C3808" s="4"/>
    </row>
    <row r="3809">
      <c r="A3809" s="4"/>
      <c r="B3809" s="4"/>
      <c r="C3809" s="4"/>
    </row>
    <row r="3810">
      <c r="A3810" s="4"/>
      <c r="B3810" s="4"/>
      <c r="C3810" s="4"/>
    </row>
    <row r="3811">
      <c r="A3811" s="4"/>
      <c r="B3811" s="4"/>
      <c r="C3811" s="4"/>
    </row>
    <row r="3812">
      <c r="A3812" s="4"/>
      <c r="B3812" s="4"/>
      <c r="C3812" s="4"/>
    </row>
    <row r="3813">
      <c r="A3813" s="4"/>
      <c r="B3813" s="4"/>
      <c r="C3813" s="4"/>
    </row>
    <row r="3814">
      <c r="A3814" s="4"/>
      <c r="B3814" s="4"/>
      <c r="C3814" s="4"/>
    </row>
    <row r="3815">
      <c r="A3815" s="4"/>
      <c r="B3815" s="4"/>
      <c r="C3815" s="4"/>
    </row>
    <row r="3816">
      <c r="A3816" s="4"/>
      <c r="B3816" s="4"/>
      <c r="C3816" s="4"/>
    </row>
    <row r="3817">
      <c r="A3817" s="4"/>
      <c r="B3817" s="4"/>
      <c r="C3817" s="4"/>
    </row>
    <row r="3818">
      <c r="A3818" s="4"/>
      <c r="B3818" s="4"/>
      <c r="C3818" s="4"/>
    </row>
    <row r="3819">
      <c r="A3819" s="4"/>
      <c r="B3819" s="4"/>
      <c r="C3819" s="4"/>
    </row>
    <row r="3820">
      <c r="A3820" s="4"/>
      <c r="B3820" s="4"/>
      <c r="C3820" s="4"/>
    </row>
    <row r="3821">
      <c r="A3821" s="4"/>
      <c r="B3821" s="4"/>
      <c r="C3821" s="4"/>
    </row>
    <row r="3822">
      <c r="A3822" s="4"/>
      <c r="B3822" s="4"/>
      <c r="C3822" s="4"/>
    </row>
    <row r="3823">
      <c r="A3823" s="4"/>
      <c r="B3823" s="4"/>
      <c r="C3823" s="4"/>
    </row>
    <row r="3824">
      <c r="A3824" s="4"/>
      <c r="B3824" s="4"/>
      <c r="C3824" s="4"/>
    </row>
    <row r="3825">
      <c r="A3825" s="4"/>
      <c r="B3825" s="4"/>
      <c r="C3825" s="4"/>
    </row>
    <row r="3826">
      <c r="A3826" s="4"/>
      <c r="B3826" s="4"/>
      <c r="C3826" s="4"/>
    </row>
    <row r="3827">
      <c r="A3827" s="4"/>
      <c r="B3827" s="4"/>
      <c r="C3827" s="4"/>
    </row>
    <row r="3828">
      <c r="A3828" s="4"/>
      <c r="B3828" s="4"/>
      <c r="C3828" s="4"/>
    </row>
    <row r="3829">
      <c r="A3829" s="4"/>
      <c r="B3829" s="4"/>
      <c r="C3829" s="4"/>
    </row>
    <row r="3830">
      <c r="A3830" s="4"/>
      <c r="B3830" s="4"/>
      <c r="C3830" s="4"/>
    </row>
    <row r="3831">
      <c r="A3831" s="4"/>
      <c r="B3831" s="4"/>
      <c r="C3831" s="4"/>
    </row>
    <row r="3832">
      <c r="A3832" s="4"/>
      <c r="B3832" s="4"/>
      <c r="C3832" s="4"/>
    </row>
    <row r="3833">
      <c r="A3833" s="4"/>
      <c r="B3833" s="4"/>
      <c r="C3833" s="4"/>
    </row>
    <row r="3834">
      <c r="A3834" s="4"/>
      <c r="B3834" s="4"/>
      <c r="C3834" s="4"/>
    </row>
    <row r="3835">
      <c r="A3835" s="4"/>
      <c r="B3835" s="4"/>
      <c r="C3835" s="4"/>
    </row>
    <row r="3836">
      <c r="A3836" s="4"/>
      <c r="B3836" s="4"/>
      <c r="C3836" s="4"/>
    </row>
    <row r="3837">
      <c r="A3837" s="4"/>
      <c r="B3837" s="4"/>
      <c r="C3837" s="4"/>
    </row>
    <row r="3838">
      <c r="A3838" s="4"/>
      <c r="B3838" s="4"/>
      <c r="C3838" s="4"/>
    </row>
    <row r="3839">
      <c r="A3839" s="4"/>
      <c r="B3839" s="4"/>
      <c r="C3839" s="4"/>
    </row>
    <row r="3840">
      <c r="A3840" s="4"/>
      <c r="B3840" s="4"/>
      <c r="C3840" s="4"/>
    </row>
    <row r="3841">
      <c r="A3841" s="4"/>
      <c r="B3841" s="4"/>
      <c r="C3841" s="4"/>
    </row>
    <row r="3842">
      <c r="A3842" s="4"/>
      <c r="B3842" s="4"/>
      <c r="C3842" s="4"/>
    </row>
    <row r="3843">
      <c r="A3843" s="4"/>
      <c r="B3843" s="4"/>
      <c r="C3843" s="4"/>
    </row>
    <row r="3844">
      <c r="A3844" s="4"/>
      <c r="B3844" s="4"/>
      <c r="C3844" s="4"/>
    </row>
    <row r="3845">
      <c r="A3845" s="4"/>
      <c r="B3845" s="4"/>
      <c r="C3845" s="4"/>
    </row>
    <row r="3846">
      <c r="A3846" s="4"/>
      <c r="B3846" s="4"/>
      <c r="C3846" s="4"/>
    </row>
    <row r="3847">
      <c r="A3847" s="4"/>
      <c r="B3847" s="4"/>
      <c r="C3847" s="4"/>
    </row>
    <row r="3848">
      <c r="A3848" s="4"/>
      <c r="B3848" s="4"/>
      <c r="C3848" s="4"/>
    </row>
    <row r="3849">
      <c r="A3849" s="4"/>
      <c r="B3849" s="4"/>
      <c r="C3849" s="4"/>
    </row>
    <row r="3850">
      <c r="A3850" s="4"/>
      <c r="B3850" s="4"/>
      <c r="C3850" s="4"/>
    </row>
    <row r="3851">
      <c r="A3851" s="4"/>
      <c r="B3851" s="4"/>
      <c r="C3851" s="4"/>
    </row>
    <row r="3852">
      <c r="A3852" s="4"/>
      <c r="B3852" s="4"/>
      <c r="C3852" s="4"/>
    </row>
    <row r="3853">
      <c r="A3853" s="4"/>
      <c r="B3853" s="4"/>
      <c r="C3853" s="4"/>
    </row>
    <row r="3854">
      <c r="A3854" s="4"/>
      <c r="B3854" s="4"/>
      <c r="C3854" s="4"/>
    </row>
    <row r="3855">
      <c r="A3855" s="4"/>
      <c r="B3855" s="4"/>
      <c r="C3855" s="4"/>
    </row>
    <row r="3856">
      <c r="A3856" s="4"/>
      <c r="B3856" s="4"/>
      <c r="C3856" s="4"/>
    </row>
    <row r="3857">
      <c r="A3857" s="4"/>
      <c r="B3857" s="4"/>
      <c r="C3857" s="4"/>
    </row>
    <row r="3858">
      <c r="A3858" s="4"/>
      <c r="B3858" s="4"/>
      <c r="C3858" s="4"/>
    </row>
    <row r="3859">
      <c r="A3859" s="4"/>
      <c r="B3859" s="4"/>
      <c r="C3859" s="4"/>
    </row>
    <row r="3860">
      <c r="A3860" s="4"/>
      <c r="B3860" s="4"/>
      <c r="C3860" s="4"/>
    </row>
    <row r="3861">
      <c r="A3861" s="4"/>
      <c r="B3861" s="4"/>
      <c r="C3861" s="4"/>
    </row>
    <row r="3862">
      <c r="A3862" s="4"/>
      <c r="B3862" s="4"/>
      <c r="C3862" s="4"/>
    </row>
    <row r="3863">
      <c r="A3863" s="4"/>
      <c r="B3863" s="4"/>
      <c r="C3863" s="4"/>
    </row>
    <row r="3864">
      <c r="A3864" s="4"/>
      <c r="B3864" s="4"/>
      <c r="C3864" s="4"/>
    </row>
    <row r="3865">
      <c r="A3865" s="4"/>
      <c r="B3865" s="4"/>
      <c r="C3865" s="4"/>
    </row>
    <row r="3866">
      <c r="A3866" s="4"/>
      <c r="B3866" s="4"/>
      <c r="C3866" s="4"/>
    </row>
    <row r="3867">
      <c r="A3867" s="4"/>
      <c r="B3867" s="4"/>
      <c r="C3867" s="4"/>
    </row>
    <row r="3868">
      <c r="A3868" s="4"/>
      <c r="B3868" s="4"/>
      <c r="C3868" s="4"/>
    </row>
    <row r="3869">
      <c r="A3869" s="4"/>
      <c r="B3869" s="4"/>
      <c r="C3869" s="4"/>
    </row>
    <row r="3870">
      <c r="A3870" s="4"/>
      <c r="B3870" s="4"/>
      <c r="C3870" s="4"/>
    </row>
    <row r="3871">
      <c r="A3871" s="4"/>
      <c r="B3871" s="4"/>
      <c r="C3871" s="4"/>
    </row>
    <row r="3872">
      <c r="A3872" s="4"/>
      <c r="B3872" s="4"/>
      <c r="C3872" s="4"/>
    </row>
    <row r="3873">
      <c r="A3873" s="4"/>
      <c r="B3873" s="4"/>
      <c r="C3873" s="4"/>
    </row>
    <row r="3874">
      <c r="A3874" s="4"/>
      <c r="B3874" s="4"/>
      <c r="C3874" s="4"/>
    </row>
    <row r="3875">
      <c r="A3875" s="4"/>
      <c r="B3875" s="4"/>
      <c r="C3875" s="4"/>
    </row>
    <row r="3876">
      <c r="A3876" s="4"/>
      <c r="B3876" s="4"/>
      <c r="C3876" s="4"/>
    </row>
    <row r="3877">
      <c r="A3877" s="4"/>
      <c r="B3877" s="4"/>
      <c r="C3877" s="4"/>
    </row>
    <row r="3878">
      <c r="A3878" s="4"/>
      <c r="B3878" s="4"/>
      <c r="C3878" s="4"/>
    </row>
    <row r="3879">
      <c r="A3879" s="4"/>
      <c r="B3879" s="4"/>
      <c r="C3879" s="4"/>
    </row>
    <row r="3880">
      <c r="A3880" s="4"/>
      <c r="B3880" s="4"/>
      <c r="C3880" s="4"/>
    </row>
    <row r="3881">
      <c r="A3881" s="4"/>
      <c r="B3881" s="4"/>
      <c r="C3881" s="4"/>
    </row>
    <row r="3882">
      <c r="A3882" s="4"/>
      <c r="B3882" s="4"/>
      <c r="C3882" s="4"/>
    </row>
    <row r="3883">
      <c r="A3883" s="4"/>
      <c r="B3883" s="4"/>
      <c r="C3883" s="4"/>
    </row>
    <row r="3884">
      <c r="A3884" s="4"/>
      <c r="B3884" s="4"/>
      <c r="C3884" s="4"/>
    </row>
    <row r="3885">
      <c r="A3885" s="4"/>
      <c r="B3885" s="4"/>
      <c r="C3885" s="4"/>
    </row>
    <row r="3886">
      <c r="A3886" s="4"/>
      <c r="B3886" s="4"/>
      <c r="C3886" s="4"/>
    </row>
    <row r="3887">
      <c r="A3887" s="4"/>
      <c r="B3887" s="4"/>
      <c r="C3887" s="4"/>
    </row>
    <row r="3888">
      <c r="A3888" s="4"/>
      <c r="B3888" s="4"/>
      <c r="C3888" s="4"/>
    </row>
    <row r="3889">
      <c r="A3889" s="4"/>
      <c r="B3889" s="4"/>
      <c r="C3889" s="4"/>
    </row>
    <row r="3890">
      <c r="A3890" s="4"/>
      <c r="B3890" s="4"/>
      <c r="C3890" s="4"/>
    </row>
    <row r="3891">
      <c r="A3891" s="4"/>
      <c r="B3891" s="4"/>
      <c r="C3891" s="4"/>
    </row>
    <row r="3892">
      <c r="A3892" s="4"/>
      <c r="B3892" s="4"/>
      <c r="C3892" s="4"/>
    </row>
    <row r="3893">
      <c r="A3893" s="4"/>
      <c r="B3893" s="4"/>
      <c r="C3893" s="4"/>
    </row>
    <row r="3894">
      <c r="A3894" s="4"/>
      <c r="B3894" s="4"/>
      <c r="C3894" s="4"/>
    </row>
    <row r="3895">
      <c r="A3895" s="4"/>
      <c r="B3895" s="4"/>
      <c r="C3895" s="4"/>
    </row>
    <row r="3896">
      <c r="A3896" s="4"/>
      <c r="B3896" s="4"/>
      <c r="C3896" s="4"/>
    </row>
    <row r="3897">
      <c r="A3897" s="4"/>
      <c r="B3897" s="4"/>
      <c r="C3897" s="4"/>
    </row>
    <row r="3898">
      <c r="A3898" s="4"/>
      <c r="B3898" s="4"/>
      <c r="C3898" s="4"/>
    </row>
    <row r="3899">
      <c r="A3899" s="4"/>
      <c r="B3899" s="4"/>
      <c r="C3899" s="4"/>
    </row>
    <row r="3900">
      <c r="A3900" s="4"/>
      <c r="B3900" s="4"/>
      <c r="C3900" s="4"/>
    </row>
    <row r="3901">
      <c r="A3901" s="4"/>
      <c r="B3901" s="4"/>
      <c r="C3901" s="4"/>
    </row>
    <row r="3902">
      <c r="A3902" s="4"/>
      <c r="B3902" s="4"/>
      <c r="C3902" s="4"/>
    </row>
    <row r="3903">
      <c r="A3903" s="4"/>
      <c r="B3903" s="4"/>
      <c r="C3903" s="4"/>
    </row>
    <row r="3904">
      <c r="A3904" s="4"/>
      <c r="B3904" s="4"/>
      <c r="C3904" s="4"/>
    </row>
    <row r="3905">
      <c r="A3905" s="4"/>
      <c r="B3905" s="4"/>
      <c r="C3905" s="4"/>
    </row>
    <row r="3906">
      <c r="A3906" s="4"/>
      <c r="B3906" s="4"/>
      <c r="C3906" s="4"/>
    </row>
    <row r="3907">
      <c r="A3907" s="4"/>
      <c r="B3907" s="4"/>
      <c r="C3907" s="4"/>
    </row>
    <row r="3908">
      <c r="A3908" s="4"/>
      <c r="B3908" s="4"/>
      <c r="C3908" s="4"/>
    </row>
    <row r="3909">
      <c r="A3909" s="4"/>
      <c r="B3909" s="4"/>
      <c r="C3909" s="4"/>
    </row>
    <row r="3910">
      <c r="A3910" s="4"/>
      <c r="B3910" s="4"/>
      <c r="C3910" s="4"/>
    </row>
    <row r="3911">
      <c r="A3911" s="4"/>
      <c r="B3911" s="4"/>
      <c r="C3911" s="4"/>
    </row>
    <row r="3912">
      <c r="A3912" s="4"/>
      <c r="B3912" s="4"/>
      <c r="C3912" s="4"/>
    </row>
    <row r="3913">
      <c r="A3913" s="4"/>
      <c r="B3913" s="4"/>
      <c r="C3913" s="4"/>
    </row>
    <row r="3914">
      <c r="A3914" s="4"/>
      <c r="B3914" s="4"/>
      <c r="C3914" s="4"/>
    </row>
    <row r="3915">
      <c r="A3915" s="4"/>
      <c r="B3915" s="4"/>
      <c r="C3915" s="4"/>
    </row>
    <row r="3916">
      <c r="A3916" s="4"/>
      <c r="B3916" s="4"/>
      <c r="C3916" s="4"/>
    </row>
    <row r="3917">
      <c r="A3917" s="4"/>
      <c r="B3917" s="4"/>
      <c r="C3917" s="4"/>
    </row>
    <row r="3918">
      <c r="A3918" s="4"/>
      <c r="B3918" s="4"/>
      <c r="C3918" s="4"/>
    </row>
    <row r="3919">
      <c r="A3919" s="4"/>
      <c r="B3919" s="4"/>
      <c r="C3919" s="4"/>
    </row>
    <row r="3920">
      <c r="A3920" s="4"/>
      <c r="B3920" s="4"/>
      <c r="C3920" s="4"/>
    </row>
    <row r="3921">
      <c r="A3921" s="4"/>
      <c r="B3921" s="4"/>
      <c r="C3921" s="4"/>
    </row>
    <row r="3922">
      <c r="A3922" s="4"/>
      <c r="B3922" s="4"/>
      <c r="C3922" s="4"/>
    </row>
    <row r="3923">
      <c r="A3923" s="4"/>
      <c r="B3923" s="4"/>
      <c r="C3923" s="4"/>
    </row>
    <row r="3924">
      <c r="A3924" s="4"/>
      <c r="B3924" s="4"/>
      <c r="C3924" s="4"/>
    </row>
    <row r="3925">
      <c r="A3925" s="4"/>
      <c r="B3925" s="4"/>
      <c r="C3925" s="4"/>
    </row>
    <row r="3926">
      <c r="A3926" s="4"/>
      <c r="B3926" s="4"/>
      <c r="C3926" s="4"/>
    </row>
    <row r="3927">
      <c r="A3927" s="4"/>
      <c r="B3927" s="4"/>
      <c r="C3927" s="4"/>
    </row>
    <row r="3928">
      <c r="A3928" s="4"/>
      <c r="B3928" s="4"/>
      <c r="C3928" s="4"/>
    </row>
    <row r="3929">
      <c r="A3929" s="4"/>
      <c r="B3929" s="4"/>
      <c r="C3929" s="4"/>
    </row>
    <row r="3930">
      <c r="A3930" s="4"/>
      <c r="B3930" s="4"/>
      <c r="C3930" s="4"/>
    </row>
    <row r="3931">
      <c r="A3931" s="4"/>
      <c r="B3931" s="4"/>
      <c r="C3931" s="4"/>
    </row>
    <row r="3932">
      <c r="A3932" s="4"/>
      <c r="B3932" s="4"/>
      <c r="C3932" s="4"/>
    </row>
    <row r="3933">
      <c r="A3933" s="4"/>
      <c r="B3933" s="4"/>
      <c r="C3933" s="4"/>
    </row>
    <row r="3934">
      <c r="A3934" s="4"/>
      <c r="B3934" s="4"/>
      <c r="C3934" s="4"/>
    </row>
    <row r="3935">
      <c r="A3935" s="4"/>
      <c r="B3935" s="4"/>
      <c r="C3935" s="4"/>
    </row>
    <row r="3936">
      <c r="A3936" s="4"/>
      <c r="B3936" s="4"/>
      <c r="C3936" s="4"/>
    </row>
    <row r="3937">
      <c r="A3937" s="4"/>
      <c r="B3937" s="4"/>
      <c r="C3937" s="4"/>
    </row>
    <row r="3938">
      <c r="A3938" s="4"/>
      <c r="B3938" s="4"/>
      <c r="C3938" s="4"/>
    </row>
    <row r="3939">
      <c r="A3939" s="4"/>
      <c r="B3939" s="4"/>
      <c r="C3939" s="4"/>
    </row>
    <row r="3940">
      <c r="A3940" s="4"/>
      <c r="B3940" s="4"/>
      <c r="C3940" s="4"/>
    </row>
    <row r="3941">
      <c r="A3941" s="4"/>
      <c r="B3941" s="4"/>
      <c r="C3941" s="4"/>
    </row>
    <row r="3942">
      <c r="A3942" s="4"/>
      <c r="B3942" s="4"/>
      <c r="C3942" s="4"/>
    </row>
    <row r="3943">
      <c r="A3943" s="4"/>
      <c r="B3943" s="4"/>
      <c r="C3943" s="4"/>
    </row>
    <row r="3944">
      <c r="A3944" s="4"/>
      <c r="B3944" s="4"/>
      <c r="C3944" s="4"/>
    </row>
    <row r="3945">
      <c r="A3945" s="4"/>
      <c r="B3945" s="4"/>
      <c r="C3945" s="4"/>
    </row>
    <row r="3946">
      <c r="A3946" s="4"/>
      <c r="B3946" s="4"/>
      <c r="C3946" s="4"/>
    </row>
    <row r="3947">
      <c r="A3947" s="4"/>
      <c r="B3947" s="4"/>
      <c r="C3947" s="4"/>
    </row>
    <row r="3948">
      <c r="A3948" s="4"/>
      <c r="B3948" s="4"/>
      <c r="C3948" s="4"/>
    </row>
    <row r="3949">
      <c r="A3949" s="4"/>
      <c r="B3949" s="4"/>
      <c r="C3949" s="4"/>
    </row>
    <row r="3950">
      <c r="A3950" s="4"/>
      <c r="B3950" s="4"/>
      <c r="C3950" s="4"/>
    </row>
    <row r="3951">
      <c r="A3951" s="4"/>
      <c r="B3951" s="4"/>
      <c r="C3951" s="4"/>
    </row>
    <row r="3952">
      <c r="A3952" s="4"/>
      <c r="B3952" s="4"/>
      <c r="C3952" s="4"/>
    </row>
    <row r="3953">
      <c r="A3953" s="4"/>
      <c r="B3953" s="4"/>
      <c r="C3953" s="4"/>
    </row>
    <row r="3954">
      <c r="A3954" s="4"/>
      <c r="B3954" s="4"/>
      <c r="C3954" s="4"/>
    </row>
    <row r="3955">
      <c r="A3955" s="4"/>
      <c r="B3955" s="4"/>
      <c r="C3955" s="4"/>
    </row>
    <row r="3956">
      <c r="A3956" s="4"/>
      <c r="B3956" s="4"/>
      <c r="C3956" s="4"/>
    </row>
    <row r="3957">
      <c r="A3957" s="4"/>
      <c r="B3957" s="4"/>
      <c r="C3957" s="4"/>
    </row>
    <row r="3958">
      <c r="A3958" s="4"/>
      <c r="B3958" s="4"/>
      <c r="C3958" s="4"/>
    </row>
    <row r="3959">
      <c r="A3959" s="4"/>
      <c r="B3959" s="4"/>
      <c r="C3959" s="4"/>
    </row>
    <row r="3960">
      <c r="A3960" s="4"/>
      <c r="B3960" s="4"/>
      <c r="C3960" s="4"/>
    </row>
    <row r="3961">
      <c r="A3961" s="4"/>
      <c r="B3961" s="4"/>
      <c r="C3961" s="4"/>
    </row>
    <row r="3962">
      <c r="A3962" s="4"/>
      <c r="B3962" s="4"/>
      <c r="C3962" s="4"/>
    </row>
    <row r="3963">
      <c r="A3963" s="4"/>
      <c r="B3963" s="4"/>
      <c r="C3963" s="4"/>
    </row>
    <row r="3964">
      <c r="A3964" s="4"/>
      <c r="B3964" s="4"/>
      <c r="C3964" s="4"/>
    </row>
    <row r="3965">
      <c r="A3965" s="4"/>
      <c r="B3965" s="4"/>
      <c r="C3965" s="4"/>
    </row>
    <row r="3966">
      <c r="A3966" s="4"/>
      <c r="B3966" s="4"/>
      <c r="C3966" s="4"/>
    </row>
    <row r="3967">
      <c r="A3967" s="4"/>
      <c r="B3967" s="4"/>
      <c r="C3967" s="4"/>
    </row>
    <row r="3968">
      <c r="A3968" s="4"/>
      <c r="B3968" s="4"/>
      <c r="C3968" s="4"/>
    </row>
    <row r="3969">
      <c r="A3969" s="4"/>
      <c r="B3969" s="4"/>
      <c r="C3969" s="4"/>
    </row>
    <row r="3970">
      <c r="A3970" s="4"/>
      <c r="B3970" s="4"/>
      <c r="C3970" s="4"/>
    </row>
    <row r="3971">
      <c r="A3971" s="4"/>
      <c r="B3971" s="4"/>
      <c r="C3971" s="4"/>
    </row>
    <row r="3972">
      <c r="A3972" s="4"/>
      <c r="B3972" s="4"/>
      <c r="C3972" s="4"/>
    </row>
    <row r="3973">
      <c r="A3973" s="4"/>
      <c r="B3973" s="4"/>
      <c r="C3973" s="4"/>
    </row>
    <row r="3974">
      <c r="A3974" s="4"/>
      <c r="B3974" s="4"/>
      <c r="C3974" s="4"/>
    </row>
    <row r="3975">
      <c r="A3975" s="4"/>
      <c r="B3975" s="4"/>
      <c r="C3975" s="4"/>
    </row>
    <row r="3976">
      <c r="A3976" s="4"/>
      <c r="B3976" s="4"/>
      <c r="C3976" s="4"/>
    </row>
    <row r="3977">
      <c r="A3977" s="4"/>
      <c r="B3977" s="4"/>
      <c r="C3977" s="4"/>
    </row>
    <row r="3978">
      <c r="A3978" s="4"/>
      <c r="B3978" s="4"/>
      <c r="C3978" s="4"/>
    </row>
    <row r="3979">
      <c r="A3979" s="4"/>
      <c r="B3979" s="4"/>
      <c r="C3979" s="4"/>
    </row>
    <row r="3980">
      <c r="A3980" s="4"/>
      <c r="B3980" s="4"/>
      <c r="C3980" s="4"/>
    </row>
    <row r="3981">
      <c r="A3981" s="4"/>
      <c r="B3981" s="4"/>
      <c r="C3981" s="4"/>
    </row>
    <row r="3982">
      <c r="A3982" s="4"/>
      <c r="B3982" s="4"/>
      <c r="C3982" s="4"/>
    </row>
    <row r="3983">
      <c r="A3983" s="4"/>
      <c r="B3983" s="4"/>
      <c r="C3983" s="4"/>
    </row>
    <row r="3984">
      <c r="A3984" s="4"/>
      <c r="B3984" s="4"/>
      <c r="C3984" s="4"/>
    </row>
    <row r="3985">
      <c r="A3985" s="4"/>
      <c r="B3985" s="4"/>
      <c r="C3985" s="4"/>
    </row>
    <row r="3986">
      <c r="A3986" s="4"/>
      <c r="B3986" s="4"/>
      <c r="C3986" s="4"/>
    </row>
    <row r="3987">
      <c r="A3987" s="4"/>
      <c r="B3987" s="4"/>
      <c r="C3987" s="4"/>
    </row>
    <row r="3988">
      <c r="A3988" s="4"/>
      <c r="B3988" s="4"/>
      <c r="C3988" s="4"/>
    </row>
    <row r="3989">
      <c r="A3989" s="4"/>
      <c r="B3989" s="4"/>
      <c r="C3989" s="4"/>
    </row>
    <row r="3990">
      <c r="A3990" s="4"/>
      <c r="B3990" s="4"/>
      <c r="C3990" s="4"/>
    </row>
    <row r="3991">
      <c r="A3991" s="4"/>
      <c r="B3991" s="4"/>
      <c r="C3991" s="4"/>
    </row>
    <row r="3992">
      <c r="A3992" s="4"/>
      <c r="B3992" s="4"/>
      <c r="C3992" s="4"/>
    </row>
    <row r="3993">
      <c r="A3993" s="4"/>
      <c r="B3993" s="4"/>
      <c r="C3993" s="4"/>
    </row>
    <row r="3994">
      <c r="A3994" s="4"/>
      <c r="B3994" s="4"/>
      <c r="C3994" s="4"/>
    </row>
    <row r="3995">
      <c r="A3995" s="4"/>
      <c r="B3995" s="4"/>
      <c r="C3995" s="4"/>
    </row>
    <row r="3996">
      <c r="A3996" s="4"/>
      <c r="B3996" s="4"/>
      <c r="C3996" s="4"/>
    </row>
    <row r="3997">
      <c r="A3997" s="4"/>
      <c r="B3997" s="4"/>
      <c r="C3997" s="4"/>
    </row>
    <row r="3998">
      <c r="A3998" s="4"/>
      <c r="B3998" s="4"/>
      <c r="C3998" s="4"/>
    </row>
    <row r="3999">
      <c r="A3999" s="4"/>
      <c r="B3999" s="4"/>
      <c r="C3999" s="4"/>
    </row>
    <row r="4000">
      <c r="A4000" s="4"/>
      <c r="B4000" s="4"/>
      <c r="C4000" s="4"/>
    </row>
    <row r="4001">
      <c r="A4001" s="4"/>
      <c r="B4001" s="4"/>
      <c r="C4001" s="4"/>
    </row>
    <row r="4002">
      <c r="A4002" s="4"/>
      <c r="B4002" s="4"/>
      <c r="C4002" s="4"/>
    </row>
    <row r="4003">
      <c r="A4003" s="4"/>
      <c r="B4003" s="4"/>
      <c r="C4003" s="4"/>
    </row>
    <row r="4004">
      <c r="A4004" s="4"/>
      <c r="B4004" s="4"/>
      <c r="C4004" s="4"/>
    </row>
    <row r="4005">
      <c r="A4005" s="4"/>
      <c r="B4005" s="4"/>
      <c r="C4005" s="4"/>
    </row>
    <row r="4006">
      <c r="A4006" s="4"/>
      <c r="B4006" s="4"/>
      <c r="C4006" s="4"/>
    </row>
    <row r="4007">
      <c r="A4007" s="4"/>
      <c r="B4007" s="4"/>
      <c r="C4007" s="4"/>
    </row>
    <row r="4008">
      <c r="A4008" s="4"/>
      <c r="B4008" s="4"/>
      <c r="C4008" s="4"/>
    </row>
    <row r="4009">
      <c r="A4009" s="4"/>
      <c r="B4009" s="4"/>
      <c r="C4009" s="4"/>
    </row>
    <row r="4010">
      <c r="A4010" s="4"/>
      <c r="B4010" s="4"/>
      <c r="C4010" s="4"/>
    </row>
    <row r="4011">
      <c r="A4011" s="4"/>
      <c r="B4011" s="4"/>
      <c r="C4011" s="4"/>
    </row>
    <row r="4012">
      <c r="A4012" s="4"/>
      <c r="B4012" s="4"/>
      <c r="C4012" s="4"/>
    </row>
    <row r="4013">
      <c r="A4013" s="4"/>
      <c r="B4013" s="4"/>
      <c r="C4013" s="4"/>
    </row>
    <row r="4014">
      <c r="A4014" s="4"/>
      <c r="B4014" s="4"/>
      <c r="C4014" s="4"/>
    </row>
    <row r="4015">
      <c r="A4015" s="4"/>
      <c r="B4015" s="4"/>
      <c r="C4015" s="4"/>
    </row>
    <row r="4016">
      <c r="A4016" s="4"/>
      <c r="B4016" s="4"/>
      <c r="C4016" s="4"/>
    </row>
    <row r="4017">
      <c r="A4017" s="4"/>
      <c r="B4017" s="4"/>
      <c r="C4017" s="4"/>
    </row>
    <row r="4018">
      <c r="A4018" s="4"/>
      <c r="B4018" s="4"/>
      <c r="C4018" s="4"/>
    </row>
    <row r="4019">
      <c r="A4019" s="4"/>
      <c r="B4019" s="4"/>
      <c r="C4019" s="4"/>
    </row>
    <row r="4020">
      <c r="A4020" s="4"/>
      <c r="B4020" s="4"/>
      <c r="C4020" s="4"/>
    </row>
    <row r="4021">
      <c r="A4021" s="4"/>
      <c r="B4021" s="4"/>
      <c r="C4021" s="4"/>
    </row>
    <row r="4022">
      <c r="A4022" s="4"/>
      <c r="B4022" s="4"/>
      <c r="C4022" s="4"/>
    </row>
    <row r="4023">
      <c r="A4023" s="4"/>
      <c r="B4023" s="4"/>
      <c r="C4023" s="4"/>
    </row>
    <row r="4024">
      <c r="A4024" s="4"/>
      <c r="B4024" s="4"/>
      <c r="C4024" s="4"/>
    </row>
    <row r="4025">
      <c r="A4025" s="4"/>
      <c r="B4025" s="4"/>
      <c r="C4025" s="4"/>
    </row>
    <row r="4026">
      <c r="A4026" s="4"/>
      <c r="B4026" s="4"/>
      <c r="C4026" s="4"/>
    </row>
    <row r="4027">
      <c r="A4027" s="4"/>
      <c r="B4027" s="4"/>
      <c r="C4027" s="4"/>
    </row>
    <row r="4028">
      <c r="A4028" s="4"/>
      <c r="B4028" s="4"/>
      <c r="C4028" s="4"/>
    </row>
    <row r="4029">
      <c r="A4029" s="4"/>
      <c r="B4029" s="4"/>
      <c r="C4029" s="4"/>
    </row>
    <row r="4030">
      <c r="A4030" s="4"/>
      <c r="B4030" s="4"/>
      <c r="C4030" s="4"/>
    </row>
    <row r="4031">
      <c r="A4031" s="4"/>
      <c r="B4031" s="4"/>
      <c r="C4031" s="4"/>
    </row>
    <row r="4032">
      <c r="A4032" s="4"/>
      <c r="B4032" s="4"/>
      <c r="C4032" s="4"/>
    </row>
    <row r="4033">
      <c r="A4033" s="4"/>
      <c r="B4033" s="4"/>
      <c r="C4033" s="4"/>
    </row>
    <row r="4034">
      <c r="A4034" s="4"/>
      <c r="B4034" s="4"/>
      <c r="C4034" s="4"/>
    </row>
    <row r="4035">
      <c r="A4035" s="4"/>
      <c r="B4035" s="4"/>
      <c r="C4035" s="4"/>
    </row>
    <row r="4036">
      <c r="A4036" s="4"/>
      <c r="B4036" s="4"/>
      <c r="C4036" s="4"/>
    </row>
    <row r="4037">
      <c r="A4037" s="4"/>
      <c r="B4037" s="4"/>
      <c r="C4037" s="4"/>
    </row>
    <row r="4038">
      <c r="A4038" s="4"/>
      <c r="B4038" s="4"/>
      <c r="C4038" s="4"/>
    </row>
    <row r="4039">
      <c r="A4039" s="4"/>
      <c r="B4039" s="4"/>
      <c r="C4039" s="4"/>
    </row>
    <row r="4040">
      <c r="A4040" s="4"/>
      <c r="B4040" s="4"/>
      <c r="C4040" s="4"/>
    </row>
    <row r="4041">
      <c r="A4041" s="4"/>
      <c r="B4041" s="4"/>
      <c r="C4041" s="4"/>
    </row>
    <row r="4042">
      <c r="A4042" s="4"/>
      <c r="B4042" s="4"/>
      <c r="C4042" s="4"/>
    </row>
    <row r="4043">
      <c r="A4043" s="4"/>
      <c r="B4043" s="4"/>
      <c r="C4043" s="4"/>
    </row>
    <row r="4044">
      <c r="A4044" s="4"/>
      <c r="B4044" s="4"/>
      <c r="C4044" s="4"/>
    </row>
    <row r="4045">
      <c r="A4045" s="4"/>
      <c r="B4045" s="4"/>
      <c r="C4045" s="4"/>
    </row>
    <row r="4046">
      <c r="A4046" s="4"/>
      <c r="B4046" s="4"/>
      <c r="C4046" s="4"/>
    </row>
    <row r="4047">
      <c r="A4047" s="4"/>
      <c r="B4047" s="4"/>
      <c r="C4047" s="4"/>
    </row>
    <row r="4048">
      <c r="A4048" s="4"/>
      <c r="B4048" s="4"/>
      <c r="C4048" s="4"/>
    </row>
    <row r="4049">
      <c r="A4049" s="4"/>
      <c r="B4049" s="4"/>
      <c r="C4049" s="4"/>
    </row>
    <row r="4050">
      <c r="A4050" s="4"/>
      <c r="B4050" s="4"/>
      <c r="C4050" s="4"/>
    </row>
    <row r="4051">
      <c r="A4051" s="4"/>
      <c r="B4051" s="4"/>
      <c r="C4051" s="4"/>
    </row>
    <row r="4052">
      <c r="A4052" s="4"/>
      <c r="B4052" s="4"/>
      <c r="C4052" s="4"/>
    </row>
    <row r="4053">
      <c r="A4053" s="4"/>
      <c r="B4053" s="4"/>
      <c r="C4053" s="4"/>
    </row>
    <row r="4054">
      <c r="A4054" s="4"/>
      <c r="B4054" s="4"/>
      <c r="C4054" s="4"/>
    </row>
    <row r="4055">
      <c r="A4055" s="4"/>
      <c r="B4055" s="4"/>
      <c r="C4055" s="4"/>
    </row>
    <row r="4056">
      <c r="A4056" s="4"/>
      <c r="B4056" s="4"/>
      <c r="C4056" s="4"/>
    </row>
    <row r="4057">
      <c r="A4057" s="4"/>
      <c r="B4057" s="4"/>
      <c r="C4057" s="4"/>
    </row>
    <row r="4058">
      <c r="A4058" s="4"/>
      <c r="B4058" s="4"/>
      <c r="C4058" s="4"/>
    </row>
    <row r="4059">
      <c r="A4059" s="4"/>
      <c r="B4059" s="4"/>
      <c r="C4059" s="4"/>
    </row>
    <row r="4060">
      <c r="A4060" s="4"/>
      <c r="B4060" s="4"/>
      <c r="C4060" s="4"/>
    </row>
    <row r="4061">
      <c r="A4061" s="4"/>
      <c r="B4061" s="4"/>
      <c r="C4061" s="4"/>
    </row>
    <row r="4062">
      <c r="A4062" s="4"/>
      <c r="B4062" s="4"/>
      <c r="C4062" s="4"/>
    </row>
    <row r="4063">
      <c r="A4063" s="4"/>
      <c r="B4063" s="4"/>
      <c r="C4063" s="4"/>
    </row>
    <row r="4064">
      <c r="A4064" s="4"/>
      <c r="B4064" s="4"/>
      <c r="C4064" s="4"/>
    </row>
    <row r="4065">
      <c r="A4065" s="4"/>
      <c r="B4065" s="4"/>
      <c r="C4065" s="4"/>
    </row>
    <row r="4066">
      <c r="A4066" s="4"/>
      <c r="B4066" s="4"/>
      <c r="C4066" s="4"/>
    </row>
    <row r="4067">
      <c r="A4067" s="4"/>
      <c r="B4067" s="4"/>
      <c r="C4067" s="4"/>
    </row>
    <row r="4068">
      <c r="A4068" s="4"/>
      <c r="B4068" s="4"/>
      <c r="C4068" s="4"/>
    </row>
    <row r="4069">
      <c r="A4069" s="4"/>
      <c r="B4069" s="4"/>
      <c r="C4069" s="4"/>
    </row>
    <row r="4070">
      <c r="A4070" s="4"/>
      <c r="B4070" s="4"/>
      <c r="C4070" s="4"/>
    </row>
    <row r="4071">
      <c r="A4071" s="4"/>
      <c r="B4071" s="4"/>
      <c r="C4071" s="4"/>
    </row>
    <row r="4072">
      <c r="A4072" s="4"/>
      <c r="B4072" s="4"/>
      <c r="C4072" s="4"/>
    </row>
    <row r="4073">
      <c r="A4073" s="4"/>
      <c r="B4073" s="4"/>
      <c r="C4073" s="4"/>
    </row>
    <row r="4074">
      <c r="A4074" s="4"/>
      <c r="B4074" s="4"/>
      <c r="C4074" s="4"/>
    </row>
    <row r="4075">
      <c r="A4075" s="4"/>
      <c r="B4075" s="4"/>
      <c r="C4075" s="4"/>
    </row>
    <row r="4076">
      <c r="A4076" s="4"/>
      <c r="B4076" s="4"/>
      <c r="C4076" s="4"/>
    </row>
    <row r="4077">
      <c r="A4077" s="4"/>
      <c r="B4077" s="4"/>
      <c r="C4077" s="4"/>
    </row>
    <row r="4078">
      <c r="A4078" s="4"/>
      <c r="B4078" s="4"/>
      <c r="C4078" s="4"/>
    </row>
    <row r="4079">
      <c r="A4079" s="4"/>
      <c r="B4079" s="4"/>
      <c r="C4079" s="4"/>
    </row>
    <row r="4080">
      <c r="A4080" s="4"/>
      <c r="B4080" s="4"/>
      <c r="C4080" s="4"/>
    </row>
    <row r="4081">
      <c r="A4081" s="4"/>
      <c r="B4081" s="4"/>
      <c r="C4081" s="4"/>
    </row>
    <row r="4082">
      <c r="A4082" s="4"/>
      <c r="B4082" s="4"/>
      <c r="C4082" s="4"/>
    </row>
    <row r="4083">
      <c r="A4083" s="4"/>
      <c r="B4083" s="4"/>
      <c r="C4083" s="4"/>
    </row>
    <row r="4084">
      <c r="A4084" s="4"/>
      <c r="B4084" s="4"/>
      <c r="C4084" s="4"/>
    </row>
    <row r="4085">
      <c r="A4085" s="4"/>
      <c r="B4085" s="4"/>
      <c r="C4085" s="4"/>
    </row>
    <row r="4086">
      <c r="A4086" s="4"/>
      <c r="B4086" s="4"/>
      <c r="C4086" s="4"/>
    </row>
    <row r="4087">
      <c r="A4087" s="4"/>
      <c r="B4087" s="4"/>
      <c r="C4087" s="4"/>
    </row>
    <row r="4088">
      <c r="A4088" s="4"/>
      <c r="B4088" s="4"/>
      <c r="C4088" s="4"/>
    </row>
    <row r="4089">
      <c r="A4089" s="4"/>
      <c r="B4089" s="4"/>
      <c r="C4089" s="4"/>
    </row>
    <row r="4090">
      <c r="A4090" s="4"/>
      <c r="B4090" s="4"/>
      <c r="C4090" s="4"/>
    </row>
    <row r="4091">
      <c r="A4091" s="4"/>
      <c r="B4091" s="4"/>
      <c r="C4091" s="4"/>
    </row>
    <row r="4092">
      <c r="A4092" s="4"/>
      <c r="B4092" s="4"/>
      <c r="C4092" s="4"/>
    </row>
    <row r="4093">
      <c r="A4093" s="4"/>
      <c r="B4093" s="4"/>
      <c r="C4093" s="4"/>
    </row>
    <row r="4094">
      <c r="A4094" s="4"/>
      <c r="B4094" s="4"/>
      <c r="C4094" s="4"/>
    </row>
    <row r="4095">
      <c r="A4095" s="4"/>
      <c r="B4095" s="4"/>
      <c r="C4095" s="4"/>
    </row>
    <row r="4096">
      <c r="A4096" s="4"/>
      <c r="B4096" s="4"/>
      <c r="C4096" s="4"/>
    </row>
    <row r="4097">
      <c r="A4097" s="4"/>
      <c r="B4097" s="4"/>
      <c r="C4097" s="4"/>
    </row>
    <row r="4098">
      <c r="A4098" s="4"/>
      <c r="B4098" s="4"/>
      <c r="C4098" s="4"/>
    </row>
    <row r="4099">
      <c r="A4099" s="4"/>
      <c r="B4099" s="4"/>
      <c r="C4099" s="4"/>
    </row>
    <row r="4100">
      <c r="A4100" s="4"/>
      <c r="B4100" s="4"/>
      <c r="C4100" s="4"/>
    </row>
    <row r="4101">
      <c r="A4101" s="4"/>
      <c r="B4101" s="4"/>
      <c r="C4101" s="4"/>
    </row>
    <row r="4102">
      <c r="A4102" s="4"/>
      <c r="B4102" s="4"/>
      <c r="C4102" s="4"/>
    </row>
    <row r="4103">
      <c r="A4103" s="4"/>
      <c r="B4103" s="4"/>
      <c r="C4103" s="4"/>
    </row>
    <row r="4104">
      <c r="A4104" s="4"/>
      <c r="B4104" s="4"/>
      <c r="C4104" s="4"/>
    </row>
    <row r="4105">
      <c r="A4105" s="4"/>
      <c r="B4105" s="4"/>
      <c r="C4105" s="4"/>
    </row>
    <row r="4106">
      <c r="A4106" s="4"/>
      <c r="B4106" s="4"/>
      <c r="C4106" s="4"/>
    </row>
    <row r="4107">
      <c r="A4107" s="4"/>
      <c r="B4107" s="4"/>
      <c r="C4107" s="4"/>
    </row>
    <row r="4108">
      <c r="A4108" s="4"/>
      <c r="B4108" s="4"/>
      <c r="C4108" s="4"/>
    </row>
    <row r="4109">
      <c r="A4109" s="4"/>
      <c r="B4109" s="4"/>
      <c r="C4109" s="4"/>
    </row>
    <row r="4110">
      <c r="A4110" s="4"/>
      <c r="B4110" s="4"/>
      <c r="C4110" s="4"/>
    </row>
    <row r="4111">
      <c r="A4111" s="4"/>
      <c r="B4111" s="4"/>
      <c r="C4111" s="4"/>
    </row>
    <row r="4112">
      <c r="A4112" s="4"/>
      <c r="B4112" s="4"/>
      <c r="C4112" s="4"/>
    </row>
    <row r="4113">
      <c r="A4113" s="4"/>
      <c r="B4113" s="4"/>
      <c r="C4113" s="4"/>
    </row>
    <row r="4114">
      <c r="A4114" s="4"/>
      <c r="B4114" s="4"/>
      <c r="C4114" s="4"/>
    </row>
    <row r="4115">
      <c r="A4115" s="4"/>
      <c r="B4115" s="4"/>
      <c r="C4115" s="4"/>
    </row>
    <row r="4116">
      <c r="A4116" s="4"/>
      <c r="B4116" s="4"/>
      <c r="C4116" s="4"/>
    </row>
    <row r="4117">
      <c r="A4117" s="4"/>
      <c r="B4117" s="4"/>
      <c r="C4117" s="4"/>
    </row>
    <row r="4118">
      <c r="A4118" s="4"/>
      <c r="B4118" s="4"/>
      <c r="C4118" s="4"/>
    </row>
    <row r="4119">
      <c r="A4119" s="4"/>
      <c r="B4119" s="4"/>
      <c r="C4119" s="4"/>
    </row>
    <row r="4120">
      <c r="A4120" s="4"/>
      <c r="B4120" s="4"/>
      <c r="C4120" s="4"/>
    </row>
    <row r="4121">
      <c r="A4121" s="4"/>
      <c r="B4121" s="4"/>
      <c r="C4121" s="4"/>
    </row>
    <row r="4122">
      <c r="A4122" s="4"/>
      <c r="B4122" s="4"/>
      <c r="C4122" s="4"/>
    </row>
    <row r="4123">
      <c r="A4123" s="4"/>
      <c r="B4123" s="4"/>
      <c r="C4123" s="4"/>
    </row>
    <row r="4124">
      <c r="A4124" s="4"/>
      <c r="B4124" s="4"/>
      <c r="C4124" s="4"/>
    </row>
    <row r="4125">
      <c r="A4125" s="4"/>
      <c r="B4125" s="4"/>
      <c r="C4125" s="4"/>
    </row>
    <row r="4126">
      <c r="A4126" s="4"/>
      <c r="B4126" s="4"/>
      <c r="C4126" s="4"/>
    </row>
    <row r="4127">
      <c r="A4127" s="4"/>
      <c r="B4127" s="4"/>
      <c r="C4127" s="4"/>
    </row>
    <row r="4128">
      <c r="A4128" s="4"/>
      <c r="B4128" s="4"/>
      <c r="C4128" s="4"/>
    </row>
    <row r="4129">
      <c r="A4129" s="4"/>
      <c r="B4129" s="4"/>
      <c r="C4129" s="4"/>
    </row>
    <row r="4130">
      <c r="A4130" s="4"/>
      <c r="B4130" s="4"/>
      <c r="C4130" s="4"/>
    </row>
    <row r="4131">
      <c r="A4131" s="4"/>
      <c r="B4131" s="4"/>
      <c r="C4131" s="4"/>
    </row>
    <row r="4132">
      <c r="A4132" s="4"/>
      <c r="B4132" s="4"/>
      <c r="C4132" s="4"/>
    </row>
    <row r="4133">
      <c r="A4133" s="4"/>
      <c r="B4133" s="4"/>
      <c r="C4133" s="4"/>
    </row>
    <row r="4134">
      <c r="A4134" s="4"/>
      <c r="B4134" s="4"/>
      <c r="C4134" s="4"/>
    </row>
    <row r="4135">
      <c r="A4135" s="4"/>
      <c r="B4135" s="4"/>
      <c r="C4135" s="4"/>
    </row>
    <row r="4136">
      <c r="A4136" s="4"/>
      <c r="B4136" s="4"/>
      <c r="C4136" s="4"/>
    </row>
    <row r="4137">
      <c r="A4137" s="4"/>
      <c r="B4137" s="4"/>
      <c r="C4137" s="4"/>
    </row>
    <row r="4138">
      <c r="A4138" s="4"/>
      <c r="B4138" s="4"/>
      <c r="C4138" s="4"/>
    </row>
    <row r="4139">
      <c r="A4139" s="4"/>
      <c r="B4139" s="4"/>
      <c r="C4139" s="4"/>
    </row>
    <row r="4140">
      <c r="A4140" s="4"/>
      <c r="B4140" s="4"/>
      <c r="C4140" s="4"/>
    </row>
    <row r="4141">
      <c r="A4141" s="4"/>
      <c r="B4141" s="4"/>
      <c r="C4141" s="4"/>
    </row>
    <row r="4142">
      <c r="A4142" s="4"/>
      <c r="B4142" s="4"/>
      <c r="C4142" s="4"/>
    </row>
    <row r="4143">
      <c r="A4143" s="4"/>
      <c r="B4143" s="4"/>
      <c r="C4143" s="4"/>
    </row>
    <row r="4144">
      <c r="A4144" s="4"/>
      <c r="B4144" s="4"/>
      <c r="C4144" s="4"/>
    </row>
    <row r="4145">
      <c r="A4145" s="4"/>
      <c r="B4145" s="4"/>
      <c r="C4145" s="4"/>
    </row>
    <row r="4146">
      <c r="A4146" s="4"/>
      <c r="B4146" s="4"/>
      <c r="C4146" s="4"/>
    </row>
    <row r="4147">
      <c r="A4147" s="4"/>
      <c r="B4147" s="4"/>
      <c r="C4147" s="4"/>
    </row>
    <row r="4148">
      <c r="A4148" s="4"/>
      <c r="B4148" s="4"/>
      <c r="C4148" s="4"/>
    </row>
    <row r="4149">
      <c r="A4149" s="4"/>
      <c r="B4149" s="4"/>
      <c r="C4149" s="4"/>
    </row>
    <row r="4150">
      <c r="A4150" s="4"/>
      <c r="B4150" s="4"/>
      <c r="C4150" s="4"/>
    </row>
    <row r="4151">
      <c r="A4151" s="4"/>
      <c r="B4151" s="4"/>
      <c r="C4151" s="4"/>
    </row>
    <row r="4152">
      <c r="A4152" s="4"/>
      <c r="B4152" s="4"/>
      <c r="C4152" s="4"/>
    </row>
    <row r="4153">
      <c r="A4153" s="4"/>
      <c r="B4153" s="4"/>
      <c r="C4153" s="4"/>
    </row>
    <row r="4154">
      <c r="A4154" s="4"/>
      <c r="B4154" s="4"/>
      <c r="C4154" s="4"/>
    </row>
    <row r="4155">
      <c r="A4155" s="4"/>
      <c r="B4155" s="4"/>
      <c r="C4155" s="4"/>
    </row>
    <row r="4156">
      <c r="A4156" s="4"/>
      <c r="B4156" s="4"/>
      <c r="C4156" s="4"/>
    </row>
    <row r="4157">
      <c r="A4157" s="4"/>
      <c r="B4157" s="4"/>
      <c r="C4157" s="4"/>
    </row>
    <row r="4158">
      <c r="A4158" s="4"/>
      <c r="B4158" s="4"/>
      <c r="C4158" s="4"/>
    </row>
    <row r="4159">
      <c r="A4159" s="4"/>
      <c r="B4159" s="4"/>
      <c r="C4159" s="4"/>
    </row>
    <row r="4160">
      <c r="A4160" s="4"/>
      <c r="B4160" s="4"/>
      <c r="C4160" s="4"/>
    </row>
    <row r="4161">
      <c r="A4161" s="4"/>
      <c r="B4161" s="4"/>
      <c r="C4161" s="4"/>
    </row>
    <row r="4162">
      <c r="A4162" s="4"/>
      <c r="B4162" s="4"/>
      <c r="C4162" s="4"/>
    </row>
    <row r="4163">
      <c r="A4163" s="4"/>
      <c r="B4163" s="4"/>
      <c r="C4163" s="4"/>
    </row>
    <row r="4164">
      <c r="A4164" s="4"/>
      <c r="B4164" s="4"/>
      <c r="C4164" s="4"/>
    </row>
    <row r="4165">
      <c r="A4165" s="4"/>
      <c r="B4165" s="4"/>
      <c r="C4165" s="4"/>
    </row>
    <row r="4166">
      <c r="A4166" s="4"/>
      <c r="B4166" s="4"/>
      <c r="C4166" s="4"/>
    </row>
    <row r="4167">
      <c r="A4167" s="4"/>
      <c r="B4167" s="4"/>
      <c r="C4167" s="4"/>
    </row>
    <row r="4168">
      <c r="A4168" s="4"/>
      <c r="B4168" s="4"/>
      <c r="C4168" s="4"/>
    </row>
    <row r="4169">
      <c r="A4169" s="4"/>
      <c r="B4169" s="4"/>
      <c r="C4169" s="4"/>
    </row>
    <row r="4170">
      <c r="A4170" s="4"/>
      <c r="B4170" s="4"/>
      <c r="C4170" s="4"/>
    </row>
    <row r="4171">
      <c r="A4171" s="4"/>
      <c r="B4171" s="4"/>
      <c r="C4171" s="4"/>
    </row>
    <row r="4172">
      <c r="A4172" s="4"/>
      <c r="B4172" s="4"/>
      <c r="C4172" s="4"/>
    </row>
    <row r="4173">
      <c r="A4173" s="4"/>
      <c r="B4173" s="4"/>
      <c r="C4173" s="4"/>
    </row>
    <row r="4174">
      <c r="A4174" s="4"/>
      <c r="B4174" s="4"/>
      <c r="C4174" s="4"/>
    </row>
    <row r="4175">
      <c r="A4175" s="4"/>
      <c r="B4175" s="4"/>
      <c r="C4175" s="4"/>
    </row>
    <row r="4176">
      <c r="A4176" s="4"/>
      <c r="B4176" s="4"/>
      <c r="C4176" s="4"/>
    </row>
    <row r="4177">
      <c r="A4177" s="4"/>
      <c r="B4177" s="4"/>
      <c r="C4177" s="4"/>
    </row>
    <row r="4178">
      <c r="A4178" s="4"/>
      <c r="B4178" s="4"/>
      <c r="C4178" s="4"/>
    </row>
    <row r="4179">
      <c r="A4179" s="4"/>
      <c r="B4179" s="4"/>
      <c r="C4179" s="4"/>
    </row>
    <row r="4180">
      <c r="A4180" s="4"/>
      <c r="B4180" s="4"/>
      <c r="C4180" s="4"/>
    </row>
    <row r="4181">
      <c r="A4181" s="4"/>
      <c r="B4181" s="4"/>
      <c r="C4181" s="4"/>
    </row>
    <row r="4182">
      <c r="A4182" s="4"/>
      <c r="B4182" s="4"/>
      <c r="C4182" s="4"/>
    </row>
    <row r="4183">
      <c r="A4183" s="4"/>
      <c r="B4183" s="4"/>
      <c r="C4183" s="4"/>
    </row>
    <row r="4184">
      <c r="A4184" s="4"/>
      <c r="B4184" s="4"/>
      <c r="C4184" s="4"/>
    </row>
    <row r="4185">
      <c r="A4185" s="4"/>
      <c r="B4185" s="4"/>
      <c r="C4185" s="4"/>
    </row>
    <row r="4186">
      <c r="A4186" s="4"/>
      <c r="B4186" s="4"/>
      <c r="C4186" s="4"/>
    </row>
    <row r="4187">
      <c r="A4187" s="4"/>
      <c r="B4187" s="4"/>
      <c r="C4187" s="4"/>
    </row>
    <row r="4188">
      <c r="A4188" s="4"/>
      <c r="B4188" s="4"/>
      <c r="C4188" s="4"/>
    </row>
    <row r="4189">
      <c r="A4189" s="4"/>
      <c r="B4189" s="4"/>
      <c r="C4189" s="4"/>
    </row>
    <row r="4190">
      <c r="A4190" s="4"/>
      <c r="B4190" s="4"/>
      <c r="C4190" s="4"/>
    </row>
    <row r="4191">
      <c r="A4191" s="4"/>
      <c r="B4191" s="4"/>
      <c r="C4191" s="4"/>
    </row>
    <row r="4192">
      <c r="A4192" s="4"/>
      <c r="B4192" s="4"/>
      <c r="C4192" s="4"/>
    </row>
    <row r="4193">
      <c r="A4193" s="4"/>
      <c r="B4193" s="4"/>
      <c r="C4193" s="4"/>
    </row>
    <row r="4194">
      <c r="A4194" s="4"/>
      <c r="B4194" s="4"/>
      <c r="C4194" s="4"/>
    </row>
    <row r="4195">
      <c r="A4195" s="4"/>
      <c r="B4195" s="4"/>
      <c r="C4195" s="4"/>
    </row>
    <row r="4196">
      <c r="A4196" s="4"/>
      <c r="B4196" s="4"/>
      <c r="C4196" s="4"/>
    </row>
    <row r="4197">
      <c r="A4197" s="4"/>
      <c r="B4197" s="4"/>
      <c r="C4197" s="4"/>
    </row>
    <row r="4198">
      <c r="A4198" s="4"/>
      <c r="B4198" s="4"/>
      <c r="C4198" s="4"/>
    </row>
    <row r="4199">
      <c r="A4199" s="4"/>
      <c r="B4199" s="4"/>
      <c r="C4199" s="4"/>
    </row>
    <row r="4200">
      <c r="A4200" s="4"/>
      <c r="B4200" s="4"/>
      <c r="C4200" s="4"/>
    </row>
    <row r="4201">
      <c r="A4201" s="4"/>
      <c r="B4201" s="4"/>
      <c r="C4201" s="4"/>
    </row>
    <row r="4202">
      <c r="A4202" s="4"/>
      <c r="B4202" s="4"/>
      <c r="C4202" s="4"/>
    </row>
    <row r="4203">
      <c r="A4203" s="4"/>
      <c r="B4203" s="4"/>
      <c r="C4203" s="4"/>
    </row>
    <row r="4204">
      <c r="A4204" s="4"/>
      <c r="B4204" s="4"/>
      <c r="C4204" s="4"/>
    </row>
    <row r="4205">
      <c r="A4205" s="4"/>
      <c r="B4205" s="4"/>
      <c r="C4205" s="4"/>
    </row>
    <row r="4206">
      <c r="A4206" s="4"/>
      <c r="B4206" s="4"/>
      <c r="C4206" s="4"/>
    </row>
    <row r="4207">
      <c r="A4207" s="4"/>
      <c r="B4207" s="4"/>
      <c r="C4207" s="4"/>
    </row>
    <row r="4208">
      <c r="A4208" s="4"/>
      <c r="B4208" s="4"/>
      <c r="C4208" s="4"/>
    </row>
    <row r="4209">
      <c r="A4209" s="4"/>
      <c r="B4209" s="4"/>
      <c r="C4209" s="4"/>
    </row>
    <row r="4210">
      <c r="A4210" s="4"/>
      <c r="B4210" s="4"/>
      <c r="C4210" s="4"/>
    </row>
    <row r="4211">
      <c r="A4211" s="4"/>
      <c r="B4211" s="4"/>
      <c r="C4211" s="4"/>
    </row>
    <row r="4212">
      <c r="A4212" s="4"/>
      <c r="B4212" s="4"/>
      <c r="C4212" s="4"/>
    </row>
    <row r="4213">
      <c r="A4213" s="4"/>
      <c r="B4213" s="4"/>
      <c r="C4213" s="4"/>
    </row>
    <row r="4214">
      <c r="A4214" s="4"/>
      <c r="B4214" s="4"/>
      <c r="C4214" s="4"/>
    </row>
    <row r="4215">
      <c r="A4215" s="4"/>
      <c r="B4215" s="4"/>
      <c r="C4215" s="4"/>
    </row>
    <row r="4216">
      <c r="A4216" s="4"/>
      <c r="B4216" s="4"/>
      <c r="C4216" s="4"/>
    </row>
    <row r="4217">
      <c r="A4217" s="4"/>
      <c r="B4217" s="4"/>
      <c r="C4217" s="4"/>
    </row>
    <row r="4218">
      <c r="A4218" s="4"/>
      <c r="B4218" s="4"/>
      <c r="C4218" s="4"/>
    </row>
    <row r="4219">
      <c r="A4219" s="4"/>
      <c r="B4219" s="4"/>
      <c r="C4219" s="4"/>
    </row>
    <row r="4220">
      <c r="A4220" s="4"/>
      <c r="B4220" s="4"/>
      <c r="C4220" s="4"/>
    </row>
    <row r="4221">
      <c r="A4221" s="4"/>
      <c r="B4221" s="4"/>
      <c r="C4221" s="4"/>
    </row>
    <row r="4222">
      <c r="A4222" s="4"/>
      <c r="B4222" s="4"/>
      <c r="C4222" s="4"/>
    </row>
    <row r="4223">
      <c r="A4223" s="4"/>
      <c r="B4223" s="4"/>
      <c r="C4223" s="4"/>
    </row>
    <row r="4224">
      <c r="A4224" s="4"/>
      <c r="B4224" s="4"/>
      <c r="C4224" s="4"/>
    </row>
    <row r="4225">
      <c r="A4225" s="4"/>
      <c r="B4225" s="4"/>
      <c r="C4225" s="4"/>
    </row>
    <row r="4226">
      <c r="A4226" s="4"/>
      <c r="B4226" s="4"/>
      <c r="C4226" s="4"/>
    </row>
    <row r="4227">
      <c r="A4227" s="4"/>
      <c r="B4227" s="4"/>
      <c r="C4227" s="4"/>
    </row>
    <row r="4228">
      <c r="A4228" s="4"/>
      <c r="B4228" s="4"/>
      <c r="C4228" s="4"/>
    </row>
    <row r="4229">
      <c r="A4229" s="4"/>
      <c r="B4229" s="4"/>
      <c r="C4229" s="4"/>
    </row>
    <row r="4230">
      <c r="A4230" s="4"/>
      <c r="B4230" s="4"/>
      <c r="C4230" s="4"/>
    </row>
    <row r="4231">
      <c r="A4231" s="4"/>
      <c r="B4231" s="4"/>
      <c r="C4231" s="4"/>
    </row>
    <row r="4232">
      <c r="A4232" s="4"/>
      <c r="B4232" s="4"/>
      <c r="C4232" s="4"/>
    </row>
    <row r="4233">
      <c r="A4233" s="4"/>
      <c r="B4233" s="4"/>
      <c r="C4233" s="4"/>
    </row>
    <row r="4234">
      <c r="A4234" s="4"/>
      <c r="B4234" s="4"/>
      <c r="C4234" s="4"/>
    </row>
    <row r="4235">
      <c r="A4235" s="4"/>
      <c r="B4235" s="4"/>
      <c r="C4235" s="4"/>
    </row>
    <row r="4236">
      <c r="A4236" s="4"/>
      <c r="B4236" s="4"/>
      <c r="C4236" s="4"/>
    </row>
    <row r="4237">
      <c r="A4237" s="4"/>
      <c r="B4237" s="4"/>
      <c r="C4237" s="4"/>
    </row>
    <row r="4238">
      <c r="A4238" s="4"/>
      <c r="B4238" s="4"/>
      <c r="C4238" s="4"/>
    </row>
    <row r="4239">
      <c r="A4239" s="4"/>
      <c r="B4239" s="4"/>
      <c r="C4239" s="4"/>
    </row>
    <row r="4240">
      <c r="A4240" s="4"/>
      <c r="B4240" s="4"/>
      <c r="C4240" s="4"/>
    </row>
    <row r="4241">
      <c r="A4241" s="4"/>
      <c r="B4241" s="4"/>
      <c r="C4241" s="4"/>
    </row>
    <row r="4242">
      <c r="A4242" s="4"/>
      <c r="B4242" s="4"/>
      <c r="C4242" s="4"/>
    </row>
    <row r="4243">
      <c r="A4243" s="4"/>
      <c r="B4243" s="4"/>
      <c r="C4243" s="4"/>
    </row>
    <row r="4244">
      <c r="A4244" s="4"/>
      <c r="B4244" s="4"/>
      <c r="C4244" s="4"/>
    </row>
    <row r="4245">
      <c r="A4245" s="4"/>
      <c r="B4245" s="4"/>
      <c r="C4245" s="4"/>
    </row>
    <row r="4246">
      <c r="A4246" s="4"/>
      <c r="B4246" s="4"/>
      <c r="C4246" s="4"/>
    </row>
    <row r="4247">
      <c r="A4247" s="4"/>
      <c r="B4247" s="4"/>
      <c r="C4247" s="4"/>
    </row>
    <row r="4248">
      <c r="A4248" s="4"/>
      <c r="B4248" s="4"/>
      <c r="C4248" s="4"/>
    </row>
    <row r="4249">
      <c r="A4249" s="4"/>
      <c r="B4249" s="4"/>
      <c r="C4249" s="4"/>
    </row>
    <row r="4250">
      <c r="A4250" s="4"/>
      <c r="B4250" s="4"/>
      <c r="C4250" s="4"/>
    </row>
    <row r="4251">
      <c r="A4251" s="4"/>
      <c r="B4251" s="4"/>
      <c r="C4251" s="4"/>
    </row>
    <row r="4252">
      <c r="A4252" s="4"/>
      <c r="B4252" s="4"/>
      <c r="C4252" s="4"/>
    </row>
    <row r="4253">
      <c r="A4253" s="4"/>
      <c r="B4253" s="4"/>
      <c r="C4253" s="4"/>
    </row>
    <row r="4254">
      <c r="A4254" s="4"/>
      <c r="B4254" s="4"/>
      <c r="C4254" s="4"/>
    </row>
    <row r="4255">
      <c r="A4255" s="4"/>
      <c r="B4255" s="4"/>
      <c r="C4255" s="4"/>
    </row>
    <row r="4256">
      <c r="A4256" s="4"/>
      <c r="B4256" s="4"/>
      <c r="C4256" s="4"/>
    </row>
    <row r="4257">
      <c r="A4257" s="4"/>
      <c r="B4257" s="4"/>
      <c r="C4257" s="4"/>
    </row>
    <row r="4258">
      <c r="A4258" s="4"/>
      <c r="B4258" s="4"/>
      <c r="C4258" s="4"/>
    </row>
    <row r="4259">
      <c r="A4259" s="4"/>
      <c r="B4259" s="4"/>
      <c r="C4259" s="4"/>
    </row>
    <row r="4260">
      <c r="A4260" s="4"/>
      <c r="B4260" s="4"/>
      <c r="C4260" s="4"/>
    </row>
    <row r="4261">
      <c r="A4261" s="4"/>
      <c r="B4261" s="4"/>
      <c r="C4261" s="4"/>
    </row>
    <row r="4262">
      <c r="A4262" s="4"/>
      <c r="B4262" s="4"/>
      <c r="C4262" s="4"/>
    </row>
    <row r="4263">
      <c r="A4263" s="4"/>
      <c r="B4263" s="4"/>
      <c r="C4263" s="4"/>
    </row>
    <row r="4264">
      <c r="A4264" s="4"/>
      <c r="B4264" s="4"/>
      <c r="C4264" s="4"/>
    </row>
    <row r="4265">
      <c r="A4265" s="4"/>
      <c r="B4265" s="4"/>
      <c r="C4265" s="4"/>
    </row>
    <row r="4266">
      <c r="A4266" s="4"/>
      <c r="B4266" s="4"/>
      <c r="C4266" s="4"/>
    </row>
    <row r="4267">
      <c r="A4267" s="4"/>
      <c r="B4267" s="4"/>
      <c r="C4267" s="4"/>
    </row>
    <row r="4268">
      <c r="A4268" s="4"/>
      <c r="B4268" s="4"/>
      <c r="C4268" s="4"/>
    </row>
    <row r="4269">
      <c r="A4269" s="4"/>
      <c r="B4269" s="4"/>
      <c r="C4269" s="4"/>
    </row>
    <row r="4270">
      <c r="A4270" s="4"/>
      <c r="B4270" s="4"/>
      <c r="C4270" s="4"/>
    </row>
    <row r="4271">
      <c r="A4271" s="4"/>
      <c r="B4271" s="4"/>
      <c r="C4271" s="4"/>
    </row>
    <row r="4272">
      <c r="A4272" s="4"/>
      <c r="B4272" s="4"/>
      <c r="C4272" s="4"/>
    </row>
    <row r="4273">
      <c r="A4273" s="4"/>
      <c r="B4273" s="4"/>
      <c r="C4273" s="4"/>
    </row>
    <row r="4274">
      <c r="A4274" s="4"/>
      <c r="B4274" s="4"/>
      <c r="C4274" s="4"/>
    </row>
    <row r="4275">
      <c r="A4275" s="4"/>
      <c r="B4275" s="4"/>
      <c r="C4275" s="4"/>
    </row>
    <row r="4276">
      <c r="A4276" s="4"/>
      <c r="B4276" s="4"/>
      <c r="C4276" s="4"/>
    </row>
    <row r="4277">
      <c r="A4277" s="4"/>
      <c r="B4277" s="4"/>
      <c r="C4277" s="4"/>
    </row>
    <row r="4278">
      <c r="A4278" s="4"/>
      <c r="B4278" s="4"/>
      <c r="C4278" s="4"/>
    </row>
    <row r="4279">
      <c r="A4279" s="4"/>
      <c r="B4279" s="4"/>
      <c r="C4279" s="4"/>
    </row>
    <row r="4280">
      <c r="A4280" s="4"/>
      <c r="B4280" s="4"/>
      <c r="C4280" s="4"/>
    </row>
    <row r="4281">
      <c r="A4281" s="4"/>
      <c r="B4281" s="4"/>
      <c r="C4281" s="4"/>
    </row>
    <row r="4282">
      <c r="A4282" s="4"/>
      <c r="B4282" s="4"/>
      <c r="C4282" s="4"/>
    </row>
    <row r="4283">
      <c r="A4283" s="4"/>
      <c r="B4283" s="4"/>
      <c r="C4283" s="4"/>
    </row>
    <row r="4284">
      <c r="A4284" s="4"/>
      <c r="B4284" s="4"/>
      <c r="C4284" s="4"/>
    </row>
    <row r="4285">
      <c r="A4285" s="4"/>
      <c r="B4285" s="4"/>
      <c r="C4285" s="4"/>
    </row>
    <row r="4286">
      <c r="A4286" s="4"/>
      <c r="B4286" s="4"/>
      <c r="C4286" s="4"/>
    </row>
    <row r="4287">
      <c r="A4287" s="4"/>
      <c r="B4287" s="4"/>
      <c r="C4287" s="4"/>
    </row>
    <row r="4288">
      <c r="A4288" s="4"/>
      <c r="B4288" s="4"/>
      <c r="C4288" s="4"/>
    </row>
    <row r="4289">
      <c r="A4289" s="4"/>
      <c r="B4289" s="4"/>
      <c r="C4289" s="4"/>
    </row>
    <row r="4290">
      <c r="A4290" s="4"/>
      <c r="B4290" s="4"/>
      <c r="C4290" s="4"/>
    </row>
    <row r="4291">
      <c r="A4291" s="4"/>
      <c r="B4291" s="4"/>
      <c r="C4291" s="4"/>
    </row>
    <row r="4292">
      <c r="A4292" s="4"/>
      <c r="B4292" s="4"/>
      <c r="C4292" s="4"/>
    </row>
    <row r="4293">
      <c r="A4293" s="4"/>
      <c r="B4293" s="4"/>
      <c r="C4293" s="4"/>
    </row>
    <row r="4294">
      <c r="A4294" s="4"/>
      <c r="B4294" s="4"/>
      <c r="C4294" s="4"/>
    </row>
    <row r="4295">
      <c r="A4295" s="4"/>
      <c r="B4295" s="4"/>
      <c r="C4295" s="4"/>
    </row>
    <row r="4296">
      <c r="A4296" s="4"/>
      <c r="B4296" s="4"/>
      <c r="C4296" s="4"/>
    </row>
    <row r="4297">
      <c r="A4297" s="4"/>
      <c r="B4297" s="4"/>
      <c r="C4297" s="4"/>
    </row>
    <row r="4298">
      <c r="A4298" s="4"/>
      <c r="B4298" s="4"/>
      <c r="C4298" s="4"/>
    </row>
    <row r="4299">
      <c r="A4299" s="4"/>
      <c r="B4299" s="4"/>
      <c r="C4299" s="4"/>
    </row>
    <row r="4300">
      <c r="A4300" s="4"/>
      <c r="B4300" s="4"/>
      <c r="C4300" s="4"/>
    </row>
    <row r="4301">
      <c r="A4301" s="4"/>
      <c r="B4301" s="4"/>
      <c r="C4301" s="4"/>
    </row>
    <row r="4302">
      <c r="A4302" s="4"/>
      <c r="B4302" s="4"/>
      <c r="C4302" s="4"/>
    </row>
    <row r="4303">
      <c r="A4303" s="4"/>
      <c r="B4303" s="4"/>
      <c r="C4303" s="4"/>
    </row>
    <row r="4304">
      <c r="A4304" s="4"/>
      <c r="B4304" s="4"/>
      <c r="C4304" s="4"/>
    </row>
    <row r="4305">
      <c r="A4305" s="4"/>
      <c r="B4305" s="4"/>
      <c r="C4305" s="4"/>
    </row>
    <row r="4306">
      <c r="A4306" s="4"/>
      <c r="B4306" s="4"/>
      <c r="C4306" s="4"/>
    </row>
    <row r="4307">
      <c r="A4307" s="4"/>
      <c r="B4307" s="4"/>
      <c r="C4307" s="4"/>
    </row>
    <row r="4308">
      <c r="A4308" s="4"/>
      <c r="B4308" s="4"/>
      <c r="C4308" s="4"/>
    </row>
    <row r="4309">
      <c r="A4309" s="4"/>
      <c r="B4309" s="4"/>
      <c r="C4309" s="4"/>
    </row>
    <row r="4310">
      <c r="A4310" s="4"/>
      <c r="B4310" s="4"/>
      <c r="C4310" s="4"/>
    </row>
    <row r="4311">
      <c r="A4311" s="4"/>
      <c r="B4311" s="4"/>
      <c r="C4311" s="4"/>
    </row>
    <row r="4312">
      <c r="A4312" s="4"/>
      <c r="B4312" s="4"/>
      <c r="C4312" s="4"/>
    </row>
    <row r="4313">
      <c r="A4313" s="4"/>
      <c r="B4313" s="4"/>
      <c r="C4313" s="4"/>
    </row>
    <row r="4314">
      <c r="A4314" s="4"/>
      <c r="B4314" s="4"/>
      <c r="C4314" s="4"/>
    </row>
    <row r="4315">
      <c r="A4315" s="4"/>
      <c r="B4315" s="4"/>
      <c r="C4315" s="4"/>
    </row>
    <row r="4316">
      <c r="A4316" s="4"/>
      <c r="B4316" s="4"/>
      <c r="C4316" s="4"/>
    </row>
    <row r="4317">
      <c r="A4317" s="4"/>
      <c r="B4317" s="4"/>
      <c r="C4317" s="4"/>
    </row>
    <row r="4318">
      <c r="A4318" s="4"/>
      <c r="B4318" s="4"/>
      <c r="C4318" s="4"/>
    </row>
    <row r="4319">
      <c r="A4319" s="4"/>
      <c r="B4319" s="4"/>
      <c r="C4319" s="4"/>
    </row>
    <row r="4320">
      <c r="A4320" s="4"/>
      <c r="B4320" s="4"/>
      <c r="C4320" s="4"/>
    </row>
    <row r="4321">
      <c r="A4321" s="4"/>
      <c r="B4321" s="4"/>
      <c r="C4321" s="4"/>
    </row>
    <row r="4322">
      <c r="A4322" s="4"/>
      <c r="B4322" s="4"/>
      <c r="C4322" s="4"/>
    </row>
    <row r="4323">
      <c r="A4323" s="4"/>
      <c r="B4323" s="4"/>
      <c r="C4323" s="4"/>
    </row>
    <row r="4324">
      <c r="A4324" s="4"/>
      <c r="B4324" s="4"/>
      <c r="C4324" s="4"/>
    </row>
    <row r="4325">
      <c r="A4325" s="4"/>
      <c r="B4325" s="4"/>
      <c r="C4325" s="4"/>
    </row>
    <row r="4326">
      <c r="A4326" s="4"/>
      <c r="B4326" s="4"/>
      <c r="C4326" s="4"/>
    </row>
    <row r="4327">
      <c r="A4327" s="4"/>
      <c r="B4327" s="4"/>
      <c r="C4327" s="4"/>
    </row>
    <row r="4328">
      <c r="A4328" s="4"/>
      <c r="B4328" s="4"/>
      <c r="C4328" s="4"/>
    </row>
    <row r="4329">
      <c r="A4329" s="4"/>
      <c r="B4329" s="4"/>
      <c r="C4329" s="4"/>
    </row>
    <row r="4330">
      <c r="A4330" s="4"/>
      <c r="B4330" s="4"/>
      <c r="C4330" s="4"/>
    </row>
    <row r="4331">
      <c r="A4331" s="4"/>
      <c r="B4331" s="4"/>
      <c r="C4331" s="4"/>
    </row>
    <row r="4332">
      <c r="A4332" s="4"/>
      <c r="B4332" s="4"/>
      <c r="C4332" s="4"/>
    </row>
    <row r="4333">
      <c r="A4333" s="4"/>
      <c r="B4333" s="4"/>
      <c r="C4333" s="4"/>
    </row>
    <row r="4334">
      <c r="A4334" s="4"/>
      <c r="B4334" s="4"/>
      <c r="C4334" s="4"/>
    </row>
    <row r="4335">
      <c r="A4335" s="4"/>
      <c r="B4335" s="4"/>
      <c r="C4335" s="4"/>
    </row>
    <row r="4336">
      <c r="A4336" s="4"/>
      <c r="B4336" s="4"/>
      <c r="C4336" s="4"/>
    </row>
    <row r="4337">
      <c r="A4337" s="4"/>
      <c r="B4337" s="4"/>
      <c r="C4337" s="4"/>
    </row>
    <row r="4338">
      <c r="A4338" s="4"/>
      <c r="B4338" s="4"/>
      <c r="C4338" s="4"/>
    </row>
    <row r="4339">
      <c r="A4339" s="4"/>
      <c r="B4339" s="4"/>
      <c r="C4339" s="4"/>
    </row>
    <row r="4340">
      <c r="A4340" s="4"/>
      <c r="B4340" s="4"/>
      <c r="C4340" s="4"/>
    </row>
    <row r="4341">
      <c r="A4341" s="4"/>
      <c r="B4341" s="4"/>
      <c r="C4341" s="4"/>
    </row>
    <row r="4342">
      <c r="A4342" s="4"/>
      <c r="B4342" s="4"/>
      <c r="C4342" s="4"/>
    </row>
    <row r="4343">
      <c r="A4343" s="4"/>
      <c r="B4343" s="4"/>
      <c r="C4343" s="4"/>
    </row>
    <row r="4344">
      <c r="A4344" s="4"/>
      <c r="B4344" s="4"/>
      <c r="C4344" s="4"/>
    </row>
    <row r="4345">
      <c r="A4345" s="4"/>
      <c r="B4345" s="4"/>
      <c r="C4345" s="4"/>
    </row>
    <row r="4346">
      <c r="A4346" s="4"/>
      <c r="B4346" s="4"/>
      <c r="C4346" s="4"/>
    </row>
    <row r="4347">
      <c r="A4347" s="4"/>
      <c r="B4347" s="4"/>
      <c r="C4347" s="4"/>
    </row>
    <row r="4348">
      <c r="A4348" s="4"/>
      <c r="B4348" s="4"/>
      <c r="C4348" s="4"/>
    </row>
    <row r="4349">
      <c r="A4349" s="4"/>
      <c r="B4349" s="4"/>
      <c r="C4349" s="4"/>
    </row>
    <row r="4350">
      <c r="A4350" s="4"/>
      <c r="B4350" s="4"/>
      <c r="C4350" s="4"/>
    </row>
    <row r="4351">
      <c r="A4351" s="4"/>
      <c r="B4351" s="4"/>
      <c r="C4351" s="4"/>
    </row>
    <row r="4352">
      <c r="A4352" s="4"/>
      <c r="B4352" s="4"/>
      <c r="C4352" s="4"/>
    </row>
    <row r="4353">
      <c r="A4353" s="4"/>
      <c r="B4353" s="4"/>
      <c r="C4353" s="4"/>
    </row>
    <row r="4354">
      <c r="A4354" s="4"/>
      <c r="B4354" s="4"/>
      <c r="C4354" s="4"/>
    </row>
    <row r="4355">
      <c r="A4355" s="4"/>
      <c r="B4355" s="4"/>
      <c r="C4355" s="4"/>
    </row>
    <row r="4356">
      <c r="A4356" s="4"/>
      <c r="B4356" s="4"/>
      <c r="C4356" s="4"/>
    </row>
    <row r="4357">
      <c r="A4357" s="4"/>
      <c r="B4357" s="4"/>
      <c r="C4357" s="4"/>
    </row>
    <row r="4358">
      <c r="A4358" s="4"/>
      <c r="B4358" s="4"/>
      <c r="C4358" s="4"/>
    </row>
    <row r="4359">
      <c r="A4359" s="4"/>
      <c r="B4359" s="4"/>
      <c r="C4359" s="4"/>
    </row>
    <row r="4360">
      <c r="A4360" s="4"/>
      <c r="B4360" s="4"/>
      <c r="C4360" s="4"/>
    </row>
    <row r="4361">
      <c r="A4361" s="4"/>
      <c r="B4361" s="4"/>
      <c r="C4361" s="4"/>
    </row>
    <row r="4362">
      <c r="A4362" s="4"/>
      <c r="B4362" s="4"/>
      <c r="C4362" s="4"/>
    </row>
    <row r="4363">
      <c r="A4363" s="4"/>
      <c r="B4363" s="4"/>
      <c r="C4363" s="4"/>
    </row>
    <row r="4364">
      <c r="A4364" s="4"/>
      <c r="B4364" s="4"/>
      <c r="C4364" s="4"/>
    </row>
    <row r="4365">
      <c r="A4365" s="4"/>
      <c r="B4365" s="4"/>
      <c r="C4365" s="4"/>
    </row>
    <row r="4366">
      <c r="A4366" s="4"/>
      <c r="B4366" s="4"/>
      <c r="C4366" s="4"/>
    </row>
    <row r="4367">
      <c r="A4367" s="4"/>
      <c r="B4367" s="4"/>
      <c r="C4367" s="4"/>
    </row>
    <row r="4368">
      <c r="A4368" s="4"/>
      <c r="B4368" s="4"/>
      <c r="C4368" s="4"/>
    </row>
    <row r="4369">
      <c r="A4369" s="4"/>
      <c r="B4369" s="4"/>
      <c r="C4369" s="4"/>
    </row>
    <row r="4370">
      <c r="A4370" s="4"/>
      <c r="B4370" s="4"/>
      <c r="C4370" s="4"/>
    </row>
    <row r="4371">
      <c r="A4371" s="4"/>
      <c r="B4371" s="4"/>
      <c r="C4371" s="4"/>
    </row>
    <row r="4372">
      <c r="A4372" s="4"/>
      <c r="B4372" s="4"/>
      <c r="C4372" s="4"/>
    </row>
    <row r="4373">
      <c r="A4373" s="4"/>
      <c r="B4373" s="4"/>
      <c r="C4373" s="4"/>
    </row>
    <row r="4374">
      <c r="A4374" s="4"/>
      <c r="B4374" s="4"/>
      <c r="C4374" s="4"/>
    </row>
    <row r="4375">
      <c r="A4375" s="4"/>
      <c r="B4375" s="4"/>
      <c r="C4375" s="4"/>
    </row>
    <row r="4376">
      <c r="A4376" s="4"/>
      <c r="B4376" s="4"/>
      <c r="C4376" s="4"/>
    </row>
    <row r="4377">
      <c r="A4377" s="4"/>
      <c r="B4377" s="4"/>
      <c r="C4377" s="4"/>
    </row>
    <row r="4378">
      <c r="A4378" s="4"/>
      <c r="B4378" s="4"/>
      <c r="C4378" s="4"/>
    </row>
    <row r="4379">
      <c r="A4379" s="4"/>
      <c r="B4379" s="4"/>
      <c r="C4379" s="4"/>
    </row>
    <row r="4380">
      <c r="A4380" s="4"/>
      <c r="B4380" s="4"/>
      <c r="C4380" s="4"/>
    </row>
    <row r="4381">
      <c r="A4381" s="4"/>
      <c r="B4381" s="4"/>
      <c r="C4381" s="4"/>
    </row>
    <row r="4382">
      <c r="A4382" s="4"/>
      <c r="B4382" s="4"/>
      <c r="C4382" s="4"/>
    </row>
    <row r="4383">
      <c r="A4383" s="4"/>
      <c r="B4383" s="4"/>
      <c r="C4383" s="4"/>
    </row>
    <row r="4384">
      <c r="A4384" s="4"/>
      <c r="B4384" s="4"/>
      <c r="C4384" s="4"/>
    </row>
    <row r="4385">
      <c r="A4385" s="4"/>
      <c r="B4385" s="4"/>
      <c r="C4385" s="4"/>
    </row>
    <row r="4386">
      <c r="A4386" s="4"/>
      <c r="B4386" s="4"/>
      <c r="C4386" s="4"/>
    </row>
    <row r="4387">
      <c r="A4387" s="4"/>
      <c r="B4387" s="4"/>
      <c r="C4387" s="4"/>
    </row>
    <row r="4388">
      <c r="A4388" s="4"/>
      <c r="B4388" s="4"/>
      <c r="C4388" s="4"/>
    </row>
    <row r="4389">
      <c r="A4389" s="4"/>
      <c r="B4389" s="4"/>
      <c r="C4389" s="4"/>
    </row>
    <row r="4390">
      <c r="A4390" s="4"/>
      <c r="B4390" s="4"/>
      <c r="C4390" s="4"/>
    </row>
    <row r="4391">
      <c r="A4391" s="4"/>
      <c r="B4391" s="4"/>
      <c r="C4391" s="4"/>
    </row>
    <row r="4392">
      <c r="A4392" s="4"/>
      <c r="B4392" s="4"/>
      <c r="C4392" s="4"/>
    </row>
    <row r="4393">
      <c r="A4393" s="4"/>
      <c r="B4393" s="4"/>
      <c r="C4393" s="4"/>
    </row>
    <row r="4394">
      <c r="A4394" s="4"/>
      <c r="B4394" s="4"/>
      <c r="C4394" s="4"/>
    </row>
    <row r="4395">
      <c r="A4395" s="4"/>
      <c r="B4395" s="4"/>
      <c r="C4395" s="4"/>
    </row>
    <row r="4396">
      <c r="A4396" s="4"/>
      <c r="B4396" s="4"/>
      <c r="C4396" s="4"/>
    </row>
    <row r="4397">
      <c r="A4397" s="4"/>
      <c r="B4397" s="4"/>
      <c r="C4397" s="4"/>
    </row>
    <row r="4398">
      <c r="A4398" s="4"/>
      <c r="B4398" s="4"/>
      <c r="C4398" s="4"/>
    </row>
    <row r="4399">
      <c r="A4399" s="4"/>
      <c r="B4399" s="4"/>
      <c r="C4399" s="4"/>
    </row>
    <row r="4400">
      <c r="A4400" s="4"/>
      <c r="B4400" s="4"/>
      <c r="C4400" s="4"/>
    </row>
    <row r="4401">
      <c r="A4401" s="4"/>
      <c r="B4401" s="4"/>
      <c r="C4401" s="4"/>
    </row>
    <row r="4402">
      <c r="A4402" s="4"/>
      <c r="B4402" s="4"/>
      <c r="C4402" s="4"/>
    </row>
    <row r="4403">
      <c r="A4403" s="4"/>
      <c r="B4403" s="4"/>
      <c r="C4403" s="4"/>
    </row>
    <row r="4404">
      <c r="A4404" s="4"/>
      <c r="B4404" s="4"/>
      <c r="C4404" s="4"/>
    </row>
    <row r="4405">
      <c r="A4405" s="4"/>
      <c r="B4405" s="4"/>
      <c r="C4405" s="4"/>
    </row>
    <row r="4406">
      <c r="A4406" s="4"/>
      <c r="B4406" s="4"/>
      <c r="C4406" s="4"/>
    </row>
    <row r="4407">
      <c r="A4407" s="4"/>
      <c r="B4407" s="4"/>
      <c r="C4407" s="4"/>
    </row>
    <row r="4408">
      <c r="A4408" s="4"/>
      <c r="B4408" s="4"/>
      <c r="C4408" s="4"/>
    </row>
    <row r="4409">
      <c r="A4409" s="4"/>
      <c r="B4409" s="4"/>
      <c r="C4409" s="4"/>
    </row>
    <row r="4410">
      <c r="A4410" s="4"/>
      <c r="B4410" s="4"/>
      <c r="C4410" s="4"/>
    </row>
    <row r="4411">
      <c r="A4411" s="4"/>
      <c r="B4411" s="4"/>
      <c r="C4411" s="4"/>
    </row>
    <row r="4412">
      <c r="A4412" s="4"/>
      <c r="B4412" s="4"/>
      <c r="C4412" s="4"/>
    </row>
    <row r="4413">
      <c r="A4413" s="4"/>
      <c r="B4413" s="4"/>
      <c r="C4413" s="4"/>
    </row>
    <row r="4414">
      <c r="A4414" s="4"/>
      <c r="B4414" s="4"/>
      <c r="C4414" s="4"/>
    </row>
    <row r="4415">
      <c r="A4415" s="4"/>
      <c r="B4415" s="4"/>
      <c r="C4415" s="4"/>
    </row>
    <row r="4416">
      <c r="A4416" s="4"/>
      <c r="B4416" s="4"/>
      <c r="C4416" s="4"/>
    </row>
    <row r="4417">
      <c r="A4417" s="4"/>
      <c r="B4417" s="4"/>
      <c r="C4417" s="4"/>
    </row>
    <row r="4418">
      <c r="A4418" s="4"/>
      <c r="B4418" s="4"/>
      <c r="C4418" s="4"/>
    </row>
    <row r="4419">
      <c r="A4419" s="4"/>
      <c r="B4419" s="4"/>
      <c r="C4419" s="4"/>
    </row>
    <row r="4420">
      <c r="A4420" s="4"/>
      <c r="B4420" s="4"/>
      <c r="C4420" s="4"/>
    </row>
    <row r="4421">
      <c r="A4421" s="4"/>
      <c r="B4421" s="4"/>
      <c r="C4421" s="4"/>
    </row>
    <row r="4422">
      <c r="A4422" s="4"/>
      <c r="B4422" s="4"/>
      <c r="C4422" s="4"/>
    </row>
    <row r="4423">
      <c r="A4423" s="4"/>
      <c r="B4423" s="4"/>
      <c r="C4423" s="4"/>
    </row>
    <row r="4424">
      <c r="A4424" s="4"/>
      <c r="B4424" s="4"/>
      <c r="C4424" s="4"/>
    </row>
    <row r="4425">
      <c r="A4425" s="4"/>
      <c r="B4425" s="4"/>
      <c r="C4425" s="4"/>
    </row>
    <row r="4426">
      <c r="A4426" s="4"/>
      <c r="B4426" s="4"/>
      <c r="C4426" s="4"/>
    </row>
    <row r="4427">
      <c r="A4427" s="4"/>
      <c r="B4427" s="4"/>
      <c r="C4427" s="4"/>
    </row>
    <row r="4428">
      <c r="A4428" s="4"/>
      <c r="B4428" s="4"/>
      <c r="C4428" s="4"/>
    </row>
    <row r="4429">
      <c r="A4429" s="4"/>
      <c r="B4429" s="4"/>
      <c r="C4429" s="4"/>
    </row>
    <row r="4430">
      <c r="A4430" s="4"/>
      <c r="B4430" s="4"/>
      <c r="C4430" s="4"/>
    </row>
    <row r="4431">
      <c r="A4431" s="4"/>
      <c r="B4431" s="4"/>
      <c r="C4431" s="4"/>
    </row>
    <row r="4432">
      <c r="A4432" s="4"/>
      <c r="B4432" s="4"/>
      <c r="C4432" s="4"/>
    </row>
    <row r="4433">
      <c r="A4433" s="4"/>
      <c r="B4433" s="4"/>
      <c r="C4433" s="4"/>
    </row>
    <row r="4434">
      <c r="A4434" s="4"/>
      <c r="B4434" s="4"/>
      <c r="C4434" s="4"/>
    </row>
    <row r="4435">
      <c r="A4435" s="4"/>
      <c r="B4435" s="4"/>
      <c r="C4435" s="4"/>
    </row>
    <row r="4436">
      <c r="A4436" s="4"/>
      <c r="B4436" s="4"/>
      <c r="C4436" s="4"/>
    </row>
    <row r="4437">
      <c r="A4437" s="4"/>
      <c r="B4437" s="4"/>
      <c r="C4437" s="4"/>
    </row>
    <row r="4438">
      <c r="A4438" s="4"/>
      <c r="B4438" s="4"/>
      <c r="C4438" s="4"/>
    </row>
    <row r="4439">
      <c r="A4439" s="4"/>
      <c r="B4439" s="4"/>
      <c r="C4439" s="4"/>
    </row>
    <row r="4440">
      <c r="A4440" s="4"/>
      <c r="B4440" s="4"/>
      <c r="C4440" s="4"/>
    </row>
    <row r="4441">
      <c r="A4441" s="4"/>
      <c r="B4441" s="4"/>
      <c r="C4441" s="4"/>
    </row>
    <row r="4442">
      <c r="A4442" s="4"/>
      <c r="B4442" s="4"/>
      <c r="C4442" s="4"/>
    </row>
    <row r="4443">
      <c r="A4443" s="4"/>
      <c r="B4443" s="4"/>
      <c r="C4443" s="4"/>
    </row>
    <row r="4444">
      <c r="A4444" s="4"/>
      <c r="B4444" s="4"/>
      <c r="C4444" s="4"/>
    </row>
    <row r="4445">
      <c r="A4445" s="4"/>
      <c r="B4445" s="4"/>
      <c r="C4445" s="4"/>
    </row>
    <row r="4446">
      <c r="A4446" s="4"/>
      <c r="B4446" s="4"/>
      <c r="C4446" s="4"/>
    </row>
    <row r="4447">
      <c r="A4447" s="4"/>
      <c r="B4447" s="4"/>
      <c r="C4447" s="4"/>
    </row>
    <row r="4448">
      <c r="A4448" s="4"/>
      <c r="B4448" s="4"/>
      <c r="C4448" s="4"/>
    </row>
    <row r="4449">
      <c r="A4449" s="4"/>
      <c r="B4449" s="4"/>
      <c r="C4449" s="4"/>
    </row>
    <row r="4450">
      <c r="A4450" s="4"/>
      <c r="B4450" s="4"/>
      <c r="C4450" s="4"/>
    </row>
    <row r="4451">
      <c r="A4451" s="4"/>
      <c r="B4451" s="4"/>
      <c r="C4451" s="4"/>
    </row>
    <row r="4452">
      <c r="A4452" s="4"/>
      <c r="B4452" s="4"/>
      <c r="C4452" s="4"/>
    </row>
    <row r="4453">
      <c r="A4453" s="4"/>
      <c r="B4453" s="4"/>
      <c r="C4453" s="4"/>
    </row>
    <row r="4454">
      <c r="A4454" s="4"/>
      <c r="B4454" s="4"/>
      <c r="C4454" s="4"/>
    </row>
    <row r="4455">
      <c r="A4455" s="4"/>
      <c r="B4455" s="4"/>
      <c r="C4455" s="4"/>
    </row>
    <row r="4456">
      <c r="A4456" s="4"/>
      <c r="B4456" s="4"/>
      <c r="C4456" s="4"/>
    </row>
    <row r="4457">
      <c r="A4457" s="4"/>
      <c r="B4457" s="4"/>
      <c r="C4457" s="4"/>
    </row>
    <row r="4458">
      <c r="A4458" s="4"/>
      <c r="B4458" s="4"/>
      <c r="C4458" s="4"/>
    </row>
    <row r="4459">
      <c r="A4459" s="4"/>
      <c r="B4459" s="4"/>
      <c r="C4459" s="4"/>
    </row>
    <row r="4460">
      <c r="A4460" s="4"/>
      <c r="B4460" s="4"/>
      <c r="C4460" s="4"/>
    </row>
    <row r="4461">
      <c r="A4461" s="4"/>
      <c r="B4461" s="4"/>
      <c r="C4461" s="4"/>
    </row>
    <row r="4462">
      <c r="A4462" s="4"/>
      <c r="B4462" s="4"/>
      <c r="C4462" s="4"/>
    </row>
    <row r="4463">
      <c r="A4463" s="4"/>
      <c r="B4463" s="4"/>
      <c r="C4463" s="4"/>
    </row>
    <row r="4464">
      <c r="A4464" s="4"/>
      <c r="B4464" s="4"/>
      <c r="C4464" s="4"/>
    </row>
    <row r="4465">
      <c r="A4465" s="4"/>
      <c r="B4465" s="4"/>
      <c r="C4465" s="4"/>
    </row>
    <row r="4466">
      <c r="A4466" s="4"/>
      <c r="B4466" s="4"/>
      <c r="C4466" s="4"/>
    </row>
    <row r="4467">
      <c r="A4467" s="4"/>
      <c r="B4467" s="4"/>
      <c r="C4467" s="4"/>
    </row>
    <row r="4468">
      <c r="A4468" s="4"/>
      <c r="B4468" s="4"/>
      <c r="C4468" s="4"/>
    </row>
    <row r="4469">
      <c r="A4469" s="4"/>
      <c r="B4469" s="4"/>
      <c r="C4469" s="4"/>
    </row>
    <row r="4470">
      <c r="A4470" s="4"/>
      <c r="B4470" s="4"/>
      <c r="C4470" s="4"/>
    </row>
    <row r="4471">
      <c r="A4471" s="4"/>
      <c r="B4471" s="4"/>
      <c r="C4471" s="4"/>
    </row>
    <row r="4472">
      <c r="A4472" s="4"/>
      <c r="B4472" s="4"/>
      <c r="C4472" s="4"/>
    </row>
    <row r="4473">
      <c r="A4473" s="4"/>
      <c r="B4473" s="4"/>
      <c r="C4473" s="4"/>
    </row>
    <row r="4474">
      <c r="A4474" s="4"/>
      <c r="B4474" s="4"/>
      <c r="C4474" s="4"/>
    </row>
    <row r="4475">
      <c r="A4475" s="4"/>
      <c r="B4475" s="4"/>
      <c r="C4475" s="4"/>
    </row>
    <row r="4476">
      <c r="A4476" s="4"/>
      <c r="B4476" s="4"/>
      <c r="C4476" s="4"/>
    </row>
    <row r="4477">
      <c r="A4477" s="4"/>
      <c r="B4477" s="4"/>
      <c r="C4477" s="4"/>
    </row>
    <row r="4478">
      <c r="A4478" s="4"/>
      <c r="B4478" s="4"/>
      <c r="C4478" s="4"/>
    </row>
    <row r="4479">
      <c r="A4479" s="4"/>
      <c r="B4479" s="4"/>
      <c r="C4479" s="4"/>
    </row>
    <row r="4480">
      <c r="A4480" s="4"/>
      <c r="B4480" s="4"/>
      <c r="C4480" s="4"/>
    </row>
    <row r="4481">
      <c r="A4481" s="4"/>
      <c r="B4481" s="4"/>
      <c r="C4481" s="4"/>
    </row>
    <row r="4482">
      <c r="A4482" s="4"/>
      <c r="B4482" s="4"/>
      <c r="C4482" s="4"/>
    </row>
    <row r="4483">
      <c r="A4483" s="4"/>
      <c r="B4483" s="4"/>
      <c r="C4483" s="4"/>
    </row>
    <row r="4484">
      <c r="A4484" s="4"/>
      <c r="B4484" s="4"/>
      <c r="C4484" s="4"/>
    </row>
    <row r="4485">
      <c r="A4485" s="4"/>
      <c r="B4485" s="4"/>
      <c r="C4485" s="4"/>
    </row>
    <row r="4486">
      <c r="A4486" s="4"/>
      <c r="B4486" s="4"/>
      <c r="C4486" s="4"/>
    </row>
    <row r="4487">
      <c r="A4487" s="4"/>
      <c r="B4487" s="4"/>
      <c r="C4487" s="4"/>
    </row>
    <row r="4488">
      <c r="A4488" s="4"/>
      <c r="B4488" s="4"/>
      <c r="C4488" s="4"/>
    </row>
    <row r="4489">
      <c r="A4489" s="4"/>
      <c r="B4489" s="4"/>
      <c r="C4489" s="4"/>
    </row>
    <row r="4490">
      <c r="A4490" s="4"/>
      <c r="B4490" s="4"/>
      <c r="C4490" s="4"/>
    </row>
    <row r="4491">
      <c r="A4491" s="4"/>
      <c r="B4491" s="4"/>
      <c r="C4491" s="4"/>
    </row>
    <row r="4492">
      <c r="A4492" s="4"/>
      <c r="B4492" s="4"/>
      <c r="C4492" s="4"/>
    </row>
    <row r="4493">
      <c r="A4493" s="4"/>
      <c r="B4493" s="4"/>
      <c r="C4493" s="4"/>
    </row>
    <row r="4494">
      <c r="A4494" s="4"/>
      <c r="B4494" s="4"/>
      <c r="C4494" s="4"/>
    </row>
    <row r="4495">
      <c r="A4495" s="4"/>
      <c r="B4495" s="4"/>
      <c r="C4495" s="4"/>
    </row>
    <row r="4496">
      <c r="A4496" s="4"/>
      <c r="B4496" s="4"/>
      <c r="C4496" s="4"/>
    </row>
    <row r="4497">
      <c r="A4497" s="4"/>
      <c r="B4497" s="4"/>
      <c r="C4497" s="4"/>
    </row>
    <row r="4498">
      <c r="A4498" s="4"/>
      <c r="B4498" s="4"/>
      <c r="C4498" s="4"/>
    </row>
    <row r="4499">
      <c r="A4499" s="4"/>
      <c r="B4499" s="4"/>
      <c r="C4499" s="4"/>
    </row>
    <row r="4500">
      <c r="A4500" s="4"/>
      <c r="B4500" s="4"/>
      <c r="C4500" s="4"/>
    </row>
    <row r="4501">
      <c r="A4501" s="4"/>
      <c r="B4501" s="4"/>
      <c r="C4501" s="4"/>
    </row>
    <row r="4502">
      <c r="A4502" s="4"/>
      <c r="B4502" s="4"/>
      <c r="C4502" s="4"/>
    </row>
    <row r="4503">
      <c r="A4503" s="4"/>
      <c r="B4503" s="4"/>
      <c r="C4503" s="4"/>
    </row>
    <row r="4504">
      <c r="A4504" s="4"/>
      <c r="B4504" s="4"/>
      <c r="C4504" s="4"/>
    </row>
    <row r="4505">
      <c r="A4505" s="4"/>
      <c r="B4505" s="4"/>
      <c r="C4505" s="4"/>
    </row>
    <row r="4506">
      <c r="A4506" s="4"/>
      <c r="B4506" s="4"/>
      <c r="C4506" s="4"/>
    </row>
    <row r="4507">
      <c r="A4507" s="4"/>
      <c r="B4507" s="4"/>
      <c r="C4507" s="4"/>
    </row>
    <row r="4508">
      <c r="A4508" s="4"/>
      <c r="B4508" s="4"/>
      <c r="C4508" s="4"/>
    </row>
    <row r="4509">
      <c r="A4509" s="4"/>
      <c r="B4509" s="4"/>
      <c r="C4509" s="4"/>
    </row>
    <row r="4510">
      <c r="A4510" s="4"/>
      <c r="B4510" s="4"/>
      <c r="C4510" s="4"/>
    </row>
    <row r="4511">
      <c r="A4511" s="4"/>
      <c r="B4511" s="4"/>
      <c r="C4511" s="4"/>
    </row>
    <row r="4512">
      <c r="A4512" s="4"/>
      <c r="B4512" s="4"/>
      <c r="C4512" s="4"/>
    </row>
    <row r="4513">
      <c r="A4513" s="4"/>
      <c r="B4513" s="4"/>
      <c r="C4513" s="4"/>
    </row>
    <row r="4514">
      <c r="A4514" s="4"/>
      <c r="B4514" s="4"/>
      <c r="C4514" s="4"/>
    </row>
    <row r="4515">
      <c r="A4515" s="4"/>
      <c r="B4515" s="4"/>
      <c r="C4515" s="4"/>
    </row>
    <row r="4516">
      <c r="A4516" s="4"/>
      <c r="B4516" s="4"/>
      <c r="C4516" s="4"/>
    </row>
    <row r="4517">
      <c r="A4517" s="4"/>
      <c r="B4517" s="4"/>
      <c r="C4517" s="4"/>
    </row>
    <row r="4518">
      <c r="A4518" s="4"/>
      <c r="B4518" s="4"/>
      <c r="C4518" s="4"/>
    </row>
    <row r="4519">
      <c r="A4519" s="4"/>
      <c r="B4519" s="4"/>
      <c r="C4519" s="4"/>
    </row>
    <row r="4520">
      <c r="A4520" s="4"/>
      <c r="B4520" s="4"/>
      <c r="C4520" s="4"/>
    </row>
    <row r="4521">
      <c r="A4521" s="4"/>
      <c r="B4521" s="4"/>
      <c r="C4521" s="4"/>
    </row>
    <row r="4522">
      <c r="A4522" s="4"/>
      <c r="B4522" s="4"/>
      <c r="C4522" s="4"/>
    </row>
    <row r="4523">
      <c r="A4523" s="4"/>
      <c r="B4523" s="4"/>
      <c r="C4523" s="4"/>
    </row>
    <row r="4524">
      <c r="A4524" s="4"/>
      <c r="B4524" s="4"/>
      <c r="C4524" s="4"/>
    </row>
    <row r="4525">
      <c r="A4525" s="4"/>
      <c r="B4525" s="4"/>
      <c r="C4525" s="4"/>
    </row>
    <row r="4526">
      <c r="A4526" s="4"/>
      <c r="B4526" s="4"/>
      <c r="C4526" s="4"/>
    </row>
    <row r="4527">
      <c r="A4527" s="4"/>
      <c r="B4527" s="4"/>
      <c r="C4527" s="4"/>
    </row>
    <row r="4528">
      <c r="A4528" s="4"/>
      <c r="B4528" s="4"/>
      <c r="C4528" s="4"/>
    </row>
    <row r="4529">
      <c r="A4529" s="4"/>
      <c r="B4529" s="4"/>
      <c r="C4529" s="4"/>
    </row>
    <row r="4530">
      <c r="A4530" s="4"/>
      <c r="B4530" s="4"/>
      <c r="C4530" s="4"/>
    </row>
    <row r="4531">
      <c r="A4531" s="4"/>
      <c r="B4531" s="4"/>
      <c r="C4531" s="4"/>
    </row>
    <row r="4532">
      <c r="A4532" s="4"/>
      <c r="B4532" s="4"/>
      <c r="C4532" s="4"/>
    </row>
    <row r="4533">
      <c r="A4533" s="4"/>
      <c r="B4533" s="4"/>
      <c r="C4533" s="4"/>
    </row>
    <row r="4534">
      <c r="A4534" s="4"/>
      <c r="B4534" s="4"/>
      <c r="C4534" s="4"/>
    </row>
    <row r="4535">
      <c r="A4535" s="4"/>
      <c r="B4535" s="4"/>
      <c r="C4535" s="4"/>
    </row>
    <row r="4536">
      <c r="A4536" s="4"/>
      <c r="B4536" s="4"/>
      <c r="C4536" s="4"/>
    </row>
    <row r="4537">
      <c r="A4537" s="4"/>
      <c r="B4537" s="4"/>
      <c r="C4537" s="4"/>
    </row>
    <row r="4538">
      <c r="A4538" s="4"/>
      <c r="B4538" s="4"/>
      <c r="C4538" s="4"/>
    </row>
    <row r="4539">
      <c r="A4539" s="4"/>
      <c r="B4539" s="4"/>
      <c r="C4539" s="4"/>
    </row>
    <row r="4540">
      <c r="A4540" s="4"/>
      <c r="B4540" s="4"/>
      <c r="C4540" s="4"/>
    </row>
    <row r="4541">
      <c r="A4541" s="4"/>
      <c r="B4541" s="4"/>
      <c r="C4541" s="4"/>
    </row>
    <row r="4542">
      <c r="A4542" s="4"/>
      <c r="B4542" s="4"/>
      <c r="C4542" s="4"/>
    </row>
    <row r="4543">
      <c r="A4543" s="4"/>
      <c r="B4543" s="4"/>
      <c r="C4543" s="4"/>
    </row>
    <row r="4544">
      <c r="A4544" s="4"/>
      <c r="B4544" s="4"/>
      <c r="C4544" s="4"/>
    </row>
    <row r="4545">
      <c r="A4545" s="4"/>
      <c r="B4545" s="4"/>
      <c r="C4545" s="4"/>
    </row>
    <row r="4546">
      <c r="A4546" s="4"/>
      <c r="B4546" s="4"/>
      <c r="C4546" s="4"/>
    </row>
    <row r="4547">
      <c r="A4547" s="4"/>
      <c r="B4547" s="4"/>
      <c r="C4547" s="4"/>
    </row>
    <row r="4548">
      <c r="A4548" s="4"/>
      <c r="B4548" s="4"/>
      <c r="C4548" s="4"/>
    </row>
    <row r="4549">
      <c r="A4549" s="4"/>
      <c r="B4549" s="4"/>
      <c r="C4549" s="4"/>
    </row>
    <row r="4550">
      <c r="A4550" s="4"/>
      <c r="B4550" s="4"/>
      <c r="C4550" s="4"/>
    </row>
    <row r="4551">
      <c r="A4551" s="4"/>
      <c r="B4551" s="4"/>
      <c r="C4551" s="4"/>
    </row>
    <row r="4552">
      <c r="A4552" s="4"/>
      <c r="B4552" s="4"/>
      <c r="C4552" s="4"/>
    </row>
    <row r="4553">
      <c r="A4553" s="4"/>
      <c r="B4553" s="4"/>
      <c r="C4553" s="4"/>
    </row>
    <row r="4554">
      <c r="A4554" s="4"/>
      <c r="B4554" s="4"/>
      <c r="C4554" s="4"/>
    </row>
    <row r="4555">
      <c r="A4555" s="4"/>
      <c r="B4555" s="4"/>
      <c r="C4555" s="4"/>
    </row>
    <row r="4556">
      <c r="A4556" s="4"/>
      <c r="B4556" s="4"/>
      <c r="C4556" s="4"/>
    </row>
    <row r="4557">
      <c r="A4557" s="4"/>
      <c r="B4557" s="4"/>
      <c r="C4557" s="4"/>
    </row>
    <row r="4558">
      <c r="A4558" s="4"/>
      <c r="B4558" s="4"/>
      <c r="C4558" s="4"/>
    </row>
    <row r="4559">
      <c r="A4559" s="4"/>
      <c r="B4559" s="4"/>
      <c r="C4559" s="4"/>
    </row>
    <row r="4560">
      <c r="A4560" s="4"/>
      <c r="B4560" s="4"/>
      <c r="C4560" s="4"/>
    </row>
    <row r="4561">
      <c r="A4561" s="4"/>
      <c r="B4561" s="4"/>
      <c r="C4561" s="4"/>
    </row>
    <row r="4562">
      <c r="A4562" s="4"/>
      <c r="B4562" s="4"/>
      <c r="C4562" s="4"/>
    </row>
    <row r="4563">
      <c r="A4563" s="4"/>
      <c r="B4563" s="4"/>
      <c r="C4563" s="4"/>
    </row>
    <row r="4564">
      <c r="A4564" s="4"/>
      <c r="B4564" s="4"/>
      <c r="C4564" s="4"/>
    </row>
    <row r="4565">
      <c r="A4565" s="4"/>
      <c r="B4565" s="4"/>
      <c r="C4565" s="4"/>
    </row>
    <row r="4566">
      <c r="A4566" s="4"/>
      <c r="B4566" s="4"/>
      <c r="C4566" s="4"/>
    </row>
    <row r="4567">
      <c r="A4567" s="4"/>
      <c r="B4567" s="4"/>
      <c r="C4567" s="4"/>
    </row>
    <row r="4568">
      <c r="A4568" s="4"/>
      <c r="B4568" s="4"/>
      <c r="C4568" s="4"/>
    </row>
    <row r="4569">
      <c r="A4569" s="4"/>
      <c r="B4569" s="4"/>
      <c r="C4569" s="4"/>
    </row>
    <row r="4570">
      <c r="A4570" s="4"/>
      <c r="B4570" s="4"/>
      <c r="C4570" s="4"/>
    </row>
    <row r="4571">
      <c r="A4571" s="4"/>
      <c r="B4571" s="4"/>
      <c r="C4571" s="4"/>
    </row>
    <row r="4572">
      <c r="A4572" s="4"/>
      <c r="B4572" s="4"/>
      <c r="C4572" s="4"/>
    </row>
    <row r="4573">
      <c r="A4573" s="4"/>
      <c r="B4573" s="4"/>
      <c r="C4573" s="4"/>
    </row>
    <row r="4574">
      <c r="A4574" s="4"/>
      <c r="B4574" s="4"/>
      <c r="C4574" s="4"/>
    </row>
    <row r="4575">
      <c r="A4575" s="4"/>
      <c r="B4575" s="4"/>
      <c r="C4575" s="4"/>
    </row>
    <row r="4576">
      <c r="A4576" s="4"/>
      <c r="B4576" s="4"/>
      <c r="C4576" s="4"/>
    </row>
    <row r="4577">
      <c r="A4577" s="4"/>
      <c r="B4577" s="4"/>
      <c r="C4577" s="4"/>
    </row>
    <row r="4578">
      <c r="A4578" s="4"/>
      <c r="B4578" s="4"/>
      <c r="C4578" s="4"/>
    </row>
    <row r="4579">
      <c r="A4579" s="4"/>
      <c r="B4579" s="4"/>
      <c r="C4579" s="4"/>
    </row>
    <row r="4580">
      <c r="A4580" s="4"/>
      <c r="B4580" s="4"/>
      <c r="C4580" s="4"/>
    </row>
    <row r="4581">
      <c r="A4581" s="4"/>
      <c r="B4581" s="4"/>
      <c r="C4581" s="4"/>
    </row>
    <row r="4582">
      <c r="A4582" s="4"/>
      <c r="B4582" s="4"/>
      <c r="C4582" s="4"/>
    </row>
    <row r="4583">
      <c r="A4583" s="4"/>
      <c r="B4583" s="4"/>
      <c r="C4583" s="4"/>
    </row>
    <row r="4584">
      <c r="A4584" s="4"/>
      <c r="B4584" s="4"/>
      <c r="C4584" s="4"/>
    </row>
    <row r="4585">
      <c r="A4585" s="4"/>
      <c r="B4585" s="4"/>
      <c r="C4585" s="4"/>
    </row>
    <row r="4586">
      <c r="A4586" s="4"/>
      <c r="B4586" s="4"/>
      <c r="C4586" s="4"/>
    </row>
    <row r="4587">
      <c r="A4587" s="4"/>
      <c r="B4587" s="4"/>
      <c r="C4587" s="4"/>
    </row>
    <row r="4588">
      <c r="A4588" s="4"/>
      <c r="B4588" s="4"/>
      <c r="C4588" s="4"/>
    </row>
    <row r="4589">
      <c r="A4589" s="4"/>
      <c r="B4589" s="4"/>
      <c r="C4589" s="4"/>
    </row>
    <row r="4590">
      <c r="A4590" s="4"/>
      <c r="B4590" s="4"/>
      <c r="C4590" s="4"/>
    </row>
    <row r="4591">
      <c r="A4591" s="4"/>
      <c r="B4591" s="4"/>
      <c r="C4591" s="4"/>
    </row>
    <row r="4592">
      <c r="A4592" s="4"/>
      <c r="B4592" s="4"/>
      <c r="C4592" s="4"/>
    </row>
    <row r="4593">
      <c r="A4593" s="4"/>
      <c r="B4593" s="4"/>
      <c r="C4593" s="4"/>
    </row>
    <row r="4594">
      <c r="A4594" s="4"/>
      <c r="B4594" s="4"/>
      <c r="C4594" s="4"/>
    </row>
    <row r="4595">
      <c r="A4595" s="4"/>
      <c r="B4595" s="4"/>
      <c r="C4595" s="4"/>
    </row>
    <row r="4596">
      <c r="A4596" s="4"/>
      <c r="B4596" s="4"/>
      <c r="C4596" s="4"/>
    </row>
    <row r="4597">
      <c r="A4597" s="4"/>
      <c r="B4597" s="4"/>
      <c r="C4597" s="4"/>
    </row>
    <row r="4598">
      <c r="A4598" s="4"/>
      <c r="B4598" s="4"/>
      <c r="C4598" s="4"/>
    </row>
    <row r="4599">
      <c r="A4599" s="4"/>
      <c r="B4599" s="4"/>
      <c r="C4599" s="4"/>
    </row>
    <row r="4600">
      <c r="A4600" s="4"/>
      <c r="B4600" s="4"/>
      <c r="C4600" s="4"/>
    </row>
    <row r="4601">
      <c r="A4601" s="4"/>
      <c r="B4601" s="4"/>
      <c r="C4601" s="4"/>
    </row>
    <row r="4602">
      <c r="A4602" s="4"/>
      <c r="B4602" s="4"/>
      <c r="C4602" s="4"/>
    </row>
    <row r="4603">
      <c r="A4603" s="4"/>
      <c r="B4603" s="4"/>
      <c r="C4603" s="4"/>
    </row>
    <row r="4604">
      <c r="A4604" s="4"/>
      <c r="B4604" s="4"/>
      <c r="C4604" s="4"/>
    </row>
    <row r="4605">
      <c r="A4605" s="4"/>
      <c r="B4605" s="4"/>
      <c r="C4605" s="4"/>
    </row>
    <row r="4606">
      <c r="A4606" s="4"/>
      <c r="B4606" s="4"/>
      <c r="C4606" s="4"/>
    </row>
    <row r="4607">
      <c r="A4607" s="4"/>
      <c r="B4607" s="4"/>
      <c r="C4607" s="4"/>
    </row>
    <row r="4608">
      <c r="A4608" s="4"/>
      <c r="B4608" s="4"/>
      <c r="C4608" s="4"/>
    </row>
    <row r="4609">
      <c r="A4609" s="4"/>
      <c r="B4609" s="4"/>
      <c r="C4609" s="4"/>
    </row>
    <row r="4610">
      <c r="A4610" s="4"/>
      <c r="B4610" s="4"/>
      <c r="C4610" s="4"/>
    </row>
    <row r="4611">
      <c r="A4611" s="4"/>
      <c r="B4611" s="4"/>
      <c r="C4611" s="4"/>
    </row>
    <row r="4612">
      <c r="A4612" s="4"/>
      <c r="B4612" s="4"/>
      <c r="C4612" s="4"/>
    </row>
    <row r="4613">
      <c r="A4613" s="4"/>
      <c r="B4613" s="4"/>
      <c r="C4613" s="4"/>
    </row>
    <row r="4614">
      <c r="A4614" s="4"/>
      <c r="B4614" s="4"/>
      <c r="C4614" s="4"/>
    </row>
    <row r="4615">
      <c r="A4615" s="4"/>
      <c r="B4615" s="4"/>
      <c r="C4615" s="4"/>
    </row>
    <row r="4616">
      <c r="A4616" s="4"/>
      <c r="B4616" s="4"/>
      <c r="C4616" s="4"/>
    </row>
    <row r="4617">
      <c r="A4617" s="4"/>
      <c r="B4617" s="4"/>
      <c r="C4617" s="4"/>
    </row>
    <row r="4618">
      <c r="A4618" s="4"/>
      <c r="B4618" s="4"/>
      <c r="C4618" s="4"/>
    </row>
    <row r="4619">
      <c r="A4619" s="4"/>
      <c r="B4619" s="4"/>
      <c r="C4619" s="4"/>
    </row>
    <row r="4620">
      <c r="A4620" s="4"/>
      <c r="B4620" s="4"/>
      <c r="C4620" s="4"/>
    </row>
    <row r="4621">
      <c r="A4621" s="4"/>
      <c r="B4621" s="4"/>
      <c r="C4621" s="4"/>
    </row>
    <row r="4622">
      <c r="A4622" s="4"/>
      <c r="B4622" s="4"/>
      <c r="C4622" s="4"/>
    </row>
    <row r="4623">
      <c r="A4623" s="4"/>
      <c r="B4623" s="4"/>
      <c r="C4623" s="4"/>
    </row>
    <row r="4624">
      <c r="A4624" s="4"/>
      <c r="B4624" s="4"/>
      <c r="C4624" s="4"/>
    </row>
    <row r="4625">
      <c r="A4625" s="4"/>
      <c r="B4625" s="4"/>
      <c r="C4625" s="4"/>
    </row>
    <row r="4626">
      <c r="A4626" s="4"/>
      <c r="B4626" s="4"/>
      <c r="C4626" s="4"/>
    </row>
    <row r="4627">
      <c r="A4627" s="4"/>
      <c r="B4627" s="4"/>
      <c r="C4627" s="4"/>
    </row>
    <row r="4628">
      <c r="A4628" s="4"/>
      <c r="B4628" s="4"/>
      <c r="C4628" s="4"/>
    </row>
    <row r="4629">
      <c r="A4629" s="4"/>
      <c r="B4629" s="4"/>
      <c r="C4629" s="4"/>
    </row>
    <row r="4630">
      <c r="A4630" s="4"/>
      <c r="B4630" s="4"/>
      <c r="C4630" s="4"/>
    </row>
    <row r="4631">
      <c r="A4631" s="4"/>
      <c r="B4631" s="4"/>
      <c r="C4631" s="4"/>
    </row>
    <row r="4632">
      <c r="A4632" s="4"/>
      <c r="B4632" s="4"/>
      <c r="C4632" s="4"/>
    </row>
    <row r="4633">
      <c r="A4633" s="4"/>
      <c r="B4633" s="4"/>
      <c r="C4633" s="4"/>
    </row>
    <row r="4634">
      <c r="A4634" s="4"/>
      <c r="B4634" s="4"/>
      <c r="C4634" s="4"/>
    </row>
    <row r="4635">
      <c r="A4635" s="4"/>
      <c r="B4635" s="4"/>
      <c r="C4635" s="4"/>
    </row>
    <row r="4636">
      <c r="A4636" s="4"/>
      <c r="B4636" s="4"/>
      <c r="C4636" s="4"/>
    </row>
    <row r="4637">
      <c r="A4637" s="4"/>
      <c r="B4637" s="4"/>
      <c r="C4637" s="4"/>
    </row>
    <row r="4638">
      <c r="A4638" s="4"/>
      <c r="B4638" s="4"/>
      <c r="C4638" s="4"/>
    </row>
    <row r="4639">
      <c r="A4639" s="4"/>
      <c r="B4639" s="4"/>
      <c r="C4639" s="4"/>
    </row>
    <row r="4640">
      <c r="A4640" s="4"/>
      <c r="B4640" s="4"/>
      <c r="C4640" s="4"/>
    </row>
    <row r="4641">
      <c r="A4641" s="4"/>
      <c r="B4641" s="4"/>
      <c r="C4641" s="4"/>
    </row>
    <row r="4642">
      <c r="A4642" s="4"/>
      <c r="B4642" s="4"/>
      <c r="C4642" s="4"/>
    </row>
    <row r="4643">
      <c r="A4643" s="4"/>
      <c r="B4643" s="4"/>
      <c r="C4643" s="4"/>
    </row>
    <row r="4644">
      <c r="A4644" s="4"/>
      <c r="B4644" s="4"/>
      <c r="C4644" s="4"/>
    </row>
    <row r="4645">
      <c r="A4645" s="4"/>
      <c r="B4645" s="4"/>
      <c r="C4645" s="4"/>
    </row>
    <row r="4646">
      <c r="A4646" s="4"/>
      <c r="B4646" s="4"/>
      <c r="C4646" s="4"/>
    </row>
    <row r="4647">
      <c r="A4647" s="4"/>
      <c r="B4647" s="4"/>
      <c r="C4647" s="4"/>
    </row>
    <row r="4648">
      <c r="A4648" s="4"/>
      <c r="B4648" s="4"/>
      <c r="C4648" s="4"/>
    </row>
    <row r="4649">
      <c r="A4649" s="4"/>
      <c r="B4649" s="4"/>
      <c r="C4649" s="4"/>
    </row>
    <row r="4650">
      <c r="A4650" s="4"/>
      <c r="B4650" s="4"/>
      <c r="C4650" s="4"/>
    </row>
    <row r="4651">
      <c r="A4651" s="4"/>
      <c r="B4651" s="4"/>
      <c r="C4651" s="4"/>
    </row>
    <row r="4652">
      <c r="A4652" s="4"/>
      <c r="B4652" s="4"/>
      <c r="C4652" s="4"/>
    </row>
    <row r="4653">
      <c r="A4653" s="4"/>
      <c r="B4653" s="4"/>
      <c r="C4653" s="4"/>
    </row>
    <row r="4654">
      <c r="A4654" s="4"/>
      <c r="B4654" s="4"/>
      <c r="C4654" s="4"/>
    </row>
    <row r="4655">
      <c r="A4655" s="4"/>
      <c r="B4655" s="4"/>
      <c r="C4655" s="4"/>
    </row>
    <row r="4656">
      <c r="A4656" s="4"/>
      <c r="B4656" s="4"/>
      <c r="C4656" s="4"/>
    </row>
    <row r="4657">
      <c r="A4657" s="4"/>
      <c r="B4657" s="4"/>
      <c r="C4657" s="4"/>
    </row>
    <row r="4658">
      <c r="A4658" s="4"/>
      <c r="B4658" s="4"/>
      <c r="C4658" s="4"/>
    </row>
    <row r="4659">
      <c r="A4659" s="4"/>
      <c r="B4659" s="4"/>
      <c r="C4659" s="4"/>
    </row>
    <row r="4660">
      <c r="A4660" s="4"/>
      <c r="B4660" s="4"/>
      <c r="C4660" s="4"/>
    </row>
    <row r="4661">
      <c r="A4661" s="4"/>
      <c r="B4661" s="4"/>
      <c r="C4661" s="4"/>
    </row>
    <row r="4662">
      <c r="A4662" s="4"/>
      <c r="B4662" s="4"/>
      <c r="C4662" s="4"/>
    </row>
    <row r="4663">
      <c r="A4663" s="4"/>
      <c r="B4663" s="4"/>
      <c r="C4663" s="4"/>
    </row>
    <row r="4664">
      <c r="A4664" s="4"/>
      <c r="B4664" s="4"/>
      <c r="C4664" s="4"/>
    </row>
    <row r="4665">
      <c r="A4665" s="4"/>
      <c r="B4665" s="4"/>
      <c r="C4665" s="4"/>
    </row>
    <row r="4666">
      <c r="A4666" s="4"/>
      <c r="B4666" s="4"/>
      <c r="C4666" s="4"/>
    </row>
    <row r="4667">
      <c r="A4667" s="4"/>
      <c r="B4667" s="4"/>
      <c r="C4667" s="4"/>
    </row>
    <row r="4668">
      <c r="A4668" s="4"/>
      <c r="B4668" s="4"/>
      <c r="C4668" s="4"/>
    </row>
    <row r="4669">
      <c r="A4669" s="4"/>
      <c r="B4669" s="4"/>
      <c r="C4669" s="4"/>
    </row>
    <row r="4670">
      <c r="A4670" s="4"/>
      <c r="B4670" s="4"/>
      <c r="C4670" s="4"/>
    </row>
    <row r="4671">
      <c r="A4671" s="4"/>
      <c r="B4671" s="4"/>
      <c r="C4671" s="4"/>
    </row>
    <row r="4672">
      <c r="A4672" s="4"/>
      <c r="B4672" s="4"/>
      <c r="C4672" s="4"/>
    </row>
    <row r="4673">
      <c r="A4673" s="4"/>
      <c r="B4673" s="4"/>
      <c r="C4673" s="4"/>
    </row>
    <row r="4674">
      <c r="A4674" s="4"/>
      <c r="B4674" s="4"/>
      <c r="C4674" s="4"/>
    </row>
    <row r="4675">
      <c r="A4675" s="4"/>
      <c r="B4675" s="4"/>
      <c r="C4675" s="4"/>
    </row>
    <row r="4676">
      <c r="A4676" s="4"/>
      <c r="B4676" s="4"/>
      <c r="C4676" s="4"/>
    </row>
    <row r="4677">
      <c r="A4677" s="4"/>
      <c r="B4677" s="4"/>
      <c r="C4677" s="4"/>
    </row>
    <row r="4678">
      <c r="A4678" s="4"/>
      <c r="B4678" s="4"/>
      <c r="C4678" s="4"/>
    </row>
    <row r="4679">
      <c r="A4679" s="4"/>
      <c r="B4679" s="4"/>
      <c r="C4679" s="4"/>
    </row>
    <row r="4680">
      <c r="A4680" s="4"/>
      <c r="B4680" s="4"/>
      <c r="C4680" s="4"/>
    </row>
    <row r="4681">
      <c r="A4681" s="4"/>
      <c r="B4681" s="4"/>
      <c r="C4681" s="4"/>
    </row>
    <row r="4682">
      <c r="A4682" s="4"/>
      <c r="B4682" s="4"/>
      <c r="C4682" s="4"/>
    </row>
    <row r="4683">
      <c r="A4683" s="4"/>
      <c r="B4683" s="4"/>
      <c r="C4683" s="4"/>
    </row>
    <row r="4684">
      <c r="A4684" s="4"/>
      <c r="B4684" s="4"/>
      <c r="C4684" s="4"/>
    </row>
    <row r="4685">
      <c r="A4685" s="4"/>
      <c r="B4685" s="4"/>
      <c r="C4685" s="4"/>
    </row>
    <row r="4686">
      <c r="A4686" s="4"/>
      <c r="B4686" s="4"/>
      <c r="C4686" s="4"/>
    </row>
    <row r="4687">
      <c r="A4687" s="4"/>
      <c r="B4687" s="4"/>
      <c r="C4687" s="4"/>
    </row>
    <row r="4688">
      <c r="A4688" s="4"/>
      <c r="B4688" s="4"/>
      <c r="C4688" s="4"/>
    </row>
    <row r="4689">
      <c r="A4689" s="4"/>
      <c r="B4689" s="4"/>
      <c r="C4689" s="4"/>
    </row>
    <row r="4690">
      <c r="A4690" s="4"/>
      <c r="B4690" s="4"/>
      <c r="C4690" s="4"/>
    </row>
    <row r="4691">
      <c r="A4691" s="4"/>
      <c r="B4691" s="4"/>
      <c r="C4691" s="4"/>
    </row>
    <row r="4692">
      <c r="A4692" s="4"/>
      <c r="B4692" s="4"/>
      <c r="C4692" s="4"/>
    </row>
    <row r="4693">
      <c r="A4693" s="4"/>
      <c r="B4693" s="4"/>
      <c r="C4693" s="4"/>
    </row>
    <row r="4694">
      <c r="A4694" s="4"/>
      <c r="B4694" s="4"/>
      <c r="C4694" s="4"/>
    </row>
    <row r="4695">
      <c r="A4695" s="4"/>
      <c r="B4695" s="4"/>
      <c r="C4695" s="4"/>
    </row>
    <row r="4696">
      <c r="A4696" s="4"/>
      <c r="B4696" s="4"/>
      <c r="C4696" s="4"/>
    </row>
    <row r="4697">
      <c r="A4697" s="4"/>
      <c r="B4697" s="4"/>
      <c r="C4697" s="4"/>
    </row>
    <row r="4698">
      <c r="A4698" s="4"/>
      <c r="B4698" s="4"/>
      <c r="C4698" s="4"/>
    </row>
    <row r="4699">
      <c r="A4699" s="4"/>
      <c r="B4699" s="4"/>
      <c r="C4699" s="4"/>
    </row>
    <row r="4700">
      <c r="A4700" s="4"/>
      <c r="B4700" s="4"/>
      <c r="C4700" s="4"/>
    </row>
    <row r="4701">
      <c r="A4701" s="4"/>
      <c r="B4701" s="4"/>
      <c r="C4701" s="4"/>
    </row>
    <row r="4702">
      <c r="A4702" s="4"/>
      <c r="B4702" s="4"/>
      <c r="C4702" s="4"/>
    </row>
    <row r="4703">
      <c r="A4703" s="4"/>
      <c r="B4703" s="4"/>
      <c r="C4703" s="4"/>
    </row>
    <row r="4704">
      <c r="A4704" s="4"/>
      <c r="B4704" s="4"/>
      <c r="C4704" s="4"/>
    </row>
    <row r="4705">
      <c r="A4705" s="4"/>
      <c r="B4705" s="4"/>
      <c r="C4705" s="4"/>
    </row>
    <row r="4706">
      <c r="A4706" s="4"/>
      <c r="B4706" s="4"/>
      <c r="C4706" s="4"/>
    </row>
    <row r="4707">
      <c r="A4707" s="4"/>
      <c r="B4707" s="4"/>
      <c r="C4707" s="4"/>
    </row>
    <row r="4708">
      <c r="A4708" s="4"/>
      <c r="B4708" s="4"/>
      <c r="C4708" s="4"/>
    </row>
    <row r="4709">
      <c r="A4709" s="4"/>
      <c r="B4709" s="4"/>
      <c r="C4709" s="4"/>
    </row>
    <row r="4710">
      <c r="A4710" s="4"/>
      <c r="B4710" s="4"/>
      <c r="C4710" s="4"/>
    </row>
    <row r="4711">
      <c r="A4711" s="4"/>
      <c r="B4711" s="4"/>
      <c r="C4711" s="4"/>
    </row>
    <row r="4712">
      <c r="A4712" s="4"/>
      <c r="B4712" s="4"/>
      <c r="C4712" s="4"/>
    </row>
    <row r="4713">
      <c r="A4713" s="4"/>
      <c r="B4713" s="4"/>
      <c r="C4713" s="4"/>
    </row>
    <row r="4714">
      <c r="A4714" s="4"/>
      <c r="B4714" s="4"/>
      <c r="C4714" s="4"/>
    </row>
    <row r="4715">
      <c r="A4715" s="4"/>
      <c r="B4715" s="4"/>
      <c r="C4715" s="4"/>
    </row>
    <row r="4716">
      <c r="A4716" s="4"/>
      <c r="B4716" s="4"/>
      <c r="C4716" s="4"/>
    </row>
    <row r="4717">
      <c r="A4717" s="4"/>
      <c r="B4717" s="4"/>
      <c r="C4717" s="4"/>
    </row>
    <row r="4718">
      <c r="A4718" s="4"/>
      <c r="B4718" s="4"/>
      <c r="C4718" s="4"/>
    </row>
    <row r="4719">
      <c r="A4719" s="4"/>
      <c r="B4719" s="4"/>
      <c r="C4719" s="4"/>
    </row>
    <row r="4720">
      <c r="A4720" s="4"/>
      <c r="B4720" s="4"/>
      <c r="C4720" s="4"/>
    </row>
    <row r="4721">
      <c r="A4721" s="4"/>
      <c r="B4721" s="4"/>
      <c r="C4721" s="4"/>
    </row>
    <row r="4722">
      <c r="A4722" s="4"/>
      <c r="B4722" s="4"/>
      <c r="C4722" s="4"/>
    </row>
    <row r="4723">
      <c r="A4723" s="4"/>
      <c r="B4723" s="4"/>
      <c r="C4723" s="4"/>
    </row>
    <row r="4724">
      <c r="A4724" s="4"/>
      <c r="B4724" s="4"/>
      <c r="C4724" s="4"/>
    </row>
    <row r="4725">
      <c r="A4725" s="4"/>
      <c r="B4725" s="4"/>
      <c r="C4725" s="4"/>
    </row>
    <row r="4726">
      <c r="A4726" s="4"/>
      <c r="B4726" s="4"/>
      <c r="C4726" s="4"/>
    </row>
    <row r="4727">
      <c r="A4727" s="4"/>
      <c r="B4727" s="4"/>
      <c r="C4727" s="4"/>
    </row>
    <row r="4728">
      <c r="A4728" s="4"/>
      <c r="B4728" s="4"/>
      <c r="C4728" s="4"/>
    </row>
    <row r="4729">
      <c r="A4729" s="4"/>
      <c r="B4729" s="4"/>
      <c r="C4729" s="4"/>
    </row>
    <row r="4730">
      <c r="A4730" s="4"/>
      <c r="B4730" s="4"/>
      <c r="C4730" s="4"/>
    </row>
    <row r="4731">
      <c r="A4731" s="4"/>
      <c r="B4731" s="4"/>
      <c r="C4731" s="4"/>
    </row>
    <row r="4732">
      <c r="A4732" s="4"/>
      <c r="B4732" s="4"/>
      <c r="C4732" s="4"/>
    </row>
    <row r="4733">
      <c r="A4733" s="4"/>
      <c r="B4733" s="4"/>
      <c r="C4733" s="4"/>
    </row>
    <row r="4734">
      <c r="A4734" s="4"/>
      <c r="B4734" s="4"/>
      <c r="C4734" s="4"/>
    </row>
    <row r="4735">
      <c r="A4735" s="4"/>
      <c r="B4735" s="4"/>
      <c r="C4735" s="4"/>
    </row>
    <row r="4736">
      <c r="A4736" s="4"/>
      <c r="B4736" s="4"/>
      <c r="C4736" s="4"/>
    </row>
    <row r="4737">
      <c r="A4737" s="4"/>
      <c r="B4737" s="4"/>
      <c r="C4737" s="4"/>
    </row>
    <row r="4738">
      <c r="A4738" s="4"/>
      <c r="B4738" s="4"/>
      <c r="C4738" s="4"/>
    </row>
    <row r="4739">
      <c r="A4739" s="4"/>
      <c r="B4739" s="4"/>
      <c r="C4739" s="4"/>
    </row>
    <row r="4740">
      <c r="A4740" s="4"/>
      <c r="B4740" s="4"/>
      <c r="C4740" s="4"/>
    </row>
    <row r="4741">
      <c r="A4741" s="4"/>
      <c r="B4741" s="4"/>
      <c r="C4741" s="4"/>
    </row>
    <row r="4742">
      <c r="A4742" s="4"/>
      <c r="B4742" s="4"/>
      <c r="C4742" s="4"/>
    </row>
    <row r="4743">
      <c r="A4743" s="4"/>
      <c r="B4743" s="4"/>
      <c r="C4743" s="4"/>
    </row>
    <row r="4744">
      <c r="A4744" s="4"/>
      <c r="B4744" s="4"/>
      <c r="C4744" s="4"/>
    </row>
    <row r="4745">
      <c r="A4745" s="4"/>
      <c r="B4745" s="4"/>
      <c r="C4745" s="4"/>
    </row>
    <row r="4746">
      <c r="A4746" s="4"/>
      <c r="B4746" s="4"/>
      <c r="C4746" s="4"/>
    </row>
    <row r="4747">
      <c r="A4747" s="4"/>
      <c r="B4747" s="4"/>
      <c r="C4747" s="4"/>
    </row>
    <row r="4748">
      <c r="A4748" s="4"/>
      <c r="B4748" s="4"/>
      <c r="C4748" s="4"/>
    </row>
    <row r="4749">
      <c r="A4749" s="4"/>
      <c r="B4749" s="4"/>
      <c r="C4749" s="4"/>
    </row>
    <row r="4750">
      <c r="A4750" s="4"/>
      <c r="B4750" s="4"/>
      <c r="C4750" s="4"/>
    </row>
    <row r="4751">
      <c r="A4751" s="4"/>
      <c r="B4751" s="4"/>
      <c r="C4751" s="4"/>
    </row>
    <row r="4752">
      <c r="A4752" s="4"/>
      <c r="B4752" s="4"/>
      <c r="C4752" s="4"/>
    </row>
    <row r="4753">
      <c r="A4753" s="4"/>
      <c r="B4753" s="4"/>
      <c r="C4753" s="4"/>
    </row>
    <row r="4754">
      <c r="A4754" s="4"/>
      <c r="B4754" s="4"/>
      <c r="C4754" s="4"/>
    </row>
    <row r="4755">
      <c r="A4755" s="4"/>
      <c r="B4755" s="4"/>
      <c r="C4755" s="4"/>
    </row>
    <row r="4756">
      <c r="A4756" s="4"/>
      <c r="B4756" s="4"/>
      <c r="C4756" s="4"/>
    </row>
    <row r="4757">
      <c r="A4757" s="4"/>
      <c r="B4757" s="4"/>
      <c r="C4757" s="4"/>
    </row>
    <row r="4758">
      <c r="A4758" s="4"/>
      <c r="B4758" s="4"/>
      <c r="C4758" s="4"/>
    </row>
    <row r="4759">
      <c r="A4759" s="4"/>
      <c r="B4759" s="4"/>
      <c r="C4759" s="4"/>
    </row>
    <row r="4760">
      <c r="A4760" s="4"/>
      <c r="B4760" s="4"/>
      <c r="C4760" s="4"/>
    </row>
    <row r="4761">
      <c r="A4761" s="4"/>
      <c r="B4761" s="4"/>
      <c r="C4761" s="4"/>
    </row>
    <row r="4762">
      <c r="A4762" s="4"/>
      <c r="B4762" s="4"/>
      <c r="C4762" s="4"/>
    </row>
    <row r="4763">
      <c r="A4763" s="4"/>
      <c r="B4763" s="4"/>
      <c r="C4763" s="4"/>
    </row>
    <row r="4764">
      <c r="A4764" s="4"/>
      <c r="B4764" s="4"/>
      <c r="C4764" s="4"/>
    </row>
    <row r="4765">
      <c r="A4765" s="4"/>
      <c r="B4765" s="4"/>
      <c r="C4765" s="4"/>
    </row>
    <row r="4766">
      <c r="A4766" s="4"/>
      <c r="B4766" s="4"/>
      <c r="C4766" s="4"/>
    </row>
    <row r="4767">
      <c r="A4767" s="4"/>
      <c r="B4767" s="4"/>
      <c r="C4767" s="4"/>
    </row>
    <row r="4768">
      <c r="A4768" s="4"/>
      <c r="B4768" s="4"/>
      <c r="C4768" s="4"/>
    </row>
    <row r="4769">
      <c r="A4769" s="4"/>
      <c r="B4769" s="4"/>
      <c r="C4769" s="4"/>
    </row>
    <row r="4770">
      <c r="A4770" s="4"/>
      <c r="B4770" s="4"/>
      <c r="C4770" s="4"/>
    </row>
    <row r="4771">
      <c r="A4771" s="4"/>
      <c r="B4771" s="4"/>
      <c r="C4771" s="4"/>
    </row>
    <row r="4772">
      <c r="A4772" s="4"/>
      <c r="B4772" s="4"/>
      <c r="C4772" s="4"/>
    </row>
    <row r="4773">
      <c r="A4773" s="4"/>
      <c r="B4773" s="4"/>
      <c r="C4773" s="4"/>
    </row>
    <row r="4774">
      <c r="A4774" s="4"/>
      <c r="B4774" s="4"/>
      <c r="C4774" s="4"/>
    </row>
    <row r="4775">
      <c r="A4775" s="4"/>
      <c r="B4775" s="4"/>
      <c r="C4775" s="4"/>
    </row>
    <row r="4776">
      <c r="A4776" s="4"/>
      <c r="B4776" s="4"/>
      <c r="C4776" s="4"/>
    </row>
    <row r="4777">
      <c r="A4777" s="4"/>
      <c r="B4777" s="4"/>
      <c r="C4777" s="4"/>
    </row>
    <row r="4778">
      <c r="A4778" s="4"/>
      <c r="B4778" s="4"/>
      <c r="C4778" s="4"/>
    </row>
    <row r="4779">
      <c r="A4779" s="4"/>
      <c r="B4779" s="4"/>
      <c r="C4779" s="4"/>
    </row>
    <row r="4780">
      <c r="A4780" s="4"/>
      <c r="B4780" s="4"/>
      <c r="C4780" s="4"/>
    </row>
    <row r="4781">
      <c r="A4781" s="4"/>
      <c r="B4781" s="4"/>
      <c r="C4781" s="4"/>
    </row>
    <row r="4782">
      <c r="A4782" s="4"/>
      <c r="B4782" s="4"/>
      <c r="C4782" s="4"/>
    </row>
    <row r="4783">
      <c r="A4783" s="4"/>
      <c r="B4783" s="4"/>
      <c r="C4783" s="4"/>
    </row>
    <row r="4784">
      <c r="A4784" s="4"/>
      <c r="B4784" s="4"/>
      <c r="C4784" s="4"/>
    </row>
    <row r="4785">
      <c r="A4785" s="4"/>
      <c r="B4785" s="4"/>
      <c r="C4785" s="4"/>
    </row>
    <row r="4786">
      <c r="A4786" s="4"/>
      <c r="B4786" s="4"/>
      <c r="C4786" s="4"/>
    </row>
    <row r="4787">
      <c r="A4787" s="4"/>
      <c r="B4787" s="4"/>
      <c r="C4787" s="4"/>
    </row>
    <row r="4788">
      <c r="A4788" s="4"/>
      <c r="B4788" s="4"/>
      <c r="C4788" s="4"/>
    </row>
    <row r="4789">
      <c r="A4789" s="4"/>
      <c r="B4789" s="4"/>
      <c r="C4789" s="4"/>
    </row>
    <row r="4790">
      <c r="A4790" s="4"/>
      <c r="B4790" s="4"/>
      <c r="C4790" s="4"/>
    </row>
    <row r="4791">
      <c r="A4791" s="4"/>
      <c r="B4791" s="4"/>
      <c r="C4791" s="4"/>
    </row>
    <row r="4792">
      <c r="A4792" s="4"/>
      <c r="B4792" s="4"/>
      <c r="C4792" s="4"/>
    </row>
    <row r="4793">
      <c r="A4793" s="4"/>
      <c r="B4793" s="4"/>
      <c r="C4793" s="4"/>
    </row>
    <row r="4794">
      <c r="A4794" s="4"/>
      <c r="B4794" s="4"/>
      <c r="C4794" s="4"/>
    </row>
    <row r="4795">
      <c r="A4795" s="4"/>
      <c r="B4795" s="4"/>
      <c r="C4795" s="4"/>
    </row>
    <row r="4796">
      <c r="A4796" s="4"/>
      <c r="B4796" s="4"/>
      <c r="C4796" s="4"/>
    </row>
    <row r="4797">
      <c r="A4797" s="4"/>
      <c r="B4797" s="4"/>
      <c r="C4797" s="4"/>
    </row>
    <row r="4798">
      <c r="A4798" s="4"/>
      <c r="B4798" s="4"/>
      <c r="C4798" s="4"/>
    </row>
    <row r="4799">
      <c r="A4799" s="4"/>
      <c r="B4799" s="4"/>
      <c r="C4799" s="4"/>
    </row>
    <row r="4800">
      <c r="A4800" s="4"/>
      <c r="B4800" s="4"/>
      <c r="C4800" s="4"/>
    </row>
    <row r="4801">
      <c r="A4801" s="4"/>
      <c r="B4801" s="4"/>
      <c r="C4801" s="4"/>
    </row>
    <row r="4802">
      <c r="A4802" s="4"/>
      <c r="B4802" s="4"/>
      <c r="C4802" s="4"/>
    </row>
    <row r="4803">
      <c r="A4803" s="4"/>
      <c r="B4803" s="4"/>
      <c r="C4803" s="4"/>
    </row>
    <row r="4804">
      <c r="A4804" s="4"/>
      <c r="B4804" s="4"/>
      <c r="C4804" s="4"/>
    </row>
    <row r="4805">
      <c r="A4805" s="4"/>
      <c r="B4805" s="4"/>
      <c r="C4805" s="4"/>
    </row>
    <row r="4806">
      <c r="A4806" s="4"/>
      <c r="B4806" s="4"/>
      <c r="C4806" s="4"/>
    </row>
    <row r="4807">
      <c r="A4807" s="4"/>
      <c r="B4807" s="4"/>
      <c r="C4807" s="4"/>
    </row>
    <row r="4808">
      <c r="A4808" s="4"/>
      <c r="B4808" s="4"/>
      <c r="C4808" s="4"/>
    </row>
    <row r="4809">
      <c r="A4809" s="4"/>
      <c r="B4809" s="4"/>
      <c r="C4809" s="4"/>
    </row>
    <row r="4810">
      <c r="A4810" s="4"/>
      <c r="B4810" s="4"/>
      <c r="C4810" s="4"/>
    </row>
    <row r="4811">
      <c r="A4811" s="4"/>
      <c r="B4811" s="4"/>
      <c r="C4811" s="4"/>
    </row>
    <row r="4812">
      <c r="A4812" s="4"/>
      <c r="B4812" s="4"/>
      <c r="C4812" s="4"/>
    </row>
    <row r="4813">
      <c r="A4813" s="4"/>
      <c r="B4813" s="4"/>
      <c r="C4813" s="4"/>
    </row>
    <row r="4814">
      <c r="A4814" s="4"/>
      <c r="B4814" s="4"/>
      <c r="C4814" s="4"/>
    </row>
    <row r="4815">
      <c r="A4815" s="4"/>
      <c r="B4815" s="4"/>
      <c r="C4815" s="4"/>
    </row>
    <row r="4816">
      <c r="A4816" s="4"/>
      <c r="B4816" s="4"/>
      <c r="C4816" s="4"/>
    </row>
    <row r="4817">
      <c r="A4817" s="4"/>
      <c r="B4817" s="4"/>
      <c r="C4817" s="4"/>
    </row>
    <row r="4818">
      <c r="A4818" s="4"/>
      <c r="B4818" s="4"/>
      <c r="C4818" s="4"/>
    </row>
    <row r="4819">
      <c r="A4819" s="4"/>
      <c r="B4819" s="4"/>
      <c r="C4819" s="4"/>
    </row>
    <row r="4820">
      <c r="A4820" s="4"/>
      <c r="B4820" s="4"/>
      <c r="C4820" s="4"/>
    </row>
    <row r="4821">
      <c r="A4821" s="4"/>
      <c r="B4821" s="4"/>
      <c r="C4821" s="4"/>
    </row>
    <row r="4822">
      <c r="A4822" s="4"/>
      <c r="B4822" s="4"/>
      <c r="C4822" s="4"/>
    </row>
    <row r="4823">
      <c r="A4823" s="4"/>
      <c r="B4823" s="4"/>
      <c r="C4823" s="4"/>
    </row>
    <row r="4824">
      <c r="A4824" s="4"/>
      <c r="B4824" s="4"/>
      <c r="C4824" s="4"/>
    </row>
    <row r="4825">
      <c r="A4825" s="4"/>
      <c r="B4825" s="4"/>
      <c r="C4825" s="4"/>
    </row>
    <row r="4826">
      <c r="A4826" s="4"/>
      <c r="B4826" s="4"/>
      <c r="C4826" s="4"/>
    </row>
    <row r="4827">
      <c r="A4827" s="4"/>
      <c r="B4827" s="4"/>
      <c r="C4827" s="4"/>
    </row>
    <row r="4828">
      <c r="A4828" s="4"/>
      <c r="B4828" s="4"/>
      <c r="C4828" s="4"/>
    </row>
    <row r="4829">
      <c r="A4829" s="4"/>
      <c r="B4829" s="4"/>
      <c r="C4829" s="4"/>
    </row>
    <row r="4830">
      <c r="A4830" s="4"/>
      <c r="B4830" s="4"/>
      <c r="C4830" s="4"/>
    </row>
    <row r="4831">
      <c r="A4831" s="4"/>
      <c r="B4831" s="4"/>
      <c r="C4831" s="4"/>
    </row>
    <row r="4832">
      <c r="A4832" s="4"/>
      <c r="B4832" s="4"/>
      <c r="C4832" s="4"/>
    </row>
    <row r="4833">
      <c r="A4833" s="4"/>
      <c r="B4833" s="4"/>
      <c r="C4833" s="4"/>
    </row>
    <row r="4834">
      <c r="A4834" s="4"/>
      <c r="B4834" s="4"/>
      <c r="C4834" s="4"/>
    </row>
    <row r="4835">
      <c r="A4835" s="4"/>
      <c r="B4835" s="4"/>
      <c r="C4835" s="4"/>
    </row>
    <row r="4836">
      <c r="A4836" s="4"/>
      <c r="B4836" s="4"/>
      <c r="C4836" s="4"/>
    </row>
    <row r="4837">
      <c r="A4837" s="4"/>
      <c r="B4837" s="4"/>
      <c r="C4837" s="4"/>
    </row>
    <row r="4838">
      <c r="A4838" s="4"/>
      <c r="B4838" s="4"/>
      <c r="C4838" s="4"/>
    </row>
    <row r="4839">
      <c r="A4839" s="4"/>
      <c r="B4839" s="4"/>
      <c r="C4839" s="4"/>
    </row>
    <row r="4840">
      <c r="A4840" s="4"/>
      <c r="B4840" s="4"/>
      <c r="C4840" s="4"/>
    </row>
    <row r="4841">
      <c r="A4841" s="4"/>
      <c r="B4841" s="4"/>
      <c r="C4841" s="4"/>
    </row>
    <row r="4842">
      <c r="A4842" s="4"/>
      <c r="B4842" s="4"/>
      <c r="C4842" s="4"/>
    </row>
    <row r="4843">
      <c r="A4843" s="4"/>
      <c r="B4843" s="4"/>
      <c r="C4843" s="4"/>
    </row>
    <row r="4844">
      <c r="A4844" s="4"/>
      <c r="B4844" s="4"/>
      <c r="C4844" s="4"/>
    </row>
    <row r="4845">
      <c r="A4845" s="4"/>
      <c r="B4845" s="4"/>
      <c r="C4845" s="4"/>
    </row>
    <row r="4846">
      <c r="A4846" s="4"/>
      <c r="B4846" s="4"/>
      <c r="C4846" s="4"/>
    </row>
    <row r="4847">
      <c r="A4847" s="4"/>
      <c r="B4847" s="4"/>
      <c r="C4847" s="4"/>
    </row>
    <row r="4848">
      <c r="A4848" s="4"/>
      <c r="B4848" s="4"/>
      <c r="C4848" s="4"/>
    </row>
    <row r="4849">
      <c r="A4849" s="4"/>
      <c r="B4849" s="4"/>
      <c r="C4849" s="4"/>
    </row>
    <row r="4850">
      <c r="A4850" s="4"/>
      <c r="B4850" s="4"/>
      <c r="C4850" s="4"/>
    </row>
    <row r="4851">
      <c r="A4851" s="4"/>
      <c r="B4851" s="4"/>
      <c r="C4851" s="4"/>
    </row>
    <row r="4852">
      <c r="A4852" s="4"/>
      <c r="B4852" s="4"/>
      <c r="C4852" s="4"/>
    </row>
    <row r="4853">
      <c r="A4853" s="4"/>
      <c r="B4853" s="4"/>
      <c r="C4853" s="4"/>
    </row>
    <row r="4854">
      <c r="A4854" s="4"/>
      <c r="B4854" s="4"/>
      <c r="C4854" s="4"/>
    </row>
    <row r="4855">
      <c r="A4855" s="4"/>
      <c r="B4855" s="4"/>
      <c r="C4855" s="4"/>
    </row>
    <row r="4856">
      <c r="A4856" s="4"/>
      <c r="B4856" s="4"/>
      <c r="C4856" s="4"/>
    </row>
    <row r="4857">
      <c r="A4857" s="4"/>
      <c r="B4857" s="4"/>
      <c r="C4857" s="4"/>
    </row>
    <row r="4858">
      <c r="A4858" s="4"/>
      <c r="B4858" s="4"/>
      <c r="C4858" s="4"/>
    </row>
    <row r="4859">
      <c r="A4859" s="4"/>
      <c r="B4859" s="4"/>
      <c r="C4859" s="4"/>
    </row>
    <row r="4860">
      <c r="A4860" s="4"/>
      <c r="B4860" s="4"/>
      <c r="C4860" s="4"/>
    </row>
    <row r="4861">
      <c r="A4861" s="4"/>
      <c r="B4861" s="4"/>
      <c r="C4861" s="4"/>
    </row>
    <row r="4862">
      <c r="A4862" s="4"/>
      <c r="B4862" s="4"/>
      <c r="C4862" s="4"/>
    </row>
    <row r="4863">
      <c r="A4863" s="4"/>
      <c r="B4863" s="4"/>
      <c r="C4863" s="4"/>
    </row>
    <row r="4864">
      <c r="A4864" s="4"/>
      <c r="B4864" s="4"/>
      <c r="C4864" s="4"/>
    </row>
    <row r="4865">
      <c r="A4865" s="4"/>
      <c r="B4865" s="4"/>
      <c r="C4865" s="4"/>
    </row>
    <row r="4866">
      <c r="A4866" s="4"/>
      <c r="B4866" s="4"/>
      <c r="C4866" s="4"/>
    </row>
    <row r="4867">
      <c r="A4867" s="4"/>
      <c r="B4867" s="4"/>
      <c r="C4867" s="4"/>
    </row>
    <row r="4868">
      <c r="A4868" s="4"/>
      <c r="B4868" s="4"/>
      <c r="C4868" s="4"/>
    </row>
    <row r="4869">
      <c r="A4869" s="4"/>
      <c r="B4869" s="4"/>
      <c r="C4869" s="4"/>
    </row>
    <row r="4870">
      <c r="A4870" s="4"/>
      <c r="B4870" s="4"/>
      <c r="C4870" s="4"/>
    </row>
    <row r="4871">
      <c r="A4871" s="4"/>
      <c r="B4871" s="4"/>
      <c r="C4871" s="4"/>
    </row>
    <row r="4872">
      <c r="A4872" s="4"/>
      <c r="B4872" s="4"/>
      <c r="C4872" s="4"/>
    </row>
    <row r="4873">
      <c r="A4873" s="4"/>
      <c r="B4873" s="4"/>
      <c r="C4873" s="4"/>
    </row>
    <row r="4874">
      <c r="A4874" s="4"/>
      <c r="B4874" s="4"/>
      <c r="C4874" s="4"/>
    </row>
    <row r="4875">
      <c r="A4875" s="4"/>
      <c r="B4875" s="4"/>
      <c r="C4875" s="4"/>
    </row>
    <row r="4876">
      <c r="A4876" s="4"/>
      <c r="B4876" s="4"/>
      <c r="C4876" s="4"/>
    </row>
    <row r="4877">
      <c r="A4877" s="4"/>
      <c r="B4877" s="4"/>
      <c r="C4877" s="4"/>
    </row>
    <row r="4878">
      <c r="A4878" s="4"/>
      <c r="B4878" s="4"/>
      <c r="C4878" s="4"/>
    </row>
    <row r="4879">
      <c r="A4879" s="4"/>
      <c r="B4879" s="4"/>
      <c r="C4879" s="4"/>
    </row>
    <row r="4880">
      <c r="A4880" s="4"/>
      <c r="B4880" s="4"/>
      <c r="C4880" s="4"/>
    </row>
    <row r="4881">
      <c r="A4881" s="4"/>
      <c r="B4881" s="4"/>
      <c r="C4881" s="4"/>
    </row>
    <row r="4882">
      <c r="A4882" s="4"/>
      <c r="B4882" s="4"/>
      <c r="C4882" s="4"/>
    </row>
    <row r="4883">
      <c r="A4883" s="4"/>
      <c r="B4883" s="4"/>
      <c r="C4883" s="4"/>
    </row>
    <row r="4884">
      <c r="A4884" s="4"/>
      <c r="B4884" s="4"/>
      <c r="C4884" s="4"/>
    </row>
    <row r="4885">
      <c r="A4885" s="4"/>
      <c r="B4885" s="4"/>
      <c r="C4885" s="4"/>
    </row>
    <row r="4886">
      <c r="A4886" s="4"/>
      <c r="B4886" s="4"/>
      <c r="C4886" s="4"/>
    </row>
    <row r="4887">
      <c r="A4887" s="4"/>
      <c r="B4887" s="4"/>
      <c r="C4887" s="4"/>
    </row>
    <row r="4888">
      <c r="A4888" s="4"/>
      <c r="B4888" s="4"/>
      <c r="C4888" s="4"/>
    </row>
    <row r="4889">
      <c r="A4889" s="4"/>
      <c r="B4889" s="4"/>
      <c r="C4889" s="4"/>
    </row>
    <row r="4890">
      <c r="A4890" s="4"/>
      <c r="B4890" s="4"/>
      <c r="C4890" s="4"/>
    </row>
    <row r="4891">
      <c r="A4891" s="4"/>
      <c r="B4891" s="4"/>
      <c r="C4891" s="4"/>
    </row>
    <row r="4892">
      <c r="A4892" s="4"/>
      <c r="B4892" s="4"/>
      <c r="C4892" s="4"/>
    </row>
    <row r="4893">
      <c r="A4893" s="4"/>
      <c r="B4893" s="4"/>
      <c r="C4893" s="4"/>
    </row>
    <row r="4894">
      <c r="A4894" s="4"/>
      <c r="B4894" s="4"/>
      <c r="C4894" s="4"/>
    </row>
    <row r="4895">
      <c r="A4895" s="4"/>
      <c r="B4895" s="4"/>
      <c r="C4895" s="4"/>
    </row>
    <row r="4896">
      <c r="A4896" s="4"/>
      <c r="B4896" s="4"/>
      <c r="C4896" s="4"/>
    </row>
    <row r="4897">
      <c r="A4897" s="4"/>
      <c r="B4897" s="4"/>
      <c r="C4897" s="4"/>
    </row>
    <row r="4898">
      <c r="A4898" s="4"/>
      <c r="B4898" s="4"/>
      <c r="C4898" s="4"/>
    </row>
    <row r="4899">
      <c r="A4899" s="4"/>
      <c r="B4899" s="4"/>
      <c r="C4899" s="4"/>
    </row>
    <row r="4900">
      <c r="A4900" s="4"/>
      <c r="B4900" s="4"/>
      <c r="C4900" s="4"/>
    </row>
    <row r="4901">
      <c r="A4901" s="4"/>
      <c r="B4901" s="4"/>
      <c r="C4901" s="4"/>
    </row>
    <row r="4902">
      <c r="A4902" s="4"/>
      <c r="B4902" s="4"/>
      <c r="C4902" s="4"/>
    </row>
    <row r="4903">
      <c r="A4903" s="4"/>
      <c r="B4903" s="4"/>
      <c r="C4903" s="4"/>
    </row>
    <row r="4904">
      <c r="A4904" s="4"/>
      <c r="B4904" s="4"/>
      <c r="C4904" s="4"/>
    </row>
    <row r="4905">
      <c r="A4905" s="4"/>
      <c r="B4905" s="4"/>
      <c r="C4905" s="4"/>
    </row>
    <row r="4906">
      <c r="A4906" s="4"/>
      <c r="B4906" s="4"/>
      <c r="C4906" s="4"/>
    </row>
    <row r="4907">
      <c r="A4907" s="4"/>
      <c r="B4907" s="4"/>
      <c r="C4907" s="4"/>
    </row>
    <row r="4908">
      <c r="A4908" s="4"/>
      <c r="B4908" s="4"/>
      <c r="C4908" s="4"/>
    </row>
    <row r="4909">
      <c r="A4909" s="4"/>
      <c r="B4909" s="4"/>
      <c r="C4909" s="4"/>
    </row>
    <row r="4910">
      <c r="A4910" s="4"/>
      <c r="B4910" s="4"/>
      <c r="C4910" s="4"/>
    </row>
    <row r="4911">
      <c r="A4911" s="4"/>
      <c r="B4911" s="4"/>
      <c r="C4911" s="4"/>
    </row>
    <row r="4912">
      <c r="A4912" s="4"/>
      <c r="B4912" s="4"/>
      <c r="C4912" s="4"/>
    </row>
    <row r="4913">
      <c r="A4913" s="4"/>
      <c r="B4913" s="4"/>
      <c r="C4913" s="4"/>
    </row>
    <row r="4914">
      <c r="A4914" s="4"/>
      <c r="B4914" s="4"/>
      <c r="C4914" s="4"/>
    </row>
    <row r="4915">
      <c r="A4915" s="4"/>
      <c r="B4915" s="4"/>
      <c r="C4915" s="4"/>
    </row>
    <row r="4916">
      <c r="A4916" s="4"/>
      <c r="B4916" s="4"/>
      <c r="C4916" s="4"/>
    </row>
    <row r="4917">
      <c r="A4917" s="4"/>
      <c r="B4917" s="4"/>
      <c r="C4917" s="4"/>
    </row>
    <row r="4918">
      <c r="A4918" s="4"/>
      <c r="B4918" s="4"/>
      <c r="C4918" s="4"/>
    </row>
    <row r="4919">
      <c r="A4919" s="4"/>
      <c r="B4919" s="4"/>
      <c r="C4919" s="4"/>
    </row>
    <row r="4920">
      <c r="A4920" s="4"/>
      <c r="B4920" s="4"/>
      <c r="C4920" s="4"/>
    </row>
    <row r="4921">
      <c r="A4921" s="4"/>
      <c r="B4921" s="4"/>
      <c r="C4921" s="4"/>
    </row>
    <row r="4922">
      <c r="A4922" s="4"/>
      <c r="B4922" s="4"/>
      <c r="C4922" s="4"/>
    </row>
    <row r="4923">
      <c r="A4923" s="4"/>
      <c r="B4923" s="4"/>
      <c r="C4923" s="4"/>
    </row>
    <row r="4924">
      <c r="A4924" s="4"/>
      <c r="B4924" s="4"/>
      <c r="C4924" s="4"/>
    </row>
    <row r="4925">
      <c r="A4925" s="4"/>
      <c r="B4925" s="4"/>
      <c r="C4925" s="4"/>
    </row>
    <row r="4926">
      <c r="A4926" s="4"/>
      <c r="B4926" s="4"/>
      <c r="C4926" s="4"/>
    </row>
    <row r="4927">
      <c r="A4927" s="4"/>
      <c r="B4927" s="4"/>
      <c r="C4927" s="4"/>
    </row>
    <row r="4928">
      <c r="A4928" s="4"/>
      <c r="B4928" s="4"/>
      <c r="C4928" s="4"/>
    </row>
    <row r="4929">
      <c r="A4929" s="4"/>
      <c r="B4929" s="4"/>
      <c r="C4929" s="4"/>
    </row>
    <row r="4930">
      <c r="A4930" s="4"/>
      <c r="B4930" s="4"/>
      <c r="C4930" s="4"/>
    </row>
    <row r="4931">
      <c r="A4931" s="4"/>
      <c r="B4931" s="4"/>
      <c r="C4931" s="4"/>
    </row>
    <row r="4932">
      <c r="A4932" s="4"/>
      <c r="B4932" s="4"/>
      <c r="C4932" s="4"/>
    </row>
    <row r="4933">
      <c r="A4933" s="4"/>
      <c r="B4933" s="4"/>
      <c r="C4933" s="4"/>
    </row>
    <row r="4934">
      <c r="A4934" s="4"/>
      <c r="B4934" s="4"/>
      <c r="C4934" s="4"/>
    </row>
    <row r="4935">
      <c r="A4935" s="4"/>
      <c r="B4935" s="4"/>
      <c r="C4935" s="4"/>
    </row>
    <row r="4936">
      <c r="A4936" s="4"/>
      <c r="B4936" s="4"/>
      <c r="C4936" s="4"/>
    </row>
    <row r="4937">
      <c r="A4937" s="4"/>
      <c r="B4937" s="4"/>
      <c r="C4937" s="4"/>
    </row>
    <row r="4938">
      <c r="A4938" s="4"/>
      <c r="B4938" s="4"/>
      <c r="C4938" s="4"/>
    </row>
    <row r="4939">
      <c r="A4939" s="4"/>
      <c r="B4939" s="4"/>
      <c r="C4939" s="4"/>
    </row>
    <row r="4940">
      <c r="A4940" s="4"/>
      <c r="B4940" s="4"/>
      <c r="C4940" s="4"/>
    </row>
    <row r="4941">
      <c r="A4941" s="4"/>
      <c r="B4941" s="4"/>
      <c r="C4941" s="4"/>
    </row>
    <row r="4942">
      <c r="A4942" s="4"/>
      <c r="B4942" s="4"/>
      <c r="C4942" s="4"/>
    </row>
    <row r="4943">
      <c r="A4943" s="4"/>
      <c r="B4943" s="4"/>
      <c r="C4943" s="4"/>
    </row>
    <row r="4944">
      <c r="A4944" s="4"/>
      <c r="B4944" s="4"/>
      <c r="C4944" s="4"/>
    </row>
    <row r="4945">
      <c r="A4945" s="4"/>
      <c r="B4945" s="4"/>
      <c r="C4945" s="4"/>
    </row>
    <row r="4946">
      <c r="A4946" s="4"/>
      <c r="B4946" s="4"/>
      <c r="C4946" s="4"/>
    </row>
    <row r="4947">
      <c r="A4947" s="4"/>
      <c r="B4947" s="4"/>
      <c r="C4947" s="4"/>
    </row>
    <row r="4948">
      <c r="A4948" s="4"/>
      <c r="B4948" s="4"/>
      <c r="C4948" s="4"/>
    </row>
    <row r="4949">
      <c r="A4949" s="4"/>
      <c r="B4949" s="4"/>
      <c r="C4949" s="4"/>
    </row>
    <row r="4950">
      <c r="A4950" s="4"/>
      <c r="B4950" s="4"/>
      <c r="C4950" s="4"/>
    </row>
    <row r="4951">
      <c r="A4951" s="4"/>
      <c r="B4951" s="4"/>
      <c r="C4951" s="4"/>
    </row>
    <row r="4952">
      <c r="A4952" s="4"/>
      <c r="B4952" s="4"/>
      <c r="C4952" s="4"/>
    </row>
    <row r="4953">
      <c r="A4953" s="4"/>
      <c r="B4953" s="4"/>
      <c r="C4953" s="4"/>
    </row>
    <row r="4954">
      <c r="A4954" s="4"/>
      <c r="B4954" s="4"/>
      <c r="C4954" s="4"/>
    </row>
    <row r="4955">
      <c r="A4955" s="4"/>
      <c r="B4955" s="4"/>
      <c r="C4955" s="4"/>
    </row>
    <row r="4956">
      <c r="A4956" s="4"/>
      <c r="B4956" s="4"/>
      <c r="C4956" s="4"/>
    </row>
    <row r="4957">
      <c r="A4957" s="4"/>
      <c r="B4957" s="4"/>
      <c r="C4957" s="4"/>
    </row>
    <row r="4958">
      <c r="A4958" s="4"/>
      <c r="B4958" s="4"/>
      <c r="C4958" s="4"/>
    </row>
    <row r="4959">
      <c r="A4959" s="4"/>
      <c r="B4959" s="4"/>
      <c r="C4959" s="4"/>
    </row>
    <row r="4960">
      <c r="A4960" s="4"/>
      <c r="B4960" s="4"/>
      <c r="C4960" s="4"/>
    </row>
    <row r="4961">
      <c r="A4961" s="4"/>
      <c r="B4961" s="4"/>
      <c r="C4961" s="4"/>
    </row>
    <row r="4962">
      <c r="A4962" s="4"/>
      <c r="B4962" s="4"/>
      <c r="C4962" s="4"/>
    </row>
    <row r="4963">
      <c r="A4963" s="4"/>
      <c r="B4963" s="4"/>
      <c r="C4963" s="4"/>
    </row>
    <row r="4964">
      <c r="A4964" s="4"/>
      <c r="B4964" s="4"/>
      <c r="C4964" s="4"/>
    </row>
    <row r="4965">
      <c r="A4965" s="4"/>
      <c r="B4965" s="4"/>
      <c r="C4965" s="4"/>
    </row>
    <row r="4966">
      <c r="A4966" s="4"/>
      <c r="B4966" s="4"/>
      <c r="C4966" s="4"/>
    </row>
    <row r="4967">
      <c r="A4967" s="4"/>
      <c r="B4967" s="4"/>
      <c r="C4967" s="4"/>
    </row>
    <row r="4968">
      <c r="A4968" s="4"/>
      <c r="B4968" s="4"/>
      <c r="C4968" s="4"/>
    </row>
    <row r="4969">
      <c r="A4969" s="4"/>
      <c r="B4969" s="4"/>
      <c r="C4969" s="4"/>
    </row>
    <row r="4970">
      <c r="A4970" s="4"/>
      <c r="B4970" s="4"/>
      <c r="C4970" s="4"/>
    </row>
    <row r="4971">
      <c r="A4971" s="4"/>
      <c r="B4971" s="4"/>
      <c r="C4971" s="4"/>
    </row>
    <row r="4972">
      <c r="A4972" s="4"/>
      <c r="B4972" s="4"/>
      <c r="C4972" s="4"/>
    </row>
    <row r="4973">
      <c r="A4973" s="4"/>
      <c r="B4973" s="4"/>
      <c r="C4973" s="4"/>
    </row>
    <row r="4974">
      <c r="A4974" s="4"/>
      <c r="B4974" s="4"/>
      <c r="C4974" s="4"/>
    </row>
    <row r="4975">
      <c r="A4975" s="4"/>
      <c r="B4975" s="4"/>
      <c r="C4975" s="4"/>
    </row>
    <row r="4976">
      <c r="A4976" s="4"/>
      <c r="B4976" s="4"/>
      <c r="C4976" s="4"/>
    </row>
    <row r="4977">
      <c r="A4977" s="4"/>
      <c r="B4977" s="4"/>
      <c r="C4977" s="4"/>
    </row>
    <row r="4978">
      <c r="A4978" s="4"/>
      <c r="B4978" s="4"/>
      <c r="C4978" s="4"/>
    </row>
    <row r="4979">
      <c r="A4979" s="4"/>
      <c r="B4979" s="4"/>
      <c r="C4979" s="4"/>
    </row>
    <row r="4980">
      <c r="A4980" s="4"/>
      <c r="B4980" s="4"/>
      <c r="C4980" s="4"/>
    </row>
    <row r="4981">
      <c r="A4981" s="4"/>
      <c r="B4981" s="4"/>
      <c r="C4981" s="4"/>
    </row>
    <row r="4982">
      <c r="A4982" s="4"/>
      <c r="B4982" s="4"/>
      <c r="C4982" s="4"/>
    </row>
    <row r="4983">
      <c r="A4983" s="4"/>
      <c r="B4983" s="4"/>
      <c r="C4983" s="4"/>
    </row>
    <row r="4984">
      <c r="A4984" s="4"/>
      <c r="B4984" s="4"/>
      <c r="C4984" s="4"/>
    </row>
    <row r="4985">
      <c r="A4985" s="4"/>
      <c r="B4985" s="4"/>
      <c r="C4985" s="4"/>
    </row>
    <row r="4986">
      <c r="A4986" s="4"/>
      <c r="B4986" s="4"/>
      <c r="C4986" s="4"/>
    </row>
    <row r="4987">
      <c r="A4987" s="4"/>
      <c r="B4987" s="4"/>
      <c r="C4987" s="4"/>
    </row>
    <row r="4988">
      <c r="A4988" s="4"/>
      <c r="B4988" s="4"/>
      <c r="C4988" s="4"/>
    </row>
    <row r="4989">
      <c r="A4989" s="4"/>
      <c r="B4989" s="4"/>
      <c r="C4989" s="4"/>
    </row>
    <row r="4990">
      <c r="A4990" s="4"/>
      <c r="B4990" s="4"/>
      <c r="C4990" s="4"/>
    </row>
    <row r="4991">
      <c r="A4991" s="4"/>
      <c r="B4991" s="4"/>
      <c r="C4991" s="4"/>
    </row>
    <row r="4992">
      <c r="A4992" s="4"/>
      <c r="B4992" s="4"/>
      <c r="C4992" s="4"/>
    </row>
    <row r="4993">
      <c r="A4993" s="4"/>
      <c r="B4993" s="4"/>
      <c r="C4993" s="4"/>
    </row>
    <row r="4994">
      <c r="A4994" s="4"/>
      <c r="B4994" s="4"/>
      <c r="C4994" s="4"/>
    </row>
    <row r="4995">
      <c r="A4995" s="4"/>
      <c r="B4995" s="4"/>
      <c r="C4995" s="4"/>
    </row>
    <row r="4996">
      <c r="A4996" s="4"/>
      <c r="B4996" s="4"/>
      <c r="C4996" s="4"/>
    </row>
    <row r="4997">
      <c r="A4997" s="4"/>
      <c r="B4997" s="4"/>
      <c r="C4997" s="4"/>
    </row>
    <row r="4998">
      <c r="A4998" s="4"/>
      <c r="B4998" s="4"/>
      <c r="C4998" s="4"/>
    </row>
    <row r="4999">
      <c r="A4999" s="4"/>
      <c r="B4999" s="4"/>
      <c r="C4999" s="4"/>
    </row>
    <row r="5000">
      <c r="A5000" s="4"/>
      <c r="B5000" s="4"/>
      <c r="C5000" s="4"/>
    </row>
    <row r="5001">
      <c r="A5001" s="4"/>
      <c r="B5001" s="4"/>
      <c r="C5001" s="4"/>
    </row>
    <row r="5002">
      <c r="A5002" s="4"/>
      <c r="B5002" s="4"/>
      <c r="C5002" s="4"/>
    </row>
    <row r="5003">
      <c r="A5003" s="4"/>
      <c r="B5003" s="4"/>
      <c r="C5003" s="4"/>
    </row>
    <row r="5004">
      <c r="A5004" s="4"/>
      <c r="B5004" s="4"/>
      <c r="C5004" s="4"/>
    </row>
    <row r="5005">
      <c r="A5005" s="4"/>
      <c r="B5005" s="4"/>
      <c r="C5005" s="4"/>
    </row>
    <row r="5006">
      <c r="A5006" s="4"/>
      <c r="B5006" s="4"/>
      <c r="C5006" s="4"/>
    </row>
    <row r="5007">
      <c r="A5007" s="4"/>
      <c r="B5007" s="4"/>
      <c r="C5007" s="4"/>
    </row>
    <row r="5008">
      <c r="A5008" s="4"/>
      <c r="B5008" s="4"/>
      <c r="C5008" s="4"/>
    </row>
    <row r="5009">
      <c r="A5009" s="4"/>
      <c r="B5009" s="4"/>
      <c r="C5009" s="4"/>
    </row>
    <row r="5010">
      <c r="A5010" s="4"/>
      <c r="B5010" s="4"/>
      <c r="C5010" s="4"/>
    </row>
    <row r="5011">
      <c r="A5011" s="4"/>
      <c r="B5011" s="4"/>
      <c r="C5011" s="4"/>
    </row>
    <row r="5012">
      <c r="A5012" s="4"/>
      <c r="B5012" s="4"/>
      <c r="C5012" s="4"/>
    </row>
    <row r="5013">
      <c r="A5013" s="4"/>
      <c r="B5013" s="4"/>
      <c r="C5013" s="4"/>
    </row>
    <row r="5014">
      <c r="A5014" s="4"/>
      <c r="B5014" s="4"/>
      <c r="C5014" s="4"/>
    </row>
    <row r="5015">
      <c r="A5015" s="4"/>
      <c r="B5015" s="4"/>
      <c r="C5015" s="4"/>
    </row>
    <row r="5016">
      <c r="A5016" s="4"/>
      <c r="B5016" s="4"/>
      <c r="C5016" s="4"/>
    </row>
    <row r="5017">
      <c r="A5017" s="4"/>
      <c r="B5017" s="4"/>
      <c r="C5017" s="4"/>
    </row>
    <row r="5018">
      <c r="A5018" s="4"/>
      <c r="B5018" s="4"/>
      <c r="C5018" s="4"/>
    </row>
    <row r="5019">
      <c r="A5019" s="4"/>
      <c r="B5019" s="4"/>
      <c r="C5019" s="4"/>
    </row>
    <row r="5020">
      <c r="A5020" s="4"/>
      <c r="B5020" s="4"/>
      <c r="C5020" s="4"/>
    </row>
    <row r="5021">
      <c r="A5021" s="4"/>
      <c r="B5021" s="4"/>
      <c r="C5021" s="4"/>
    </row>
    <row r="5022">
      <c r="A5022" s="4"/>
      <c r="B5022" s="4"/>
      <c r="C5022" s="4"/>
    </row>
    <row r="5023">
      <c r="A5023" s="4"/>
      <c r="B5023" s="4"/>
      <c r="C5023" s="4"/>
    </row>
    <row r="5024">
      <c r="A5024" s="4"/>
      <c r="B5024" s="4"/>
      <c r="C5024" s="4"/>
    </row>
    <row r="5025">
      <c r="A5025" s="4"/>
      <c r="B5025" s="4"/>
      <c r="C5025" s="4"/>
    </row>
    <row r="5026">
      <c r="A5026" s="4"/>
      <c r="B5026" s="4"/>
      <c r="C5026" s="4"/>
    </row>
    <row r="5027">
      <c r="A5027" s="4"/>
      <c r="B5027" s="4"/>
      <c r="C5027" s="4"/>
    </row>
    <row r="5028">
      <c r="A5028" s="4"/>
      <c r="B5028" s="4"/>
      <c r="C5028" s="4"/>
    </row>
    <row r="5029">
      <c r="A5029" s="4"/>
      <c r="B5029" s="4"/>
      <c r="C5029" s="4"/>
    </row>
    <row r="5030">
      <c r="A5030" s="4"/>
      <c r="B5030" s="4"/>
      <c r="C5030" s="4"/>
    </row>
    <row r="5031">
      <c r="A5031" s="4"/>
      <c r="B5031" s="4"/>
      <c r="C5031" s="4"/>
    </row>
    <row r="5032">
      <c r="A5032" s="4"/>
      <c r="B5032" s="4"/>
      <c r="C5032" s="4"/>
    </row>
    <row r="5033">
      <c r="A5033" s="4"/>
      <c r="B5033" s="4"/>
      <c r="C5033" s="4"/>
    </row>
    <row r="5034">
      <c r="A5034" s="4"/>
      <c r="B5034" s="4"/>
      <c r="C5034" s="4"/>
    </row>
    <row r="5035">
      <c r="A5035" s="4"/>
      <c r="B5035" s="4"/>
      <c r="C5035" s="4"/>
    </row>
    <row r="5036">
      <c r="A5036" s="4"/>
      <c r="B5036" s="4"/>
      <c r="C5036" s="4"/>
    </row>
    <row r="5037">
      <c r="A5037" s="4"/>
      <c r="B5037" s="4"/>
      <c r="C5037" s="4"/>
    </row>
    <row r="5038">
      <c r="A5038" s="4"/>
      <c r="B5038" s="4"/>
      <c r="C5038" s="4"/>
    </row>
    <row r="5039">
      <c r="A5039" s="4"/>
      <c r="B5039" s="4"/>
      <c r="C5039" s="4"/>
    </row>
    <row r="5040">
      <c r="A5040" s="4"/>
      <c r="B5040" s="4"/>
      <c r="C5040" s="4"/>
    </row>
    <row r="5041">
      <c r="A5041" s="4"/>
      <c r="B5041" s="4"/>
      <c r="C5041" s="4"/>
    </row>
    <row r="5042">
      <c r="A5042" s="4"/>
      <c r="B5042" s="4"/>
      <c r="C5042" s="4"/>
    </row>
    <row r="5043">
      <c r="A5043" s="4"/>
      <c r="B5043" s="4"/>
      <c r="C5043" s="4"/>
    </row>
    <row r="5044">
      <c r="A5044" s="4"/>
      <c r="B5044" s="4"/>
      <c r="C5044" s="4"/>
    </row>
    <row r="5045">
      <c r="A5045" s="4"/>
      <c r="B5045" s="4"/>
      <c r="C5045" s="4"/>
    </row>
    <row r="5046">
      <c r="A5046" s="4"/>
      <c r="B5046" s="4"/>
      <c r="C5046" s="4"/>
    </row>
    <row r="5047">
      <c r="A5047" s="4"/>
      <c r="B5047" s="4"/>
      <c r="C5047" s="4"/>
    </row>
    <row r="5048">
      <c r="A5048" s="4"/>
      <c r="B5048" s="4"/>
      <c r="C5048" s="4"/>
    </row>
    <row r="5049">
      <c r="A5049" s="4"/>
      <c r="B5049" s="4"/>
      <c r="C5049" s="4"/>
    </row>
    <row r="5050">
      <c r="A5050" s="4"/>
      <c r="B5050" s="4"/>
      <c r="C5050" s="4"/>
    </row>
    <row r="5051">
      <c r="A5051" s="4"/>
      <c r="B5051" s="4"/>
      <c r="C5051" s="4"/>
    </row>
    <row r="5052">
      <c r="A5052" s="4"/>
      <c r="B5052" s="4"/>
      <c r="C5052" s="4"/>
    </row>
    <row r="5053">
      <c r="A5053" s="4"/>
      <c r="B5053" s="4"/>
      <c r="C5053" s="4"/>
    </row>
    <row r="5054">
      <c r="A5054" s="4"/>
      <c r="B5054" s="4"/>
      <c r="C5054" s="4"/>
    </row>
    <row r="5055">
      <c r="A5055" s="4"/>
      <c r="B5055" s="4"/>
      <c r="C5055" s="4"/>
    </row>
    <row r="5056">
      <c r="A5056" s="4"/>
      <c r="B5056" s="4"/>
      <c r="C5056" s="4"/>
    </row>
    <row r="5057">
      <c r="A5057" s="4"/>
      <c r="B5057" s="4"/>
      <c r="C5057" s="4"/>
    </row>
    <row r="5058">
      <c r="A5058" s="4"/>
      <c r="B5058" s="4"/>
      <c r="C5058" s="4"/>
    </row>
    <row r="5059">
      <c r="A5059" s="4"/>
      <c r="B5059" s="4"/>
      <c r="C5059" s="4"/>
    </row>
    <row r="5060">
      <c r="A5060" s="4"/>
      <c r="B5060" s="4"/>
      <c r="C5060" s="4"/>
    </row>
    <row r="5061">
      <c r="A5061" s="4"/>
      <c r="B5061" s="4"/>
      <c r="C5061" s="4"/>
    </row>
    <row r="5062">
      <c r="A5062" s="4"/>
      <c r="B5062" s="4"/>
      <c r="C5062" s="4"/>
    </row>
    <row r="5063">
      <c r="A5063" s="4"/>
      <c r="B5063" s="4"/>
      <c r="C5063" s="4"/>
    </row>
    <row r="5064">
      <c r="A5064" s="4"/>
      <c r="B5064" s="4"/>
      <c r="C5064" s="4"/>
    </row>
    <row r="5065">
      <c r="A5065" s="4"/>
      <c r="B5065" s="4"/>
      <c r="C5065" s="4"/>
    </row>
    <row r="5066">
      <c r="A5066" s="4"/>
      <c r="B5066" s="4"/>
      <c r="C5066" s="4"/>
    </row>
    <row r="5067">
      <c r="A5067" s="4"/>
      <c r="B5067" s="4"/>
      <c r="C5067" s="4"/>
    </row>
    <row r="5068">
      <c r="A5068" s="4"/>
      <c r="B5068" s="4"/>
      <c r="C5068" s="4"/>
    </row>
    <row r="5069">
      <c r="A5069" s="4"/>
      <c r="B5069" s="4"/>
      <c r="C5069" s="4"/>
    </row>
    <row r="5070">
      <c r="A5070" s="4"/>
      <c r="B5070" s="4"/>
      <c r="C5070" s="4"/>
    </row>
    <row r="5071">
      <c r="A5071" s="4"/>
      <c r="B5071" s="4"/>
      <c r="C5071" s="4"/>
    </row>
    <row r="5072">
      <c r="A5072" s="4"/>
      <c r="B5072" s="4"/>
      <c r="C5072" s="4"/>
    </row>
    <row r="5073">
      <c r="A5073" s="4"/>
      <c r="B5073" s="4"/>
      <c r="C5073" s="4"/>
    </row>
    <row r="5074">
      <c r="A5074" s="4"/>
      <c r="B5074" s="4"/>
      <c r="C5074" s="4"/>
    </row>
    <row r="5075">
      <c r="A5075" s="4"/>
      <c r="B5075" s="4"/>
      <c r="C5075" s="4"/>
    </row>
    <row r="5076">
      <c r="A5076" s="4"/>
      <c r="B5076" s="4"/>
      <c r="C5076" s="4"/>
    </row>
    <row r="5077">
      <c r="A5077" s="4"/>
      <c r="B5077" s="4"/>
      <c r="C5077" s="4"/>
    </row>
    <row r="5078">
      <c r="A5078" s="4"/>
      <c r="B5078" s="4"/>
      <c r="C5078" s="4"/>
    </row>
    <row r="5079">
      <c r="A5079" s="4"/>
      <c r="B5079" s="4"/>
      <c r="C5079" s="4"/>
    </row>
    <row r="5080">
      <c r="A5080" s="4"/>
      <c r="B5080" s="4"/>
      <c r="C5080" s="4"/>
    </row>
    <row r="5081">
      <c r="A5081" s="4"/>
      <c r="B5081" s="4"/>
      <c r="C5081" s="4"/>
    </row>
    <row r="5082">
      <c r="A5082" s="4"/>
      <c r="B5082" s="4"/>
      <c r="C5082" s="4"/>
    </row>
    <row r="5083">
      <c r="A5083" s="4"/>
      <c r="B5083" s="4"/>
      <c r="C5083" s="4"/>
    </row>
    <row r="5084">
      <c r="A5084" s="4"/>
      <c r="B5084" s="4"/>
      <c r="C5084" s="4"/>
    </row>
    <row r="5085">
      <c r="A5085" s="4"/>
      <c r="B5085" s="4"/>
      <c r="C5085" s="4"/>
    </row>
    <row r="5086">
      <c r="A5086" s="4"/>
      <c r="B5086" s="4"/>
      <c r="C5086" s="4"/>
    </row>
    <row r="5087">
      <c r="A5087" s="4"/>
      <c r="B5087" s="4"/>
      <c r="C5087" s="4"/>
    </row>
    <row r="5088">
      <c r="A5088" s="4"/>
      <c r="B5088" s="4"/>
      <c r="C5088" s="4"/>
    </row>
    <row r="5089">
      <c r="A5089" s="4"/>
      <c r="B5089" s="4"/>
      <c r="C5089" s="4"/>
    </row>
    <row r="5090">
      <c r="A5090" s="4"/>
      <c r="B5090" s="4"/>
      <c r="C5090" s="4"/>
    </row>
    <row r="5091">
      <c r="A5091" s="4"/>
      <c r="B5091" s="4"/>
      <c r="C5091" s="4"/>
    </row>
    <row r="5092">
      <c r="A5092" s="4"/>
      <c r="B5092" s="4"/>
      <c r="C5092" s="4"/>
    </row>
    <row r="5093">
      <c r="A5093" s="4"/>
      <c r="B5093" s="4"/>
      <c r="C5093" s="4"/>
    </row>
    <row r="5094">
      <c r="A5094" s="4"/>
      <c r="B5094" s="4"/>
      <c r="C5094" s="4"/>
    </row>
    <row r="5095">
      <c r="A5095" s="4"/>
      <c r="B5095" s="4"/>
      <c r="C5095" s="4"/>
    </row>
    <row r="5096">
      <c r="A5096" s="4"/>
      <c r="B5096" s="4"/>
      <c r="C5096" s="4"/>
    </row>
    <row r="5097">
      <c r="A5097" s="4"/>
      <c r="B5097" s="4"/>
      <c r="C5097" s="4"/>
    </row>
    <row r="5098">
      <c r="A5098" s="4"/>
      <c r="B5098" s="4"/>
      <c r="C5098" s="4"/>
    </row>
    <row r="5099">
      <c r="A5099" s="4"/>
      <c r="B5099" s="4"/>
      <c r="C5099" s="4"/>
    </row>
    <row r="5100">
      <c r="A5100" s="4"/>
      <c r="B5100" s="4"/>
      <c r="C5100" s="4"/>
    </row>
    <row r="5101">
      <c r="A5101" s="4"/>
      <c r="B5101" s="4"/>
      <c r="C5101" s="4"/>
    </row>
    <row r="5102">
      <c r="A5102" s="4"/>
      <c r="B5102" s="4"/>
      <c r="C5102" s="4"/>
    </row>
    <row r="5103">
      <c r="A5103" s="4"/>
      <c r="B5103" s="4"/>
      <c r="C5103" s="4"/>
    </row>
    <row r="5104">
      <c r="A5104" s="4"/>
      <c r="B5104" s="4"/>
      <c r="C5104" s="4"/>
    </row>
    <row r="5105">
      <c r="A5105" s="4"/>
      <c r="B5105" s="4"/>
      <c r="C5105" s="4"/>
    </row>
    <row r="5106">
      <c r="A5106" s="4"/>
      <c r="B5106" s="4"/>
      <c r="C5106" s="4"/>
    </row>
    <row r="5107">
      <c r="A5107" s="4"/>
      <c r="B5107" s="4"/>
      <c r="C5107" s="4"/>
    </row>
    <row r="5108">
      <c r="A5108" s="4"/>
      <c r="B5108" s="4"/>
      <c r="C5108" s="4"/>
    </row>
    <row r="5109">
      <c r="A5109" s="4"/>
      <c r="B5109" s="4"/>
      <c r="C5109" s="4"/>
    </row>
    <row r="5110">
      <c r="A5110" s="4"/>
      <c r="B5110" s="4"/>
      <c r="C5110" s="4"/>
    </row>
    <row r="5111">
      <c r="A5111" s="4"/>
      <c r="B5111" s="4"/>
      <c r="C5111" s="4"/>
    </row>
    <row r="5112">
      <c r="A5112" s="4"/>
      <c r="B5112" s="4"/>
      <c r="C5112" s="4"/>
    </row>
    <row r="5113">
      <c r="A5113" s="4"/>
      <c r="B5113" s="4"/>
      <c r="C5113" s="4"/>
    </row>
    <row r="5114">
      <c r="A5114" s="4"/>
      <c r="B5114" s="4"/>
      <c r="C5114" s="4"/>
    </row>
    <row r="5115">
      <c r="A5115" s="4"/>
      <c r="B5115" s="4"/>
      <c r="C5115" s="4"/>
    </row>
    <row r="5116">
      <c r="A5116" s="4"/>
      <c r="B5116" s="4"/>
      <c r="C5116" s="4"/>
    </row>
    <row r="5117">
      <c r="A5117" s="4"/>
      <c r="B5117" s="4"/>
      <c r="C5117" s="4"/>
    </row>
    <row r="5118">
      <c r="A5118" s="4"/>
      <c r="B5118" s="4"/>
      <c r="C5118" s="4"/>
    </row>
    <row r="5119">
      <c r="A5119" s="4"/>
      <c r="B5119" s="4"/>
      <c r="C5119" s="4"/>
    </row>
    <row r="5120">
      <c r="A5120" s="4"/>
      <c r="B5120" s="4"/>
      <c r="C5120" s="4"/>
    </row>
    <row r="5121">
      <c r="A5121" s="4"/>
      <c r="B5121" s="4"/>
      <c r="C5121" s="4"/>
    </row>
    <row r="5122">
      <c r="A5122" s="4"/>
      <c r="B5122" s="4"/>
      <c r="C5122" s="4"/>
    </row>
    <row r="5123">
      <c r="A5123" s="4"/>
      <c r="B5123" s="4"/>
      <c r="C5123" s="4"/>
    </row>
    <row r="5124">
      <c r="A5124" s="4"/>
      <c r="B5124" s="4"/>
      <c r="C5124" s="4"/>
    </row>
    <row r="5125">
      <c r="A5125" s="4"/>
      <c r="B5125" s="4"/>
      <c r="C5125" s="4"/>
    </row>
    <row r="5126">
      <c r="A5126" s="4"/>
      <c r="B5126" s="4"/>
      <c r="C5126" s="4"/>
    </row>
    <row r="5127">
      <c r="A5127" s="4"/>
      <c r="B5127" s="4"/>
      <c r="C5127" s="4"/>
    </row>
    <row r="5128">
      <c r="A5128" s="4"/>
      <c r="B5128" s="4"/>
      <c r="C5128" s="4"/>
    </row>
    <row r="5129">
      <c r="A5129" s="4"/>
      <c r="B5129" s="4"/>
      <c r="C5129" s="4"/>
    </row>
    <row r="5130">
      <c r="A5130" s="4"/>
      <c r="B5130" s="4"/>
      <c r="C5130" s="4"/>
    </row>
    <row r="5131">
      <c r="A5131" s="4"/>
      <c r="B5131" s="4"/>
      <c r="C5131" s="4"/>
    </row>
    <row r="5132">
      <c r="A5132" s="4"/>
      <c r="B5132" s="4"/>
      <c r="C5132" s="4"/>
    </row>
    <row r="5133">
      <c r="A5133" s="4"/>
      <c r="B5133" s="4"/>
      <c r="C5133" s="4"/>
    </row>
    <row r="5134">
      <c r="A5134" s="4"/>
      <c r="B5134" s="4"/>
      <c r="C5134" s="4"/>
    </row>
    <row r="5135">
      <c r="A5135" s="4"/>
      <c r="B5135" s="4"/>
      <c r="C5135" s="4"/>
    </row>
    <row r="5136">
      <c r="A5136" s="4"/>
      <c r="B5136" s="4"/>
      <c r="C5136" s="4"/>
    </row>
    <row r="5137">
      <c r="A5137" s="4"/>
      <c r="B5137" s="4"/>
      <c r="C5137" s="4"/>
    </row>
    <row r="5138">
      <c r="A5138" s="4"/>
      <c r="B5138" s="4"/>
      <c r="C5138" s="4"/>
    </row>
    <row r="5139">
      <c r="A5139" s="4"/>
      <c r="B5139" s="4"/>
      <c r="C5139" s="4"/>
    </row>
    <row r="5140">
      <c r="A5140" s="4"/>
      <c r="B5140" s="4"/>
      <c r="C5140" s="4"/>
    </row>
    <row r="5141">
      <c r="A5141" s="4"/>
      <c r="B5141" s="4"/>
      <c r="C5141" s="4"/>
    </row>
    <row r="5142">
      <c r="A5142" s="4"/>
      <c r="B5142" s="4"/>
      <c r="C5142" s="4"/>
    </row>
    <row r="5143">
      <c r="A5143" s="4"/>
      <c r="B5143" s="4"/>
      <c r="C5143" s="4"/>
    </row>
    <row r="5144">
      <c r="A5144" s="4"/>
      <c r="B5144" s="4"/>
      <c r="C5144" s="4"/>
    </row>
    <row r="5145">
      <c r="A5145" s="4"/>
      <c r="B5145" s="4"/>
      <c r="C5145" s="4"/>
    </row>
    <row r="5146">
      <c r="A5146" s="4"/>
      <c r="B5146" s="4"/>
      <c r="C5146" s="4"/>
    </row>
    <row r="5147">
      <c r="A5147" s="4"/>
      <c r="B5147" s="4"/>
      <c r="C5147" s="4"/>
    </row>
    <row r="5148">
      <c r="A5148" s="4"/>
      <c r="B5148" s="4"/>
      <c r="C5148" s="4"/>
    </row>
    <row r="5149">
      <c r="A5149" s="4"/>
      <c r="B5149" s="4"/>
      <c r="C5149" s="4"/>
    </row>
    <row r="5150">
      <c r="A5150" s="4"/>
      <c r="B5150" s="4"/>
      <c r="C5150" s="4"/>
    </row>
    <row r="5151">
      <c r="A5151" s="4"/>
      <c r="B5151" s="4"/>
      <c r="C5151" s="4"/>
    </row>
    <row r="5152">
      <c r="A5152" s="4"/>
      <c r="B5152" s="4"/>
      <c r="C5152" s="4"/>
    </row>
    <row r="5153">
      <c r="A5153" s="4"/>
      <c r="B5153" s="4"/>
      <c r="C5153" s="4"/>
    </row>
    <row r="5154">
      <c r="A5154" s="4"/>
      <c r="B5154" s="4"/>
      <c r="C5154" s="4"/>
    </row>
    <row r="5155">
      <c r="A5155" s="4"/>
      <c r="B5155" s="4"/>
      <c r="C5155" s="4"/>
    </row>
    <row r="5156">
      <c r="A5156" s="4"/>
      <c r="B5156" s="4"/>
      <c r="C5156" s="4"/>
    </row>
    <row r="5157">
      <c r="A5157" s="4"/>
      <c r="B5157" s="4"/>
      <c r="C5157" s="4"/>
    </row>
    <row r="5158">
      <c r="A5158" s="4"/>
      <c r="B5158" s="4"/>
      <c r="C5158" s="4"/>
    </row>
    <row r="5159">
      <c r="A5159" s="4"/>
      <c r="B5159" s="4"/>
      <c r="C5159" s="4"/>
    </row>
    <row r="5160">
      <c r="A5160" s="4"/>
      <c r="B5160" s="4"/>
      <c r="C5160" s="4"/>
    </row>
    <row r="5161">
      <c r="A5161" s="4"/>
      <c r="B5161" s="4"/>
      <c r="C5161" s="4"/>
    </row>
    <row r="5162">
      <c r="A5162" s="4"/>
      <c r="B5162" s="4"/>
      <c r="C5162" s="4"/>
    </row>
    <row r="5163">
      <c r="A5163" s="4"/>
      <c r="B5163" s="4"/>
      <c r="C5163" s="4"/>
    </row>
    <row r="5164">
      <c r="A5164" s="4"/>
      <c r="B5164" s="4"/>
      <c r="C5164" s="4"/>
    </row>
    <row r="5165">
      <c r="A5165" s="4"/>
      <c r="B5165" s="4"/>
      <c r="C5165" s="4"/>
    </row>
    <row r="5166">
      <c r="A5166" s="4"/>
      <c r="B5166" s="4"/>
      <c r="C5166" s="4"/>
    </row>
    <row r="5167">
      <c r="A5167" s="4"/>
      <c r="B5167" s="4"/>
      <c r="C5167" s="4"/>
    </row>
    <row r="5168">
      <c r="A5168" s="4"/>
      <c r="B5168" s="4"/>
      <c r="C5168" s="4"/>
    </row>
    <row r="5169">
      <c r="A5169" s="4"/>
      <c r="B5169" s="4"/>
      <c r="C5169" s="4"/>
    </row>
    <row r="5170">
      <c r="A5170" s="4"/>
      <c r="B5170" s="4"/>
      <c r="C5170" s="4"/>
    </row>
    <row r="5171">
      <c r="A5171" s="4"/>
      <c r="B5171" s="4"/>
      <c r="C5171" s="4"/>
    </row>
    <row r="5172">
      <c r="A5172" s="4"/>
      <c r="B5172" s="4"/>
      <c r="C5172" s="4"/>
    </row>
    <row r="5173">
      <c r="A5173" s="4"/>
      <c r="B5173" s="4"/>
      <c r="C5173" s="4"/>
    </row>
    <row r="5174">
      <c r="A5174" s="4"/>
      <c r="B5174" s="4"/>
      <c r="C5174" s="4"/>
    </row>
    <row r="5175">
      <c r="A5175" s="4"/>
      <c r="B5175" s="4"/>
      <c r="C5175" s="4"/>
    </row>
    <row r="5176">
      <c r="A5176" s="4"/>
      <c r="B5176" s="4"/>
      <c r="C5176" s="4"/>
    </row>
    <row r="5177">
      <c r="A5177" s="4"/>
      <c r="B5177" s="4"/>
      <c r="C5177" s="4"/>
    </row>
    <row r="5178">
      <c r="A5178" s="4"/>
      <c r="B5178" s="4"/>
      <c r="C5178" s="4"/>
    </row>
    <row r="5179">
      <c r="A5179" s="4"/>
      <c r="B5179" s="4"/>
      <c r="C5179" s="4"/>
    </row>
    <row r="5180">
      <c r="A5180" s="4"/>
      <c r="B5180" s="4"/>
      <c r="C5180" s="4"/>
    </row>
    <row r="5181">
      <c r="A5181" s="4"/>
      <c r="B5181" s="4"/>
      <c r="C5181" s="4"/>
    </row>
    <row r="5182">
      <c r="A5182" s="4"/>
      <c r="B5182" s="4"/>
      <c r="C5182" s="4"/>
    </row>
    <row r="5183">
      <c r="A5183" s="4"/>
      <c r="B5183" s="4"/>
      <c r="C5183" s="4"/>
    </row>
    <row r="5184">
      <c r="A5184" s="4"/>
      <c r="B5184" s="4"/>
      <c r="C5184" s="4"/>
    </row>
    <row r="5185">
      <c r="A5185" s="4"/>
      <c r="B5185" s="4"/>
      <c r="C5185" s="4"/>
    </row>
    <row r="5186">
      <c r="A5186" s="4"/>
      <c r="B5186" s="4"/>
      <c r="C5186" s="4"/>
    </row>
    <row r="5187">
      <c r="A5187" s="4"/>
      <c r="B5187" s="4"/>
      <c r="C5187" s="4"/>
    </row>
    <row r="5188">
      <c r="A5188" s="4"/>
      <c r="B5188" s="4"/>
      <c r="C5188" s="4"/>
    </row>
    <row r="5189">
      <c r="A5189" s="4"/>
      <c r="B5189" s="4"/>
      <c r="C5189" s="4"/>
    </row>
    <row r="5190">
      <c r="A5190" s="4"/>
      <c r="B5190" s="4"/>
      <c r="C5190" s="4"/>
    </row>
    <row r="5191">
      <c r="A5191" s="4"/>
      <c r="B5191" s="4"/>
      <c r="C5191" s="4"/>
    </row>
    <row r="5192">
      <c r="A5192" s="4"/>
      <c r="B5192" s="4"/>
      <c r="C5192" s="4"/>
    </row>
    <row r="5193">
      <c r="A5193" s="4"/>
      <c r="B5193" s="4"/>
      <c r="C5193" s="4"/>
    </row>
    <row r="5194">
      <c r="A5194" s="4"/>
      <c r="B5194" s="4"/>
      <c r="C5194" s="4"/>
    </row>
    <row r="5195">
      <c r="A5195" s="4"/>
      <c r="B5195" s="4"/>
      <c r="C5195" s="4"/>
    </row>
    <row r="5196">
      <c r="A5196" s="4"/>
      <c r="B5196" s="4"/>
      <c r="C5196" s="4"/>
    </row>
    <row r="5197">
      <c r="A5197" s="4"/>
      <c r="B5197" s="4"/>
      <c r="C5197" s="4"/>
    </row>
    <row r="5198">
      <c r="A5198" s="4"/>
      <c r="B5198" s="4"/>
      <c r="C5198" s="4"/>
    </row>
    <row r="5199">
      <c r="A5199" s="4"/>
      <c r="B5199" s="4"/>
      <c r="C5199" s="4"/>
    </row>
    <row r="5200">
      <c r="A5200" s="4"/>
      <c r="B5200" s="4"/>
      <c r="C5200" s="4"/>
    </row>
    <row r="5201">
      <c r="A5201" s="4"/>
      <c r="B5201" s="4"/>
      <c r="C5201" s="4"/>
    </row>
    <row r="5202">
      <c r="A5202" s="4"/>
      <c r="B5202" s="4"/>
      <c r="C5202" s="4"/>
    </row>
    <row r="5203">
      <c r="A5203" s="4"/>
      <c r="B5203" s="4"/>
      <c r="C5203" s="4"/>
    </row>
    <row r="5204">
      <c r="A5204" s="4"/>
      <c r="B5204" s="4"/>
      <c r="C5204" s="4"/>
    </row>
    <row r="5205">
      <c r="A5205" s="4"/>
      <c r="B5205" s="4"/>
      <c r="C5205" s="4"/>
    </row>
    <row r="5206">
      <c r="A5206" s="4"/>
      <c r="B5206" s="4"/>
      <c r="C5206" s="4"/>
    </row>
    <row r="5207">
      <c r="A5207" s="4"/>
      <c r="B5207" s="4"/>
      <c r="C5207" s="4"/>
    </row>
    <row r="5208">
      <c r="A5208" s="4"/>
      <c r="B5208" s="4"/>
      <c r="C5208" s="4"/>
    </row>
    <row r="5209">
      <c r="A5209" s="4"/>
      <c r="B5209" s="4"/>
      <c r="C5209" s="4"/>
    </row>
    <row r="5210">
      <c r="A5210" s="4"/>
      <c r="B5210" s="4"/>
      <c r="C5210" s="4"/>
    </row>
    <row r="5211">
      <c r="A5211" s="4"/>
      <c r="B5211" s="4"/>
      <c r="C5211" s="4"/>
    </row>
    <row r="5212">
      <c r="A5212" s="4"/>
      <c r="B5212" s="4"/>
      <c r="C5212" s="4"/>
    </row>
    <row r="5213">
      <c r="A5213" s="4"/>
      <c r="B5213" s="4"/>
      <c r="C5213" s="4"/>
    </row>
    <row r="5214">
      <c r="A5214" s="4"/>
      <c r="B5214" s="4"/>
      <c r="C5214" s="4"/>
    </row>
    <row r="5215">
      <c r="A5215" s="4"/>
      <c r="B5215" s="4"/>
      <c r="C5215" s="4"/>
    </row>
    <row r="5216">
      <c r="A5216" s="4"/>
      <c r="B5216" s="4"/>
      <c r="C5216" s="4"/>
    </row>
    <row r="5217">
      <c r="A5217" s="4"/>
      <c r="B5217" s="4"/>
      <c r="C5217" s="4"/>
    </row>
    <row r="5218">
      <c r="A5218" s="4"/>
      <c r="B5218" s="4"/>
      <c r="C5218" s="4"/>
    </row>
    <row r="5219">
      <c r="A5219" s="4"/>
      <c r="B5219" s="4"/>
      <c r="C5219" s="4"/>
    </row>
    <row r="5220">
      <c r="A5220" s="4"/>
      <c r="B5220" s="4"/>
      <c r="C5220" s="4"/>
    </row>
    <row r="5221">
      <c r="A5221" s="4"/>
      <c r="B5221" s="4"/>
      <c r="C5221" s="4"/>
    </row>
    <row r="5222">
      <c r="A5222" s="4"/>
      <c r="B5222" s="4"/>
      <c r="C5222" s="4"/>
    </row>
    <row r="5223">
      <c r="A5223" s="4"/>
      <c r="B5223" s="4"/>
      <c r="C5223" s="4"/>
    </row>
    <row r="5224">
      <c r="A5224" s="4"/>
      <c r="B5224" s="4"/>
      <c r="C5224" s="4"/>
    </row>
    <row r="5225">
      <c r="A5225" s="4"/>
      <c r="B5225" s="4"/>
      <c r="C5225" s="4"/>
    </row>
    <row r="5226">
      <c r="A5226" s="4"/>
      <c r="B5226" s="4"/>
      <c r="C5226" s="4"/>
    </row>
    <row r="5227">
      <c r="A5227" s="4"/>
      <c r="B5227" s="4"/>
      <c r="C5227" s="4"/>
    </row>
    <row r="5228">
      <c r="A5228" s="4"/>
      <c r="B5228" s="4"/>
      <c r="C5228" s="4"/>
    </row>
    <row r="5229">
      <c r="A5229" s="4"/>
      <c r="B5229" s="4"/>
      <c r="C5229" s="4"/>
    </row>
    <row r="5230">
      <c r="A5230" s="4"/>
      <c r="B5230" s="4"/>
      <c r="C5230" s="4"/>
    </row>
    <row r="5231">
      <c r="A5231" s="4"/>
      <c r="B5231" s="4"/>
      <c r="C5231" s="4"/>
    </row>
    <row r="5232">
      <c r="A5232" s="4"/>
      <c r="B5232" s="4"/>
      <c r="C5232" s="4"/>
    </row>
    <row r="5233">
      <c r="A5233" s="4"/>
      <c r="B5233" s="4"/>
      <c r="C5233" s="4"/>
    </row>
    <row r="5234">
      <c r="A5234" s="4"/>
      <c r="B5234" s="4"/>
      <c r="C5234" s="4"/>
    </row>
    <row r="5235">
      <c r="A5235" s="4"/>
      <c r="B5235" s="4"/>
      <c r="C5235" s="4"/>
    </row>
    <row r="5236">
      <c r="A5236" s="4"/>
      <c r="B5236" s="4"/>
      <c r="C5236" s="4"/>
    </row>
    <row r="5237">
      <c r="A5237" s="4"/>
      <c r="B5237" s="4"/>
      <c r="C5237" s="4"/>
    </row>
    <row r="5238">
      <c r="A5238" s="4"/>
      <c r="B5238" s="4"/>
      <c r="C5238" s="4"/>
    </row>
    <row r="5239">
      <c r="A5239" s="4"/>
      <c r="B5239" s="4"/>
      <c r="C5239" s="4"/>
    </row>
    <row r="5240">
      <c r="A5240" s="4"/>
      <c r="B5240" s="4"/>
      <c r="C5240" s="4"/>
    </row>
    <row r="5241">
      <c r="A5241" s="4"/>
      <c r="B5241" s="4"/>
      <c r="C5241" s="4"/>
    </row>
    <row r="5242">
      <c r="A5242" s="4"/>
      <c r="B5242" s="4"/>
      <c r="C5242" s="4"/>
    </row>
    <row r="5243">
      <c r="A5243" s="4"/>
      <c r="B5243" s="4"/>
      <c r="C5243" s="4"/>
    </row>
    <row r="5244">
      <c r="A5244" s="4"/>
      <c r="B5244" s="4"/>
      <c r="C5244" s="4"/>
    </row>
    <row r="5245">
      <c r="A5245" s="4"/>
      <c r="B5245" s="4"/>
      <c r="C5245" s="4"/>
    </row>
    <row r="5246">
      <c r="A5246" s="4"/>
      <c r="B5246" s="4"/>
      <c r="C5246" s="4"/>
    </row>
    <row r="5247">
      <c r="A5247" s="4"/>
      <c r="B5247" s="4"/>
      <c r="C5247" s="4"/>
    </row>
    <row r="5248">
      <c r="A5248" s="4"/>
      <c r="B5248" s="4"/>
      <c r="C5248" s="4"/>
    </row>
    <row r="5249">
      <c r="A5249" s="4"/>
      <c r="B5249" s="4"/>
      <c r="C5249" s="4"/>
    </row>
    <row r="5250">
      <c r="A5250" s="4"/>
      <c r="B5250" s="4"/>
      <c r="C5250" s="4"/>
    </row>
    <row r="5251">
      <c r="A5251" s="4"/>
      <c r="B5251" s="4"/>
      <c r="C5251" s="4"/>
    </row>
    <row r="5252">
      <c r="A5252" s="4"/>
      <c r="B5252" s="4"/>
      <c r="C5252" s="4"/>
    </row>
    <row r="5253">
      <c r="A5253" s="4"/>
      <c r="B5253" s="4"/>
      <c r="C5253" s="4"/>
    </row>
    <row r="5254">
      <c r="A5254" s="4"/>
      <c r="B5254" s="4"/>
      <c r="C5254" s="4"/>
    </row>
    <row r="5255">
      <c r="A5255" s="4"/>
      <c r="B5255" s="4"/>
      <c r="C5255" s="4"/>
    </row>
    <row r="5256">
      <c r="A5256" s="4"/>
      <c r="B5256" s="4"/>
      <c r="C5256" s="4"/>
    </row>
    <row r="5257">
      <c r="A5257" s="4"/>
      <c r="B5257" s="4"/>
      <c r="C5257" s="4"/>
    </row>
    <row r="5258">
      <c r="A5258" s="4"/>
      <c r="B5258" s="4"/>
      <c r="C5258" s="4"/>
    </row>
    <row r="5259">
      <c r="A5259" s="4"/>
      <c r="B5259" s="4"/>
      <c r="C5259" s="4"/>
    </row>
    <row r="5260">
      <c r="A5260" s="4"/>
      <c r="B5260" s="4"/>
      <c r="C5260" s="4"/>
    </row>
    <row r="5261">
      <c r="A5261" s="4"/>
      <c r="B5261" s="4"/>
      <c r="C5261" s="4"/>
    </row>
    <row r="5262">
      <c r="A5262" s="4"/>
      <c r="B5262" s="4"/>
      <c r="C5262" s="4"/>
    </row>
    <row r="5263">
      <c r="A5263" s="4"/>
      <c r="B5263" s="4"/>
      <c r="C5263" s="4"/>
    </row>
    <row r="5264">
      <c r="A5264" s="4"/>
      <c r="B5264" s="4"/>
      <c r="C5264" s="4"/>
    </row>
    <row r="5265">
      <c r="A5265" s="4"/>
      <c r="B5265" s="4"/>
      <c r="C5265" s="4"/>
    </row>
    <row r="5266">
      <c r="A5266" s="4"/>
      <c r="B5266" s="4"/>
      <c r="C5266" s="4"/>
    </row>
    <row r="5267">
      <c r="A5267" s="4"/>
      <c r="B5267" s="4"/>
      <c r="C5267" s="4"/>
    </row>
    <row r="5268">
      <c r="A5268" s="4"/>
      <c r="B5268" s="4"/>
      <c r="C5268" s="4"/>
    </row>
    <row r="5269">
      <c r="A5269" s="4"/>
      <c r="B5269" s="4"/>
      <c r="C5269" s="4"/>
    </row>
    <row r="5270">
      <c r="A5270" s="4"/>
      <c r="B5270" s="4"/>
      <c r="C5270" s="4"/>
    </row>
    <row r="5271">
      <c r="A5271" s="4"/>
      <c r="B5271" s="4"/>
      <c r="C5271" s="4"/>
    </row>
    <row r="5272">
      <c r="A5272" s="4"/>
      <c r="B5272" s="4"/>
      <c r="C5272" s="4"/>
    </row>
    <row r="5273">
      <c r="A5273" s="4"/>
      <c r="B5273" s="4"/>
      <c r="C5273" s="4"/>
    </row>
    <row r="5274">
      <c r="A5274" s="4"/>
      <c r="B5274" s="4"/>
      <c r="C5274" s="4"/>
    </row>
    <row r="5275">
      <c r="A5275" s="4"/>
      <c r="B5275" s="4"/>
      <c r="C5275" s="4"/>
    </row>
    <row r="5276">
      <c r="A5276" s="4"/>
      <c r="B5276" s="4"/>
      <c r="C5276" s="4"/>
    </row>
    <row r="5277">
      <c r="A5277" s="4"/>
      <c r="B5277" s="4"/>
      <c r="C5277" s="4"/>
    </row>
    <row r="5278">
      <c r="A5278" s="4"/>
      <c r="B5278" s="4"/>
      <c r="C5278" s="4"/>
    </row>
    <row r="5279">
      <c r="A5279" s="4"/>
      <c r="B5279" s="4"/>
      <c r="C5279" s="4"/>
    </row>
    <row r="5280">
      <c r="A5280" s="4"/>
      <c r="B5280" s="4"/>
      <c r="C5280" s="4"/>
    </row>
    <row r="5281">
      <c r="A5281" s="4"/>
      <c r="B5281" s="4"/>
      <c r="C5281" s="4"/>
    </row>
    <row r="5282">
      <c r="A5282" s="4"/>
      <c r="B5282" s="4"/>
      <c r="C5282" s="4"/>
    </row>
    <row r="5283">
      <c r="A5283" s="4"/>
      <c r="B5283" s="4"/>
      <c r="C5283" s="4"/>
    </row>
    <row r="5284">
      <c r="A5284" s="4"/>
      <c r="B5284" s="4"/>
      <c r="C5284" s="4"/>
    </row>
    <row r="5285">
      <c r="A5285" s="4"/>
      <c r="B5285" s="4"/>
      <c r="C5285" s="4"/>
    </row>
    <row r="5286">
      <c r="A5286" s="4"/>
      <c r="B5286" s="4"/>
      <c r="C5286" s="4"/>
    </row>
    <row r="5287">
      <c r="A5287" s="4"/>
      <c r="B5287" s="4"/>
      <c r="C5287" s="4"/>
    </row>
    <row r="5288">
      <c r="A5288" s="4"/>
      <c r="B5288" s="4"/>
      <c r="C5288" s="4"/>
    </row>
    <row r="5289">
      <c r="A5289" s="4"/>
      <c r="B5289" s="4"/>
      <c r="C5289" s="4"/>
    </row>
    <row r="5290">
      <c r="A5290" s="4"/>
      <c r="B5290" s="4"/>
      <c r="C5290" s="4"/>
    </row>
    <row r="5291">
      <c r="A5291" s="4"/>
      <c r="B5291" s="4"/>
      <c r="C5291" s="4"/>
    </row>
    <row r="5292">
      <c r="A5292" s="4"/>
      <c r="B5292" s="4"/>
      <c r="C5292" s="4"/>
    </row>
    <row r="5293">
      <c r="A5293" s="4"/>
      <c r="B5293" s="4"/>
      <c r="C5293" s="4"/>
    </row>
    <row r="5294">
      <c r="A5294" s="4"/>
      <c r="B5294" s="4"/>
      <c r="C5294" s="4"/>
    </row>
    <row r="5295">
      <c r="A5295" s="4"/>
      <c r="B5295" s="4"/>
      <c r="C5295" s="4"/>
    </row>
    <row r="5296">
      <c r="A5296" s="4"/>
      <c r="B5296" s="4"/>
      <c r="C5296" s="4"/>
    </row>
    <row r="5297">
      <c r="A5297" s="4"/>
      <c r="B5297" s="4"/>
      <c r="C5297" s="4"/>
    </row>
    <row r="5298">
      <c r="A5298" s="4"/>
      <c r="B5298" s="4"/>
      <c r="C5298" s="4"/>
    </row>
    <row r="5299">
      <c r="A5299" s="4"/>
      <c r="B5299" s="4"/>
      <c r="C5299" s="4"/>
    </row>
    <row r="5300">
      <c r="A5300" s="4"/>
      <c r="B5300" s="4"/>
      <c r="C5300" s="4"/>
    </row>
    <row r="5301">
      <c r="A5301" s="4"/>
      <c r="B5301" s="4"/>
      <c r="C5301" s="4"/>
    </row>
    <row r="5302">
      <c r="A5302" s="4"/>
      <c r="B5302" s="4"/>
      <c r="C5302" s="4"/>
    </row>
    <row r="5303">
      <c r="A5303" s="4"/>
      <c r="B5303" s="4"/>
      <c r="C5303" s="4"/>
    </row>
    <row r="5304">
      <c r="A5304" s="4"/>
      <c r="B5304" s="4"/>
      <c r="C5304" s="4"/>
    </row>
    <row r="5305">
      <c r="A5305" s="4"/>
      <c r="B5305" s="4"/>
      <c r="C5305" s="4"/>
    </row>
    <row r="5306">
      <c r="A5306" s="4"/>
      <c r="B5306" s="4"/>
      <c r="C5306" s="4"/>
    </row>
    <row r="5307">
      <c r="A5307" s="4"/>
      <c r="B5307" s="4"/>
      <c r="C5307" s="4"/>
    </row>
    <row r="5308">
      <c r="A5308" s="4"/>
      <c r="B5308" s="4"/>
      <c r="C5308" s="4"/>
    </row>
    <row r="5309">
      <c r="A5309" s="4"/>
      <c r="B5309" s="4"/>
      <c r="C5309" s="4"/>
    </row>
    <row r="5310">
      <c r="A5310" s="4"/>
      <c r="B5310" s="4"/>
      <c r="C5310" s="4"/>
    </row>
    <row r="5311">
      <c r="A5311" s="4"/>
      <c r="B5311" s="4"/>
      <c r="C5311" s="4"/>
    </row>
    <row r="5312">
      <c r="A5312" s="4"/>
      <c r="B5312" s="4"/>
      <c r="C5312" s="4"/>
    </row>
    <row r="5313">
      <c r="A5313" s="4"/>
      <c r="B5313" s="4"/>
      <c r="C5313" s="4"/>
    </row>
    <row r="5314">
      <c r="A5314" s="4"/>
      <c r="B5314" s="4"/>
      <c r="C5314" s="4"/>
    </row>
    <row r="5315">
      <c r="A5315" s="4"/>
      <c r="B5315" s="4"/>
      <c r="C5315" s="4"/>
    </row>
    <row r="5316">
      <c r="A5316" s="4"/>
      <c r="B5316" s="4"/>
      <c r="C5316" s="4"/>
    </row>
    <row r="5317">
      <c r="A5317" s="4"/>
      <c r="B5317" s="4"/>
      <c r="C5317" s="4"/>
    </row>
    <row r="5318">
      <c r="A5318" s="4"/>
      <c r="B5318" s="4"/>
      <c r="C5318" s="4"/>
    </row>
    <row r="5319">
      <c r="A5319" s="4"/>
      <c r="B5319" s="4"/>
      <c r="C5319" s="4"/>
    </row>
    <row r="5320">
      <c r="A5320" s="4"/>
      <c r="B5320" s="4"/>
      <c r="C5320" s="4"/>
    </row>
    <row r="5321">
      <c r="A5321" s="4"/>
      <c r="B5321" s="4"/>
      <c r="C5321" s="4"/>
    </row>
    <row r="5322">
      <c r="A5322" s="4"/>
      <c r="B5322" s="4"/>
      <c r="C5322" s="4"/>
    </row>
    <row r="5323">
      <c r="A5323" s="4"/>
      <c r="B5323" s="4"/>
      <c r="C5323" s="4"/>
    </row>
    <row r="5324">
      <c r="A5324" s="4"/>
      <c r="B5324" s="4"/>
      <c r="C5324" s="4"/>
    </row>
    <row r="5325">
      <c r="A5325" s="4"/>
      <c r="B5325" s="4"/>
      <c r="C5325" s="4"/>
    </row>
    <row r="5326">
      <c r="A5326" s="4"/>
      <c r="B5326" s="4"/>
      <c r="C5326" s="4"/>
    </row>
    <row r="5327">
      <c r="A5327" s="4"/>
      <c r="B5327" s="4"/>
      <c r="C5327" s="4"/>
    </row>
    <row r="5328">
      <c r="A5328" s="4"/>
      <c r="B5328" s="4"/>
      <c r="C5328" s="4"/>
    </row>
    <row r="5329">
      <c r="A5329" s="4"/>
      <c r="B5329" s="4"/>
      <c r="C5329" s="4"/>
    </row>
    <row r="5330">
      <c r="A5330" s="4"/>
      <c r="B5330" s="4"/>
      <c r="C5330" s="4"/>
    </row>
    <row r="5331">
      <c r="A5331" s="4"/>
      <c r="B5331" s="4"/>
      <c r="C5331" s="4"/>
    </row>
    <row r="5332">
      <c r="A5332" s="4"/>
      <c r="B5332" s="4"/>
      <c r="C5332" s="4"/>
    </row>
    <row r="5333">
      <c r="A5333" s="4"/>
      <c r="B5333" s="4"/>
      <c r="C5333" s="4"/>
    </row>
    <row r="5334">
      <c r="A5334" s="4"/>
      <c r="B5334" s="4"/>
      <c r="C5334" s="4"/>
    </row>
    <row r="5335">
      <c r="A5335" s="4"/>
      <c r="B5335" s="4"/>
      <c r="C5335" s="4"/>
    </row>
    <row r="5336">
      <c r="A5336" s="4"/>
      <c r="B5336" s="4"/>
      <c r="C5336" s="4"/>
    </row>
    <row r="5337">
      <c r="A5337" s="4"/>
      <c r="B5337" s="4"/>
      <c r="C5337" s="4"/>
    </row>
    <row r="5338">
      <c r="A5338" s="4"/>
      <c r="B5338" s="4"/>
      <c r="C5338" s="4"/>
    </row>
    <row r="5339">
      <c r="A5339" s="4"/>
      <c r="B5339" s="4"/>
      <c r="C5339" s="4"/>
    </row>
    <row r="5340">
      <c r="A5340" s="4"/>
      <c r="B5340" s="4"/>
      <c r="C5340" s="4"/>
    </row>
    <row r="5341">
      <c r="A5341" s="4"/>
      <c r="B5341" s="4"/>
      <c r="C5341" s="4"/>
    </row>
    <row r="5342">
      <c r="A5342" s="4"/>
      <c r="B5342" s="4"/>
      <c r="C5342" s="4"/>
    </row>
    <row r="5343">
      <c r="A5343" s="4"/>
      <c r="B5343" s="4"/>
      <c r="C5343" s="4"/>
    </row>
    <row r="5344">
      <c r="A5344" s="4"/>
      <c r="B5344" s="4"/>
      <c r="C5344" s="4"/>
    </row>
    <row r="5345">
      <c r="A5345" s="4"/>
      <c r="B5345" s="4"/>
      <c r="C5345" s="4"/>
    </row>
    <row r="5346">
      <c r="A5346" s="4"/>
      <c r="B5346" s="4"/>
      <c r="C5346" s="4"/>
    </row>
    <row r="5347">
      <c r="A5347" s="4"/>
      <c r="B5347" s="4"/>
      <c r="C5347" s="4"/>
    </row>
    <row r="5348">
      <c r="A5348" s="4"/>
      <c r="B5348" s="4"/>
      <c r="C5348" s="4"/>
    </row>
    <row r="5349">
      <c r="A5349" s="4"/>
      <c r="B5349" s="4"/>
      <c r="C5349" s="4"/>
    </row>
    <row r="5350">
      <c r="A5350" s="4"/>
      <c r="B5350" s="4"/>
      <c r="C5350" s="4"/>
    </row>
    <row r="5351">
      <c r="A5351" s="4"/>
      <c r="B5351" s="4"/>
      <c r="C5351" s="4"/>
    </row>
    <row r="5352">
      <c r="A5352" s="4"/>
      <c r="B5352" s="4"/>
      <c r="C5352" s="4"/>
    </row>
    <row r="5353">
      <c r="A5353" s="4"/>
      <c r="B5353" s="4"/>
      <c r="C5353" s="4"/>
    </row>
    <row r="5354">
      <c r="A5354" s="4"/>
      <c r="B5354" s="4"/>
      <c r="C5354" s="4"/>
    </row>
    <row r="5355">
      <c r="A5355" s="4"/>
      <c r="B5355" s="4"/>
      <c r="C5355" s="4"/>
    </row>
    <row r="5356">
      <c r="A5356" s="4"/>
      <c r="B5356" s="4"/>
      <c r="C5356" s="4"/>
    </row>
    <row r="5357">
      <c r="A5357" s="4"/>
      <c r="B5357" s="4"/>
      <c r="C5357" s="4"/>
    </row>
    <row r="5358">
      <c r="A5358" s="4"/>
      <c r="B5358" s="4"/>
      <c r="C5358" s="4"/>
    </row>
    <row r="5359">
      <c r="A5359" s="4"/>
      <c r="B5359" s="4"/>
      <c r="C5359" s="4"/>
    </row>
    <row r="5360">
      <c r="A5360" s="4"/>
      <c r="B5360" s="4"/>
      <c r="C5360" s="4"/>
    </row>
    <row r="5361">
      <c r="A5361" s="4"/>
      <c r="B5361" s="4"/>
      <c r="C5361" s="4"/>
    </row>
    <row r="5362">
      <c r="A5362" s="4"/>
      <c r="B5362" s="4"/>
      <c r="C5362" s="4"/>
    </row>
    <row r="5363">
      <c r="A5363" s="4"/>
      <c r="B5363" s="4"/>
      <c r="C5363" s="4"/>
    </row>
    <row r="5364">
      <c r="A5364" s="4"/>
      <c r="B5364" s="4"/>
      <c r="C5364" s="4"/>
    </row>
    <row r="5365">
      <c r="A5365" s="4"/>
      <c r="B5365" s="4"/>
      <c r="C5365" s="4"/>
    </row>
    <row r="5366">
      <c r="A5366" s="4"/>
      <c r="B5366" s="4"/>
      <c r="C5366" s="4"/>
    </row>
    <row r="5367">
      <c r="A5367" s="4"/>
      <c r="B5367" s="4"/>
      <c r="C5367" s="4"/>
    </row>
    <row r="5368">
      <c r="A5368" s="4"/>
      <c r="B5368" s="4"/>
      <c r="C5368" s="4"/>
    </row>
    <row r="5369">
      <c r="A5369" s="4"/>
      <c r="B5369" s="4"/>
      <c r="C5369" s="4"/>
    </row>
    <row r="5370">
      <c r="A5370" s="4"/>
      <c r="B5370" s="4"/>
      <c r="C5370" s="4"/>
    </row>
    <row r="5371">
      <c r="A5371" s="4"/>
      <c r="B5371" s="4"/>
      <c r="C5371" s="4"/>
    </row>
    <row r="5372">
      <c r="A5372" s="4"/>
      <c r="B5372" s="4"/>
      <c r="C5372" s="4"/>
    </row>
    <row r="5373">
      <c r="A5373" s="4"/>
      <c r="B5373" s="4"/>
      <c r="C5373" s="4"/>
    </row>
    <row r="5374">
      <c r="A5374" s="4"/>
      <c r="B5374" s="4"/>
      <c r="C5374" s="4"/>
    </row>
    <row r="5375">
      <c r="A5375" s="4"/>
      <c r="B5375" s="4"/>
      <c r="C5375" s="4"/>
    </row>
    <row r="5376">
      <c r="A5376" s="4"/>
      <c r="B5376" s="4"/>
      <c r="C5376" s="4"/>
    </row>
    <row r="5377">
      <c r="A5377" s="4"/>
      <c r="B5377" s="4"/>
      <c r="C5377" s="4"/>
    </row>
    <row r="5378">
      <c r="A5378" s="4"/>
      <c r="B5378" s="4"/>
      <c r="C5378" s="4"/>
    </row>
    <row r="5379">
      <c r="A5379" s="4"/>
      <c r="B5379" s="4"/>
      <c r="C5379" s="4"/>
    </row>
    <row r="5380">
      <c r="A5380" s="4"/>
      <c r="B5380" s="4"/>
      <c r="C5380" s="4"/>
    </row>
    <row r="5381">
      <c r="A5381" s="4"/>
      <c r="B5381" s="4"/>
      <c r="C5381" s="4"/>
    </row>
    <row r="5382">
      <c r="A5382" s="4"/>
      <c r="B5382" s="4"/>
      <c r="C5382" s="4"/>
    </row>
    <row r="5383">
      <c r="A5383" s="4"/>
      <c r="B5383" s="4"/>
      <c r="C5383" s="4"/>
    </row>
    <row r="5384">
      <c r="A5384" s="4"/>
      <c r="B5384" s="4"/>
      <c r="C5384" s="4"/>
    </row>
    <row r="5385">
      <c r="A5385" s="4"/>
      <c r="B5385" s="4"/>
      <c r="C5385" s="4"/>
    </row>
    <row r="5386">
      <c r="A5386" s="4"/>
      <c r="B5386" s="4"/>
      <c r="C5386" s="4"/>
    </row>
    <row r="5387">
      <c r="A5387" s="4"/>
      <c r="B5387" s="4"/>
      <c r="C5387" s="4"/>
    </row>
    <row r="5388">
      <c r="A5388" s="4"/>
      <c r="B5388" s="4"/>
      <c r="C5388" s="4"/>
    </row>
    <row r="5389">
      <c r="A5389" s="4"/>
      <c r="B5389" s="4"/>
      <c r="C5389" s="4"/>
    </row>
    <row r="5390">
      <c r="A5390" s="4"/>
      <c r="B5390" s="4"/>
      <c r="C5390" s="4"/>
    </row>
    <row r="5391">
      <c r="A5391" s="4"/>
      <c r="B5391" s="4"/>
      <c r="C5391" s="4"/>
    </row>
    <row r="5392">
      <c r="A5392" s="4"/>
      <c r="B5392" s="4"/>
      <c r="C5392" s="4"/>
    </row>
    <row r="5393">
      <c r="A5393" s="4"/>
      <c r="B5393" s="4"/>
      <c r="C5393" s="4"/>
    </row>
    <row r="5394">
      <c r="A5394" s="4"/>
      <c r="B5394" s="4"/>
      <c r="C5394" s="4"/>
    </row>
    <row r="5395">
      <c r="A5395" s="4"/>
      <c r="B5395" s="4"/>
      <c r="C5395" s="4"/>
    </row>
    <row r="5396">
      <c r="A5396" s="4"/>
      <c r="B5396" s="4"/>
      <c r="C5396" s="4"/>
    </row>
    <row r="5397">
      <c r="A5397" s="4"/>
      <c r="B5397" s="4"/>
      <c r="C5397" s="4"/>
    </row>
    <row r="5398">
      <c r="A5398" s="4"/>
      <c r="B5398" s="4"/>
      <c r="C5398" s="4"/>
    </row>
    <row r="5399">
      <c r="A5399" s="4"/>
      <c r="B5399" s="4"/>
      <c r="C5399" s="4"/>
    </row>
    <row r="5400">
      <c r="A5400" s="4"/>
      <c r="B5400" s="4"/>
      <c r="C5400" s="4"/>
    </row>
    <row r="5401">
      <c r="A5401" s="4"/>
      <c r="B5401" s="4"/>
      <c r="C5401" s="4"/>
    </row>
    <row r="5402">
      <c r="A5402" s="4"/>
      <c r="B5402" s="4"/>
      <c r="C5402" s="4"/>
    </row>
    <row r="5403">
      <c r="A5403" s="4"/>
      <c r="B5403" s="4"/>
      <c r="C5403" s="4"/>
    </row>
    <row r="5404">
      <c r="A5404" s="4"/>
      <c r="B5404" s="4"/>
      <c r="C5404" s="4"/>
    </row>
    <row r="5405">
      <c r="A5405" s="4"/>
      <c r="B5405" s="4"/>
      <c r="C5405" s="4"/>
    </row>
    <row r="5406">
      <c r="A5406" s="4"/>
      <c r="B5406" s="4"/>
      <c r="C5406" s="4"/>
    </row>
    <row r="5407">
      <c r="A5407" s="4"/>
      <c r="B5407" s="4"/>
      <c r="C5407" s="4"/>
    </row>
    <row r="5408">
      <c r="A5408" s="4"/>
      <c r="B5408" s="4"/>
      <c r="C5408" s="4"/>
    </row>
    <row r="5409">
      <c r="A5409" s="4"/>
      <c r="B5409" s="4"/>
      <c r="C5409" s="4"/>
    </row>
    <row r="5410">
      <c r="A5410" s="4"/>
      <c r="B5410" s="4"/>
      <c r="C5410" s="4"/>
    </row>
    <row r="5411">
      <c r="A5411" s="4"/>
      <c r="B5411" s="4"/>
      <c r="C5411" s="4"/>
    </row>
    <row r="5412">
      <c r="A5412" s="4"/>
      <c r="B5412" s="4"/>
      <c r="C5412" s="4"/>
    </row>
    <row r="5413">
      <c r="A5413" s="4"/>
      <c r="B5413" s="4"/>
      <c r="C5413" s="4"/>
    </row>
    <row r="5414">
      <c r="A5414" s="4"/>
      <c r="B5414" s="4"/>
      <c r="C5414" s="4"/>
    </row>
    <row r="5415">
      <c r="A5415" s="4"/>
      <c r="B5415" s="4"/>
      <c r="C5415" s="4"/>
    </row>
    <row r="5416">
      <c r="A5416" s="4"/>
      <c r="B5416" s="4"/>
      <c r="C5416" s="4"/>
    </row>
    <row r="5417">
      <c r="A5417" s="4"/>
      <c r="B5417" s="4"/>
      <c r="C5417" s="4"/>
    </row>
    <row r="5418">
      <c r="A5418" s="4"/>
      <c r="B5418" s="4"/>
      <c r="C5418" s="4"/>
    </row>
    <row r="5419">
      <c r="A5419" s="4"/>
      <c r="B5419" s="4"/>
      <c r="C5419" s="4"/>
    </row>
    <row r="5420">
      <c r="A5420" s="4"/>
      <c r="B5420" s="4"/>
      <c r="C5420" s="4"/>
    </row>
    <row r="5421">
      <c r="A5421" s="4"/>
      <c r="B5421" s="4"/>
      <c r="C5421" s="4"/>
    </row>
    <row r="5422">
      <c r="A5422" s="4"/>
      <c r="B5422" s="4"/>
      <c r="C5422" s="4"/>
    </row>
    <row r="5423">
      <c r="A5423" s="4"/>
      <c r="B5423" s="4"/>
      <c r="C5423" s="4"/>
    </row>
    <row r="5424">
      <c r="A5424" s="4"/>
      <c r="B5424" s="4"/>
      <c r="C5424" s="4"/>
    </row>
    <row r="5425">
      <c r="A5425" s="4"/>
      <c r="B5425" s="4"/>
      <c r="C5425" s="4"/>
    </row>
    <row r="5426">
      <c r="A5426" s="4"/>
      <c r="B5426" s="4"/>
      <c r="C5426" s="4"/>
    </row>
    <row r="5427">
      <c r="A5427" s="4"/>
      <c r="B5427" s="4"/>
      <c r="C5427" s="4"/>
    </row>
    <row r="5428">
      <c r="A5428" s="4"/>
      <c r="B5428" s="4"/>
      <c r="C5428" s="4"/>
    </row>
    <row r="5429">
      <c r="A5429" s="4"/>
      <c r="B5429" s="4"/>
      <c r="C5429" s="4"/>
    </row>
    <row r="5430">
      <c r="A5430" s="4"/>
      <c r="B5430" s="4"/>
      <c r="C5430" s="4"/>
    </row>
    <row r="5431">
      <c r="A5431" s="4"/>
      <c r="B5431" s="4"/>
      <c r="C5431" s="4"/>
    </row>
    <row r="5432">
      <c r="A5432" s="4"/>
      <c r="B5432" s="4"/>
      <c r="C5432" s="4"/>
    </row>
    <row r="5433">
      <c r="A5433" s="4"/>
      <c r="B5433" s="4"/>
      <c r="C5433" s="4"/>
    </row>
    <row r="5434">
      <c r="A5434" s="4"/>
      <c r="B5434" s="4"/>
      <c r="C5434" s="4"/>
    </row>
    <row r="5435">
      <c r="A5435" s="4"/>
      <c r="B5435" s="4"/>
      <c r="C5435" s="4"/>
    </row>
    <row r="5436">
      <c r="A5436" s="4"/>
      <c r="B5436" s="4"/>
      <c r="C5436" s="4"/>
    </row>
    <row r="5437">
      <c r="A5437" s="4"/>
      <c r="B5437" s="4"/>
      <c r="C5437" s="4"/>
    </row>
    <row r="5438">
      <c r="A5438" s="4"/>
      <c r="B5438" s="4"/>
      <c r="C5438" s="4"/>
    </row>
    <row r="5439">
      <c r="A5439" s="4"/>
      <c r="B5439" s="4"/>
      <c r="C5439" s="4"/>
    </row>
    <row r="5440">
      <c r="A5440" s="4"/>
      <c r="B5440" s="4"/>
      <c r="C5440" s="4"/>
    </row>
    <row r="5441">
      <c r="A5441" s="4"/>
      <c r="B5441" s="4"/>
      <c r="C5441" s="4"/>
    </row>
    <row r="5442">
      <c r="A5442" s="4"/>
      <c r="B5442" s="4"/>
      <c r="C5442" s="4"/>
    </row>
    <row r="5443">
      <c r="A5443" s="4"/>
      <c r="B5443" s="4"/>
      <c r="C5443" s="4"/>
    </row>
    <row r="5444">
      <c r="A5444" s="4"/>
      <c r="B5444" s="4"/>
      <c r="C5444" s="4"/>
    </row>
    <row r="5445">
      <c r="A5445" s="4"/>
      <c r="B5445" s="4"/>
      <c r="C5445" s="4"/>
    </row>
    <row r="5446">
      <c r="A5446" s="4"/>
      <c r="B5446" s="4"/>
      <c r="C5446" s="4"/>
    </row>
    <row r="5447">
      <c r="A5447" s="4"/>
      <c r="B5447" s="4"/>
      <c r="C5447" s="4"/>
    </row>
    <row r="5448">
      <c r="A5448" s="4"/>
      <c r="B5448" s="4"/>
      <c r="C5448" s="4"/>
    </row>
    <row r="5449">
      <c r="A5449" s="4"/>
      <c r="B5449" s="4"/>
      <c r="C5449" s="4"/>
    </row>
    <row r="5450">
      <c r="A5450" s="4"/>
      <c r="B5450" s="4"/>
      <c r="C5450" s="4"/>
    </row>
    <row r="5451">
      <c r="A5451" s="4"/>
      <c r="B5451" s="4"/>
      <c r="C5451" s="4"/>
    </row>
    <row r="5452">
      <c r="A5452" s="4"/>
      <c r="B5452" s="4"/>
      <c r="C5452" s="4"/>
    </row>
    <row r="5453">
      <c r="A5453" s="4"/>
      <c r="B5453" s="4"/>
      <c r="C5453" s="4"/>
    </row>
    <row r="5454">
      <c r="A5454" s="4"/>
      <c r="B5454" s="4"/>
      <c r="C5454" s="4"/>
    </row>
    <row r="5455">
      <c r="A5455" s="4"/>
      <c r="B5455" s="4"/>
      <c r="C5455" s="4"/>
    </row>
    <row r="5456">
      <c r="A5456" s="4"/>
      <c r="B5456" s="4"/>
      <c r="C5456" s="4"/>
    </row>
    <row r="5457">
      <c r="A5457" s="4"/>
      <c r="B5457" s="4"/>
      <c r="C5457" s="4"/>
    </row>
    <row r="5458">
      <c r="A5458" s="4"/>
      <c r="B5458" s="4"/>
      <c r="C5458" s="4"/>
    </row>
    <row r="5459">
      <c r="A5459" s="4"/>
      <c r="B5459" s="4"/>
      <c r="C5459" s="4"/>
    </row>
    <row r="5460">
      <c r="A5460" s="4"/>
      <c r="B5460" s="4"/>
      <c r="C5460" s="4"/>
    </row>
    <row r="5461">
      <c r="A5461" s="4"/>
      <c r="B5461" s="4"/>
      <c r="C5461" s="4"/>
    </row>
    <row r="5462">
      <c r="A5462" s="4"/>
      <c r="B5462" s="4"/>
      <c r="C5462" s="4"/>
    </row>
    <row r="5463">
      <c r="A5463" s="4"/>
      <c r="B5463" s="4"/>
      <c r="C5463" s="4"/>
    </row>
    <row r="5464">
      <c r="A5464" s="4"/>
      <c r="B5464" s="4"/>
      <c r="C5464" s="4"/>
    </row>
    <row r="5465">
      <c r="A5465" s="4"/>
      <c r="B5465" s="4"/>
      <c r="C5465" s="4"/>
    </row>
    <row r="5466">
      <c r="A5466" s="4"/>
      <c r="B5466" s="4"/>
      <c r="C5466" s="4"/>
    </row>
    <row r="5467">
      <c r="A5467" s="4"/>
      <c r="B5467" s="4"/>
      <c r="C5467" s="4"/>
    </row>
    <row r="5468">
      <c r="A5468" s="4"/>
      <c r="B5468" s="4"/>
      <c r="C5468" s="4"/>
    </row>
    <row r="5469">
      <c r="A5469" s="4"/>
      <c r="B5469" s="4"/>
      <c r="C5469" s="4"/>
    </row>
    <row r="5470">
      <c r="A5470" s="4"/>
      <c r="B5470" s="4"/>
      <c r="C5470" s="4"/>
    </row>
    <row r="5471">
      <c r="A5471" s="4"/>
      <c r="B5471" s="4"/>
      <c r="C5471" s="4"/>
    </row>
    <row r="5472">
      <c r="A5472" s="4"/>
      <c r="B5472" s="4"/>
      <c r="C5472" s="4"/>
    </row>
    <row r="5473">
      <c r="A5473" s="4"/>
      <c r="B5473" s="4"/>
      <c r="C5473" s="4"/>
    </row>
    <row r="5474">
      <c r="A5474" s="4"/>
      <c r="B5474" s="4"/>
      <c r="C5474" s="4"/>
    </row>
    <row r="5475">
      <c r="A5475" s="4"/>
      <c r="B5475" s="4"/>
      <c r="C5475" s="4"/>
    </row>
    <row r="5476">
      <c r="A5476" s="4"/>
      <c r="B5476" s="4"/>
      <c r="C5476" s="4"/>
    </row>
    <row r="5477">
      <c r="A5477" s="4"/>
      <c r="B5477" s="4"/>
      <c r="C5477" s="4"/>
    </row>
    <row r="5478">
      <c r="A5478" s="4"/>
      <c r="B5478" s="4"/>
      <c r="C5478" s="4"/>
    </row>
    <row r="5479">
      <c r="A5479" s="4"/>
      <c r="B5479" s="4"/>
      <c r="C5479" s="4"/>
    </row>
    <row r="5480">
      <c r="A5480" s="4"/>
      <c r="B5480" s="4"/>
      <c r="C5480" s="4"/>
    </row>
    <row r="5481">
      <c r="A5481" s="4"/>
      <c r="B5481" s="4"/>
      <c r="C5481" s="4"/>
    </row>
    <row r="5482">
      <c r="A5482" s="4"/>
      <c r="B5482" s="4"/>
      <c r="C5482" s="4"/>
    </row>
    <row r="5483">
      <c r="A5483" s="4"/>
      <c r="B5483" s="4"/>
      <c r="C5483" s="4"/>
    </row>
    <row r="5484">
      <c r="A5484" s="4"/>
      <c r="B5484" s="4"/>
      <c r="C5484" s="4"/>
    </row>
    <row r="5485">
      <c r="A5485" s="4"/>
      <c r="B5485" s="4"/>
      <c r="C5485" s="4"/>
    </row>
    <row r="5486">
      <c r="A5486" s="4"/>
      <c r="B5486" s="4"/>
      <c r="C5486" s="4"/>
    </row>
    <row r="5487">
      <c r="A5487" s="4"/>
      <c r="B5487" s="4"/>
      <c r="C5487" s="4"/>
    </row>
    <row r="5488">
      <c r="A5488" s="4"/>
      <c r="B5488" s="4"/>
      <c r="C5488" s="4"/>
    </row>
    <row r="5489">
      <c r="A5489" s="4"/>
      <c r="B5489" s="4"/>
      <c r="C5489" s="4"/>
    </row>
    <row r="5490">
      <c r="A5490" s="4"/>
      <c r="B5490" s="4"/>
      <c r="C5490" s="4"/>
    </row>
    <row r="5491">
      <c r="A5491" s="4"/>
      <c r="B5491" s="4"/>
      <c r="C5491" s="4"/>
    </row>
    <row r="5492">
      <c r="A5492" s="4"/>
      <c r="B5492" s="4"/>
      <c r="C5492" s="4"/>
    </row>
    <row r="5493">
      <c r="A5493" s="4"/>
      <c r="B5493" s="4"/>
      <c r="C5493" s="4"/>
    </row>
    <row r="5494">
      <c r="A5494" s="4"/>
      <c r="B5494" s="4"/>
      <c r="C5494" s="4"/>
    </row>
    <row r="5495">
      <c r="A5495" s="4"/>
      <c r="B5495" s="4"/>
      <c r="C5495" s="4"/>
    </row>
    <row r="5496">
      <c r="A5496" s="4"/>
      <c r="B5496" s="4"/>
      <c r="C5496" s="4"/>
    </row>
    <row r="5497">
      <c r="A5497" s="4"/>
      <c r="B5497" s="4"/>
      <c r="C5497" s="4"/>
    </row>
    <row r="5498">
      <c r="A5498" s="4"/>
      <c r="B5498" s="4"/>
      <c r="C5498" s="4"/>
    </row>
    <row r="5499">
      <c r="A5499" s="4"/>
      <c r="B5499" s="4"/>
      <c r="C5499" s="4"/>
    </row>
    <row r="5500">
      <c r="A5500" s="4"/>
      <c r="B5500" s="4"/>
      <c r="C5500" s="4"/>
    </row>
    <row r="5501">
      <c r="A5501" s="4"/>
      <c r="B5501" s="4"/>
      <c r="C5501" s="4"/>
    </row>
    <row r="5502">
      <c r="A5502" s="4"/>
      <c r="B5502" s="4"/>
      <c r="C5502" s="4"/>
    </row>
    <row r="5503">
      <c r="A5503" s="4"/>
      <c r="B5503" s="4"/>
      <c r="C5503" s="4"/>
    </row>
    <row r="5504">
      <c r="A5504" s="4"/>
      <c r="B5504" s="4"/>
      <c r="C5504" s="4"/>
    </row>
    <row r="5505">
      <c r="A5505" s="4"/>
      <c r="B5505" s="4"/>
      <c r="C5505" s="4"/>
    </row>
    <row r="5506">
      <c r="A5506" s="4"/>
      <c r="B5506" s="4"/>
      <c r="C5506" s="4"/>
    </row>
    <row r="5507">
      <c r="A5507" s="4"/>
      <c r="B5507" s="4"/>
      <c r="C5507" s="4"/>
    </row>
    <row r="5508">
      <c r="A5508" s="4"/>
      <c r="B5508" s="4"/>
      <c r="C5508" s="4"/>
    </row>
    <row r="5509">
      <c r="A5509" s="4"/>
      <c r="B5509" s="4"/>
      <c r="C5509" s="4"/>
    </row>
    <row r="5510">
      <c r="A5510" s="4"/>
      <c r="B5510" s="4"/>
      <c r="C5510" s="4"/>
    </row>
    <row r="5511">
      <c r="A5511" s="4"/>
      <c r="B5511" s="4"/>
      <c r="C5511" s="4"/>
    </row>
    <row r="5512">
      <c r="A5512" s="4"/>
      <c r="B5512" s="4"/>
      <c r="C5512" s="4"/>
    </row>
    <row r="5513">
      <c r="A5513" s="4"/>
      <c r="B5513" s="4"/>
      <c r="C5513" s="4"/>
    </row>
    <row r="5514">
      <c r="A5514" s="4"/>
      <c r="B5514" s="4"/>
      <c r="C5514" s="4"/>
    </row>
    <row r="5515">
      <c r="A5515" s="4"/>
      <c r="B5515" s="4"/>
      <c r="C5515" s="4"/>
    </row>
    <row r="5516">
      <c r="A5516" s="4"/>
      <c r="B5516" s="4"/>
      <c r="C5516" s="4"/>
    </row>
    <row r="5517">
      <c r="A5517" s="4"/>
      <c r="B5517" s="4"/>
      <c r="C5517" s="4"/>
    </row>
    <row r="5518">
      <c r="A5518" s="4"/>
      <c r="B5518" s="4"/>
      <c r="C5518" s="4"/>
    </row>
    <row r="5519">
      <c r="A5519" s="4"/>
      <c r="B5519" s="4"/>
      <c r="C5519" s="4"/>
    </row>
    <row r="5520">
      <c r="A5520" s="4"/>
      <c r="B5520" s="4"/>
      <c r="C5520" s="4"/>
    </row>
    <row r="5521">
      <c r="A5521" s="4"/>
      <c r="B5521" s="4"/>
      <c r="C5521" s="4"/>
    </row>
    <row r="5522">
      <c r="A5522" s="4"/>
      <c r="B5522" s="4"/>
      <c r="C5522" s="4"/>
    </row>
    <row r="5523">
      <c r="A5523" s="4"/>
      <c r="B5523" s="4"/>
      <c r="C5523" s="4"/>
    </row>
    <row r="5524">
      <c r="A5524" s="4"/>
      <c r="B5524" s="4"/>
      <c r="C5524" s="4"/>
    </row>
    <row r="5525">
      <c r="A5525" s="4"/>
      <c r="B5525" s="4"/>
      <c r="C5525" s="4"/>
    </row>
    <row r="5526">
      <c r="A5526" s="4"/>
      <c r="B5526" s="4"/>
      <c r="C5526" s="4"/>
    </row>
    <row r="5527">
      <c r="A5527" s="4"/>
      <c r="B5527" s="4"/>
      <c r="C5527" s="4"/>
    </row>
    <row r="5528">
      <c r="A5528" s="4"/>
      <c r="B5528" s="4"/>
      <c r="C5528" s="4"/>
    </row>
    <row r="5529">
      <c r="A5529" s="4"/>
      <c r="B5529" s="4"/>
      <c r="C5529" s="4"/>
    </row>
    <row r="5530">
      <c r="A5530" s="4"/>
      <c r="B5530" s="4"/>
      <c r="C5530" s="4"/>
    </row>
    <row r="5531">
      <c r="A5531" s="4"/>
      <c r="B5531" s="4"/>
      <c r="C5531" s="4"/>
    </row>
    <row r="5532">
      <c r="A5532" s="4"/>
      <c r="B5532" s="4"/>
      <c r="C5532" s="4"/>
    </row>
    <row r="5533">
      <c r="A5533" s="4"/>
      <c r="B5533" s="4"/>
      <c r="C5533" s="4"/>
    </row>
    <row r="5534">
      <c r="A5534" s="4"/>
      <c r="B5534" s="4"/>
      <c r="C5534" s="4"/>
    </row>
    <row r="5535">
      <c r="A5535" s="4"/>
      <c r="B5535" s="4"/>
      <c r="C5535" s="4"/>
    </row>
    <row r="5536">
      <c r="A5536" s="4"/>
      <c r="B5536" s="4"/>
      <c r="C5536" s="4"/>
    </row>
    <row r="5537">
      <c r="A5537" s="4"/>
      <c r="B5537" s="4"/>
      <c r="C5537" s="4"/>
    </row>
    <row r="5538">
      <c r="A5538" s="4"/>
      <c r="B5538" s="4"/>
      <c r="C5538" s="4"/>
    </row>
    <row r="5539">
      <c r="A5539" s="4"/>
      <c r="B5539" s="4"/>
      <c r="C5539" s="4"/>
    </row>
    <row r="5540">
      <c r="A5540" s="4"/>
      <c r="B5540" s="4"/>
      <c r="C5540" s="4"/>
    </row>
    <row r="5541">
      <c r="A5541" s="4"/>
      <c r="B5541" s="4"/>
      <c r="C5541" s="4"/>
    </row>
    <row r="5542">
      <c r="A5542" s="4"/>
      <c r="B5542" s="4"/>
      <c r="C5542" s="4"/>
    </row>
    <row r="5543">
      <c r="A5543" s="4"/>
      <c r="B5543" s="4"/>
      <c r="C5543" s="4"/>
    </row>
    <row r="5544">
      <c r="A5544" s="4"/>
      <c r="B5544" s="4"/>
      <c r="C5544" s="4"/>
    </row>
    <row r="5545">
      <c r="A5545" s="4"/>
      <c r="B5545" s="4"/>
      <c r="C5545" s="4"/>
    </row>
    <row r="5546">
      <c r="A5546" s="4"/>
      <c r="B5546" s="4"/>
      <c r="C5546" s="4"/>
    </row>
    <row r="5547">
      <c r="A5547" s="4"/>
      <c r="B5547" s="4"/>
      <c r="C5547" s="4"/>
    </row>
    <row r="5548">
      <c r="A5548" s="4"/>
      <c r="B5548" s="4"/>
      <c r="C5548" s="4"/>
    </row>
    <row r="5549">
      <c r="A5549" s="4"/>
      <c r="B5549" s="4"/>
      <c r="C5549" s="4"/>
    </row>
    <row r="5550">
      <c r="A5550" s="4"/>
      <c r="B5550" s="4"/>
      <c r="C5550" s="4"/>
    </row>
    <row r="5551">
      <c r="A5551" s="4"/>
      <c r="B5551" s="4"/>
      <c r="C5551" s="4"/>
    </row>
    <row r="5552">
      <c r="A5552" s="4"/>
      <c r="B5552" s="4"/>
      <c r="C5552" s="4"/>
    </row>
    <row r="5553">
      <c r="A5553" s="4"/>
      <c r="B5553" s="4"/>
      <c r="C5553" s="4"/>
    </row>
    <row r="5554">
      <c r="A5554" s="4"/>
      <c r="B5554" s="4"/>
      <c r="C5554" s="4"/>
    </row>
    <row r="5555">
      <c r="A5555" s="4"/>
      <c r="B5555" s="4"/>
      <c r="C5555" s="4"/>
    </row>
    <row r="5556">
      <c r="A5556" s="4"/>
      <c r="B5556" s="4"/>
      <c r="C5556" s="4"/>
    </row>
    <row r="5557">
      <c r="A5557" s="4"/>
      <c r="B5557" s="4"/>
      <c r="C5557" s="4"/>
    </row>
    <row r="5558">
      <c r="A5558" s="4"/>
      <c r="B5558" s="4"/>
      <c r="C5558" s="4"/>
    </row>
    <row r="5559">
      <c r="A5559" s="4"/>
      <c r="B5559" s="4"/>
      <c r="C5559" s="4"/>
    </row>
    <row r="5560">
      <c r="A5560" s="4"/>
      <c r="B5560" s="4"/>
      <c r="C5560" s="4"/>
    </row>
    <row r="5561">
      <c r="A5561" s="4"/>
      <c r="B5561" s="4"/>
      <c r="C5561" s="4"/>
    </row>
    <row r="5562">
      <c r="A5562" s="4"/>
      <c r="B5562" s="4"/>
      <c r="C5562" s="4"/>
    </row>
    <row r="5563">
      <c r="A5563" s="4"/>
      <c r="B5563" s="4"/>
      <c r="C5563" s="4"/>
    </row>
    <row r="5564">
      <c r="A5564" s="4"/>
      <c r="B5564" s="4"/>
      <c r="C5564" s="4"/>
    </row>
    <row r="5565">
      <c r="A5565" s="4"/>
      <c r="B5565" s="4"/>
      <c r="C5565" s="4"/>
    </row>
    <row r="5566">
      <c r="A5566" s="4"/>
      <c r="B5566" s="4"/>
      <c r="C5566" s="4"/>
    </row>
    <row r="5567">
      <c r="A5567" s="4"/>
      <c r="B5567" s="4"/>
      <c r="C5567" s="4"/>
    </row>
    <row r="5568">
      <c r="A5568" s="4"/>
      <c r="B5568" s="4"/>
      <c r="C5568" s="4"/>
    </row>
    <row r="5569">
      <c r="A5569" s="4"/>
      <c r="B5569" s="4"/>
      <c r="C5569" s="4"/>
    </row>
    <row r="5570">
      <c r="A5570" s="4"/>
      <c r="B5570" s="4"/>
      <c r="C5570" s="4"/>
    </row>
    <row r="5571">
      <c r="A5571" s="4"/>
      <c r="B5571" s="4"/>
      <c r="C5571" s="4"/>
    </row>
    <row r="5572">
      <c r="A5572" s="4"/>
      <c r="B5572" s="4"/>
      <c r="C5572" s="4"/>
    </row>
    <row r="5573">
      <c r="A5573" s="4"/>
      <c r="B5573" s="4"/>
      <c r="C5573" s="4"/>
    </row>
    <row r="5574">
      <c r="A5574" s="4"/>
      <c r="B5574" s="4"/>
      <c r="C5574" s="4"/>
    </row>
    <row r="5575">
      <c r="A5575" s="4"/>
      <c r="B5575" s="4"/>
      <c r="C5575" s="4"/>
    </row>
    <row r="5576">
      <c r="A5576" s="4"/>
      <c r="B5576" s="4"/>
      <c r="C5576" s="4"/>
    </row>
    <row r="5577">
      <c r="A5577" s="4"/>
      <c r="B5577" s="4"/>
      <c r="C5577" s="4"/>
    </row>
    <row r="5578">
      <c r="A5578" s="4"/>
      <c r="B5578" s="4"/>
      <c r="C5578" s="4"/>
    </row>
    <row r="5579">
      <c r="A5579" s="4"/>
      <c r="B5579" s="4"/>
      <c r="C5579" s="4"/>
    </row>
    <row r="5580">
      <c r="A5580" s="4"/>
      <c r="B5580" s="4"/>
      <c r="C5580" s="4"/>
    </row>
    <row r="5581">
      <c r="A5581" s="4"/>
      <c r="B5581" s="4"/>
      <c r="C5581" s="4"/>
    </row>
    <row r="5582">
      <c r="A5582" s="4"/>
      <c r="B5582" s="4"/>
      <c r="C5582" s="4"/>
    </row>
    <row r="5583">
      <c r="A5583" s="4"/>
      <c r="B5583" s="4"/>
      <c r="C5583" s="4"/>
    </row>
    <row r="5584">
      <c r="A5584" s="4"/>
      <c r="B5584" s="4"/>
      <c r="C5584" s="4"/>
    </row>
    <row r="5585">
      <c r="A5585" s="4"/>
      <c r="B5585" s="4"/>
      <c r="C5585" s="4"/>
    </row>
    <row r="5586">
      <c r="A5586" s="4"/>
      <c r="B5586" s="4"/>
      <c r="C5586" s="4"/>
    </row>
    <row r="5587">
      <c r="A5587" s="4"/>
      <c r="B5587" s="4"/>
      <c r="C5587" s="4"/>
    </row>
    <row r="5588">
      <c r="A5588" s="4"/>
      <c r="B5588" s="4"/>
      <c r="C5588" s="4"/>
    </row>
    <row r="5589">
      <c r="A5589" s="4"/>
      <c r="B5589" s="4"/>
      <c r="C5589" s="4"/>
    </row>
    <row r="5590">
      <c r="A5590" s="4"/>
      <c r="B5590" s="4"/>
      <c r="C5590" s="4"/>
    </row>
    <row r="5591">
      <c r="A5591" s="4"/>
      <c r="B5591" s="4"/>
      <c r="C5591" s="4"/>
    </row>
    <row r="5592">
      <c r="A5592" s="4"/>
      <c r="B5592" s="4"/>
      <c r="C5592" s="4"/>
    </row>
    <row r="5593">
      <c r="A5593" s="4"/>
      <c r="B5593" s="4"/>
      <c r="C5593" s="4"/>
    </row>
    <row r="5594">
      <c r="A5594" s="4"/>
      <c r="B5594" s="4"/>
      <c r="C5594" s="4"/>
    </row>
    <row r="5595">
      <c r="A5595" s="4"/>
      <c r="B5595" s="4"/>
      <c r="C5595" s="4"/>
    </row>
    <row r="5596">
      <c r="A5596" s="4"/>
      <c r="B5596" s="4"/>
      <c r="C5596" s="4"/>
    </row>
    <row r="5597">
      <c r="A5597" s="4"/>
      <c r="B5597" s="4"/>
      <c r="C5597" s="4"/>
    </row>
    <row r="5598">
      <c r="A5598" s="4"/>
      <c r="B5598" s="4"/>
      <c r="C5598" s="4"/>
    </row>
    <row r="5599">
      <c r="A5599" s="4"/>
      <c r="B5599" s="4"/>
      <c r="C5599" s="4"/>
    </row>
    <row r="5600">
      <c r="A5600" s="4"/>
      <c r="B5600" s="4"/>
      <c r="C5600" s="4"/>
    </row>
    <row r="5601">
      <c r="A5601" s="4"/>
      <c r="B5601" s="4"/>
      <c r="C5601" s="4"/>
    </row>
    <row r="5602">
      <c r="A5602" s="4"/>
      <c r="B5602" s="4"/>
      <c r="C5602" s="4"/>
    </row>
    <row r="5603">
      <c r="A5603" s="4"/>
      <c r="B5603" s="4"/>
      <c r="C5603" s="4"/>
    </row>
    <row r="5604">
      <c r="A5604" s="4"/>
      <c r="B5604" s="4"/>
      <c r="C5604" s="4"/>
    </row>
    <row r="5605">
      <c r="A5605" s="4"/>
      <c r="B5605" s="4"/>
      <c r="C5605" s="4"/>
    </row>
    <row r="5606">
      <c r="A5606" s="4"/>
      <c r="B5606" s="4"/>
      <c r="C5606" s="4"/>
    </row>
    <row r="5607">
      <c r="A5607" s="4"/>
      <c r="B5607" s="4"/>
      <c r="C5607" s="4"/>
    </row>
    <row r="5608">
      <c r="A5608" s="4"/>
      <c r="B5608" s="4"/>
      <c r="C5608" s="4"/>
    </row>
    <row r="5609">
      <c r="A5609" s="4"/>
      <c r="B5609" s="4"/>
      <c r="C5609" s="4"/>
    </row>
    <row r="5610">
      <c r="A5610" s="4"/>
      <c r="B5610" s="4"/>
      <c r="C5610" s="4"/>
    </row>
    <row r="5611">
      <c r="A5611" s="4"/>
      <c r="B5611" s="4"/>
      <c r="C5611" s="4"/>
    </row>
    <row r="5612">
      <c r="A5612" s="4"/>
      <c r="B5612" s="4"/>
      <c r="C5612" s="4"/>
    </row>
    <row r="5613">
      <c r="A5613" s="4"/>
      <c r="B5613" s="4"/>
      <c r="C5613" s="4"/>
    </row>
    <row r="5614">
      <c r="A5614" s="4"/>
      <c r="B5614" s="4"/>
      <c r="C5614" s="4"/>
    </row>
    <row r="5615">
      <c r="A5615" s="4"/>
      <c r="B5615" s="4"/>
      <c r="C5615" s="4"/>
    </row>
    <row r="5616">
      <c r="A5616" s="4"/>
      <c r="B5616" s="4"/>
      <c r="C5616" s="4"/>
    </row>
    <row r="5617">
      <c r="A5617" s="4"/>
      <c r="B5617" s="4"/>
      <c r="C5617" s="4"/>
    </row>
    <row r="5618">
      <c r="A5618" s="4"/>
      <c r="B5618" s="4"/>
      <c r="C5618" s="4"/>
    </row>
    <row r="5619">
      <c r="A5619" s="4"/>
      <c r="B5619" s="4"/>
      <c r="C5619" s="4"/>
    </row>
    <row r="5620">
      <c r="A5620" s="4"/>
      <c r="B5620" s="4"/>
      <c r="C5620" s="4"/>
    </row>
    <row r="5621">
      <c r="A5621" s="4"/>
      <c r="B5621" s="4"/>
      <c r="C5621" s="4"/>
    </row>
    <row r="5622">
      <c r="A5622" s="4"/>
      <c r="B5622" s="4"/>
      <c r="C5622" s="4"/>
    </row>
    <row r="5623">
      <c r="A5623" s="4"/>
      <c r="B5623" s="4"/>
      <c r="C5623" s="4"/>
    </row>
    <row r="5624">
      <c r="A5624" s="4"/>
      <c r="B5624" s="4"/>
      <c r="C5624" s="4"/>
    </row>
    <row r="5625">
      <c r="A5625" s="4"/>
      <c r="B5625" s="4"/>
      <c r="C5625" s="4"/>
    </row>
    <row r="5626">
      <c r="A5626" s="4"/>
      <c r="B5626" s="4"/>
      <c r="C5626" s="4"/>
    </row>
    <row r="5627">
      <c r="A5627" s="4"/>
      <c r="B5627" s="4"/>
      <c r="C5627" s="4"/>
    </row>
    <row r="5628">
      <c r="A5628" s="4"/>
      <c r="B5628" s="4"/>
      <c r="C5628" s="4"/>
    </row>
    <row r="5629">
      <c r="A5629" s="4"/>
      <c r="B5629" s="4"/>
      <c r="C5629" s="4"/>
    </row>
    <row r="5630">
      <c r="A5630" s="4"/>
      <c r="B5630" s="4"/>
      <c r="C5630" s="4"/>
    </row>
    <row r="5631">
      <c r="A5631" s="4"/>
      <c r="B5631" s="4"/>
      <c r="C5631" s="4"/>
    </row>
    <row r="5632">
      <c r="A5632" s="4"/>
      <c r="B5632" s="4"/>
      <c r="C5632" s="4"/>
    </row>
    <row r="5633">
      <c r="A5633" s="4"/>
      <c r="B5633" s="4"/>
      <c r="C5633" s="4"/>
    </row>
    <row r="5634">
      <c r="A5634" s="4"/>
      <c r="B5634" s="4"/>
      <c r="C5634" s="4"/>
    </row>
    <row r="5635">
      <c r="A5635" s="4"/>
      <c r="B5635" s="4"/>
      <c r="C5635" s="4"/>
    </row>
    <row r="5636">
      <c r="A5636" s="4"/>
      <c r="B5636" s="4"/>
      <c r="C5636" s="4"/>
    </row>
    <row r="5637">
      <c r="A5637" s="4"/>
      <c r="B5637" s="4"/>
      <c r="C5637" s="4"/>
    </row>
    <row r="5638">
      <c r="A5638" s="4"/>
      <c r="B5638" s="4"/>
      <c r="C5638" s="4"/>
    </row>
    <row r="5639">
      <c r="A5639" s="4"/>
      <c r="B5639" s="4"/>
      <c r="C5639" s="4"/>
    </row>
    <row r="5640">
      <c r="A5640" s="4"/>
      <c r="B5640" s="4"/>
      <c r="C5640" s="4"/>
    </row>
    <row r="5641">
      <c r="A5641" s="4"/>
      <c r="B5641" s="4"/>
      <c r="C5641" s="4"/>
    </row>
    <row r="5642">
      <c r="A5642" s="4"/>
      <c r="B5642" s="4"/>
      <c r="C5642" s="4"/>
    </row>
    <row r="5643">
      <c r="A5643" s="4"/>
      <c r="B5643" s="4"/>
      <c r="C5643" s="4"/>
    </row>
    <row r="5644">
      <c r="A5644" s="4"/>
      <c r="B5644" s="4"/>
      <c r="C5644" s="4"/>
    </row>
    <row r="5645">
      <c r="A5645" s="4"/>
      <c r="B5645" s="4"/>
      <c r="C5645" s="4"/>
    </row>
    <row r="5646">
      <c r="A5646" s="4"/>
      <c r="B5646" s="4"/>
      <c r="C5646" s="4"/>
    </row>
    <row r="5647">
      <c r="A5647" s="4"/>
      <c r="B5647" s="4"/>
      <c r="C5647" s="4"/>
    </row>
    <row r="5648">
      <c r="A5648" s="4"/>
      <c r="B5648" s="4"/>
      <c r="C5648" s="4"/>
    </row>
    <row r="5649">
      <c r="A5649" s="4"/>
      <c r="B5649" s="4"/>
      <c r="C5649" s="4"/>
    </row>
    <row r="5650">
      <c r="A5650" s="4"/>
      <c r="B5650" s="4"/>
      <c r="C5650" s="4"/>
    </row>
    <row r="5651">
      <c r="A5651" s="4"/>
      <c r="B5651" s="4"/>
      <c r="C5651" s="4"/>
    </row>
    <row r="5652">
      <c r="A5652" s="4"/>
      <c r="B5652" s="4"/>
      <c r="C5652" s="4"/>
    </row>
    <row r="5653">
      <c r="A5653" s="4"/>
      <c r="B5653" s="4"/>
      <c r="C5653" s="4"/>
    </row>
    <row r="5654">
      <c r="A5654" s="4"/>
      <c r="B5654" s="4"/>
      <c r="C5654" s="4"/>
    </row>
    <row r="5655">
      <c r="A5655" s="4"/>
      <c r="B5655" s="4"/>
      <c r="C5655" s="4"/>
    </row>
    <row r="5656">
      <c r="A5656" s="4"/>
      <c r="B5656" s="4"/>
      <c r="C5656" s="4"/>
    </row>
    <row r="5657">
      <c r="A5657" s="4"/>
      <c r="B5657" s="4"/>
      <c r="C5657" s="4"/>
    </row>
    <row r="5658">
      <c r="A5658" s="4"/>
      <c r="B5658" s="4"/>
      <c r="C5658" s="4"/>
    </row>
    <row r="5659">
      <c r="A5659" s="4"/>
      <c r="B5659" s="4"/>
      <c r="C5659" s="4"/>
    </row>
    <row r="5660">
      <c r="A5660" s="4"/>
      <c r="B5660" s="4"/>
      <c r="C5660" s="4"/>
    </row>
    <row r="5661">
      <c r="A5661" s="4"/>
      <c r="B5661" s="4"/>
      <c r="C5661" s="4"/>
    </row>
    <row r="5662">
      <c r="A5662" s="4"/>
      <c r="B5662" s="4"/>
      <c r="C5662" s="4"/>
    </row>
    <row r="5663">
      <c r="A5663" s="4"/>
      <c r="B5663" s="4"/>
      <c r="C5663" s="4"/>
    </row>
    <row r="5664">
      <c r="A5664" s="4"/>
      <c r="B5664" s="4"/>
      <c r="C5664" s="4"/>
    </row>
    <row r="5665">
      <c r="A5665" s="4"/>
      <c r="B5665" s="4"/>
      <c r="C5665" s="4"/>
    </row>
    <row r="5666">
      <c r="A5666" s="4"/>
      <c r="B5666" s="4"/>
      <c r="C5666" s="4"/>
    </row>
    <row r="5667">
      <c r="A5667" s="4"/>
      <c r="B5667" s="4"/>
      <c r="C5667" s="4"/>
    </row>
    <row r="5668">
      <c r="A5668" s="4"/>
      <c r="B5668" s="4"/>
      <c r="C5668" s="4"/>
    </row>
    <row r="5669">
      <c r="A5669" s="4"/>
      <c r="B5669" s="4"/>
      <c r="C5669" s="4"/>
    </row>
    <row r="5670">
      <c r="A5670" s="4"/>
      <c r="B5670" s="4"/>
      <c r="C5670" s="4"/>
    </row>
    <row r="5671">
      <c r="A5671" s="4"/>
      <c r="B5671" s="4"/>
      <c r="C5671" s="4"/>
    </row>
    <row r="5672">
      <c r="A5672" s="4"/>
      <c r="B5672" s="4"/>
      <c r="C5672" s="4"/>
    </row>
    <row r="5673">
      <c r="A5673" s="4"/>
      <c r="B5673" s="4"/>
      <c r="C5673" s="4"/>
    </row>
    <row r="5674">
      <c r="A5674" s="4"/>
      <c r="B5674" s="4"/>
      <c r="C5674" s="4"/>
    </row>
    <row r="5675">
      <c r="A5675" s="4"/>
      <c r="B5675" s="4"/>
      <c r="C5675" s="4"/>
    </row>
    <row r="5676">
      <c r="A5676" s="4"/>
      <c r="B5676" s="4"/>
      <c r="C5676" s="4"/>
    </row>
    <row r="5677">
      <c r="A5677" s="4"/>
      <c r="B5677" s="4"/>
      <c r="C5677" s="4"/>
    </row>
    <row r="5678">
      <c r="A5678" s="4"/>
      <c r="B5678" s="4"/>
      <c r="C5678" s="4"/>
    </row>
    <row r="5679">
      <c r="A5679" s="4"/>
      <c r="B5679" s="4"/>
      <c r="C5679" s="4"/>
    </row>
    <row r="5680">
      <c r="A5680" s="4"/>
      <c r="B5680" s="4"/>
      <c r="C5680" s="4"/>
    </row>
    <row r="5681">
      <c r="A5681" s="4"/>
      <c r="B5681" s="4"/>
      <c r="C5681" s="4"/>
    </row>
    <row r="5682">
      <c r="A5682" s="4"/>
      <c r="B5682" s="4"/>
      <c r="C5682" s="4"/>
    </row>
    <row r="5683">
      <c r="A5683" s="4"/>
      <c r="B5683" s="4"/>
      <c r="C5683" s="4"/>
    </row>
    <row r="5684">
      <c r="A5684" s="4"/>
      <c r="B5684" s="4"/>
      <c r="C5684" s="4"/>
    </row>
    <row r="5685">
      <c r="A5685" s="4"/>
      <c r="B5685" s="4"/>
      <c r="C5685" s="4"/>
    </row>
    <row r="5686">
      <c r="A5686" s="4"/>
      <c r="B5686" s="4"/>
      <c r="C5686" s="4"/>
    </row>
    <row r="5687">
      <c r="A5687" s="4"/>
      <c r="B5687" s="4"/>
      <c r="C5687" s="4"/>
    </row>
    <row r="5688">
      <c r="A5688" s="4"/>
      <c r="B5688" s="4"/>
      <c r="C5688" s="4"/>
    </row>
    <row r="5689">
      <c r="A5689" s="4"/>
      <c r="B5689" s="4"/>
      <c r="C5689" s="4"/>
    </row>
    <row r="5690">
      <c r="A5690" s="4"/>
      <c r="B5690" s="4"/>
      <c r="C5690" s="4"/>
    </row>
    <row r="5691">
      <c r="A5691" s="4"/>
      <c r="B5691" s="4"/>
      <c r="C5691" s="4"/>
    </row>
    <row r="5692">
      <c r="A5692" s="4"/>
      <c r="B5692" s="4"/>
      <c r="C5692" s="4"/>
    </row>
    <row r="5693">
      <c r="A5693" s="4"/>
      <c r="B5693" s="4"/>
      <c r="C5693" s="4"/>
    </row>
    <row r="5694">
      <c r="A5694" s="4"/>
      <c r="B5694" s="4"/>
      <c r="C5694" s="4"/>
    </row>
    <row r="5695">
      <c r="A5695" s="4"/>
      <c r="B5695" s="4"/>
      <c r="C5695" s="4"/>
    </row>
    <row r="5696">
      <c r="A5696" s="4"/>
      <c r="B5696" s="4"/>
      <c r="C5696" s="4"/>
    </row>
    <row r="5697">
      <c r="A5697" s="4"/>
      <c r="B5697" s="4"/>
      <c r="C5697" s="4"/>
    </row>
    <row r="5698">
      <c r="A5698" s="4"/>
      <c r="B5698" s="4"/>
      <c r="C5698" s="4"/>
    </row>
    <row r="5699">
      <c r="A5699" s="4"/>
      <c r="B5699" s="4"/>
      <c r="C5699" s="4"/>
    </row>
    <row r="5700">
      <c r="A5700" s="4"/>
      <c r="B5700" s="4"/>
      <c r="C5700" s="4"/>
    </row>
    <row r="5701">
      <c r="A5701" s="4"/>
      <c r="B5701" s="4"/>
      <c r="C5701" s="4"/>
    </row>
    <row r="5702">
      <c r="A5702" s="4"/>
      <c r="B5702" s="4"/>
      <c r="C5702" s="4"/>
    </row>
    <row r="5703">
      <c r="A5703" s="4"/>
      <c r="B5703" s="4"/>
      <c r="C5703" s="4"/>
    </row>
    <row r="5704">
      <c r="A5704" s="4"/>
      <c r="B5704" s="4"/>
      <c r="C5704" s="4"/>
    </row>
    <row r="5705">
      <c r="A5705" s="4"/>
      <c r="B5705" s="4"/>
      <c r="C5705" s="4"/>
    </row>
    <row r="5706">
      <c r="A5706" s="4"/>
      <c r="B5706" s="4"/>
      <c r="C5706" s="4"/>
    </row>
    <row r="5707">
      <c r="A5707" s="4"/>
      <c r="B5707" s="4"/>
      <c r="C5707" s="4"/>
    </row>
    <row r="5708">
      <c r="A5708" s="4"/>
      <c r="B5708" s="4"/>
      <c r="C5708" s="4"/>
    </row>
    <row r="5709">
      <c r="A5709" s="4"/>
      <c r="B5709" s="4"/>
      <c r="C5709" s="4"/>
    </row>
    <row r="5710">
      <c r="A5710" s="4"/>
      <c r="B5710" s="4"/>
      <c r="C5710" s="4"/>
    </row>
    <row r="5711">
      <c r="A5711" s="4"/>
      <c r="B5711" s="4"/>
      <c r="C5711" s="4"/>
    </row>
    <row r="5712">
      <c r="A5712" s="4"/>
      <c r="B5712" s="4"/>
      <c r="C5712" s="4"/>
    </row>
    <row r="5713">
      <c r="A5713" s="4"/>
      <c r="B5713" s="4"/>
      <c r="C5713" s="4"/>
    </row>
    <row r="5714">
      <c r="A5714" s="4"/>
      <c r="B5714" s="4"/>
      <c r="C5714" s="4"/>
    </row>
    <row r="5715">
      <c r="A5715" s="4"/>
      <c r="B5715" s="4"/>
      <c r="C5715" s="4"/>
    </row>
    <row r="5716">
      <c r="A5716" s="4"/>
      <c r="B5716" s="4"/>
      <c r="C5716" s="4"/>
    </row>
    <row r="5717">
      <c r="A5717" s="4"/>
      <c r="B5717" s="4"/>
      <c r="C5717" s="4"/>
    </row>
    <row r="5718">
      <c r="A5718" s="4"/>
      <c r="B5718" s="4"/>
      <c r="C5718" s="4"/>
    </row>
    <row r="5719">
      <c r="A5719" s="4"/>
      <c r="B5719" s="4"/>
      <c r="C5719" s="4"/>
    </row>
    <row r="5720">
      <c r="A5720" s="4"/>
      <c r="B5720" s="4"/>
      <c r="C5720" s="4"/>
    </row>
    <row r="5721">
      <c r="A5721" s="4"/>
      <c r="B5721" s="4"/>
      <c r="C5721" s="4"/>
    </row>
    <row r="5722">
      <c r="A5722" s="4"/>
      <c r="B5722" s="4"/>
      <c r="C5722" s="4"/>
    </row>
    <row r="5723">
      <c r="A5723" s="4"/>
      <c r="B5723" s="4"/>
      <c r="C5723" s="4"/>
    </row>
    <row r="5724">
      <c r="A5724" s="4"/>
      <c r="B5724" s="4"/>
      <c r="C5724" s="4"/>
    </row>
    <row r="5725">
      <c r="A5725" s="4"/>
      <c r="B5725" s="4"/>
      <c r="C5725" s="4"/>
    </row>
    <row r="5726">
      <c r="A5726" s="4"/>
      <c r="B5726" s="4"/>
      <c r="C5726" s="4"/>
    </row>
    <row r="5727">
      <c r="A5727" s="4"/>
      <c r="B5727" s="4"/>
      <c r="C5727" s="4"/>
    </row>
    <row r="5728">
      <c r="A5728" s="4"/>
      <c r="B5728" s="4"/>
      <c r="C5728" s="4"/>
    </row>
    <row r="5729">
      <c r="A5729" s="4"/>
      <c r="B5729" s="4"/>
      <c r="C5729" s="4"/>
    </row>
    <row r="5730">
      <c r="A5730" s="4"/>
      <c r="B5730" s="4"/>
      <c r="C5730" s="4"/>
    </row>
    <row r="5731">
      <c r="A5731" s="4"/>
      <c r="B5731" s="4"/>
      <c r="C5731" s="4"/>
    </row>
    <row r="5732">
      <c r="A5732" s="4"/>
      <c r="B5732" s="4"/>
      <c r="C5732" s="4"/>
    </row>
    <row r="5733">
      <c r="A5733" s="4"/>
      <c r="B5733" s="4"/>
      <c r="C5733" s="4"/>
    </row>
    <row r="5734">
      <c r="A5734" s="4"/>
      <c r="B5734" s="4"/>
      <c r="C5734" s="4"/>
    </row>
    <row r="5735">
      <c r="A5735" s="4"/>
      <c r="B5735" s="4"/>
      <c r="C5735" s="4"/>
    </row>
    <row r="5736">
      <c r="A5736" s="4"/>
      <c r="B5736" s="4"/>
      <c r="C5736" s="4"/>
    </row>
    <row r="5737">
      <c r="A5737" s="4"/>
      <c r="B5737" s="4"/>
      <c r="C5737" s="4"/>
    </row>
    <row r="5738">
      <c r="A5738" s="4"/>
      <c r="B5738" s="4"/>
      <c r="C5738" s="4"/>
    </row>
    <row r="5739">
      <c r="A5739" s="4"/>
      <c r="B5739" s="4"/>
      <c r="C5739" s="4"/>
    </row>
    <row r="5740">
      <c r="A5740" s="4"/>
      <c r="B5740" s="4"/>
      <c r="C5740" s="4"/>
    </row>
    <row r="5741">
      <c r="A5741" s="4"/>
      <c r="B5741" s="4"/>
      <c r="C5741" s="4"/>
    </row>
    <row r="5742">
      <c r="A5742" s="4"/>
      <c r="B5742" s="4"/>
      <c r="C5742" s="4"/>
    </row>
    <row r="5743">
      <c r="A5743" s="4"/>
      <c r="B5743" s="4"/>
      <c r="C5743" s="4"/>
    </row>
    <row r="5744">
      <c r="A5744" s="4"/>
      <c r="B5744" s="4"/>
      <c r="C5744" s="4"/>
    </row>
    <row r="5745">
      <c r="A5745" s="4"/>
      <c r="B5745" s="4"/>
      <c r="C5745" s="4"/>
    </row>
    <row r="5746">
      <c r="A5746" s="4"/>
      <c r="B5746" s="4"/>
      <c r="C5746" s="4"/>
    </row>
    <row r="5747">
      <c r="A5747" s="4"/>
      <c r="B5747" s="4"/>
      <c r="C5747" s="4"/>
    </row>
    <row r="5748">
      <c r="A5748" s="4"/>
      <c r="B5748" s="4"/>
      <c r="C5748" s="4"/>
    </row>
    <row r="5749">
      <c r="A5749" s="4"/>
      <c r="B5749" s="4"/>
      <c r="C5749" s="4"/>
    </row>
    <row r="5750">
      <c r="A5750" s="4"/>
      <c r="B5750" s="4"/>
      <c r="C5750" s="4"/>
    </row>
    <row r="5751">
      <c r="A5751" s="4"/>
      <c r="B5751" s="4"/>
      <c r="C5751" s="4"/>
    </row>
    <row r="5752">
      <c r="A5752" s="4"/>
      <c r="B5752" s="4"/>
      <c r="C5752" s="4"/>
    </row>
    <row r="5753">
      <c r="A5753" s="4"/>
      <c r="B5753" s="4"/>
      <c r="C5753" s="4"/>
    </row>
    <row r="5754">
      <c r="A5754" s="4"/>
      <c r="B5754" s="4"/>
      <c r="C5754" s="4"/>
    </row>
    <row r="5755">
      <c r="A5755" s="4"/>
      <c r="B5755" s="4"/>
      <c r="C5755" s="4"/>
    </row>
    <row r="5756">
      <c r="A5756" s="4"/>
      <c r="B5756" s="4"/>
      <c r="C5756" s="4"/>
    </row>
    <row r="5757">
      <c r="A5757" s="4"/>
      <c r="B5757" s="4"/>
      <c r="C5757" s="4"/>
    </row>
    <row r="5758">
      <c r="A5758" s="4"/>
      <c r="B5758" s="4"/>
      <c r="C5758" s="4"/>
    </row>
    <row r="5759">
      <c r="A5759" s="4"/>
      <c r="B5759" s="4"/>
      <c r="C5759" s="4"/>
    </row>
    <row r="5760">
      <c r="A5760" s="4"/>
      <c r="B5760" s="4"/>
      <c r="C5760" s="4"/>
    </row>
    <row r="5761">
      <c r="A5761" s="4"/>
      <c r="B5761" s="4"/>
      <c r="C5761" s="4"/>
    </row>
    <row r="5762">
      <c r="A5762" s="4"/>
      <c r="B5762" s="4"/>
      <c r="C5762" s="4"/>
    </row>
    <row r="5763">
      <c r="A5763" s="4"/>
      <c r="B5763" s="4"/>
      <c r="C5763" s="4"/>
    </row>
    <row r="5764">
      <c r="A5764" s="4"/>
      <c r="B5764" s="4"/>
      <c r="C5764" s="4"/>
    </row>
    <row r="5765">
      <c r="A5765" s="4"/>
      <c r="B5765" s="4"/>
      <c r="C5765" s="4"/>
    </row>
    <row r="5766">
      <c r="A5766" s="4"/>
      <c r="B5766" s="4"/>
      <c r="C5766" s="4"/>
    </row>
    <row r="5767">
      <c r="A5767" s="4"/>
      <c r="B5767" s="4"/>
      <c r="C5767" s="4"/>
    </row>
    <row r="5768">
      <c r="A5768" s="4"/>
      <c r="B5768" s="4"/>
      <c r="C5768" s="4"/>
    </row>
    <row r="5769">
      <c r="A5769" s="4"/>
      <c r="B5769" s="4"/>
      <c r="C5769" s="4"/>
    </row>
    <row r="5770">
      <c r="A5770" s="4"/>
      <c r="B5770" s="4"/>
      <c r="C5770" s="4"/>
    </row>
    <row r="5771">
      <c r="A5771" s="4"/>
      <c r="B5771" s="4"/>
      <c r="C5771" s="4"/>
    </row>
    <row r="5772">
      <c r="A5772" s="4"/>
      <c r="B5772" s="4"/>
      <c r="C5772" s="4"/>
    </row>
    <row r="5773">
      <c r="A5773" s="4"/>
      <c r="B5773" s="4"/>
      <c r="C5773" s="4"/>
    </row>
    <row r="5774">
      <c r="A5774" s="4"/>
      <c r="B5774" s="4"/>
      <c r="C5774" s="4"/>
    </row>
    <row r="5775">
      <c r="A5775" s="4"/>
      <c r="B5775" s="4"/>
      <c r="C5775" s="4"/>
    </row>
    <row r="5776">
      <c r="A5776" s="4"/>
      <c r="B5776" s="4"/>
      <c r="C5776" s="4"/>
    </row>
    <row r="5777">
      <c r="A5777" s="4"/>
      <c r="B5777" s="4"/>
      <c r="C5777" s="4"/>
    </row>
    <row r="5778">
      <c r="A5778" s="4"/>
      <c r="B5778" s="4"/>
      <c r="C5778" s="4"/>
    </row>
    <row r="5779">
      <c r="A5779" s="4"/>
      <c r="B5779" s="4"/>
      <c r="C5779" s="4"/>
    </row>
    <row r="5780">
      <c r="A5780" s="4"/>
      <c r="B5780" s="4"/>
      <c r="C5780" s="4"/>
    </row>
    <row r="5781">
      <c r="A5781" s="4"/>
      <c r="B5781" s="4"/>
      <c r="C5781" s="4"/>
    </row>
    <row r="5782">
      <c r="A5782" s="4"/>
      <c r="B5782" s="4"/>
      <c r="C5782" s="4"/>
    </row>
    <row r="5783">
      <c r="A5783" s="4"/>
      <c r="B5783" s="4"/>
      <c r="C5783" s="4"/>
    </row>
    <row r="5784">
      <c r="A5784" s="4"/>
      <c r="B5784" s="4"/>
      <c r="C5784" s="4"/>
    </row>
    <row r="5785">
      <c r="A5785" s="4"/>
      <c r="B5785" s="4"/>
      <c r="C5785" s="4"/>
    </row>
    <row r="5786">
      <c r="A5786" s="4"/>
      <c r="B5786" s="4"/>
      <c r="C5786" s="4"/>
    </row>
    <row r="5787">
      <c r="A5787" s="4"/>
      <c r="B5787" s="4"/>
      <c r="C5787" s="4"/>
    </row>
    <row r="5788">
      <c r="A5788" s="4"/>
      <c r="B5788" s="4"/>
      <c r="C5788" s="4"/>
    </row>
    <row r="5789">
      <c r="A5789" s="4"/>
      <c r="B5789" s="4"/>
      <c r="C5789" s="4"/>
    </row>
    <row r="5790">
      <c r="A5790" s="4"/>
      <c r="B5790" s="4"/>
      <c r="C5790" s="4"/>
    </row>
    <row r="5791">
      <c r="A5791" s="4"/>
      <c r="B5791" s="4"/>
      <c r="C5791" s="4"/>
    </row>
    <row r="5792">
      <c r="A5792" s="4"/>
      <c r="B5792" s="4"/>
      <c r="C5792" s="4"/>
    </row>
    <row r="5793">
      <c r="A5793" s="4"/>
      <c r="B5793" s="4"/>
      <c r="C5793" s="4"/>
    </row>
    <row r="5794">
      <c r="A5794" s="4"/>
      <c r="B5794" s="4"/>
      <c r="C5794" s="4"/>
    </row>
    <row r="5795">
      <c r="A5795" s="4"/>
      <c r="B5795" s="4"/>
      <c r="C5795" s="4"/>
    </row>
    <row r="5796">
      <c r="A5796" s="4"/>
      <c r="B5796" s="4"/>
      <c r="C5796" s="4"/>
    </row>
    <row r="5797">
      <c r="A5797" s="4"/>
      <c r="B5797" s="4"/>
      <c r="C5797" s="4"/>
    </row>
    <row r="5798">
      <c r="A5798" s="4"/>
      <c r="B5798" s="4"/>
      <c r="C5798" s="4"/>
    </row>
    <row r="5799">
      <c r="A5799" s="4"/>
      <c r="B5799" s="4"/>
      <c r="C5799" s="4"/>
    </row>
    <row r="5800">
      <c r="A5800" s="4"/>
      <c r="B5800" s="4"/>
      <c r="C5800" s="4"/>
    </row>
    <row r="5801">
      <c r="A5801" s="4"/>
      <c r="B5801" s="4"/>
      <c r="C5801" s="4"/>
    </row>
    <row r="5802">
      <c r="A5802" s="4"/>
      <c r="B5802" s="4"/>
      <c r="C5802" s="4"/>
    </row>
    <row r="5803">
      <c r="A5803" s="4"/>
      <c r="B5803" s="4"/>
      <c r="C5803" s="4"/>
    </row>
    <row r="5804">
      <c r="A5804" s="4"/>
      <c r="B5804" s="4"/>
      <c r="C5804" s="4"/>
    </row>
    <row r="5805">
      <c r="A5805" s="4"/>
      <c r="B5805" s="4"/>
      <c r="C5805" s="4"/>
    </row>
    <row r="5806">
      <c r="A5806" s="4"/>
      <c r="B5806" s="4"/>
      <c r="C5806" s="4"/>
    </row>
    <row r="5807">
      <c r="A5807" s="4"/>
      <c r="B5807" s="4"/>
      <c r="C5807" s="4"/>
    </row>
    <row r="5808">
      <c r="A5808" s="4"/>
      <c r="B5808" s="4"/>
      <c r="C5808" s="4"/>
    </row>
    <row r="5809">
      <c r="A5809" s="4"/>
      <c r="B5809" s="4"/>
      <c r="C5809" s="4"/>
    </row>
    <row r="5810">
      <c r="A5810" s="4"/>
      <c r="B5810" s="4"/>
      <c r="C5810" s="4"/>
    </row>
    <row r="5811">
      <c r="A5811" s="4"/>
      <c r="B5811" s="4"/>
      <c r="C5811" s="4"/>
    </row>
    <row r="5812">
      <c r="A5812" s="4"/>
      <c r="B5812" s="4"/>
      <c r="C5812" s="4"/>
    </row>
    <row r="5813">
      <c r="A5813" s="4"/>
      <c r="B5813" s="4"/>
      <c r="C5813" s="4"/>
    </row>
    <row r="5814">
      <c r="A5814" s="4"/>
      <c r="B5814" s="4"/>
      <c r="C5814" s="4"/>
    </row>
    <row r="5815">
      <c r="A5815" s="4"/>
      <c r="B5815" s="4"/>
      <c r="C5815" s="4"/>
    </row>
    <row r="5816">
      <c r="A5816" s="4"/>
      <c r="B5816" s="4"/>
      <c r="C5816" s="4"/>
    </row>
    <row r="5817">
      <c r="A5817" s="4"/>
      <c r="B5817" s="4"/>
      <c r="C5817" s="4"/>
    </row>
    <row r="5818">
      <c r="A5818" s="4"/>
      <c r="B5818" s="4"/>
      <c r="C5818" s="4"/>
    </row>
    <row r="5819">
      <c r="A5819" s="4"/>
      <c r="B5819" s="4"/>
      <c r="C5819" s="4"/>
    </row>
    <row r="5820">
      <c r="A5820" s="4"/>
      <c r="B5820" s="4"/>
      <c r="C5820" s="4"/>
    </row>
    <row r="5821">
      <c r="A5821" s="4"/>
      <c r="B5821" s="4"/>
      <c r="C5821" s="4"/>
    </row>
    <row r="5822">
      <c r="A5822" s="4"/>
      <c r="B5822" s="4"/>
      <c r="C5822" s="4"/>
    </row>
    <row r="5823">
      <c r="A5823" s="4"/>
      <c r="B5823" s="4"/>
      <c r="C5823" s="4"/>
    </row>
    <row r="5824">
      <c r="A5824" s="4"/>
      <c r="B5824" s="4"/>
      <c r="C5824" s="4"/>
    </row>
    <row r="5825">
      <c r="A5825" s="4"/>
      <c r="B5825" s="4"/>
      <c r="C5825" s="4"/>
    </row>
    <row r="5826">
      <c r="A5826" s="4"/>
      <c r="B5826" s="4"/>
      <c r="C5826" s="4"/>
    </row>
    <row r="5827">
      <c r="A5827" s="4"/>
      <c r="B5827" s="4"/>
      <c r="C5827" s="4"/>
    </row>
    <row r="5828">
      <c r="A5828" s="4"/>
      <c r="B5828" s="4"/>
      <c r="C5828" s="4"/>
    </row>
    <row r="5829">
      <c r="A5829" s="4"/>
      <c r="B5829" s="4"/>
      <c r="C5829" s="4"/>
    </row>
    <row r="5830">
      <c r="A5830" s="4"/>
      <c r="B5830" s="4"/>
      <c r="C5830" s="4"/>
    </row>
    <row r="5831">
      <c r="A5831" s="4"/>
      <c r="B5831" s="4"/>
      <c r="C5831" s="4"/>
    </row>
    <row r="5832">
      <c r="A5832" s="4"/>
      <c r="B5832" s="4"/>
      <c r="C5832" s="4"/>
    </row>
    <row r="5833">
      <c r="A5833" s="4"/>
      <c r="B5833" s="4"/>
      <c r="C5833" s="4"/>
    </row>
    <row r="5834">
      <c r="A5834" s="4"/>
      <c r="B5834" s="4"/>
      <c r="C5834" s="4"/>
    </row>
    <row r="5835">
      <c r="A5835" s="4"/>
      <c r="B5835" s="4"/>
      <c r="C5835" s="4"/>
    </row>
    <row r="5836">
      <c r="A5836" s="4"/>
      <c r="B5836" s="4"/>
      <c r="C5836" s="4"/>
    </row>
    <row r="5837">
      <c r="A5837" s="4"/>
      <c r="B5837" s="4"/>
      <c r="C5837" s="4"/>
    </row>
    <row r="5838">
      <c r="A5838" s="4"/>
      <c r="B5838" s="4"/>
      <c r="C5838" s="4"/>
    </row>
    <row r="5839">
      <c r="A5839" s="4"/>
      <c r="B5839" s="4"/>
      <c r="C5839" s="4"/>
    </row>
    <row r="5840">
      <c r="A5840" s="4"/>
      <c r="B5840" s="4"/>
      <c r="C5840" s="4"/>
    </row>
    <row r="5841">
      <c r="A5841" s="4"/>
      <c r="B5841" s="4"/>
      <c r="C5841" s="4"/>
    </row>
    <row r="5842">
      <c r="A5842" s="4"/>
      <c r="B5842" s="4"/>
      <c r="C5842" s="4"/>
    </row>
    <row r="5843">
      <c r="A5843" s="4"/>
      <c r="B5843" s="4"/>
      <c r="C5843" s="4"/>
    </row>
    <row r="5844">
      <c r="A5844" s="4"/>
      <c r="B5844" s="4"/>
      <c r="C5844" s="4"/>
    </row>
    <row r="5845">
      <c r="A5845" s="4"/>
      <c r="B5845" s="4"/>
      <c r="C5845" s="4"/>
    </row>
    <row r="5846">
      <c r="A5846" s="4"/>
      <c r="B5846" s="4"/>
      <c r="C5846" s="4"/>
    </row>
    <row r="5847">
      <c r="A5847" s="4"/>
      <c r="B5847" s="4"/>
      <c r="C5847" s="4"/>
    </row>
    <row r="5848">
      <c r="A5848" s="4"/>
      <c r="B5848" s="4"/>
      <c r="C5848" s="4"/>
    </row>
    <row r="5849">
      <c r="A5849" s="4"/>
      <c r="B5849" s="4"/>
      <c r="C5849" s="4"/>
    </row>
    <row r="5850">
      <c r="A5850" s="4"/>
      <c r="B5850" s="4"/>
      <c r="C5850" s="4"/>
    </row>
    <row r="5851">
      <c r="A5851" s="4"/>
      <c r="B5851" s="4"/>
      <c r="C5851" s="4"/>
    </row>
    <row r="5852">
      <c r="A5852" s="4"/>
      <c r="B5852" s="4"/>
      <c r="C5852" s="4"/>
    </row>
    <row r="5853">
      <c r="A5853" s="4"/>
      <c r="B5853" s="4"/>
      <c r="C5853" s="4"/>
    </row>
    <row r="5854">
      <c r="A5854" s="4"/>
      <c r="B5854" s="4"/>
      <c r="C5854" s="4"/>
    </row>
    <row r="5855">
      <c r="A5855" s="4"/>
      <c r="B5855" s="4"/>
      <c r="C5855" s="4"/>
    </row>
    <row r="5856">
      <c r="A5856" s="4"/>
      <c r="B5856" s="4"/>
      <c r="C5856" s="4"/>
    </row>
    <row r="5857">
      <c r="A5857" s="4"/>
      <c r="B5857" s="4"/>
      <c r="C5857" s="4"/>
    </row>
    <row r="5858">
      <c r="A5858" s="4"/>
      <c r="B5858" s="4"/>
      <c r="C5858" s="4"/>
    </row>
    <row r="5859">
      <c r="A5859" s="4"/>
      <c r="B5859" s="4"/>
      <c r="C5859" s="4"/>
    </row>
    <row r="5860">
      <c r="A5860" s="4"/>
      <c r="B5860" s="4"/>
      <c r="C5860" s="4"/>
    </row>
    <row r="5861">
      <c r="A5861" s="4"/>
      <c r="B5861" s="4"/>
      <c r="C5861" s="4"/>
    </row>
    <row r="5862">
      <c r="A5862" s="4"/>
      <c r="B5862" s="4"/>
      <c r="C5862" s="4"/>
    </row>
    <row r="5863">
      <c r="A5863" s="4"/>
      <c r="B5863" s="4"/>
      <c r="C5863" s="4"/>
    </row>
    <row r="5864">
      <c r="A5864" s="4"/>
      <c r="B5864" s="4"/>
      <c r="C5864" s="4"/>
    </row>
    <row r="5865">
      <c r="A5865" s="4"/>
      <c r="B5865" s="4"/>
      <c r="C5865" s="4"/>
    </row>
    <row r="5866">
      <c r="A5866" s="4"/>
      <c r="B5866" s="4"/>
      <c r="C5866" s="4"/>
    </row>
    <row r="5867">
      <c r="A5867" s="4"/>
      <c r="B5867" s="4"/>
      <c r="C5867" s="4"/>
    </row>
    <row r="5868">
      <c r="A5868" s="4"/>
      <c r="B5868" s="4"/>
      <c r="C5868" s="4"/>
    </row>
    <row r="5869">
      <c r="A5869" s="4"/>
      <c r="B5869" s="4"/>
      <c r="C5869" s="4"/>
    </row>
    <row r="5870">
      <c r="A5870" s="4"/>
      <c r="B5870" s="4"/>
      <c r="C5870" s="4"/>
    </row>
    <row r="5871">
      <c r="A5871" s="4"/>
      <c r="B5871" s="4"/>
      <c r="C5871" s="4"/>
    </row>
    <row r="5872">
      <c r="A5872" s="4"/>
      <c r="B5872" s="4"/>
      <c r="C5872" s="4"/>
    </row>
    <row r="5873">
      <c r="A5873" s="4"/>
      <c r="B5873" s="4"/>
      <c r="C5873" s="4"/>
    </row>
    <row r="5874">
      <c r="A5874" s="4"/>
      <c r="B5874" s="4"/>
      <c r="C5874" s="4"/>
    </row>
    <row r="5875">
      <c r="A5875" s="4"/>
      <c r="B5875" s="4"/>
      <c r="C5875" s="4"/>
    </row>
    <row r="5876">
      <c r="A5876" s="4"/>
      <c r="B5876" s="4"/>
      <c r="C5876" s="4"/>
    </row>
    <row r="5877">
      <c r="A5877" s="4"/>
      <c r="B5877" s="4"/>
      <c r="C5877" s="4"/>
    </row>
    <row r="5878">
      <c r="A5878" s="4"/>
      <c r="B5878" s="4"/>
      <c r="C5878" s="4"/>
    </row>
    <row r="5879">
      <c r="A5879" s="4"/>
      <c r="B5879" s="4"/>
      <c r="C5879" s="4"/>
    </row>
    <row r="5880">
      <c r="A5880" s="4"/>
      <c r="B5880" s="4"/>
      <c r="C5880" s="4"/>
    </row>
    <row r="5881">
      <c r="A5881" s="4"/>
      <c r="B5881" s="4"/>
      <c r="C5881" s="4"/>
    </row>
    <row r="5882">
      <c r="A5882" s="4"/>
      <c r="B5882" s="4"/>
      <c r="C5882" s="4"/>
    </row>
    <row r="5883">
      <c r="A5883" s="4"/>
      <c r="B5883" s="4"/>
      <c r="C5883" s="4"/>
    </row>
    <row r="5884">
      <c r="A5884" s="4"/>
      <c r="B5884" s="4"/>
      <c r="C5884" s="4"/>
    </row>
    <row r="5885">
      <c r="A5885" s="4"/>
      <c r="B5885" s="4"/>
      <c r="C5885" s="4"/>
    </row>
    <row r="5886">
      <c r="A5886" s="4"/>
      <c r="B5886" s="4"/>
      <c r="C5886" s="4"/>
    </row>
    <row r="5887">
      <c r="A5887" s="4"/>
      <c r="B5887" s="4"/>
      <c r="C5887" s="4"/>
    </row>
    <row r="5888">
      <c r="A5888" s="4"/>
      <c r="B5888" s="4"/>
      <c r="C5888" s="4"/>
    </row>
    <row r="5889">
      <c r="A5889" s="4"/>
      <c r="B5889" s="4"/>
      <c r="C5889" s="4"/>
    </row>
    <row r="5890">
      <c r="A5890" s="4"/>
      <c r="B5890" s="4"/>
      <c r="C5890" s="4"/>
    </row>
    <row r="5891">
      <c r="A5891" s="4"/>
      <c r="B5891" s="4"/>
      <c r="C5891" s="4"/>
    </row>
    <row r="5892">
      <c r="A5892" s="4"/>
      <c r="B5892" s="4"/>
      <c r="C5892" s="4"/>
    </row>
    <row r="5893">
      <c r="A5893" s="4"/>
      <c r="B5893" s="4"/>
      <c r="C5893" s="4"/>
    </row>
    <row r="5894">
      <c r="A5894" s="4"/>
      <c r="B5894" s="4"/>
      <c r="C5894" s="4"/>
    </row>
    <row r="5895">
      <c r="A5895" s="4"/>
      <c r="B5895" s="4"/>
      <c r="C5895" s="4"/>
    </row>
    <row r="5896">
      <c r="A5896" s="4"/>
      <c r="B5896" s="4"/>
      <c r="C5896" s="4"/>
    </row>
    <row r="5897">
      <c r="A5897" s="4"/>
      <c r="B5897" s="4"/>
      <c r="C5897" s="4"/>
    </row>
    <row r="5898">
      <c r="A5898" s="4"/>
      <c r="B5898" s="4"/>
      <c r="C5898" s="4"/>
    </row>
    <row r="5899">
      <c r="A5899" s="4"/>
      <c r="B5899" s="4"/>
      <c r="C5899" s="4"/>
    </row>
    <row r="5900">
      <c r="A5900" s="4"/>
      <c r="B5900" s="4"/>
      <c r="C5900" s="4"/>
    </row>
    <row r="5901">
      <c r="A5901" s="4"/>
      <c r="B5901" s="4"/>
      <c r="C5901" s="4"/>
    </row>
    <row r="5902">
      <c r="A5902" s="4"/>
      <c r="B5902" s="4"/>
      <c r="C5902" s="4"/>
    </row>
    <row r="5903">
      <c r="A5903" s="4"/>
      <c r="B5903" s="4"/>
      <c r="C5903" s="4"/>
    </row>
    <row r="5904">
      <c r="A5904" s="4"/>
      <c r="B5904" s="4"/>
      <c r="C5904" s="4"/>
    </row>
    <row r="5905">
      <c r="A5905" s="4"/>
      <c r="B5905" s="4"/>
      <c r="C5905" s="4"/>
    </row>
    <row r="5906">
      <c r="A5906" s="4"/>
      <c r="B5906" s="4"/>
      <c r="C5906" s="4"/>
    </row>
    <row r="5907">
      <c r="A5907" s="4"/>
      <c r="B5907" s="4"/>
      <c r="C5907" s="4"/>
    </row>
    <row r="5908">
      <c r="A5908" s="4"/>
      <c r="B5908" s="4"/>
      <c r="C5908" s="4"/>
    </row>
    <row r="5909">
      <c r="A5909" s="4"/>
      <c r="B5909" s="4"/>
      <c r="C5909" s="4"/>
    </row>
    <row r="5910">
      <c r="A5910" s="4"/>
      <c r="B5910" s="4"/>
      <c r="C5910" s="4"/>
    </row>
    <row r="5911">
      <c r="A5911" s="4"/>
      <c r="B5911" s="4"/>
      <c r="C5911" s="4"/>
    </row>
    <row r="5912">
      <c r="A5912" s="4"/>
      <c r="B5912" s="4"/>
      <c r="C5912" s="4"/>
    </row>
    <row r="5913">
      <c r="A5913" s="4"/>
      <c r="B5913" s="4"/>
      <c r="C5913" s="4"/>
    </row>
    <row r="5914">
      <c r="A5914" s="4"/>
      <c r="B5914" s="4"/>
      <c r="C5914" s="4"/>
    </row>
    <row r="5915">
      <c r="A5915" s="4"/>
      <c r="B5915" s="4"/>
      <c r="C5915" s="4"/>
    </row>
    <row r="5916">
      <c r="A5916" s="4"/>
      <c r="B5916" s="4"/>
      <c r="C5916" s="4"/>
    </row>
    <row r="5917">
      <c r="A5917" s="4"/>
      <c r="B5917" s="4"/>
      <c r="C5917" s="4"/>
    </row>
    <row r="5918">
      <c r="A5918" s="4"/>
      <c r="B5918" s="4"/>
      <c r="C5918" s="4"/>
    </row>
    <row r="5919">
      <c r="A5919" s="4"/>
      <c r="B5919" s="4"/>
      <c r="C5919" s="4"/>
    </row>
    <row r="5920">
      <c r="A5920" s="4"/>
      <c r="B5920" s="4"/>
      <c r="C5920" s="4"/>
    </row>
    <row r="5921">
      <c r="A5921" s="4"/>
      <c r="B5921" s="4"/>
      <c r="C5921" s="4"/>
    </row>
    <row r="5922">
      <c r="A5922" s="4"/>
      <c r="B5922" s="4"/>
      <c r="C5922" s="4"/>
    </row>
    <row r="5923">
      <c r="A5923" s="4"/>
      <c r="B5923" s="4"/>
      <c r="C5923" s="4"/>
    </row>
    <row r="5924">
      <c r="A5924" s="4"/>
      <c r="B5924" s="4"/>
      <c r="C5924" s="4"/>
    </row>
    <row r="5925">
      <c r="A5925" s="4"/>
      <c r="B5925" s="4"/>
      <c r="C5925" s="4"/>
    </row>
    <row r="5926">
      <c r="A5926" s="4"/>
      <c r="B5926" s="4"/>
      <c r="C5926" s="4"/>
    </row>
    <row r="5927">
      <c r="A5927" s="4"/>
      <c r="B5927" s="4"/>
      <c r="C5927" s="4"/>
    </row>
    <row r="5928">
      <c r="A5928" s="4"/>
      <c r="B5928" s="4"/>
      <c r="C5928" s="4"/>
    </row>
    <row r="5929">
      <c r="A5929" s="4"/>
      <c r="B5929" s="4"/>
      <c r="C5929" s="4"/>
    </row>
    <row r="5930">
      <c r="A5930" s="4"/>
      <c r="B5930" s="4"/>
      <c r="C5930" s="4"/>
    </row>
    <row r="5931">
      <c r="A5931" s="4"/>
      <c r="B5931" s="4"/>
      <c r="C5931" s="4"/>
    </row>
    <row r="5932">
      <c r="A5932" s="4"/>
      <c r="B5932" s="4"/>
      <c r="C5932" s="4"/>
    </row>
    <row r="5933">
      <c r="A5933" s="4"/>
      <c r="B5933" s="4"/>
      <c r="C5933" s="4"/>
    </row>
    <row r="5934">
      <c r="A5934" s="4"/>
      <c r="B5934" s="4"/>
      <c r="C5934" s="4"/>
    </row>
    <row r="5935">
      <c r="A5935" s="4"/>
      <c r="B5935" s="4"/>
      <c r="C5935" s="4"/>
    </row>
    <row r="5936">
      <c r="A5936" s="4"/>
      <c r="B5936" s="4"/>
      <c r="C5936" s="4"/>
    </row>
    <row r="5937">
      <c r="A5937" s="4"/>
      <c r="B5937" s="4"/>
      <c r="C5937" s="4"/>
    </row>
    <row r="5938">
      <c r="A5938" s="4"/>
      <c r="B5938" s="4"/>
      <c r="C5938" s="4"/>
    </row>
    <row r="5939">
      <c r="A5939" s="4"/>
      <c r="B5939" s="4"/>
      <c r="C5939" s="4"/>
    </row>
    <row r="5940">
      <c r="A5940" s="4"/>
      <c r="B5940" s="4"/>
      <c r="C5940" s="4"/>
    </row>
    <row r="5941">
      <c r="A5941" s="4"/>
      <c r="B5941" s="4"/>
      <c r="C5941" s="4"/>
    </row>
    <row r="5942">
      <c r="A5942" s="4"/>
      <c r="B5942" s="4"/>
      <c r="C5942" s="4"/>
    </row>
    <row r="5943">
      <c r="A5943" s="4"/>
      <c r="B5943" s="4"/>
      <c r="C5943" s="4"/>
    </row>
    <row r="5944">
      <c r="A5944" s="4"/>
      <c r="B5944" s="4"/>
      <c r="C5944" s="4"/>
    </row>
    <row r="5945">
      <c r="A5945" s="4"/>
      <c r="B5945" s="4"/>
      <c r="C5945" s="4"/>
    </row>
    <row r="5946">
      <c r="A5946" s="4"/>
      <c r="B5946" s="4"/>
      <c r="C5946" s="4"/>
    </row>
    <row r="5947">
      <c r="A5947" s="4"/>
      <c r="B5947" s="4"/>
      <c r="C5947" s="4"/>
    </row>
    <row r="5948">
      <c r="A5948" s="4"/>
      <c r="B5948" s="4"/>
      <c r="C5948" s="4"/>
    </row>
    <row r="5949">
      <c r="A5949" s="4"/>
      <c r="B5949" s="4"/>
      <c r="C5949" s="4"/>
    </row>
    <row r="5950">
      <c r="A5950" s="4"/>
      <c r="B5950" s="4"/>
      <c r="C5950" s="4"/>
    </row>
    <row r="5951">
      <c r="A5951" s="4"/>
      <c r="B5951" s="4"/>
      <c r="C5951" s="4"/>
    </row>
    <row r="5952">
      <c r="A5952" s="4"/>
      <c r="B5952" s="4"/>
      <c r="C5952" s="4"/>
    </row>
    <row r="5953">
      <c r="A5953" s="4"/>
      <c r="B5953" s="4"/>
      <c r="C5953" s="4"/>
    </row>
    <row r="5954">
      <c r="A5954" s="4"/>
      <c r="B5954" s="4"/>
      <c r="C5954" s="4"/>
    </row>
    <row r="5955">
      <c r="A5955" s="4"/>
      <c r="B5955" s="4"/>
      <c r="C5955" s="4"/>
    </row>
    <row r="5956">
      <c r="A5956" s="4"/>
      <c r="B5956" s="4"/>
      <c r="C5956" s="4"/>
    </row>
    <row r="5957">
      <c r="A5957" s="4"/>
      <c r="B5957" s="4"/>
      <c r="C5957" s="4"/>
    </row>
    <row r="5958">
      <c r="A5958" s="4"/>
      <c r="B5958" s="4"/>
      <c r="C5958" s="4"/>
    </row>
    <row r="5959">
      <c r="A5959" s="4"/>
      <c r="B5959" s="4"/>
      <c r="C5959" s="4"/>
    </row>
    <row r="5960">
      <c r="A5960" s="4"/>
      <c r="B5960" s="4"/>
      <c r="C5960" s="4"/>
    </row>
    <row r="5961">
      <c r="A5961" s="4"/>
      <c r="B5961" s="4"/>
      <c r="C5961" s="4"/>
    </row>
    <row r="5962">
      <c r="A5962" s="4"/>
      <c r="B5962" s="4"/>
      <c r="C5962" s="4"/>
    </row>
    <row r="5963">
      <c r="A5963" s="4"/>
      <c r="B5963" s="4"/>
      <c r="C5963" s="4"/>
    </row>
    <row r="5964">
      <c r="A5964" s="4"/>
      <c r="B5964" s="4"/>
      <c r="C5964" s="4"/>
    </row>
    <row r="5965">
      <c r="A5965" s="4"/>
      <c r="B5965" s="4"/>
      <c r="C5965" s="4"/>
    </row>
    <row r="5966">
      <c r="A5966" s="4"/>
      <c r="B5966" s="4"/>
      <c r="C5966" s="4"/>
    </row>
    <row r="5967">
      <c r="A5967" s="4"/>
      <c r="B5967" s="4"/>
      <c r="C5967" s="4"/>
    </row>
    <row r="5968">
      <c r="A5968" s="4"/>
      <c r="B5968" s="4"/>
      <c r="C5968" s="4"/>
    </row>
    <row r="5969">
      <c r="A5969" s="4"/>
      <c r="B5969" s="4"/>
      <c r="C5969" s="4"/>
    </row>
    <row r="5970">
      <c r="A5970" s="4"/>
      <c r="B5970" s="4"/>
      <c r="C5970" s="4"/>
    </row>
    <row r="5971">
      <c r="A5971" s="4"/>
      <c r="B5971" s="4"/>
      <c r="C5971" s="4"/>
    </row>
    <row r="5972">
      <c r="A5972" s="4"/>
      <c r="B5972" s="4"/>
      <c r="C5972" s="4"/>
    </row>
    <row r="5973">
      <c r="A5973" s="4"/>
      <c r="B5973" s="4"/>
      <c r="C5973" s="4"/>
    </row>
    <row r="5974">
      <c r="A5974" s="4"/>
      <c r="B5974" s="4"/>
      <c r="C5974" s="4"/>
    </row>
    <row r="5975">
      <c r="A5975" s="4"/>
      <c r="B5975" s="4"/>
      <c r="C5975" s="4"/>
    </row>
    <row r="5976">
      <c r="A5976" s="4"/>
      <c r="B5976" s="4"/>
      <c r="C5976" s="4"/>
    </row>
    <row r="5977">
      <c r="A5977" s="4"/>
      <c r="B5977" s="4"/>
      <c r="C5977" s="4"/>
    </row>
    <row r="5978">
      <c r="A5978" s="4"/>
      <c r="B5978" s="4"/>
      <c r="C5978" s="4"/>
    </row>
    <row r="5979">
      <c r="A5979" s="4"/>
      <c r="B5979" s="4"/>
      <c r="C5979" s="4"/>
    </row>
    <row r="5980">
      <c r="A5980" s="4"/>
      <c r="B5980" s="4"/>
      <c r="C5980" s="4"/>
    </row>
    <row r="5981">
      <c r="A5981" s="4"/>
      <c r="B5981" s="4"/>
      <c r="C5981" s="4"/>
    </row>
    <row r="5982">
      <c r="A5982" s="4"/>
      <c r="B5982" s="4"/>
      <c r="C5982" s="4"/>
    </row>
    <row r="5983">
      <c r="A5983" s="4"/>
      <c r="B5983" s="4"/>
      <c r="C5983" s="4"/>
    </row>
    <row r="5984">
      <c r="A5984" s="4"/>
      <c r="B5984" s="4"/>
      <c r="C5984" s="4"/>
    </row>
    <row r="5985">
      <c r="A5985" s="4"/>
      <c r="B5985" s="4"/>
      <c r="C5985" s="4"/>
    </row>
    <row r="5986">
      <c r="A5986" s="4"/>
      <c r="B5986" s="4"/>
      <c r="C5986" s="4"/>
    </row>
    <row r="5987">
      <c r="A5987" s="4"/>
      <c r="B5987" s="4"/>
      <c r="C5987" s="4"/>
    </row>
    <row r="5988">
      <c r="A5988" s="4"/>
      <c r="B5988" s="4"/>
      <c r="C5988" s="4"/>
    </row>
    <row r="5989">
      <c r="A5989" s="4"/>
      <c r="B5989" s="4"/>
      <c r="C5989" s="4"/>
    </row>
    <row r="5990">
      <c r="A5990" s="4"/>
      <c r="B5990" s="4"/>
      <c r="C5990" s="4"/>
    </row>
    <row r="5991">
      <c r="A5991" s="4"/>
      <c r="B5991" s="4"/>
      <c r="C5991" s="4"/>
    </row>
    <row r="5992">
      <c r="A5992" s="4"/>
      <c r="B5992" s="4"/>
      <c r="C5992" s="4"/>
    </row>
    <row r="5993">
      <c r="A5993" s="4"/>
      <c r="B5993" s="4"/>
      <c r="C5993" s="4"/>
    </row>
    <row r="5994">
      <c r="A5994" s="4"/>
      <c r="B5994" s="4"/>
      <c r="C5994" s="4"/>
    </row>
    <row r="5995">
      <c r="A5995" s="4"/>
      <c r="B5995" s="4"/>
      <c r="C5995" s="4"/>
    </row>
    <row r="5996">
      <c r="A5996" s="4"/>
      <c r="B5996" s="4"/>
      <c r="C5996" s="4"/>
    </row>
    <row r="5997">
      <c r="A5997" s="4"/>
      <c r="B5997" s="4"/>
      <c r="C5997" s="4"/>
    </row>
    <row r="5998">
      <c r="A5998" s="4"/>
      <c r="B5998" s="4"/>
      <c r="C5998" s="4"/>
    </row>
    <row r="5999">
      <c r="A5999" s="4"/>
      <c r="B5999" s="4"/>
      <c r="C5999" s="4"/>
    </row>
    <row r="6000">
      <c r="A6000" s="4"/>
      <c r="B6000" s="4"/>
      <c r="C6000" s="4"/>
    </row>
    <row r="6001">
      <c r="A6001" s="4"/>
      <c r="B6001" s="4"/>
      <c r="C6001" s="4"/>
    </row>
    <row r="6002">
      <c r="A6002" s="4"/>
      <c r="B6002" s="4"/>
      <c r="C6002" s="4"/>
    </row>
    <row r="6003">
      <c r="A6003" s="4"/>
      <c r="B6003" s="4"/>
      <c r="C6003" s="4"/>
    </row>
    <row r="6004">
      <c r="A6004" s="4"/>
      <c r="B6004" s="4"/>
      <c r="C6004" s="4"/>
    </row>
    <row r="6005">
      <c r="A6005" s="4"/>
      <c r="B6005" s="4"/>
      <c r="C6005" s="4"/>
    </row>
    <row r="6006">
      <c r="A6006" s="4"/>
      <c r="B6006" s="4"/>
      <c r="C6006" s="4"/>
    </row>
    <row r="6007">
      <c r="A6007" s="4"/>
      <c r="B6007" s="4"/>
      <c r="C6007" s="4"/>
    </row>
    <row r="6008">
      <c r="A6008" s="4"/>
      <c r="B6008" s="4"/>
      <c r="C6008" s="4"/>
    </row>
    <row r="6009">
      <c r="A6009" s="4"/>
      <c r="B6009" s="4"/>
      <c r="C6009" s="4"/>
    </row>
    <row r="6010">
      <c r="A6010" s="4"/>
      <c r="B6010" s="4"/>
      <c r="C6010" s="4"/>
    </row>
    <row r="6011">
      <c r="A6011" s="4"/>
      <c r="B6011" s="4"/>
      <c r="C6011" s="4"/>
    </row>
    <row r="6012">
      <c r="A6012" s="4"/>
      <c r="B6012" s="4"/>
      <c r="C6012" s="4"/>
    </row>
    <row r="6013">
      <c r="A6013" s="4"/>
      <c r="B6013" s="4"/>
      <c r="C6013" s="4"/>
    </row>
    <row r="6014">
      <c r="A6014" s="4"/>
      <c r="B6014" s="4"/>
      <c r="C6014" s="4"/>
    </row>
    <row r="6015">
      <c r="A6015" s="4"/>
      <c r="B6015" s="4"/>
      <c r="C6015" s="4"/>
    </row>
    <row r="6016">
      <c r="A6016" s="4"/>
      <c r="B6016" s="4"/>
      <c r="C6016" s="4"/>
    </row>
    <row r="6017">
      <c r="A6017" s="4"/>
      <c r="B6017" s="4"/>
      <c r="C6017" s="4"/>
    </row>
    <row r="6018">
      <c r="A6018" s="4"/>
      <c r="B6018" s="4"/>
      <c r="C6018" s="4"/>
    </row>
    <row r="6019">
      <c r="A6019" s="4"/>
      <c r="B6019" s="4"/>
      <c r="C6019" s="4"/>
    </row>
    <row r="6020">
      <c r="A6020" s="4"/>
      <c r="B6020" s="4"/>
      <c r="C6020" s="4"/>
    </row>
    <row r="6021">
      <c r="A6021" s="4"/>
      <c r="B6021" s="4"/>
      <c r="C6021" s="4"/>
    </row>
    <row r="6022">
      <c r="A6022" s="4"/>
      <c r="B6022" s="4"/>
      <c r="C6022" s="4"/>
    </row>
    <row r="6023">
      <c r="A6023" s="4"/>
      <c r="B6023" s="4"/>
      <c r="C6023" s="4"/>
    </row>
    <row r="6024">
      <c r="A6024" s="4"/>
      <c r="B6024" s="4"/>
      <c r="C6024" s="4"/>
    </row>
    <row r="6025">
      <c r="A6025" s="4"/>
      <c r="B6025" s="4"/>
      <c r="C6025" s="4"/>
    </row>
    <row r="6026">
      <c r="A6026" s="4"/>
      <c r="B6026" s="4"/>
      <c r="C6026" s="4"/>
    </row>
    <row r="6027">
      <c r="A6027" s="4"/>
      <c r="B6027" s="4"/>
      <c r="C6027" s="4"/>
    </row>
    <row r="6028">
      <c r="A6028" s="4"/>
      <c r="B6028" s="4"/>
      <c r="C6028" s="4"/>
    </row>
    <row r="6029">
      <c r="A6029" s="4"/>
      <c r="B6029" s="4"/>
      <c r="C6029" s="4"/>
    </row>
    <row r="6030">
      <c r="A6030" s="4"/>
      <c r="B6030" s="4"/>
      <c r="C6030" s="4"/>
    </row>
    <row r="6031">
      <c r="A6031" s="4"/>
      <c r="B6031" s="4"/>
      <c r="C6031" s="4"/>
    </row>
    <row r="6032">
      <c r="A6032" s="4"/>
      <c r="B6032" s="4"/>
      <c r="C6032" s="4"/>
    </row>
    <row r="6033">
      <c r="A6033" s="4"/>
      <c r="B6033" s="4"/>
      <c r="C6033" s="4"/>
    </row>
    <row r="6034">
      <c r="A6034" s="4"/>
      <c r="B6034" s="4"/>
      <c r="C6034" s="4"/>
    </row>
    <row r="6035">
      <c r="A6035" s="4"/>
      <c r="B6035" s="4"/>
      <c r="C6035" s="4"/>
    </row>
    <row r="6036">
      <c r="A6036" s="4"/>
      <c r="B6036" s="4"/>
      <c r="C6036" s="4"/>
    </row>
    <row r="6037">
      <c r="A6037" s="4"/>
      <c r="B6037" s="4"/>
      <c r="C6037" s="4"/>
    </row>
    <row r="6038">
      <c r="A6038" s="4"/>
      <c r="B6038" s="4"/>
      <c r="C6038" s="4"/>
    </row>
    <row r="6039">
      <c r="A6039" s="4"/>
      <c r="B6039" s="4"/>
      <c r="C6039" s="4"/>
    </row>
    <row r="6040">
      <c r="A6040" s="4"/>
      <c r="B6040" s="4"/>
      <c r="C6040" s="4"/>
    </row>
    <row r="6041">
      <c r="A6041" s="4"/>
      <c r="B6041" s="4"/>
      <c r="C6041" s="4"/>
    </row>
    <row r="6042">
      <c r="A6042" s="4"/>
      <c r="B6042" s="4"/>
      <c r="C6042" s="4"/>
    </row>
    <row r="6043">
      <c r="A6043" s="4"/>
      <c r="B6043" s="4"/>
      <c r="C6043" s="4"/>
    </row>
    <row r="6044">
      <c r="A6044" s="4"/>
      <c r="B6044" s="4"/>
      <c r="C6044" s="4"/>
    </row>
    <row r="6045">
      <c r="A6045" s="4"/>
      <c r="B6045" s="4"/>
      <c r="C6045" s="4"/>
    </row>
    <row r="6046">
      <c r="A6046" s="4"/>
      <c r="B6046" s="4"/>
      <c r="C6046" s="4"/>
    </row>
    <row r="6047">
      <c r="A6047" s="4"/>
      <c r="B6047" s="4"/>
      <c r="C6047" s="4"/>
    </row>
    <row r="6048">
      <c r="A6048" s="4"/>
      <c r="B6048" s="4"/>
      <c r="C6048" s="4"/>
    </row>
    <row r="6049">
      <c r="A6049" s="4"/>
      <c r="B6049" s="4"/>
      <c r="C6049" s="4"/>
    </row>
    <row r="6050">
      <c r="A6050" s="4"/>
      <c r="B6050" s="4"/>
      <c r="C6050" s="4"/>
    </row>
    <row r="6051">
      <c r="A6051" s="4"/>
      <c r="B6051" s="4"/>
      <c r="C6051" s="4"/>
    </row>
    <row r="6052">
      <c r="A6052" s="4"/>
      <c r="B6052" s="4"/>
      <c r="C6052" s="4"/>
    </row>
    <row r="6053">
      <c r="A6053" s="4"/>
      <c r="B6053" s="4"/>
      <c r="C6053" s="4"/>
    </row>
    <row r="6054">
      <c r="A6054" s="4"/>
      <c r="B6054" s="4"/>
      <c r="C6054" s="4"/>
    </row>
    <row r="6055">
      <c r="A6055" s="4"/>
      <c r="B6055" s="4"/>
      <c r="C6055" s="4"/>
    </row>
    <row r="6056">
      <c r="A6056" s="4"/>
      <c r="B6056" s="4"/>
      <c r="C6056" s="4"/>
    </row>
    <row r="6057">
      <c r="A6057" s="4"/>
      <c r="B6057" s="4"/>
      <c r="C6057" s="4"/>
    </row>
    <row r="6058">
      <c r="A6058" s="4"/>
      <c r="B6058" s="4"/>
      <c r="C6058" s="4"/>
    </row>
    <row r="6059">
      <c r="A6059" s="4"/>
      <c r="B6059" s="4"/>
      <c r="C6059" s="4"/>
    </row>
    <row r="6060">
      <c r="A6060" s="4"/>
      <c r="B6060" s="4"/>
      <c r="C6060" s="4"/>
    </row>
    <row r="6061">
      <c r="A6061" s="4"/>
      <c r="B6061" s="4"/>
      <c r="C6061" s="4"/>
    </row>
    <row r="6062">
      <c r="A6062" s="4"/>
      <c r="B6062" s="4"/>
      <c r="C6062" s="4"/>
    </row>
    <row r="6063">
      <c r="A6063" s="4"/>
      <c r="B6063" s="4"/>
      <c r="C6063" s="4"/>
    </row>
    <row r="6064">
      <c r="A6064" s="4"/>
      <c r="B6064" s="4"/>
      <c r="C6064" s="4"/>
    </row>
    <row r="6065">
      <c r="A6065" s="4"/>
      <c r="B6065" s="4"/>
      <c r="C6065" s="4"/>
    </row>
    <row r="6066">
      <c r="A6066" s="4"/>
      <c r="B6066" s="4"/>
      <c r="C6066" s="4"/>
    </row>
    <row r="6067">
      <c r="A6067" s="4"/>
      <c r="B6067" s="4"/>
      <c r="C6067" s="4"/>
    </row>
    <row r="6068">
      <c r="A6068" s="4"/>
      <c r="B6068" s="4"/>
      <c r="C6068" s="4"/>
    </row>
    <row r="6069">
      <c r="A6069" s="4"/>
      <c r="B6069" s="4"/>
      <c r="C6069" s="4"/>
    </row>
    <row r="6070">
      <c r="A6070" s="4"/>
      <c r="B6070" s="4"/>
      <c r="C6070" s="4"/>
    </row>
    <row r="6071">
      <c r="A6071" s="4"/>
      <c r="B6071" s="4"/>
      <c r="C6071" s="4"/>
    </row>
    <row r="6072">
      <c r="A6072" s="4"/>
      <c r="B6072" s="4"/>
      <c r="C6072" s="4"/>
    </row>
    <row r="6073">
      <c r="A6073" s="4"/>
      <c r="B6073" s="4"/>
      <c r="C6073" s="4"/>
    </row>
    <row r="6074">
      <c r="A6074" s="4"/>
      <c r="B6074" s="4"/>
      <c r="C6074" s="4"/>
    </row>
    <row r="6075">
      <c r="A6075" s="4"/>
      <c r="B6075" s="4"/>
      <c r="C6075" s="4"/>
    </row>
    <row r="6076">
      <c r="A6076" s="4"/>
      <c r="B6076" s="4"/>
      <c r="C6076" s="4"/>
    </row>
    <row r="6077">
      <c r="A6077" s="4"/>
      <c r="B6077" s="4"/>
      <c r="C6077" s="4"/>
    </row>
    <row r="6078">
      <c r="A6078" s="4"/>
      <c r="B6078" s="4"/>
      <c r="C6078" s="4"/>
    </row>
    <row r="6079">
      <c r="A6079" s="4"/>
      <c r="B6079" s="4"/>
      <c r="C6079" s="4"/>
    </row>
    <row r="6080">
      <c r="A6080" s="4"/>
      <c r="B6080" s="4"/>
      <c r="C6080" s="4"/>
    </row>
    <row r="6081">
      <c r="A6081" s="4"/>
      <c r="B6081" s="4"/>
      <c r="C6081" s="4"/>
    </row>
    <row r="6082">
      <c r="A6082" s="4"/>
      <c r="B6082" s="4"/>
      <c r="C6082" s="4"/>
    </row>
    <row r="6083">
      <c r="A6083" s="4"/>
      <c r="B6083" s="4"/>
      <c r="C6083" s="4"/>
    </row>
    <row r="6084">
      <c r="A6084" s="4"/>
      <c r="B6084" s="4"/>
      <c r="C6084" s="4"/>
    </row>
    <row r="6085">
      <c r="A6085" s="4"/>
      <c r="B6085" s="4"/>
      <c r="C6085" s="4"/>
    </row>
    <row r="6086">
      <c r="A6086" s="4"/>
      <c r="B6086" s="4"/>
      <c r="C6086" s="4"/>
    </row>
    <row r="6087">
      <c r="A6087" s="4"/>
      <c r="B6087" s="4"/>
      <c r="C6087" s="4"/>
    </row>
    <row r="6088">
      <c r="A6088" s="4"/>
      <c r="B6088" s="4"/>
      <c r="C6088" s="4"/>
    </row>
    <row r="6089">
      <c r="A6089" s="4"/>
      <c r="B6089" s="4"/>
      <c r="C6089" s="4"/>
    </row>
    <row r="6090">
      <c r="A6090" s="4"/>
      <c r="B6090" s="4"/>
      <c r="C6090" s="4"/>
    </row>
    <row r="6091">
      <c r="A6091" s="4"/>
      <c r="B6091" s="4"/>
      <c r="C6091" s="4"/>
    </row>
    <row r="6092">
      <c r="A6092" s="4"/>
      <c r="B6092" s="4"/>
      <c r="C6092" s="4"/>
    </row>
    <row r="6093">
      <c r="A6093" s="4"/>
      <c r="B6093" s="4"/>
      <c r="C6093" s="4"/>
    </row>
    <row r="6094">
      <c r="A6094" s="4"/>
      <c r="B6094" s="4"/>
      <c r="C6094" s="4"/>
    </row>
    <row r="6095">
      <c r="A6095" s="4"/>
      <c r="B6095" s="4"/>
      <c r="C6095" s="4"/>
    </row>
    <row r="6096">
      <c r="A6096" s="4"/>
      <c r="B6096" s="4"/>
      <c r="C6096" s="4"/>
    </row>
    <row r="6097">
      <c r="A6097" s="4"/>
      <c r="B6097" s="4"/>
      <c r="C6097" s="4"/>
    </row>
    <row r="6098">
      <c r="A6098" s="4"/>
      <c r="B6098" s="4"/>
      <c r="C6098" s="4"/>
    </row>
    <row r="6099">
      <c r="A6099" s="4"/>
      <c r="B6099" s="4"/>
      <c r="C6099" s="4"/>
    </row>
    <row r="6100">
      <c r="A6100" s="4"/>
      <c r="B6100" s="4"/>
      <c r="C6100" s="4"/>
    </row>
    <row r="6101">
      <c r="A6101" s="4"/>
      <c r="B6101" s="4"/>
      <c r="C6101" s="4"/>
    </row>
    <row r="6102">
      <c r="A6102" s="4"/>
      <c r="B6102" s="4"/>
      <c r="C6102" s="4"/>
    </row>
    <row r="6103">
      <c r="A6103" s="4"/>
      <c r="B6103" s="4"/>
      <c r="C6103" s="4"/>
    </row>
    <row r="6104">
      <c r="A6104" s="4"/>
      <c r="B6104" s="4"/>
      <c r="C6104" s="4"/>
    </row>
    <row r="6105">
      <c r="A6105" s="4"/>
      <c r="B6105" s="4"/>
      <c r="C6105" s="4"/>
    </row>
    <row r="6106">
      <c r="A6106" s="4"/>
      <c r="B6106" s="4"/>
      <c r="C6106" s="4"/>
    </row>
    <row r="6107">
      <c r="A6107" s="4"/>
      <c r="B6107" s="4"/>
      <c r="C6107" s="4"/>
    </row>
    <row r="6108">
      <c r="A6108" s="4"/>
      <c r="B6108" s="4"/>
      <c r="C6108" s="4"/>
    </row>
    <row r="6109">
      <c r="A6109" s="4"/>
      <c r="B6109" s="4"/>
      <c r="C6109" s="4"/>
    </row>
    <row r="6110">
      <c r="A6110" s="4"/>
      <c r="B6110" s="4"/>
      <c r="C6110" s="4"/>
    </row>
    <row r="6111">
      <c r="A6111" s="4"/>
      <c r="B6111" s="4"/>
      <c r="C6111" s="4"/>
    </row>
    <row r="6112">
      <c r="A6112" s="4"/>
      <c r="B6112" s="4"/>
      <c r="C6112" s="4"/>
    </row>
    <row r="6113">
      <c r="A6113" s="4"/>
      <c r="B6113" s="4"/>
      <c r="C6113" s="4"/>
    </row>
    <row r="6114">
      <c r="A6114" s="4"/>
      <c r="B6114" s="4"/>
      <c r="C6114" s="4"/>
    </row>
    <row r="6115">
      <c r="A6115" s="4"/>
      <c r="B6115" s="4"/>
      <c r="C6115" s="4"/>
    </row>
    <row r="6116">
      <c r="A6116" s="4"/>
      <c r="B6116" s="4"/>
      <c r="C6116" s="4"/>
    </row>
    <row r="6117">
      <c r="A6117" s="4"/>
      <c r="B6117" s="4"/>
      <c r="C6117" s="4"/>
    </row>
    <row r="6118">
      <c r="A6118" s="4"/>
      <c r="B6118" s="4"/>
      <c r="C6118" s="4"/>
    </row>
    <row r="6119">
      <c r="A6119" s="4"/>
      <c r="B6119" s="4"/>
      <c r="C6119" s="4"/>
    </row>
    <row r="6120">
      <c r="A6120" s="4"/>
      <c r="B6120" s="4"/>
      <c r="C6120" s="4"/>
    </row>
    <row r="6121">
      <c r="A6121" s="4"/>
      <c r="B6121" s="4"/>
      <c r="C6121" s="4"/>
    </row>
    <row r="6122">
      <c r="A6122" s="4"/>
      <c r="B6122" s="4"/>
      <c r="C6122" s="4"/>
    </row>
    <row r="6123">
      <c r="A6123" s="4"/>
      <c r="B6123" s="4"/>
      <c r="C6123" s="4"/>
    </row>
    <row r="6124">
      <c r="A6124" s="4"/>
      <c r="B6124" s="4"/>
      <c r="C6124" s="4"/>
    </row>
    <row r="6125">
      <c r="A6125" s="4"/>
      <c r="B6125" s="4"/>
      <c r="C6125" s="4"/>
    </row>
    <row r="6126">
      <c r="A6126" s="4"/>
      <c r="B6126" s="4"/>
      <c r="C6126" s="4"/>
    </row>
    <row r="6127">
      <c r="A6127" s="4"/>
      <c r="B6127" s="4"/>
      <c r="C6127" s="4"/>
    </row>
    <row r="6128">
      <c r="A6128" s="4"/>
      <c r="B6128" s="4"/>
      <c r="C6128" s="4"/>
    </row>
    <row r="6129">
      <c r="A6129" s="4"/>
      <c r="B6129" s="4"/>
      <c r="C6129" s="4"/>
    </row>
    <row r="6130">
      <c r="A6130" s="4"/>
      <c r="B6130" s="4"/>
      <c r="C6130" s="4"/>
    </row>
    <row r="6131">
      <c r="A6131" s="4"/>
      <c r="B6131" s="4"/>
      <c r="C6131" s="4"/>
    </row>
    <row r="6132">
      <c r="A6132" s="4"/>
      <c r="B6132" s="4"/>
      <c r="C6132" s="4"/>
    </row>
    <row r="6133">
      <c r="A6133" s="4"/>
      <c r="B6133" s="4"/>
      <c r="C6133" s="4"/>
    </row>
    <row r="6134">
      <c r="A6134" s="4"/>
      <c r="B6134" s="4"/>
      <c r="C6134" s="4"/>
    </row>
    <row r="6135">
      <c r="A6135" s="4"/>
      <c r="B6135" s="4"/>
      <c r="C6135" s="4"/>
    </row>
    <row r="6136">
      <c r="A6136" s="4"/>
      <c r="B6136" s="4"/>
      <c r="C6136" s="4"/>
    </row>
    <row r="6137">
      <c r="A6137" s="4"/>
      <c r="B6137" s="4"/>
      <c r="C6137" s="4"/>
    </row>
    <row r="6138">
      <c r="A6138" s="4"/>
      <c r="B6138" s="4"/>
      <c r="C6138" s="4"/>
    </row>
    <row r="6139">
      <c r="A6139" s="4"/>
      <c r="B6139" s="4"/>
      <c r="C6139" s="4"/>
    </row>
    <row r="6140">
      <c r="A6140" s="4"/>
      <c r="B6140" s="4"/>
      <c r="C6140" s="4"/>
    </row>
    <row r="6141">
      <c r="A6141" s="4"/>
      <c r="B6141" s="4"/>
      <c r="C6141" s="4"/>
    </row>
    <row r="6142">
      <c r="A6142" s="4"/>
      <c r="B6142" s="4"/>
      <c r="C6142" s="4"/>
    </row>
    <row r="6143">
      <c r="A6143" s="4"/>
      <c r="B6143" s="4"/>
      <c r="C6143" s="4"/>
    </row>
    <row r="6144">
      <c r="A6144" s="4"/>
      <c r="B6144" s="4"/>
      <c r="C6144" s="4"/>
    </row>
    <row r="6145">
      <c r="A6145" s="4"/>
      <c r="B6145" s="4"/>
      <c r="C6145" s="4"/>
    </row>
    <row r="6146">
      <c r="A6146" s="4"/>
      <c r="B6146" s="4"/>
      <c r="C6146" s="4"/>
    </row>
    <row r="6147">
      <c r="A6147" s="4"/>
      <c r="B6147" s="4"/>
      <c r="C6147" s="4"/>
    </row>
    <row r="6148">
      <c r="A6148" s="4"/>
      <c r="B6148" s="4"/>
      <c r="C6148" s="4"/>
    </row>
    <row r="6149">
      <c r="A6149" s="4"/>
      <c r="B6149" s="4"/>
      <c r="C6149" s="4"/>
    </row>
    <row r="6150">
      <c r="A6150" s="4"/>
      <c r="B6150" s="4"/>
      <c r="C6150" s="4"/>
    </row>
    <row r="6151">
      <c r="A6151" s="4"/>
      <c r="B6151" s="4"/>
      <c r="C6151" s="4"/>
    </row>
    <row r="6152">
      <c r="A6152" s="4"/>
      <c r="B6152" s="4"/>
      <c r="C6152" s="4"/>
    </row>
    <row r="6153">
      <c r="A6153" s="4"/>
      <c r="B6153" s="4"/>
      <c r="C6153" s="4"/>
    </row>
    <row r="6154">
      <c r="A6154" s="4"/>
      <c r="B6154" s="4"/>
      <c r="C6154" s="4"/>
    </row>
    <row r="6155">
      <c r="A6155" s="4"/>
      <c r="B6155" s="4"/>
      <c r="C6155" s="4"/>
    </row>
    <row r="6156">
      <c r="A6156" s="4"/>
      <c r="B6156" s="4"/>
      <c r="C6156" s="4"/>
    </row>
    <row r="6157">
      <c r="A6157" s="4"/>
      <c r="B6157" s="4"/>
      <c r="C6157" s="4"/>
    </row>
    <row r="6158">
      <c r="A6158" s="4"/>
      <c r="B6158" s="4"/>
      <c r="C6158" s="4"/>
    </row>
    <row r="6159">
      <c r="A6159" s="4"/>
      <c r="B6159" s="4"/>
      <c r="C6159" s="4"/>
    </row>
    <row r="6160">
      <c r="A6160" s="4"/>
      <c r="B6160" s="4"/>
      <c r="C6160" s="4"/>
    </row>
    <row r="6161">
      <c r="A6161" s="4"/>
      <c r="B6161" s="4"/>
      <c r="C6161" s="4"/>
    </row>
    <row r="6162">
      <c r="A6162" s="4"/>
      <c r="B6162" s="4"/>
      <c r="C6162" s="4"/>
    </row>
    <row r="6163">
      <c r="A6163" s="4"/>
      <c r="B6163" s="4"/>
      <c r="C6163" s="4"/>
    </row>
    <row r="6164">
      <c r="A6164" s="4"/>
      <c r="B6164" s="4"/>
      <c r="C6164" s="4"/>
    </row>
    <row r="6165">
      <c r="A6165" s="4"/>
      <c r="B6165" s="4"/>
      <c r="C6165" s="4"/>
    </row>
    <row r="6166">
      <c r="A6166" s="4"/>
      <c r="B6166" s="4"/>
      <c r="C6166" s="4"/>
    </row>
    <row r="6167">
      <c r="A6167" s="4"/>
      <c r="B6167" s="4"/>
      <c r="C6167" s="4"/>
    </row>
    <row r="6168">
      <c r="A6168" s="4"/>
      <c r="B6168" s="4"/>
      <c r="C6168" s="4"/>
    </row>
    <row r="6169">
      <c r="A6169" s="4"/>
      <c r="B6169" s="4"/>
      <c r="C6169" s="4"/>
    </row>
    <row r="6170">
      <c r="A6170" s="4"/>
      <c r="B6170" s="4"/>
      <c r="C6170" s="4"/>
    </row>
    <row r="6171">
      <c r="A6171" s="4"/>
      <c r="B6171" s="4"/>
      <c r="C6171" s="4"/>
    </row>
    <row r="6172">
      <c r="A6172" s="4"/>
      <c r="B6172" s="4"/>
      <c r="C6172" s="4"/>
    </row>
    <row r="6173">
      <c r="A6173" s="4"/>
      <c r="B6173" s="4"/>
      <c r="C6173" s="4"/>
    </row>
    <row r="6174">
      <c r="A6174" s="4"/>
      <c r="B6174" s="4"/>
      <c r="C6174" s="4"/>
    </row>
    <row r="6175">
      <c r="A6175" s="4"/>
      <c r="B6175" s="4"/>
      <c r="C6175" s="4"/>
    </row>
    <row r="6176">
      <c r="A6176" s="4"/>
      <c r="B6176" s="4"/>
      <c r="C6176" s="4"/>
    </row>
    <row r="6177">
      <c r="A6177" s="4"/>
      <c r="B6177" s="4"/>
      <c r="C6177" s="4"/>
    </row>
    <row r="6178">
      <c r="A6178" s="4"/>
      <c r="B6178" s="4"/>
      <c r="C6178" s="4"/>
    </row>
    <row r="6179">
      <c r="A6179" s="4"/>
      <c r="B6179" s="4"/>
      <c r="C6179" s="4"/>
    </row>
    <row r="6180">
      <c r="A6180" s="4"/>
      <c r="B6180" s="4"/>
      <c r="C6180" s="4"/>
    </row>
    <row r="6181">
      <c r="A6181" s="4"/>
      <c r="B6181" s="4"/>
      <c r="C6181" s="4"/>
    </row>
    <row r="6182">
      <c r="A6182" s="4"/>
      <c r="B6182" s="4"/>
      <c r="C6182" s="4"/>
    </row>
    <row r="6183">
      <c r="A6183" s="4"/>
      <c r="B6183" s="4"/>
      <c r="C6183" s="4"/>
    </row>
    <row r="6184">
      <c r="A6184" s="4"/>
      <c r="B6184" s="4"/>
      <c r="C6184" s="4"/>
    </row>
    <row r="6185">
      <c r="A6185" s="4"/>
      <c r="B6185" s="4"/>
      <c r="C6185" s="4"/>
    </row>
    <row r="6186">
      <c r="A6186" s="4"/>
      <c r="B6186" s="4"/>
      <c r="C6186" s="4"/>
    </row>
    <row r="6187">
      <c r="A6187" s="4"/>
      <c r="B6187" s="4"/>
      <c r="C6187" s="4"/>
    </row>
    <row r="6188">
      <c r="A6188" s="4"/>
      <c r="B6188" s="4"/>
      <c r="C6188" s="4"/>
    </row>
    <row r="6189">
      <c r="A6189" s="4"/>
      <c r="B6189" s="4"/>
      <c r="C6189" s="4"/>
    </row>
    <row r="6190">
      <c r="A6190" s="4"/>
      <c r="B6190" s="4"/>
      <c r="C6190" s="4"/>
    </row>
    <row r="6191">
      <c r="A6191" s="4"/>
      <c r="B6191" s="4"/>
      <c r="C6191" s="4"/>
    </row>
    <row r="6192">
      <c r="A6192" s="4"/>
      <c r="B6192" s="4"/>
      <c r="C6192" s="4"/>
    </row>
    <row r="6193">
      <c r="A6193" s="4"/>
      <c r="B6193" s="4"/>
      <c r="C6193" s="4"/>
    </row>
    <row r="6194">
      <c r="A6194" s="4"/>
      <c r="B6194" s="4"/>
      <c r="C6194" s="4"/>
    </row>
    <row r="6195">
      <c r="A6195" s="4"/>
      <c r="B6195" s="4"/>
      <c r="C6195" s="4"/>
    </row>
    <row r="6196">
      <c r="A6196" s="4"/>
      <c r="B6196" s="4"/>
      <c r="C6196" s="4"/>
    </row>
    <row r="6197">
      <c r="A6197" s="4"/>
      <c r="B6197" s="4"/>
      <c r="C6197" s="4"/>
    </row>
    <row r="6198">
      <c r="A6198" s="4"/>
      <c r="B6198" s="4"/>
      <c r="C6198" s="4"/>
    </row>
    <row r="6199">
      <c r="A6199" s="4"/>
      <c r="B6199" s="4"/>
      <c r="C6199" s="4"/>
    </row>
    <row r="6200">
      <c r="A6200" s="4"/>
      <c r="B6200" s="4"/>
      <c r="C6200" s="4"/>
    </row>
    <row r="6201">
      <c r="A6201" s="4"/>
      <c r="B6201" s="4"/>
      <c r="C6201" s="4"/>
    </row>
    <row r="6202">
      <c r="A6202" s="4"/>
      <c r="B6202" s="4"/>
      <c r="C6202" s="4"/>
    </row>
    <row r="6203">
      <c r="A6203" s="4"/>
      <c r="B6203" s="4"/>
      <c r="C6203" s="4"/>
    </row>
    <row r="6204">
      <c r="A6204" s="4"/>
      <c r="B6204" s="4"/>
      <c r="C6204" s="4"/>
    </row>
    <row r="6205">
      <c r="A6205" s="4"/>
      <c r="B6205" s="4"/>
      <c r="C6205" s="4"/>
    </row>
    <row r="6206">
      <c r="A6206" s="4"/>
      <c r="B6206" s="4"/>
      <c r="C6206" s="4"/>
    </row>
    <row r="6207">
      <c r="A6207" s="4"/>
      <c r="B6207" s="4"/>
      <c r="C6207" s="4"/>
    </row>
    <row r="6208">
      <c r="A6208" s="4"/>
      <c r="B6208" s="4"/>
      <c r="C6208" s="4"/>
    </row>
    <row r="6209">
      <c r="A6209" s="4"/>
      <c r="B6209" s="4"/>
      <c r="C6209" s="4"/>
    </row>
    <row r="6210">
      <c r="A6210" s="4"/>
      <c r="B6210" s="4"/>
      <c r="C6210" s="4"/>
    </row>
    <row r="6211">
      <c r="A6211" s="4"/>
      <c r="B6211" s="4"/>
      <c r="C6211" s="4"/>
    </row>
    <row r="6212">
      <c r="A6212" s="4"/>
      <c r="B6212" s="4"/>
      <c r="C6212" s="4"/>
    </row>
    <row r="6213">
      <c r="A6213" s="4"/>
      <c r="B6213" s="4"/>
      <c r="C6213" s="4"/>
    </row>
    <row r="6214">
      <c r="A6214" s="4"/>
      <c r="B6214" s="4"/>
      <c r="C6214" s="4"/>
    </row>
    <row r="6215">
      <c r="A6215" s="4"/>
      <c r="B6215" s="4"/>
      <c r="C6215" s="4"/>
    </row>
    <row r="6216">
      <c r="A6216" s="4"/>
      <c r="B6216" s="4"/>
      <c r="C6216" s="4"/>
    </row>
    <row r="6217">
      <c r="A6217" s="4"/>
      <c r="B6217" s="4"/>
      <c r="C6217" s="4"/>
    </row>
    <row r="6218">
      <c r="A6218" s="4"/>
      <c r="B6218" s="4"/>
      <c r="C6218" s="4"/>
    </row>
    <row r="6219">
      <c r="A6219" s="4"/>
      <c r="B6219" s="4"/>
      <c r="C6219" s="4"/>
    </row>
    <row r="6220">
      <c r="A6220" s="4"/>
      <c r="B6220" s="4"/>
      <c r="C6220" s="4"/>
    </row>
    <row r="6221">
      <c r="A6221" s="4"/>
      <c r="B6221" s="4"/>
      <c r="C6221" s="4"/>
    </row>
    <row r="6222">
      <c r="A6222" s="4"/>
      <c r="B6222" s="4"/>
      <c r="C6222" s="4"/>
    </row>
    <row r="6223">
      <c r="A6223" s="4"/>
      <c r="B6223" s="4"/>
      <c r="C6223" s="4"/>
    </row>
    <row r="6224">
      <c r="A6224" s="4"/>
      <c r="B6224" s="4"/>
      <c r="C6224" s="4"/>
    </row>
    <row r="6225">
      <c r="A6225" s="4"/>
      <c r="B6225" s="4"/>
      <c r="C6225" s="4"/>
    </row>
    <row r="6226">
      <c r="A6226" s="4"/>
      <c r="B6226" s="4"/>
      <c r="C6226" s="4"/>
    </row>
    <row r="6227">
      <c r="A6227" s="4"/>
      <c r="B6227" s="4"/>
      <c r="C6227" s="4"/>
    </row>
    <row r="6228">
      <c r="A6228" s="4"/>
      <c r="B6228" s="4"/>
      <c r="C6228" s="4"/>
    </row>
    <row r="6229">
      <c r="A6229" s="4"/>
      <c r="B6229" s="4"/>
      <c r="C6229" s="4"/>
    </row>
    <row r="6230">
      <c r="A6230" s="4"/>
      <c r="B6230" s="4"/>
      <c r="C6230" s="4"/>
    </row>
    <row r="6231">
      <c r="A6231" s="4"/>
      <c r="B6231" s="4"/>
      <c r="C6231" s="4"/>
    </row>
    <row r="6232">
      <c r="A6232" s="4"/>
      <c r="B6232" s="4"/>
      <c r="C6232" s="4"/>
    </row>
    <row r="6233">
      <c r="A6233" s="4"/>
      <c r="B6233" s="4"/>
      <c r="C6233" s="4"/>
    </row>
    <row r="6234">
      <c r="A6234" s="4"/>
      <c r="B6234" s="4"/>
      <c r="C6234" s="4"/>
    </row>
    <row r="6235">
      <c r="A6235" s="4"/>
      <c r="B6235" s="4"/>
      <c r="C6235" s="4"/>
    </row>
    <row r="6236">
      <c r="A6236" s="4"/>
      <c r="B6236" s="4"/>
      <c r="C6236" s="4"/>
    </row>
    <row r="6237">
      <c r="A6237" s="4"/>
      <c r="B6237" s="4"/>
      <c r="C6237" s="4"/>
    </row>
    <row r="6238">
      <c r="A6238" s="4"/>
      <c r="B6238" s="4"/>
      <c r="C6238" s="4"/>
    </row>
    <row r="6239">
      <c r="A6239" s="4"/>
      <c r="B6239" s="4"/>
      <c r="C6239" s="4"/>
    </row>
    <row r="6240">
      <c r="A6240" s="4"/>
      <c r="B6240" s="4"/>
      <c r="C6240" s="4"/>
    </row>
    <row r="6241">
      <c r="A6241" s="4"/>
      <c r="B6241" s="4"/>
      <c r="C6241" s="4"/>
    </row>
    <row r="6242">
      <c r="A6242" s="4"/>
      <c r="B6242" s="4"/>
      <c r="C6242" s="4"/>
    </row>
    <row r="6243">
      <c r="A6243" s="4"/>
      <c r="B6243" s="4"/>
      <c r="C6243" s="4"/>
    </row>
    <row r="6244">
      <c r="A6244" s="4"/>
      <c r="B6244" s="4"/>
      <c r="C6244" s="4"/>
    </row>
    <row r="6245">
      <c r="A6245" s="4"/>
      <c r="B6245" s="4"/>
      <c r="C6245" s="4"/>
    </row>
    <row r="6246">
      <c r="A6246" s="4"/>
      <c r="B6246" s="4"/>
      <c r="C6246" s="4"/>
    </row>
    <row r="6247">
      <c r="A6247" s="4"/>
      <c r="B6247" s="4"/>
      <c r="C6247" s="4"/>
    </row>
    <row r="6248">
      <c r="A6248" s="4"/>
      <c r="B6248" s="4"/>
      <c r="C6248" s="4"/>
    </row>
    <row r="6249">
      <c r="A6249" s="4"/>
      <c r="B6249" s="4"/>
      <c r="C6249" s="4"/>
    </row>
    <row r="6250">
      <c r="A6250" s="4"/>
      <c r="B6250" s="4"/>
      <c r="C6250" s="4"/>
    </row>
    <row r="6251">
      <c r="A6251" s="4"/>
      <c r="B6251" s="4"/>
      <c r="C6251" s="4"/>
    </row>
    <row r="6252">
      <c r="A6252" s="4"/>
      <c r="B6252" s="4"/>
      <c r="C6252" s="4"/>
    </row>
    <row r="6253">
      <c r="A6253" s="4"/>
      <c r="B6253" s="4"/>
      <c r="C6253" s="4"/>
    </row>
    <row r="6254">
      <c r="A6254" s="4"/>
      <c r="B6254" s="4"/>
      <c r="C6254" s="4"/>
    </row>
    <row r="6255">
      <c r="A6255" s="4"/>
      <c r="B6255" s="4"/>
      <c r="C6255" s="4"/>
    </row>
    <row r="6256">
      <c r="A6256" s="4"/>
      <c r="B6256" s="4"/>
      <c r="C6256" s="4"/>
    </row>
    <row r="6257">
      <c r="A6257" s="4"/>
      <c r="B6257" s="4"/>
      <c r="C6257" s="4"/>
    </row>
    <row r="6258">
      <c r="A6258" s="4"/>
      <c r="B6258" s="4"/>
      <c r="C6258" s="4"/>
    </row>
    <row r="6259">
      <c r="A6259" s="4"/>
      <c r="B6259" s="4"/>
      <c r="C6259" s="4"/>
    </row>
    <row r="6260">
      <c r="A6260" s="4"/>
      <c r="B6260" s="4"/>
      <c r="C6260" s="4"/>
    </row>
    <row r="6261">
      <c r="A6261" s="4"/>
      <c r="B6261" s="4"/>
      <c r="C6261" s="4"/>
    </row>
    <row r="6262">
      <c r="A6262" s="4"/>
      <c r="B6262" s="4"/>
      <c r="C6262" s="4"/>
    </row>
    <row r="6263">
      <c r="A6263" s="4"/>
      <c r="B6263" s="4"/>
      <c r="C6263" s="4"/>
    </row>
    <row r="6264">
      <c r="A6264" s="4"/>
      <c r="B6264" s="4"/>
      <c r="C6264" s="4"/>
    </row>
    <row r="6265">
      <c r="A6265" s="4"/>
      <c r="B6265" s="4"/>
      <c r="C6265" s="4"/>
    </row>
    <row r="6266">
      <c r="A6266" s="4"/>
      <c r="B6266" s="4"/>
      <c r="C6266" s="4"/>
    </row>
    <row r="6267">
      <c r="A6267" s="4"/>
      <c r="B6267" s="4"/>
      <c r="C6267" s="4"/>
    </row>
    <row r="6268">
      <c r="A6268" s="4"/>
      <c r="B6268" s="4"/>
      <c r="C6268" s="4"/>
    </row>
    <row r="6269">
      <c r="A6269" s="4"/>
      <c r="B6269" s="4"/>
      <c r="C6269" s="4"/>
    </row>
    <row r="6270">
      <c r="A6270" s="4"/>
      <c r="B6270" s="4"/>
      <c r="C6270" s="4"/>
    </row>
    <row r="6271">
      <c r="A6271" s="4"/>
      <c r="B6271" s="4"/>
      <c r="C6271" s="4"/>
    </row>
    <row r="6272">
      <c r="A6272" s="4"/>
      <c r="B6272" s="4"/>
      <c r="C6272" s="4"/>
    </row>
    <row r="6273">
      <c r="A6273" s="4"/>
      <c r="B6273" s="4"/>
      <c r="C6273" s="4"/>
    </row>
    <row r="6274">
      <c r="A6274" s="4"/>
      <c r="B6274" s="4"/>
      <c r="C6274" s="4"/>
    </row>
    <row r="6275">
      <c r="A6275" s="4"/>
      <c r="B6275" s="4"/>
      <c r="C6275" s="4"/>
    </row>
    <row r="6276">
      <c r="A6276" s="4"/>
      <c r="B6276" s="4"/>
      <c r="C6276" s="4"/>
    </row>
    <row r="6277">
      <c r="A6277" s="4"/>
      <c r="B6277" s="4"/>
      <c r="C6277" s="4"/>
    </row>
    <row r="6278">
      <c r="A6278" s="4"/>
      <c r="B6278" s="4"/>
      <c r="C6278" s="4"/>
    </row>
    <row r="6279">
      <c r="A6279" s="4"/>
      <c r="B6279" s="4"/>
      <c r="C6279" s="4"/>
    </row>
    <row r="6280">
      <c r="A6280" s="4"/>
      <c r="B6280" s="4"/>
      <c r="C6280" s="4"/>
    </row>
    <row r="6281">
      <c r="A6281" s="4"/>
      <c r="B6281" s="4"/>
      <c r="C6281" s="4"/>
    </row>
    <row r="6282">
      <c r="A6282" s="4"/>
      <c r="B6282" s="4"/>
      <c r="C6282" s="4"/>
    </row>
    <row r="6283">
      <c r="A6283" s="4"/>
      <c r="B6283" s="4"/>
      <c r="C6283" s="4"/>
    </row>
    <row r="6284">
      <c r="A6284" s="4"/>
      <c r="B6284" s="4"/>
      <c r="C6284" s="4"/>
    </row>
    <row r="6285">
      <c r="A6285" s="4"/>
      <c r="B6285" s="4"/>
      <c r="C6285" s="4"/>
    </row>
    <row r="6286">
      <c r="A6286" s="4"/>
      <c r="B6286" s="4"/>
      <c r="C6286" s="4"/>
    </row>
    <row r="6287">
      <c r="A6287" s="4"/>
      <c r="B6287" s="4"/>
      <c r="C6287" s="4"/>
    </row>
    <row r="6288">
      <c r="A6288" s="4"/>
      <c r="B6288" s="4"/>
      <c r="C6288" s="4"/>
    </row>
    <row r="6289">
      <c r="A6289" s="4"/>
      <c r="B6289" s="4"/>
      <c r="C6289" s="4"/>
    </row>
    <row r="6290">
      <c r="A6290" s="4"/>
      <c r="B6290" s="4"/>
      <c r="C6290" s="4"/>
    </row>
    <row r="6291">
      <c r="A6291" s="4"/>
      <c r="B6291" s="4"/>
      <c r="C6291" s="4"/>
    </row>
    <row r="6292">
      <c r="A6292" s="4"/>
      <c r="B6292" s="4"/>
      <c r="C6292" s="4"/>
    </row>
    <row r="6293">
      <c r="A6293" s="4"/>
      <c r="B6293" s="4"/>
      <c r="C6293" s="4"/>
    </row>
    <row r="6294">
      <c r="A6294" s="4"/>
      <c r="B6294" s="4"/>
      <c r="C6294" s="4"/>
    </row>
    <row r="6295">
      <c r="A6295" s="4"/>
      <c r="B6295" s="4"/>
      <c r="C6295" s="4"/>
    </row>
    <row r="6296">
      <c r="A6296" s="4"/>
      <c r="B6296" s="4"/>
      <c r="C6296" s="4"/>
    </row>
    <row r="6297">
      <c r="A6297" s="4"/>
      <c r="B6297" s="4"/>
      <c r="C6297" s="4"/>
    </row>
    <row r="6298">
      <c r="A6298" s="4"/>
      <c r="B6298" s="4"/>
      <c r="C6298" s="4"/>
    </row>
    <row r="6299">
      <c r="A6299" s="4"/>
      <c r="B6299" s="4"/>
      <c r="C6299" s="4"/>
    </row>
    <row r="6300">
      <c r="A6300" s="4"/>
      <c r="B6300" s="4"/>
      <c r="C6300" s="4"/>
    </row>
    <row r="6301">
      <c r="A6301" s="4"/>
      <c r="B6301" s="4"/>
      <c r="C6301" s="4"/>
    </row>
    <row r="6302">
      <c r="A6302" s="4"/>
      <c r="B6302" s="4"/>
      <c r="C6302" s="4"/>
    </row>
    <row r="6303">
      <c r="A6303" s="4"/>
      <c r="B6303" s="4"/>
      <c r="C6303" s="4"/>
    </row>
    <row r="6304">
      <c r="A6304" s="4"/>
      <c r="B6304" s="4"/>
      <c r="C6304" s="4"/>
    </row>
    <row r="6305">
      <c r="A6305" s="4"/>
      <c r="B6305" s="4"/>
      <c r="C6305" s="4"/>
    </row>
    <row r="6306">
      <c r="A6306" s="4"/>
      <c r="B6306" s="4"/>
      <c r="C6306" s="4"/>
    </row>
    <row r="6307">
      <c r="A6307" s="4"/>
      <c r="B6307" s="4"/>
      <c r="C6307" s="4"/>
    </row>
    <row r="6308">
      <c r="A6308" s="4"/>
      <c r="B6308" s="4"/>
      <c r="C6308" s="4"/>
    </row>
    <row r="6309">
      <c r="A6309" s="4"/>
      <c r="B6309" s="4"/>
      <c r="C6309" s="4"/>
    </row>
    <row r="6310">
      <c r="A6310" s="4"/>
      <c r="B6310" s="4"/>
      <c r="C6310" s="4"/>
    </row>
    <row r="6311">
      <c r="A6311" s="4"/>
      <c r="B6311" s="4"/>
      <c r="C6311" s="4"/>
    </row>
    <row r="6312">
      <c r="A6312" s="4"/>
      <c r="B6312" s="4"/>
      <c r="C6312" s="4"/>
    </row>
    <row r="6313">
      <c r="A6313" s="4"/>
      <c r="B6313" s="4"/>
      <c r="C6313" s="4"/>
    </row>
    <row r="6314">
      <c r="A6314" s="4"/>
      <c r="B6314" s="4"/>
      <c r="C6314" s="4"/>
    </row>
    <row r="6315">
      <c r="A6315" s="4"/>
      <c r="B6315" s="4"/>
      <c r="C6315" s="4"/>
    </row>
    <row r="6316">
      <c r="A6316" s="4"/>
      <c r="B6316" s="4"/>
      <c r="C6316" s="4"/>
    </row>
    <row r="6317">
      <c r="A6317" s="4"/>
      <c r="B6317" s="4"/>
      <c r="C6317" s="4"/>
    </row>
    <row r="6318">
      <c r="A6318" s="4"/>
      <c r="B6318" s="4"/>
      <c r="C6318" s="4"/>
    </row>
    <row r="6319">
      <c r="A6319" s="4"/>
      <c r="B6319" s="4"/>
      <c r="C6319" s="4"/>
    </row>
    <row r="6320">
      <c r="A6320" s="4"/>
      <c r="B6320" s="4"/>
      <c r="C6320" s="4"/>
    </row>
    <row r="6321">
      <c r="A6321" s="4"/>
      <c r="B6321" s="4"/>
      <c r="C6321" s="4"/>
    </row>
    <row r="6322">
      <c r="A6322" s="4"/>
      <c r="B6322" s="4"/>
      <c r="C6322" s="4"/>
    </row>
    <row r="6323">
      <c r="A6323" s="4"/>
      <c r="B6323" s="4"/>
      <c r="C6323" s="4"/>
    </row>
    <row r="6324">
      <c r="A6324" s="4"/>
      <c r="B6324" s="4"/>
      <c r="C6324" s="4"/>
    </row>
    <row r="6325">
      <c r="A6325" s="4"/>
      <c r="B6325" s="4"/>
      <c r="C6325" s="4"/>
    </row>
    <row r="6326">
      <c r="A6326" s="4"/>
      <c r="B6326" s="4"/>
      <c r="C6326" s="4"/>
    </row>
    <row r="6327">
      <c r="A6327" s="4"/>
      <c r="B6327" s="4"/>
      <c r="C6327" s="4"/>
    </row>
    <row r="6328">
      <c r="A6328" s="4"/>
      <c r="B6328" s="4"/>
      <c r="C6328" s="4"/>
    </row>
    <row r="6329">
      <c r="A6329" s="4"/>
      <c r="B6329" s="4"/>
      <c r="C6329" s="4"/>
    </row>
    <row r="6330">
      <c r="A6330" s="4"/>
      <c r="B6330" s="4"/>
      <c r="C6330" s="4"/>
    </row>
    <row r="6331">
      <c r="A6331" s="4"/>
      <c r="B6331" s="4"/>
      <c r="C6331" s="4"/>
    </row>
    <row r="6332">
      <c r="A6332" s="4"/>
      <c r="B6332" s="4"/>
      <c r="C6332" s="4"/>
    </row>
    <row r="6333">
      <c r="A6333" s="4"/>
      <c r="B6333" s="4"/>
      <c r="C6333" s="4"/>
    </row>
    <row r="6334">
      <c r="A6334" s="4"/>
      <c r="B6334" s="4"/>
      <c r="C6334" s="4"/>
    </row>
    <row r="6335">
      <c r="A6335" s="4"/>
      <c r="B6335" s="4"/>
      <c r="C6335" s="4"/>
    </row>
    <row r="6336">
      <c r="A6336" s="4"/>
      <c r="B6336" s="4"/>
      <c r="C6336" s="4"/>
    </row>
    <row r="6337">
      <c r="A6337" s="4"/>
      <c r="B6337" s="4"/>
      <c r="C6337" s="4"/>
    </row>
    <row r="6338">
      <c r="A6338" s="4"/>
      <c r="B6338" s="4"/>
      <c r="C6338" s="4"/>
    </row>
    <row r="6339">
      <c r="A6339" s="4"/>
      <c r="B6339" s="4"/>
      <c r="C6339" s="4"/>
    </row>
    <row r="6340">
      <c r="A6340" s="4"/>
      <c r="B6340" s="4"/>
      <c r="C6340" s="4"/>
    </row>
    <row r="6341">
      <c r="A6341" s="4"/>
      <c r="B6341" s="4"/>
      <c r="C6341" s="4"/>
    </row>
    <row r="6342">
      <c r="A6342" s="4"/>
      <c r="B6342" s="4"/>
      <c r="C6342" s="4"/>
    </row>
    <row r="6343">
      <c r="A6343" s="4"/>
      <c r="B6343" s="4"/>
      <c r="C6343" s="4"/>
    </row>
    <row r="6344">
      <c r="A6344" s="4"/>
      <c r="B6344" s="4"/>
      <c r="C6344" s="4"/>
    </row>
    <row r="6345">
      <c r="A6345" s="4"/>
      <c r="B6345" s="4"/>
      <c r="C6345" s="4"/>
    </row>
    <row r="6346">
      <c r="A6346" s="4"/>
      <c r="B6346" s="4"/>
      <c r="C6346" s="4"/>
    </row>
    <row r="6347">
      <c r="A6347" s="4"/>
      <c r="B6347" s="4"/>
      <c r="C6347" s="4"/>
    </row>
    <row r="6348">
      <c r="A6348" s="4"/>
      <c r="B6348" s="4"/>
      <c r="C6348" s="4"/>
    </row>
    <row r="6349">
      <c r="A6349" s="4"/>
      <c r="B6349" s="4"/>
      <c r="C6349" s="4"/>
    </row>
    <row r="6350">
      <c r="A6350" s="4"/>
      <c r="B6350" s="4"/>
      <c r="C6350" s="4"/>
    </row>
    <row r="6351">
      <c r="A6351" s="4"/>
      <c r="B6351" s="4"/>
      <c r="C6351" s="4"/>
    </row>
    <row r="6352">
      <c r="A6352" s="4"/>
      <c r="B6352" s="4"/>
      <c r="C6352" s="4"/>
    </row>
    <row r="6353">
      <c r="A6353" s="4"/>
      <c r="B6353" s="4"/>
      <c r="C6353" s="4"/>
    </row>
    <row r="6354">
      <c r="A6354" s="4"/>
      <c r="B6354" s="4"/>
      <c r="C6354" s="4"/>
    </row>
    <row r="6355">
      <c r="A6355" s="4"/>
      <c r="B6355" s="4"/>
      <c r="C6355" s="4"/>
    </row>
    <row r="6356">
      <c r="A6356" s="4"/>
      <c r="B6356" s="4"/>
      <c r="C6356" s="4"/>
    </row>
    <row r="6357">
      <c r="A6357" s="4"/>
      <c r="B6357" s="4"/>
      <c r="C6357" s="4"/>
    </row>
    <row r="6358">
      <c r="A6358" s="4"/>
      <c r="B6358" s="4"/>
      <c r="C6358" s="4"/>
    </row>
    <row r="6359">
      <c r="A6359" s="4"/>
      <c r="B6359" s="4"/>
      <c r="C6359" s="4"/>
    </row>
    <row r="6360">
      <c r="A6360" s="4"/>
      <c r="B6360" s="4"/>
      <c r="C6360" s="4"/>
    </row>
    <row r="6361">
      <c r="A6361" s="4"/>
      <c r="B6361" s="4"/>
      <c r="C6361" s="4"/>
    </row>
    <row r="6362">
      <c r="A6362" s="4"/>
      <c r="B6362" s="4"/>
      <c r="C6362" s="4"/>
    </row>
    <row r="6363">
      <c r="A6363" s="4"/>
      <c r="B6363" s="4"/>
      <c r="C6363" s="4"/>
    </row>
    <row r="6364">
      <c r="A6364" s="4"/>
      <c r="B6364" s="4"/>
      <c r="C6364" s="4"/>
    </row>
    <row r="6365">
      <c r="A6365" s="4"/>
      <c r="B6365" s="4"/>
      <c r="C6365" s="4"/>
    </row>
    <row r="6366">
      <c r="A6366" s="4"/>
      <c r="B6366" s="4"/>
      <c r="C6366" s="4"/>
    </row>
    <row r="6367">
      <c r="A6367" s="4"/>
      <c r="B6367" s="4"/>
      <c r="C6367" s="4"/>
    </row>
    <row r="6368">
      <c r="A6368" s="4"/>
      <c r="B6368" s="4"/>
      <c r="C6368" s="4"/>
    </row>
    <row r="6369">
      <c r="A6369" s="4"/>
      <c r="B6369" s="4"/>
      <c r="C6369" s="4"/>
    </row>
    <row r="6370">
      <c r="A6370" s="4"/>
      <c r="B6370" s="4"/>
      <c r="C6370" s="4"/>
    </row>
    <row r="6371">
      <c r="A6371" s="4"/>
      <c r="B6371" s="4"/>
      <c r="C6371" s="4"/>
    </row>
    <row r="6372">
      <c r="A6372" s="4"/>
      <c r="B6372" s="4"/>
      <c r="C6372" s="4"/>
    </row>
    <row r="6373">
      <c r="A6373" s="4"/>
      <c r="B6373" s="4"/>
      <c r="C6373" s="4"/>
    </row>
    <row r="6374">
      <c r="A6374" s="4"/>
      <c r="B6374" s="4"/>
      <c r="C6374" s="4"/>
    </row>
    <row r="6375">
      <c r="A6375" s="4"/>
      <c r="B6375" s="4"/>
      <c r="C6375" s="4"/>
    </row>
    <row r="6376">
      <c r="A6376" s="4"/>
      <c r="B6376" s="4"/>
      <c r="C6376" s="4"/>
    </row>
    <row r="6377">
      <c r="A6377" s="4"/>
      <c r="B6377" s="4"/>
      <c r="C6377" s="4"/>
    </row>
    <row r="6378">
      <c r="A6378" s="4"/>
      <c r="B6378" s="4"/>
      <c r="C6378" s="4"/>
    </row>
    <row r="6379">
      <c r="A6379" s="4"/>
      <c r="B6379" s="4"/>
      <c r="C6379" s="4"/>
    </row>
    <row r="6380">
      <c r="A6380" s="4"/>
      <c r="B6380" s="4"/>
      <c r="C6380" s="4"/>
    </row>
    <row r="6381">
      <c r="A6381" s="4"/>
      <c r="B6381" s="4"/>
      <c r="C6381" s="4"/>
    </row>
    <row r="6382">
      <c r="A6382" s="4"/>
      <c r="B6382" s="4"/>
      <c r="C6382" s="4"/>
    </row>
    <row r="6383">
      <c r="A6383" s="4"/>
      <c r="B6383" s="4"/>
      <c r="C6383" s="4"/>
    </row>
    <row r="6384">
      <c r="A6384" s="4"/>
      <c r="B6384" s="4"/>
      <c r="C6384" s="4"/>
    </row>
    <row r="6385">
      <c r="A6385" s="4"/>
      <c r="B6385" s="4"/>
      <c r="C6385" s="4"/>
    </row>
    <row r="6386">
      <c r="A6386" s="4"/>
      <c r="B6386" s="4"/>
      <c r="C6386" s="4"/>
    </row>
    <row r="6387">
      <c r="A6387" s="4"/>
      <c r="B6387" s="4"/>
      <c r="C6387" s="4"/>
    </row>
    <row r="6388">
      <c r="A6388" s="4"/>
      <c r="B6388" s="4"/>
      <c r="C6388" s="4"/>
    </row>
    <row r="6389">
      <c r="A6389" s="4"/>
      <c r="B6389" s="4"/>
      <c r="C6389" s="4"/>
    </row>
    <row r="6390">
      <c r="A6390" s="4"/>
      <c r="B6390" s="4"/>
      <c r="C6390" s="4"/>
    </row>
    <row r="6391">
      <c r="A6391" s="4"/>
      <c r="B6391" s="4"/>
      <c r="C6391" s="4"/>
    </row>
    <row r="6392">
      <c r="A6392" s="4"/>
      <c r="B6392" s="4"/>
      <c r="C6392" s="4"/>
    </row>
    <row r="6393">
      <c r="A6393" s="4"/>
      <c r="B6393" s="4"/>
      <c r="C6393" s="4"/>
    </row>
    <row r="6394">
      <c r="A6394" s="4"/>
      <c r="B6394" s="4"/>
      <c r="C6394" s="4"/>
    </row>
    <row r="6395">
      <c r="A6395" s="4"/>
      <c r="B6395" s="4"/>
      <c r="C6395" s="4"/>
    </row>
    <row r="6396">
      <c r="A6396" s="4"/>
      <c r="B6396" s="4"/>
      <c r="C6396" s="4"/>
    </row>
    <row r="6397">
      <c r="A6397" s="4"/>
      <c r="B6397" s="4"/>
      <c r="C6397" s="4"/>
    </row>
    <row r="6398">
      <c r="A6398" s="4"/>
      <c r="B6398" s="4"/>
      <c r="C6398" s="4"/>
    </row>
    <row r="6399">
      <c r="A6399" s="4"/>
      <c r="B6399" s="4"/>
      <c r="C6399" s="4"/>
    </row>
    <row r="6400">
      <c r="A6400" s="4"/>
      <c r="B6400" s="4"/>
      <c r="C6400" s="4"/>
    </row>
    <row r="6401">
      <c r="A6401" s="4"/>
      <c r="B6401" s="4"/>
      <c r="C6401" s="4"/>
    </row>
    <row r="6402">
      <c r="A6402" s="4"/>
      <c r="B6402" s="4"/>
      <c r="C6402" s="4"/>
    </row>
    <row r="6403">
      <c r="A6403" s="4"/>
      <c r="B6403" s="4"/>
      <c r="C6403" s="4"/>
    </row>
    <row r="6404">
      <c r="A6404" s="4"/>
      <c r="B6404" s="4"/>
      <c r="C6404" s="4"/>
    </row>
    <row r="6405">
      <c r="A6405" s="4"/>
      <c r="B6405" s="4"/>
      <c r="C6405" s="4"/>
    </row>
    <row r="6406">
      <c r="A6406" s="4"/>
      <c r="B6406" s="4"/>
      <c r="C6406" s="4"/>
    </row>
    <row r="6407">
      <c r="A6407" s="4"/>
      <c r="B6407" s="4"/>
      <c r="C6407" s="4"/>
    </row>
    <row r="6408">
      <c r="A6408" s="4"/>
      <c r="B6408" s="4"/>
      <c r="C6408" s="4"/>
    </row>
    <row r="6409">
      <c r="A6409" s="4"/>
      <c r="B6409" s="4"/>
      <c r="C6409" s="4"/>
    </row>
    <row r="6410">
      <c r="A6410" s="4"/>
      <c r="B6410" s="4"/>
      <c r="C6410" s="4"/>
    </row>
    <row r="6411">
      <c r="A6411" s="4"/>
      <c r="B6411" s="4"/>
      <c r="C6411" s="4"/>
    </row>
    <row r="6412">
      <c r="A6412" s="4"/>
      <c r="B6412" s="4"/>
      <c r="C6412" s="4"/>
    </row>
    <row r="6413">
      <c r="A6413" s="4"/>
      <c r="B6413" s="4"/>
      <c r="C6413" s="4"/>
    </row>
    <row r="6414">
      <c r="A6414" s="4"/>
      <c r="B6414" s="4"/>
      <c r="C6414" s="4"/>
    </row>
    <row r="6415">
      <c r="A6415" s="4"/>
      <c r="B6415" s="4"/>
      <c r="C6415" s="4"/>
    </row>
    <row r="6416">
      <c r="A6416" s="4"/>
      <c r="B6416" s="4"/>
      <c r="C6416" s="4"/>
    </row>
    <row r="6417">
      <c r="A6417" s="4"/>
      <c r="B6417" s="4"/>
      <c r="C6417" s="4"/>
    </row>
    <row r="6418">
      <c r="A6418" s="4"/>
      <c r="B6418" s="4"/>
      <c r="C6418" s="4"/>
    </row>
    <row r="6419">
      <c r="A6419" s="4"/>
      <c r="B6419" s="4"/>
      <c r="C6419" s="4"/>
    </row>
    <row r="6420">
      <c r="A6420" s="4"/>
      <c r="B6420" s="4"/>
      <c r="C6420" s="4"/>
    </row>
    <row r="6421">
      <c r="A6421" s="4"/>
      <c r="B6421" s="4"/>
      <c r="C6421" s="4"/>
    </row>
    <row r="6422">
      <c r="A6422" s="4"/>
      <c r="B6422" s="4"/>
      <c r="C6422" s="4"/>
    </row>
    <row r="6423">
      <c r="A6423" s="4"/>
      <c r="B6423" s="4"/>
      <c r="C6423" s="4"/>
    </row>
    <row r="6424">
      <c r="A6424" s="4"/>
      <c r="B6424" s="4"/>
      <c r="C6424" s="4"/>
    </row>
    <row r="6425">
      <c r="A6425" s="4"/>
      <c r="B6425" s="4"/>
      <c r="C6425" s="4"/>
    </row>
    <row r="6426">
      <c r="A6426" s="4"/>
      <c r="B6426" s="4"/>
      <c r="C6426" s="4"/>
    </row>
    <row r="6427">
      <c r="A6427" s="4"/>
      <c r="B6427" s="4"/>
      <c r="C6427" s="4"/>
    </row>
    <row r="6428">
      <c r="A6428" s="4"/>
      <c r="B6428" s="4"/>
      <c r="C6428" s="4"/>
    </row>
    <row r="6429">
      <c r="A6429" s="4"/>
      <c r="B6429" s="4"/>
      <c r="C6429" s="4"/>
    </row>
    <row r="6430">
      <c r="A6430" s="4"/>
      <c r="B6430" s="4"/>
      <c r="C6430" s="4"/>
    </row>
    <row r="6431">
      <c r="A6431" s="4"/>
      <c r="B6431" s="4"/>
      <c r="C6431" s="4"/>
    </row>
    <row r="6432">
      <c r="A6432" s="4"/>
      <c r="B6432" s="4"/>
      <c r="C6432" s="4"/>
    </row>
    <row r="6433">
      <c r="A6433" s="4"/>
      <c r="B6433" s="4"/>
      <c r="C6433" s="4"/>
    </row>
    <row r="6434">
      <c r="A6434" s="4"/>
      <c r="B6434" s="4"/>
      <c r="C6434" s="4"/>
    </row>
    <row r="6435">
      <c r="A6435" s="4"/>
      <c r="B6435" s="4"/>
      <c r="C6435" s="4"/>
    </row>
    <row r="6436">
      <c r="A6436" s="4"/>
      <c r="B6436" s="4"/>
      <c r="C6436" s="4"/>
    </row>
    <row r="6437">
      <c r="A6437" s="4"/>
      <c r="B6437" s="4"/>
      <c r="C6437" s="4"/>
    </row>
    <row r="6438">
      <c r="A6438" s="4"/>
      <c r="B6438" s="4"/>
      <c r="C6438" s="4"/>
    </row>
    <row r="6439">
      <c r="A6439" s="4"/>
      <c r="B6439" s="4"/>
      <c r="C6439" s="4"/>
    </row>
    <row r="6440">
      <c r="A6440" s="4"/>
      <c r="B6440" s="4"/>
      <c r="C6440" s="4"/>
    </row>
    <row r="6441">
      <c r="A6441" s="4"/>
      <c r="B6441" s="4"/>
      <c r="C6441" s="4"/>
    </row>
    <row r="6442">
      <c r="A6442" s="4"/>
      <c r="B6442" s="4"/>
      <c r="C6442" s="4"/>
    </row>
    <row r="6443">
      <c r="A6443" s="4"/>
      <c r="B6443" s="4"/>
      <c r="C6443" s="4"/>
    </row>
    <row r="6444">
      <c r="A6444" s="4"/>
      <c r="B6444" s="4"/>
      <c r="C6444" s="4"/>
    </row>
    <row r="6445">
      <c r="A6445" s="4"/>
      <c r="B6445" s="4"/>
      <c r="C6445" s="4"/>
    </row>
    <row r="6446">
      <c r="A6446" s="4"/>
      <c r="B6446" s="4"/>
      <c r="C6446" s="4"/>
    </row>
    <row r="6447">
      <c r="A6447" s="4"/>
      <c r="B6447" s="4"/>
      <c r="C6447" s="4"/>
    </row>
    <row r="6448">
      <c r="A6448" s="4"/>
      <c r="B6448" s="4"/>
      <c r="C6448" s="4"/>
    </row>
    <row r="6449">
      <c r="A6449" s="4"/>
      <c r="B6449" s="4"/>
      <c r="C6449" s="4"/>
    </row>
    <row r="6450">
      <c r="A6450" s="4"/>
      <c r="B6450" s="4"/>
      <c r="C6450" s="4"/>
    </row>
    <row r="6451">
      <c r="A6451" s="4"/>
      <c r="B6451" s="4"/>
      <c r="C6451" s="4"/>
    </row>
    <row r="6452">
      <c r="A6452" s="4"/>
      <c r="B6452" s="4"/>
      <c r="C6452" s="4"/>
    </row>
    <row r="6453">
      <c r="A6453" s="4"/>
      <c r="B6453" s="4"/>
      <c r="C6453" s="4"/>
    </row>
    <row r="6454">
      <c r="A6454" s="4"/>
      <c r="B6454" s="4"/>
      <c r="C6454" s="4"/>
    </row>
    <row r="6455">
      <c r="A6455" s="4"/>
      <c r="B6455" s="4"/>
      <c r="C6455" s="4"/>
    </row>
    <row r="6456">
      <c r="A6456" s="4"/>
      <c r="B6456" s="4"/>
      <c r="C6456" s="4"/>
    </row>
    <row r="6457">
      <c r="A6457" s="4"/>
      <c r="B6457" s="4"/>
      <c r="C6457" s="4"/>
    </row>
    <row r="6458">
      <c r="A6458" s="4"/>
      <c r="B6458" s="4"/>
      <c r="C6458" s="4"/>
    </row>
    <row r="6459">
      <c r="A6459" s="4"/>
      <c r="B6459" s="4"/>
      <c r="C6459" s="4"/>
    </row>
    <row r="6460">
      <c r="A6460" s="4"/>
      <c r="B6460" s="4"/>
      <c r="C6460" s="4"/>
    </row>
    <row r="6461">
      <c r="A6461" s="4"/>
      <c r="B6461" s="4"/>
      <c r="C6461" s="4"/>
    </row>
    <row r="6462">
      <c r="A6462" s="4"/>
      <c r="B6462" s="4"/>
      <c r="C6462" s="4"/>
    </row>
    <row r="6463">
      <c r="A6463" s="4"/>
      <c r="B6463" s="4"/>
      <c r="C6463" s="4"/>
    </row>
    <row r="6464">
      <c r="A6464" s="4"/>
      <c r="B6464" s="4"/>
      <c r="C6464" s="4"/>
    </row>
    <row r="6465">
      <c r="A6465" s="4"/>
      <c r="B6465" s="4"/>
      <c r="C6465" s="4"/>
    </row>
    <row r="6466">
      <c r="A6466" s="4"/>
      <c r="B6466" s="4"/>
      <c r="C6466" s="4"/>
    </row>
    <row r="6467">
      <c r="A6467" s="4"/>
      <c r="B6467" s="4"/>
      <c r="C6467" s="4"/>
    </row>
    <row r="6468">
      <c r="A6468" s="4"/>
      <c r="B6468" s="4"/>
      <c r="C6468" s="4"/>
    </row>
    <row r="6469">
      <c r="A6469" s="4"/>
      <c r="B6469" s="4"/>
      <c r="C6469" s="4"/>
    </row>
    <row r="6470">
      <c r="A6470" s="4"/>
      <c r="B6470" s="4"/>
      <c r="C6470" s="4"/>
    </row>
    <row r="6471">
      <c r="A6471" s="4"/>
      <c r="B6471" s="4"/>
      <c r="C6471" s="4"/>
    </row>
    <row r="6472">
      <c r="A6472" s="4"/>
      <c r="B6472" s="4"/>
      <c r="C6472" s="4"/>
    </row>
    <row r="6473">
      <c r="A6473" s="4"/>
      <c r="B6473" s="4"/>
      <c r="C6473" s="4"/>
    </row>
    <row r="6474">
      <c r="A6474" s="4"/>
      <c r="B6474" s="4"/>
      <c r="C6474" s="4"/>
    </row>
    <row r="6475">
      <c r="A6475" s="4"/>
      <c r="B6475" s="4"/>
      <c r="C6475" s="4"/>
    </row>
    <row r="6476">
      <c r="A6476" s="4"/>
      <c r="B6476" s="4"/>
      <c r="C6476" s="4"/>
    </row>
    <row r="6477">
      <c r="A6477" s="4"/>
      <c r="B6477" s="4"/>
      <c r="C6477" s="4"/>
    </row>
    <row r="6478">
      <c r="A6478" s="4"/>
      <c r="B6478" s="4"/>
      <c r="C6478" s="4"/>
    </row>
    <row r="6479">
      <c r="A6479" s="4"/>
      <c r="B6479" s="4"/>
      <c r="C6479" s="4"/>
    </row>
    <row r="6480">
      <c r="A6480" s="4"/>
      <c r="B6480" s="4"/>
      <c r="C6480" s="4"/>
    </row>
    <row r="6481">
      <c r="A6481" s="4"/>
      <c r="B6481" s="4"/>
      <c r="C6481" s="4"/>
    </row>
    <row r="6482">
      <c r="A6482" s="4"/>
      <c r="B6482" s="4"/>
      <c r="C6482" s="4"/>
    </row>
    <row r="6483">
      <c r="A6483" s="4"/>
      <c r="B6483" s="4"/>
      <c r="C6483" s="4"/>
    </row>
    <row r="6484">
      <c r="A6484" s="4"/>
      <c r="B6484" s="4"/>
      <c r="C6484" s="4"/>
    </row>
    <row r="6485">
      <c r="A6485" s="4"/>
      <c r="B6485" s="4"/>
      <c r="C6485" s="4"/>
    </row>
    <row r="6486">
      <c r="A6486" s="4"/>
      <c r="B6486" s="4"/>
      <c r="C6486" s="4"/>
    </row>
    <row r="6487">
      <c r="A6487" s="4"/>
      <c r="B6487" s="4"/>
      <c r="C6487" s="4"/>
    </row>
    <row r="6488">
      <c r="A6488" s="4"/>
      <c r="B6488" s="4"/>
      <c r="C6488" s="4"/>
    </row>
    <row r="6489">
      <c r="A6489" s="4"/>
      <c r="B6489" s="4"/>
      <c r="C6489" s="4"/>
    </row>
    <row r="6490">
      <c r="A6490" s="4"/>
      <c r="B6490" s="4"/>
      <c r="C6490" s="4"/>
    </row>
    <row r="6491">
      <c r="A6491" s="4"/>
      <c r="B6491" s="4"/>
      <c r="C6491" s="4"/>
    </row>
    <row r="6492">
      <c r="A6492" s="4"/>
      <c r="B6492" s="4"/>
      <c r="C6492" s="4"/>
    </row>
    <row r="6493">
      <c r="A6493" s="4"/>
      <c r="B6493" s="4"/>
      <c r="C6493" s="4"/>
    </row>
    <row r="6494">
      <c r="A6494" s="4"/>
      <c r="B6494" s="4"/>
      <c r="C6494" s="4"/>
    </row>
    <row r="6495">
      <c r="A6495" s="4"/>
      <c r="B6495" s="4"/>
      <c r="C6495" s="4"/>
    </row>
    <row r="6496">
      <c r="A6496" s="4"/>
      <c r="B6496" s="4"/>
      <c r="C6496" s="4"/>
    </row>
    <row r="6497">
      <c r="A6497" s="4"/>
      <c r="B6497" s="4"/>
      <c r="C6497" s="4"/>
    </row>
    <row r="6498">
      <c r="A6498" s="4"/>
      <c r="B6498" s="4"/>
      <c r="C6498" s="4"/>
    </row>
    <row r="6499">
      <c r="A6499" s="4"/>
      <c r="B6499" s="4"/>
      <c r="C6499" s="4"/>
    </row>
    <row r="6500">
      <c r="A6500" s="4"/>
      <c r="B6500" s="4"/>
      <c r="C6500" s="4"/>
    </row>
    <row r="6501">
      <c r="A6501" s="4"/>
      <c r="B6501" s="4"/>
      <c r="C6501" s="4"/>
    </row>
    <row r="6502">
      <c r="A6502" s="4"/>
      <c r="B6502" s="4"/>
      <c r="C6502" s="4"/>
    </row>
    <row r="6503">
      <c r="A6503" s="4"/>
      <c r="B6503" s="4"/>
      <c r="C6503" s="4"/>
    </row>
    <row r="6504">
      <c r="A6504" s="4"/>
      <c r="B6504" s="4"/>
      <c r="C6504" s="4"/>
    </row>
    <row r="6505">
      <c r="A6505" s="4"/>
      <c r="B6505" s="4"/>
      <c r="C6505" s="4"/>
    </row>
    <row r="6506">
      <c r="A6506" s="4"/>
      <c r="B6506" s="4"/>
      <c r="C6506" s="4"/>
    </row>
    <row r="6507">
      <c r="A6507" s="4"/>
      <c r="B6507" s="4"/>
      <c r="C6507" s="4"/>
    </row>
    <row r="6508">
      <c r="A6508" s="4"/>
      <c r="B6508" s="4"/>
      <c r="C6508" s="4"/>
    </row>
    <row r="6509">
      <c r="A6509" s="4"/>
      <c r="B6509" s="4"/>
      <c r="C6509" s="4"/>
    </row>
    <row r="6510">
      <c r="A6510" s="4"/>
      <c r="B6510" s="4"/>
      <c r="C6510" s="4"/>
    </row>
    <row r="6511">
      <c r="A6511" s="4"/>
      <c r="B6511" s="4"/>
      <c r="C6511" s="4"/>
    </row>
    <row r="6512">
      <c r="A6512" s="4"/>
      <c r="B6512" s="4"/>
      <c r="C6512" s="4"/>
    </row>
    <row r="6513">
      <c r="A6513" s="4"/>
      <c r="B6513" s="4"/>
      <c r="C6513" s="4"/>
    </row>
    <row r="6514">
      <c r="A6514" s="4"/>
      <c r="B6514" s="4"/>
      <c r="C6514" s="4"/>
    </row>
    <row r="6515">
      <c r="A6515" s="4"/>
      <c r="B6515" s="4"/>
      <c r="C6515" s="4"/>
    </row>
    <row r="6516">
      <c r="A6516" s="4"/>
      <c r="B6516" s="4"/>
      <c r="C6516" s="4"/>
    </row>
    <row r="6517">
      <c r="A6517" s="4"/>
      <c r="B6517" s="4"/>
      <c r="C6517" s="4"/>
    </row>
    <row r="6518">
      <c r="A6518" s="4"/>
      <c r="B6518" s="4"/>
      <c r="C6518" s="4"/>
    </row>
    <row r="6519">
      <c r="A6519" s="4"/>
      <c r="B6519" s="4"/>
      <c r="C6519" s="4"/>
    </row>
    <row r="6520">
      <c r="A6520" s="4"/>
      <c r="B6520" s="4"/>
      <c r="C6520" s="4"/>
    </row>
    <row r="6521">
      <c r="A6521" s="4"/>
      <c r="B6521" s="4"/>
      <c r="C6521" s="4"/>
    </row>
    <row r="6522">
      <c r="A6522" s="4"/>
      <c r="B6522" s="4"/>
      <c r="C6522" s="4"/>
    </row>
    <row r="6523">
      <c r="A6523" s="4"/>
      <c r="B6523" s="4"/>
      <c r="C6523" s="4"/>
    </row>
    <row r="6524">
      <c r="A6524" s="4"/>
      <c r="B6524" s="4"/>
      <c r="C6524" s="4"/>
    </row>
    <row r="6525">
      <c r="A6525" s="4"/>
      <c r="B6525" s="4"/>
      <c r="C6525" s="4"/>
    </row>
    <row r="6526">
      <c r="A6526" s="4"/>
      <c r="B6526" s="4"/>
      <c r="C6526" s="4"/>
    </row>
    <row r="6527">
      <c r="A6527" s="4"/>
      <c r="B6527" s="4"/>
      <c r="C6527" s="4"/>
    </row>
    <row r="6528">
      <c r="A6528" s="4"/>
      <c r="B6528" s="4"/>
      <c r="C6528" s="4"/>
    </row>
    <row r="6529">
      <c r="A6529" s="4"/>
      <c r="B6529" s="4"/>
      <c r="C6529" s="4"/>
    </row>
    <row r="6530">
      <c r="A6530" s="4"/>
      <c r="B6530" s="4"/>
      <c r="C6530" s="4"/>
    </row>
    <row r="6531">
      <c r="A6531" s="4"/>
      <c r="B6531" s="4"/>
      <c r="C6531" s="4"/>
    </row>
    <row r="6532">
      <c r="A6532" s="4"/>
      <c r="B6532" s="4"/>
      <c r="C6532" s="4"/>
    </row>
    <row r="6533">
      <c r="A6533" s="4"/>
      <c r="B6533" s="4"/>
      <c r="C6533" s="4"/>
    </row>
    <row r="6534">
      <c r="A6534" s="4"/>
      <c r="B6534" s="4"/>
      <c r="C6534" s="4"/>
    </row>
    <row r="6535">
      <c r="A6535" s="4"/>
      <c r="B6535" s="4"/>
      <c r="C6535" s="4"/>
    </row>
    <row r="6536">
      <c r="A6536" s="4"/>
      <c r="B6536" s="4"/>
      <c r="C6536" s="4"/>
    </row>
    <row r="6537">
      <c r="A6537" s="4"/>
      <c r="B6537" s="4"/>
      <c r="C6537" s="4"/>
    </row>
    <row r="6538">
      <c r="A6538" s="4"/>
      <c r="B6538" s="4"/>
      <c r="C6538" s="4"/>
    </row>
    <row r="6539">
      <c r="A6539" s="4"/>
      <c r="B6539" s="4"/>
      <c r="C6539" s="4"/>
    </row>
    <row r="6540">
      <c r="A6540" s="4"/>
      <c r="B6540" s="4"/>
      <c r="C6540" s="4"/>
    </row>
    <row r="6541">
      <c r="A6541" s="4"/>
      <c r="B6541" s="4"/>
      <c r="C6541" s="4"/>
    </row>
    <row r="6542">
      <c r="A6542" s="4"/>
      <c r="B6542" s="4"/>
      <c r="C6542" s="4"/>
    </row>
    <row r="6543">
      <c r="A6543" s="4"/>
      <c r="B6543" s="4"/>
      <c r="C6543" s="4"/>
    </row>
    <row r="6544">
      <c r="A6544" s="4"/>
      <c r="B6544" s="4"/>
      <c r="C6544" s="4"/>
    </row>
    <row r="6545">
      <c r="A6545" s="4"/>
      <c r="B6545" s="4"/>
      <c r="C6545" s="4"/>
    </row>
    <row r="6546">
      <c r="A6546" s="4"/>
      <c r="B6546" s="4"/>
      <c r="C6546" s="4"/>
    </row>
    <row r="6547">
      <c r="A6547" s="4"/>
      <c r="B6547" s="4"/>
      <c r="C6547" s="4"/>
    </row>
    <row r="6548">
      <c r="A6548" s="4"/>
      <c r="B6548" s="4"/>
      <c r="C6548" s="4"/>
    </row>
    <row r="6549">
      <c r="A6549" s="4"/>
      <c r="B6549" s="4"/>
      <c r="C6549" s="4"/>
    </row>
    <row r="6550">
      <c r="A6550" s="4"/>
      <c r="B6550" s="4"/>
      <c r="C6550" s="4"/>
    </row>
    <row r="6551">
      <c r="A6551" s="4"/>
      <c r="B6551" s="4"/>
      <c r="C6551" s="4"/>
    </row>
    <row r="6552">
      <c r="A6552" s="4"/>
      <c r="B6552" s="4"/>
      <c r="C6552" s="4"/>
    </row>
    <row r="6553">
      <c r="A6553" s="4"/>
      <c r="B6553" s="4"/>
      <c r="C6553" s="4"/>
    </row>
    <row r="6554">
      <c r="A6554" s="4"/>
      <c r="B6554" s="4"/>
      <c r="C6554" s="4"/>
    </row>
    <row r="6555">
      <c r="A6555" s="4"/>
      <c r="B6555" s="4"/>
      <c r="C6555" s="4"/>
    </row>
    <row r="6556">
      <c r="A6556" s="4"/>
      <c r="B6556" s="4"/>
      <c r="C6556" s="4"/>
    </row>
    <row r="6557">
      <c r="A6557" s="4"/>
      <c r="B6557" s="4"/>
      <c r="C6557" s="4"/>
    </row>
    <row r="6558">
      <c r="A6558" s="4"/>
      <c r="B6558" s="4"/>
      <c r="C6558" s="4"/>
    </row>
    <row r="6559">
      <c r="A6559" s="4"/>
      <c r="B6559" s="4"/>
      <c r="C6559" s="4"/>
    </row>
    <row r="6560">
      <c r="A6560" s="4"/>
      <c r="B6560" s="4"/>
      <c r="C6560" s="4"/>
    </row>
    <row r="6561">
      <c r="A6561" s="4"/>
      <c r="B6561" s="4"/>
      <c r="C6561" s="4"/>
    </row>
    <row r="6562">
      <c r="A6562" s="4"/>
      <c r="B6562" s="4"/>
      <c r="C6562" s="4"/>
    </row>
    <row r="6563">
      <c r="A6563" s="4"/>
      <c r="B6563" s="4"/>
      <c r="C6563" s="4"/>
    </row>
    <row r="6564">
      <c r="A6564" s="4"/>
      <c r="B6564" s="4"/>
      <c r="C6564" s="4"/>
    </row>
    <row r="6565">
      <c r="A6565" s="4"/>
      <c r="B6565" s="4"/>
      <c r="C6565" s="4"/>
    </row>
    <row r="6566">
      <c r="A6566" s="4"/>
      <c r="B6566" s="4"/>
      <c r="C6566" s="4"/>
    </row>
    <row r="6567">
      <c r="A6567" s="4"/>
      <c r="B6567" s="4"/>
      <c r="C6567" s="4"/>
    </row>
    <row r="6568">
      <c r="A6568" s="4"/>
      <c r="B6568" s="4"/>
      <c r="C6568" s="4"/>
    </row>
    <row r="6569">
      <c r="A6569" s="4"/>
      <c r="B6569" s="4"/>
      <c r="C6569" s="4"/>
    </row>
    <row r="6570">
      <c r="A6570" s="4"/>
      <c r="B6570" s="4"/>
      <c r="C6570" s="4"/>
    </row>
    <row r="6571">
      <c r="A6571" s="4"/>
      <c r="B6571" s="4"/>
      <c r="C6571" s="4"/>
    </row>
    <row r="6572">
      <c r="A6572" s="4"/>
      <c r="B6572" s="4"/>
      <c r="C6572" s="4"/>
    </row>
    <row r="6573">
      <c r="A6573" s="4"/>
      <c r="B6573" s="4"/>
      <c r="C6573" s="4"/>
    </row>
    <row r="6574">
      <c r="A6574" s="4"/>
      <c r="B6574" s="4"/>
      <c r="C6574" s="4"/>
    </row>
    <row r="6575">
      <c r="A6575" s="4"/>
      <c r="B6575" s="4"/>
      <c r="C6575" s="4"/>
    </row>
    <row r="6576">
      <c r="A6576" s="4"/>
      <c r="B6576" s="4"/>
      <c r="C6576" s="4"/>
    </row>
    <row r="6577">
      <c r="A6577" s="4"/>
      <c r="B6577" s="4"/>
      <c r="C6577" s="4"/>
    </row>
    <row r="6578">
      <c r="A6578" s="4"/>
      <c r="B6578" s="4"/>
      <c r="C6578" s="4"/>
    </row>
    <row r="6579">
      <c r="A6579" s="4"/>
      <c r="B6579" s="4"/>
      <c r="C6579" s="4"/>
    </row>
    <row r="6580">
      <c r="A6580" s="4"/>
      <c r="B6580" s="4"/>
      <c r="C6580" s="4"/>
    </row>
    <row r="6581">
      <c r="A6581" s="4"/>
      <c r="B6581" s="4"/>
      <c r="C6581" s="4"/>
    </row>
    <row r="6582">
      <c r="A6582" s="4"/>
      <c r="B6582" s="4"/>
      <c r="C6582" s="4"/>
    </row>
    <row r="6583">
      <c r="A6583" s="4"/>
      <c r="B6583" s="4"/>
      <c r="C6583" s="4"/>
    </row>
    <row r="6584">
      <c r="A6584" s="4"/>
      <c r="B6584" s="4"/>
      <c r="C6584" s="4"/>
    </row>
    <row r="6585">
      <c r="A6585" s="4"/>
      <c r="B6585" s="4"/>
      <c r="C6585" s="4"/>
    </row>
    <row r="6586">
      <c r="A6586" s="4"/>
      <c r="B6586" s="4"/>
      <c r="C6586" s="4"/>
    </row>
    <row r="6587">
      <c r="A6587" s="4"/>
      <c r="B6587" s="4"/>
      <c r="C6587" s="4"/>
    </row>
    <row r="6588">
      <c r="A6588" s="4"/>
      <c r="B6588" s="4"/>
      <c r="C6588" s="4"/>
    </row>
    <row r="6589">
      <c r="A6589" s="4"/>
      <c r="B6589" s="4"/>
      <c r="C6589" s="4"/>
    </row>
    <row r="6590">
      <c r="A6590" s="4"/>
      <c r="B6590" s="4"/>
      <c r="C6590" s="4"/>
    </row>
    <row r="6591">
      <c r="A6591" s="4"/>
      <c r="B6591" s="4"/>
      <c r="C6591" s="4"/>
    </row>
    <row r="6592">
      <c r="A6592" s="4"/>
      <c r="B6592" s="4"/>
      <c r="C6592" s="4"/>
    </row>
    <row r="6593">
      <c r="A6593" s="4"/>
      <c r="B6593" s="4"/>
      <c r="C6593" s="4"/>
    </row>
    <row r="6594">
      <c r="A6594" s="4"/>
      <c r="B6594" s="4"/>
      <c r="C6594" s="4"/>
    </row>
    <row r="6595">
      <c r="A6595" s="4"/>
      <c r="B6595" s="4"/>
      <c r="C6595" s="4"/>
    </row>
    <row r="6596">
      <c r="A6596" s="4"/>
      <c r="B6596" s="4"/>
      <c r="C6596" s="4"/>
    </row>
    <row r="6597">
      <c r="A6597" s="4"/>
      <c r="B6597" s="4"/>
      <c r="C6597" s="4"/>
    </row>
    <row r="6598">
      <c r="A6598" s="4"/>
      <c r="B6598" s="4"/>
      <c r="C6598" s="4"/>
    </row>
    <row r="6599">
      <c r="A6599" s="4"/>
      <c r="B6599" s="4"/>
      <c r="C6599" s="4"/>
    </row>
    <row r="6600">
      <c r="A6600" s="4"/>
      <c r="B6600" s="4"/>
      <c r="C6600" s="4"/>
    </row>
    <row r="6601">
      <c r="A6601" s="4"/>
      <c r="B6601" s="4"/>
      <c r="C6601" s="4"/>
    </row>
    <row r="6602">
      <c r="A6602" s="4"/>
      <c r="B6602" s="4"/>
      <c r="C6602" s="4"/>
    </row>
    <row r="6603">
      <c r="A6603" s="4"/>
      <c r="B6603" s="4"/>
      <c r="C6603" s="4"/>
    </row>
    <row r="6604">
      <c r="A6604" s="4"/>
      <c r="B6604" s="4"/>
      <c r="C6604" s="4"/>
    </row>
    <row r="6605">
      <c r="A6605" s="4"/>
      <c r="B6605" s="4"/>
      <c r="C6605" s="4"/>
    </row>
    <row r="6606">
      <c r="A6606" s="4"/>
      <c r="B6606" s="4"/>
      <c r="C6606" s="4"/>
    </row>
    <row r="6607">
      <c r="A6607" s="4"/>
      <c r="B6607" s="4"/>
      <c r="C6607" s="4"/>
    </row>
    <row r="6608">
      <c r="A6608" s="4"/>
      <c r="B6608" s="4"/>
      <c r="C6608" s="4"/>
    </row>
    <row r="6609">
      <c r="A6609" s="4"/>
      <c r="B6609" s="4"/>
      <c r="C6609" s="4"/>
    </row>
    <row r="6610">
      <c r="A6610" s="4"/>
      <c r="B6610" s="4"/>
      <c r="C6610" s="4"/>
    </row>
    <row r="6611">
      <c r="A6611" s="4"/>
      <c r="B6611" s="4"/>
      <c r="C6611" s="4"/>
    </row>
    <row r="6612">
      <c r="A6612" s="4"/>
      <c r="B6612" s="4"/>
      <c r="C6612" s="4"/>
    </row>
    <row r="6613">
      <c r="A6613" s="4"/>
      <c r="B6613" s="4"/>
      <c r="C6613" s="4"/>
    </row>
    <row r="6614">
      <c r="A6614" s="4"/>
      <c r="B6614" s="4"/>
      <c r="C6614" s="4"/>
    </row>
    <row r="6615">
      <c r="A6615" s="4"/>
      <c r="B6615" s="4"/>
      <c r="C6615" s="4"/>
    </row>
    <row r="6616">
      <c r="A6616" s="4"/>
      <c r="B6616" s="4"/>
      <c r="C6616" s="4"/>
    </row>
    <row r="6617">
      <c r="A6617" s="4"/>
      <c r="B6617" s="4"/>
      <c r="C6617" s="4"/>
    </row>
    <row r="6618">
      <c r="A6618" s="4"/>
      <c r="B6618" s="4"/>
      <c r="C6618" s="4"/>
    </row>
    <row r="6619">
      <c r="A6619" s="4"/>
      <c r="B6619" s="4"/>
      <c r="C6619" s="4"/>
    </row>
    <row r="6620">
      <c r="A6620" s="4"/>
      <c r="B6620" s="4"/>
      <c r="C6620" s="4"/>
    </row>
    <row r="6621">
      <c r="A6621" s="4"/>
      <c r="B6621" s="4"/>
      <c r="C6621" s="4"/>
    </row>
    <row r="6622">
      <c r="A6622" s="4"/>
      <c r="B6622" s="4"/>
      <c r="C6622" s="4"/>
    </row>
    <row r="6623">
      <c r="A6623" s="4"/>
      <c r="B6623" s="4"/>
      <c r="C6623" s="4"/>
    </row>
    <row r="6624">
      <c r="A6624" s="4"/>
      <c r="B6624" s="4"/>
      <c r="C6624" s="4"/>
    </row>
    <row r="6625">
      <c r="A6625" s="4"/>
      <c r="B6625" s="4"/>
      <c r="C6625" s="4"/>
    </row>
    <row r="6626">
      <c r="A6626" s="4"/>
      <c r="B6626" s="4"/>
      <c r="C6626" s="4"/>
    </row>
    <row r="6627">
      <c r="A6627" s="4"/>
      <c r="B6627" s="4"/>
      <c r="C6627" s="4"/>
    </row>
    <row r="6628">
      <c r="A6628" s="4"/>
      <c r="B6628" s="4"/>
      <c r="C6628" s="4"/>
    </row>
    <row r="6629">
      <c r="A6629" s="4"/>
      <c r="B6629" s="4"/>
      <c r="C6629" s="4"/>
    </row>
    <row r="6630">
      <c r="A6630" s="4"/>
      <c r="B6630" s="4"/>
      <c r="C6630" s="4"/>
    </row>
    <row r="6631">
      <c r="A6631" s="4"/>
      <c r="B6631" s="4"/>
      <c r="C6631" s="4"/>
    </row>
    <row r="6632">
      <c r="A6632" s="4"/>
      <c r="B6632" s="4"/>
      <c r="C6632" s="4"/>
    </row>
    <row r="6633">
      <c r="A6633" s="4"/>
      <c r="B6633" s="4"/>
      <c r="C6633" s="4"/>
    </row>
    <row r="6634">
      <c r="A6634" s="4"/>
      <c r="B6634" s="4"/>
      <c r="C6634" s="4"/>
    </row>
    <row r="6635">
      <c r="A6635" s="4"/>
      <c r="B6635" s="4"/>
      <c r="C6635" s="4"/>
    </row>
    <row r="6636">
      <c r="A6636" s="4"/>
      <c r="B6636" s="4"/>
      <c r="C6636" s="4"/>
    </row>
    <row r="6637">
      <c r="A6637" s="4"/>
      <c r="B6637" s="4"/>
      <c r="C6637" s="4"/>
    </row>
    <row r="6638">
      <c r="A6638" s="4"/>
      <c r="B6638" s="4"/>
      <c r="C6638" s="4"/>
    </row>
    <row r="6639">
      <c r="A6639" s="4"/>
      <c r="B6639" s="4"/>
      <c r="C6639" s="4"/>
    </row>
    <row r="6640">
      <c r="A6640" s="4"/>
      <c r="B6640" s="4"/>
      <c r="C6640" s="4"/>
    </row>
    <row r="6641">
      <c r="A6641" s="4"/>
      <c r="B6641" s="4"/>
      <c r="C6641" s="4"/>
    </row>
    <row r="6642">
      <c r="A6642" s="4"/>
      <c r="B6642" s="4"/>
      <c r="C6642" s="4"/>
    </row>
    <row r="6643">
      <c r="A6643" s="4"/>
      <c r="B6643" s="4"/>
      <c r="C6643" s="4"/>
    </row>
    <row r="6644">
      <c r="A6644" s="4"/>
      <c r="B6644" s="4"/>
      <c r="C6644" s="4"/>
    </row>
    <row r="6645">
      <c r="A6645" s="4"/>
      <c r="B6645" s="4"/>
      <c r="C6645" s="4"/>
    </row>
    <row r="6646">
      <c r="A6646" s="4"/>
      <c r="B6646" s="4"/>
      <c r="C6646" s="4"/>
    </row>
    <row r="6647">
      <c r="A6647" s="4"/>
      <c r="B6647" s="4"/>
      <c r="C6647" s="4"/>
    </row>
    <row r="6648">
      <c r="A6648" s="4"/>
      <c r="B6648" s="4"/>
      <c r="C6648" s="4"/>
    </row>
    <row r="6649">
      <c r="A6649" s="4"/>
      <c r="B6649" s="4"/>
      <c r="C6649" s="4"/>
    </row>
    <row r="6650">
      <c r="A6650" s="4"/>
      <c r="B6650" s="4"/>
      <c r="C6650" s="4"/>
    </row>
    <row r="6651">
      <c r="A6651" s="4"/>
      <c r="B6651" s="4"/>
      <c r="C6651" s="4"/>
    </row>
    <row r="6652">
      <c r="A6652" s="4"/>
      <c r="B6652" s="4"/>
      <c r="C6652" s="4"/>
    </row>
    <row r="6653">
      <c r="A6653" s="4"/>
      <c r="B6653" s="4"/>
      <c r="C6653" s="4"/>
    </row>
    <row r="6654">
      <c r="A6654" s="4"/>
      <c r="B6654" s="4"/>
      <c r="C6654" s="4"/>
    </row>
    <row r="6655">
      <c r="A6655" s="4"/>
      <c r="B6655" s="4"/>
      <c r="C6655" s="4"/>
    </row>
    <row r="6656">
      <c r="A6656" s="4"/>
      <c r="B6656" s="4"/>
      <c r="C6656" s="4"/>
    </row>
    <row r="6657">
      <c r="A6657" s="4"/>
      <c r="B6657" s="4"/>
      <c r="C6657" s="4"/>
    </row>
    <row r="6658">
      <c r="A6658" s="4"/>
      <c r="B6658" s="4"/>
      <c r="C6658" s="4"/>
    </row>
    <row r="6659">
      <c r="A6659" s="4"/>
      <c r="B6659" s="4"/>
      <c r="C6659" s="4"/>
    </row>
    <row r="6660">
      <c r="A6660" s="4"/>
      <c r="B6660" s="4"/>
      <c r="C6660" s="4"/>
    </row>
    <row r="6661">
      <c r="A6661" s="4"/>
      <c r="B6661" s="4"/>
      <c r="C6661" s="4"/>
    </row>
    <row r="6662">
      <c r="A6662" s="4"/>
      <c r="B6662" s="4"/>
      <c r="C6662" s="4"/>
    </row>
    <row r="6663">
      <c r="A6663" s="4"/>
      <c r="B6663" s="4"/>
      <c r="C6663" s="4"/>
    </row>
    <row r="6664">
      <c r="A6664" s="4"/>
      <c r="B6664" s="4"/>
      <c r="C6664" s="4"/>
    </row>
    <row r="6665">
      <c r="A6665" s="4"/>
      <c r="B6665" s="4"/>
      <c r="C6665" s="4"/>
    </row>
    <row r="6666">
      <c r="A6666" s="4"/>
      <c r="B6666" s="4"/>
      <c r="C6666" s="4"/>
    </row>
    <row r="6667">
      <c r="A6667" s="4"/>
      <c r="B6667" s="4"/>
      <c r="C6667" s="4"/>
    </row>
    <row r="6668">
      <c r="A6668" s="4"/>
      <c r="B6668" s="4"/>
      <c r="C6668" s="4"/>
    </row>
    <row r="6669">
      <c r="A6669" s="4"/>
      <c r="B6669" s="4"/>
      <c r="C6669" s="4"/>
    </row>
    <row r="6670">
      <c r="A6670" s="4"/>
      <c r="B6670" s="4"/>
      <c r="C6670" s="4"/>
    </row>
    <row r="6671">
      <c r="A6671" s="4"/>
      <c r="B6671" s="4"/>
      <c r="C6671" s="4"/>
    </row>
    <row r="6672">
      <c r="A6672" s="4"/>
      <c r="B6672" s="4"/>
      <c r="C6672" s="4"/>
    </row>
    <row r="6673">
      <c r="A6673" s="4"/>
      <c r="B6673" s="4"/>
      <c r="C6673" s="4"/>
    </row>
    <row r="6674">
      <c r="A6674" s="4"/>
      <c r="B6674" s="4"/>
      <c r="C6674" s="4"/>
    </row>
    <row r="6675">
      <c r="A6675" s="4"/>
      <c r="B6675" s="4"/>
      <c r="C6675" s="4"/>
    </row>
    <row r="6676">
      <c r="A6676" s="4"/>
      <c r="B6676" s="4"/>
      <c r="C6676" s="4"/>
    </row>
    <row r="6677">
      <c r="A6677" s="4"/>
      <c r="B6677" s="4"/>
      <c r="C6677" s="4"/>
    </row>
    <row r="6678">
      <c r="A6678" s="4"/>
      <c r="B6678" s="4"/>
      <c r="C6678" s="4"/>
    </row>
    <row r="6679">
      <c r="A6679" s="4"/>
      <c r="B6679" s="4"/>
      <c r="C6679" s="4"/>
    </row>
    <row r="6680">
      <c r="A6680" s="4"/>
      <c r="B6680" s="4"/>
      <c r="C6680" s="4"/>
    </row>
    <row r="6681">
      <c r="A6681" s="4"/>
      <c r="B6681" s="4"/>
      <c r="C6681" s="4"/>
    </row>
    <row r="6682">
      <c r="A6682" s="4"/>
      <c r="B6682" s="4"/>
      <c r="C6682" s="4"/>
    </row>
    <row r="6683">
      <c r="A6683" s="4"/>
      <c r="B6683" s="4"/>
      <c r="C6683" s="4"/>
    </row>
    <row r="6684">
      <c r="A6684" s="4"/>
      <c r="B6684" s="4"/>
      <c r="C6684" s="4"/>
    </row>
    <row r="6685">
      <c r="A6685" s="4"/>
      <c r="B6685" s="4"/>
      <c r="C6685" s="4"/>
    </row>
    <row r="6686">
      <c r="A6686" s="4"/>
      <c r="B6686" s="4"/>
      <c r="C6686" s="4"/>
    </row>
    <row r="6687">
      <c r="A6687" s="4"/>
      <c r="B6687" s="4"/>
      <c r="C6687" s="4"/>
    </row>
    <row r="6688">
      <c r="A6688" s="4"/>
      <c r="B6688" s="4"/>
      <c r="C6688" s="4"/>
    </row>
    <row r="6689">
      <c r="A6689" s="4"/>
      <c r="B6689" s="4"/>
      <c r="C6689" s="4"/>
    </row>
    <row r="6690">
      <c r="A6690" s="4"/>
      <c r="B6690" s="4"/>
      <c r="C6690" s="4"/>
    </row>
    <row r="6691">
      <c r="A6691" s="4"/>
      <c r="B6691" s="4"/>
      <c r="C6691" s="4"/>
    </row>
    <row r="6692">
      <c r="A6692" s="4"/>
      <c r="B6692" s="4"/>
      <c r="C6692" s="4"/>
    </row>
    <row r="6693">
      <c r="A6693" s="4"/>
      <c r="B6693" s="4"/>
      <c r="C6693" s="4"/>
    </row>
    <row r="6694">
      <c r="A6694" s="4"/>
      <c r="B6694" s="4"/>
      <c r="C6694" s="4"/>
    </row>
    <row r="6695">
      <c r="A6695" s="4"/>
      <c r="B6695" s="4"/>
      <c r="C6695" s="4"/>
    </row>
    <row r="6696">
      <c r="A6696" s="4"/>
      <c r="B6696" s="4"/>
      <c r="C6696" s="4"/>
    </row>
    <row r="6697">
      <c r="A6697" s="4"/>
      <c r="B6697" s="4"/>
      <c r="C6697" s="4"/>
    </row>
    <row r="6698">
      <c r="A6698" s="4"/>
      <c r="B6698" s="4"/>
      <c r="C6698" s="4"/>
    </row>
    <row r="6699">
      <c r="A6699" s="4"/>
      <c r="B6699" s="4"/>
      <c r="C6699" s="4"/>
    </row>
    <row r="6700">
      <c r="A6700" s="4"/>
      <c r="B6700" s="4"/>
      <c r="C6700" s="4"/>
    </row>
    <row r="6701">
      <c r="A6701" s="4"/>
      <c r="B6701" s="4"/>
      <c r="C6701" s="4"/>
    </row>
    <row r="6702">
      <c r="A6702" s="4"/>
      <c r="B6702" s="4"/>
      <c r="C6702" s="4"/>
    </row>
    <row r="6703">
      <c r="A6703" s="4"/>
      <c r="B6703" s="4"/>
      <c r="C6703" s="4"/>
    </row>
    <row r="6704">
      <c r="A6704" s="4"/>
      <c r="B6704" s="4"/>
      <c r="C6704" s="4"/>
    </row>
    <row r="6705">
      <c r="A6705" s="4"/>
      <c r="B6705" s="4"/>
      <c r="C6705" s="4"/>
    </row>
    <row r="6706">
      <c r="A6706" s="4"/>
      <c r="B6706" s="4"/>
      <c r="C6706" s="4"/>
    </row>
    <row r="6707">
      <c r="A6707" s="4"/>
      <c r="B6707" s="4"/>
      <c r="C6707" s="4"/>
    </row>
    <row r="6708">
      <c r="A6708" s="4"/>
      <c r="B6708" s="4"/>
      <c r="C6708" s="4"/>
    </row>
    <row r="6709">
      <c r="A6709" s="4"/>
      <c r="B6709" s="4"/>
      <c r="C6709" s="4"/>
    </row>
    <row r="6710">
      <c r="A6710" s="4"/>
      <c r="B6710" s="4"/>
      <c r="C6710" s="4"/>
    </row>
    <row r="6711">
      <c r="A6711" s="4"/>
      <c r="B6711" s="4"/>
      <c r="C6711" s="4"/>
    </row>
    <row r="6712">
      <c r="A6712" s="4"/>
      <c r="B6712" s="4"/>
      <c r="C6712" s="4"/>
    </row>
    <row r="6713">
      <c r="A6713" s="4"/>
      <c r="B6713" s="4"/>
      <c r="C6713" s="4"/>
    </row>
    <row r="6714">
      <c r="A6714" s="4"/>
      <c r="B6714" s="4"/>
      <c r="C6714" s="4"/>
    </row>
    <row r="6715">
      <c r="A6715" s="4"/>
      <c r="B6715" s="4"/>
      <c r="C6715" s="4"/>
    </row>
    <row r="6716">
      <c r="A6716" s="4"/>
      <c r="B6716" s="4"/>
      <c r="C6716" s="4"/>
    </row>
    <row r="6717">
      <c r="A6717" s="4"/>
      <c r="B6717" s="4"/>
      <c r="C6717" s="4"/>
    </row>
    <row r="6718">
      <c r="A6718" s="4"/>
      <c r="B6718" s="4"/>
      <c r="C6718" s="4"/>
    </row>
    <row r="6719">
      <c r="A6719" s="4"/>
      <c r="B6719" s="4"/>
      <c r="C6719" s="4"/>
    </row>
    <row r="6720">
      <c r="A6720" s="4"/>
      <c r="B6720" s="4"/>
      <c r="C6720" s="4"/>
    </row>
    <row r="6721">
      <c r="A6721" s="4"/>
      <c r="B6721" s="4"/>
      <c r="C6721" s="4"/>
    </row>
    <row r="6722">
      <c r="A6722" s="4"/>
      <c r="B6722" s="4"/>
      <c r="C6722" s="4"/>
    </row>
    <row r="6723">
      <c r="A6723" s="4"/>
      <c r="B6723" s="4"/>
      <c r="C6723" s="4"/>
    </row>
    <row r="6724">
      <c r="A6724" s="4"/>
      <c r="B6724" s="4"/>
      <c r="C6724" s="4"/>
    </row>
    <row r="6725">
      <c r="A6725" s="4"/>
      <c r="B6725" s="4"/>
      <c r="C6725" s="4"/>
    </row>
    <row r="6726">
      <c r="A6726" s="4"/>
      <c r="B6726" s="4"/>
      <c r="C6726" s="4"/>
    </row>
    <row r="6727">
      <c r="A6727" s="4"/>
      <c r="B6727" s="4"/>
      <c r="C6727" s="4"/>
    </row>
    <row r="6728">
      <c r="A6728" s="4"/>
      <c r="B6728" s="4"/>
      <c r="C6728" s="4"/>
    </row>
    <row r="6729">
      <c r="A6729" s="4"/>
      <c r="B6729" s="4"/>
      <c r="C6729" s="4"/>
    </row>
    <row r="6730">
      <c r="A6730" s="4"/>
      <c r="B6730" s="4"/>
      <c r="C6730" s="4"/>
    </row>
    <row r="6731">
      <c r="A6731" s="4"/>
      <c r="B6731" s="4"/>
      <c r="C6731" s="4"/>
    </row>
    <row r="6732">
      <c r="A6732" s="4"/>
      <c r="B6732" s="4"/>
      <c r="C6732" s="4"/>
    </row>
    <row r="6733">
      <c r="A6733" s="4"/>
      <c r="B6733" s="4"/>
      <c r="C6733" s="4"/>
    </row>
    <row r="6734">
      <c r="A6734" s="4"/>
      <c r="B6734" s="4"/>
      <c r="C6734" s="4"/>
    </row>
    <row r="6735">
      <c r="A6735" s="4"/>
      <c r="B6735" s="4"/>
      <c r="C6735" s="4"/>
    </row>
    <row r="6736">
      <c r="A6736" s="4"/>
      <c r="B6736" s="4"/>
      <c r="C6736" s="4"/>
    </row>
    <row r="6737">
      <c r="A6737" s="4"/>
      <c r="B6737" s="4"/>
      <c r="C6737" s="4"/>
    </row>
    <row r="6738">
      <c r="A6738" s="4"/>
      <c r="B6738" s="4"/>
      <c r="C6738" s="4"/>
    </row>
    <row r="6739">
      <c r="A6739" s="4"/>
      <c r="B6739" s="4"/>
      <c r="C6739" s="4"/>
    </row>
    <row r="6740">
      <c r="A6740" s="4"/>
      <c r="B6740" s="4"/>
      <c r="C6740" s="4"/>
    </row>
    <row r="6741">
      <c r="A6741" s="4"/>
      <c r="B6741" s="4"/>
      <c r="C6741" s="4"/>
    </row>
    <row r="6742">
      <c r="A6742" s="4"/>
      <c r="B6742" s="4"/>
      <c r="C6742" s="4"/>
    </row>
    <row r="6743">
      <c r="A6743" s="4"/>
      <c r="B6743" s="4"/>
      <c r="C6743" s="4"/>
    </row>
    <row r="6744">
      <c r="A6744" s="4"/>
      <c r="B6744" s="4"/>
      <c r="C6744" s="4"/>
    </row>
    <row r="6745">
      <c r="A6745" s="4"/>
      <c r="B6745" s="4"/>
      <c r="C6745" s="4"/>
    </row>
    <row r="6746">
      <c r="A6746" s="4"/>
      <c r="B6746" s="4"/>
      <c r="C6746" s="4"/>
    </row>
    <row r="6747">
      <c r="A6747" s="4"/>
      <c r="B6747" s="4"/>
      <c r="C6747" s="4"/>
    </row>
    <row r="6748">
      <c r="A6748" s="4"/>
      <c r="B6748" s="4"/>
      <c r="C6748" s="4"/>
    </row>
    <row r="6749">
      <c r="A6749" s="4"/>
      <c r="B6749" s="4"/>
      <c r="C6749" s="4"/>
    </row>
    <row r="6750">
      <c r="A6750" s="4"/>
      <c r="B6750" s="4"/>
      <c r="C6750" s="4"/>
    </row>
    <row r="6751">
      <c r="A6751" s="4"/>
      <c r="B6751" s="4"/>
      <c r="C6751" s="4"/>
    </row>
    <row r="6752">
      <c r="A6752" s="4"/>
      <c r="B6752" s="4"/>
      <c r="C6752" s="4"/>
    </row>
    <row r="6753">
      <c r="A6753" s="4"/>
      <c r="B6753" s="4"/>
      <c r="C6753" s="4"/>
    </row>
    <row r="6754">
      <c r="A6754" s="4"/>
      <c r="B6754" s="4"/>
      <c r="C6754" s="4"/>
    </row>
    <row r="6755">
      <c r="A6755" s="4"/>
      <c r="B6755" s="4"/>
      <c r="C6755" s="4"/>
    </row>
    <row r="6756">
      <c r="A6756" s="4"/>
      <c r="B6756" s="4"/>
      <c r="C6756" s="4"/>
    </row>
    <row r="6757">
      <c r="A6757" s="4"/>
      <c r="B6757" s="4"/>
      <c r="C6757" s="4"/>
    </row>
    <row r="6758">
      <c r="A6758" s="4"/>
      <c r="B6758" s="4"/>
      <c r="C6758" s="4"/>
    </row>
    <row r="6759">
      <c r="A6759" s="4"/>
      <c r="B6759" s="4"/>
      <c r="C6759" s="4"/>
    </row>
    <row r="6760">
      <c r="A6760" s="4"/>
      <c r="B6760" s="4"/>
      <c r="C6760" s="4"/>
    </row>
    <row r="6761">
      <c r="A6761" s="4"/>
      <c r="B6761" s="4"/>
      <c r="C6761" s="4"/>
    </row>
    <row r="6762">
      <c r="A6762" s="4"/>
      <c r="B6762" s="4"/>
      <c r="C6762" s="4"/>
    </row>
    <row r="6763">
      <c r="A6763" s="4"/>
      <c r="B6763" s="4"/>
      <c r="C6763" s="4"/>
    </row>
    <row r="6764">
      <c r="A6764" s="4"/>
      <c r="B6764" s="4"/>
      <c r="C6764" s="4"/>
    </row>
    <row r="6765">
      <c r="A6765" s="4"/>
      <c r="B6765" s="4"/>
      <c r="C6765" s="4"/>
    </row>
    <row r="6766">
      <c r="A6766" s="4"/>
      <c r="B6766" s="4"/>
      <c r="C6766" s="4"/>
    </row>
    <row r="6767">
      <c r="A6767" s="4"/>
      <c r="B6767" s="4"/>
      <c r="C6767" s="4"/>
    </row>
    <row r="6768">
      <c r="A6768" s="4"/>
      <c r="B6768" s="4"/>
      <c r="C6768" s="4"/>
    </row>
    <row r="6769">
      <c r="A6769" s="4"/>
      <c r="B6769" s="4"/>
      <c r="C6769" s="4"/>
    </row>
    <row r="6770">
      <c r="A6770" s="4"/>
      <c r="B6770" s="4"/>
      <c r="C6770" s="4"/>
    </row>
    <row r="6771">
      <c r="A6771" s="4"/>
      <c r="B6771" s="4"/>
      <c r="C6771" s="4"/>
    </row>
    <row r="6772">
      <c r="A6772" s="4"/>
      <c r="B6772" s="4"/>
      <c r="C6772" s="4"/>
    </row>
    <row r="6773">
      <c r="A6773" s="4"/>
      <c r="B6773" s="4"/>
      <c r="C6773" s="4"/>
    </row>
    <row r="6774">
      <c r="A6774" s="4"/>
      <c r="B6774" s="4"/>
      <c r="C6774" s="4"/>
    </row>
    <row r="6775">
      <c r="A6775" s="4"/>
      <c r="B6775" s="4"/>
      <c r="C6775" s="4"/>
    </row>
    <row r="6776">
      <c r="A6776" s="4"/>
      <c r="B6776" s="4"/>
      <c r="C6776" s="4"/>
    </row>
    <row r="6777">
      <c r="A6777" s="4"/>
      <c r="B6777" s="4"/>
      <c r="C6777" s="4"/>
    </row>
    <row r="6778">
      <c r="A6778" s="4"/>
      <c r="B6778" s="4"/>
      <c r="C6778" s="4"/>
    </row>
    <row r="6779">
      <c r="A6779" s="4"/>
      <c r="B6779" s="4"/>
      <c r="C6779" s="4"/>
    </row>
    <row r="6780">
      <c r="A6780" s="4"/>
      <c r="B6780" s="4"/>
      <c r="C6780" s="4"/>
    </row>
    <row r="6781">
      <c r="A6781" s="4"/>
      <c r="B6781" s="4"/>
      <c r="C6781" s="4"/>
    </row>
    <row r="6782">
      <c r="A6782" s="4"/>
      <c r="B6782" s="4"/>
      <c r="C6782" s="4"/>
    </row>
    <row r="6783">
      <c r="A6783" s="4"/>
      <c r="B6783" s="4"/>
      <c r="C6783" s="4"/>
    </row>
    <row r="6784">
      <c r="A6784" s="4"/>
      <c r="B6784" s="4"/>
      <c r="C6784" s="4"/>
    </row>
    <row r="6785">
      <c r="A6785" s="4"/>
      <c r="B6785" s="4"/>
      <c r="C6785" s="4"/>
    </row>
    <row r="6786">
      <c r="A6786" s="4"/>
      <c r="B6786" s="4"/>
      <c r="C6786" s="4"/>
    </row>
    <row r="6787">
      <c r="A6787" s="4"/>
      <c r="B6787" s="4"/>
      <c r="C6787" s="4"/>
    </row>
    <row r="6788">
      <c r="A6788" s="4"/>
      <c r="B6788" s="4"/>
      <c r="C6788" s="4"/>
    </row>
    <row r="6789">
      <c r="A6789" s="4"/>
      <c r="B6789" s="4"/>
      <c r="C6789" s="4"/>
    </row>
    <row r="6790">
      <c r="A6790" s="4"/>
      <c r="B6790" s="4"/>
      <c r="C6790" s="4"/>
    </row>
    <row r="6791">
      <c r="A6791" s="4"/>
      <c r="B6791" s="4"/>
      <c r="C6791" s="4"/>
    </row>
    <row r="6792">
      <c r="A6792" s="4"/>
      <c r="B6792" s="4"/>
      <c r="C6792" s="4"/>
    </row>
    <row r="6793">
      <c r="A6793" s="4"/>
      <c r="B6793" s="4"/>
      <c r="C6793" s="4"/>
    </row>
    <row r="6794">
      <c r="A6794" s="4"/>
      <c r="B6794" s="4"/>
      <c r="C6794" s="4"/>
    </row>
    <row r="6795">
      <c r="A6795" s="4"/>
      <c r="B6795" s="4"/>
      <c r="C6795" s="4"/>
    </row>
    <row r="6796">
      <c r="A6796" s="4"/>
      <c r="B6796" s="4"/>
      <c r="C6796" s="4"/>
    </row>
    <row r="6797">
      <c r="A6797" s="4"/>
      <c r="B6797" s="4"/>
      <c r="C6797" s="4"/>
    </row>
    <row r="6798">
      <c r="A6798" s="4"/>
      <c r="B6798" s="4"/>
      <c r="C6798" s="4"/>
    </row>
    <row r="6799">
      <c r="A6799" s="4"/>
      <c r="B6799" s="4"/>
      <c r="C6799" s="4"/>
    </row>
    <row r="6800">
      <c r="A6800" s="4"/>
      <c r="B6800" s="4"/>
      <c r="C6800" s="4"/>
    </row>
    <row r="6801">
      <c r="A6801" s="4"/>
      <c r="B6801" s="4"/>
      <c r="C6801" s="4"/>
    </row>
    <row r="6802">
      <c r="A6802" s="4"/>
      <c r="B6802" s="4"/>
      <c r="C6802" s="4"/>
    </row>
    <row r="6803">
      <c r="A6803" s="4"/>
      <c r="B6803" s="4"/>
      <c r="C6803" s="4"/>
    </row>
    <row r="6804">
      <c r="A6804" s="4"/>
      <c r="B6804" s="4"/>
      <c r="C6804" s="4"/>
    </row>
    <row r="6805">
      <c r="A6805" s="4"/>
      <c r="B6805" s="4"/>
      <c r="C6805" s="4"/>
    </row>
    <row r="6806">
      <c r="A6806" s="4"/>
      <c r="B6806" s="4"/>
      <c r="C6806" s="4"/>
    </row>
    <row r="6807">
      <c r="A6807" s="4"/>
      <c r="B6807" s="4"/>
      <c r="C6807" s="4"/>
    </row>
    <row r="6808">
      <c r="A6808" s="4"/>
      <c r="B6808" s="4"/>
      <c r="C6808" s="4"/>
    </row>
    <row r="6809">
      <c r="A6809" s="4"/>
      <c r="B6809" s="4"/>
      <c r="C6809" s="4"/>
    </row>
    <row r="6810">
      <c r="A6810" s="4"/>
      <c r="B6810" s="4"/>
      <c r="C6810" s="4"/>
    </row>
    <row r="6811">
      <c r="A6811" s="4"/>
      <c r="B6811" s="4"/>
      <c r="C6811" s="4"/>
    </row>
    <row r="6812">
      <c r="A6812" s="4"/>
      <c r="B6812" s="4"/>
      <c r="C6812" s="4"/>
    </row>
    <row r="6813">
      <c r="A6813" s="4"/>
      <c r="B6813" s="4"/>
      <c r="C6813" s="4"/>
    </row>
    <row r="6814">
      <c r="A6814" s="4"/>
      <c r="B6814" s="4"/>
      <c r="C6814" s="4"/>
    </row>
    <row r="6815">
      <c r="A6815" s="4"/>
      <c r="B6815" s="4"/>
      <c r="C6815" s="4"/>
    </row>
    <row r="6816">
      <c r="A6816" s="4"/>
      <c r="B6816" s="4"/>
      <c r="C6816" s="4"/>
    </row>
    <row r="6817">
      <c r="A6817" s="4"/>
      <c r="B6817" s="4"/>
      <c r="C6817" s="4"/>
    </row>
    <row r="6818">
      <c r="A6818" s="4"/>
      <c r="B6818" s="4"/>
      <c r="C6818" s="4"/>
    </row>
    <row r="6819">
      <c r="A6819" s="4"/>
      <c r="B6819" s="4"/>
      <c r="C6819" s="4"/>
    </row>
    <row r="6820">
      <c r="A6820" s="4"/>
      <c r="B6820" s="4"/>
      <c r="C6820" s="4"/>
    </row>
    <row r="6821">
      <c r="A6821" s="4"/>
      <c r="B6821" s="4"/>
      <c r="C6821" s="4"/>
    </row>
    <row r="6822">
      <c r="A6822" s="4"/>
      <c r="B6822" s="4"/>
      <c r="C6822" s="4"/>
    </row>
    <row r="6823">
      <c r="A6823" s="4"/>
      <c r="B6823" s="4"/>
      <c r="C6823" s="4"/>
    </row>
    <row r="6824">
      <c r="A6824" s="4"/>
      <c r="B6824" s="4"/>
      <c r="C6824" s="4"/>
    </row>
    <row r="6825">
      <c r="A6825" s="4"/>
      <c r="B6825" s="4"/>
      <c r="C6825" s="4"/>
    </row>
    <row r="6826">
      <c r="A6826" s="4"/>
      <c r="B6826" s="4"/>
      <c r="C6826" s="4"/>
    </row>
    <row r="6827">
      <c r="A6827" s="4"/>
      <c r="B6827" s="4"/>
      <c r="C6827" s="4"/>
    </row>
    <row r="6828">
      <c r="A6828" s="4"/>
      <c r="B6828" s="4"/>
      <c r="C6828" s="4"/>
    </row>
    <row r="6829">
      <c r="A6829" s="4"/>
      <c r="B6829" s="4"/>
      <c r="C6829" s="4"/>
    </row>
    <row r="6830">
      <c r="A6830" s="4"/>
      <c r="B6830" s="4"/>
      <c r="C6830" s="4"/>
    </row>
    <row r="6831">
      <c r="A6831" s="4"/>
      <c r="B6831" s="4"/>
      <c r="C6831" s="4"/>
    </row>
    <row r="6832">
      <c r="A6832" s="4"/>
      <c r="B6832" s="4"/>
      <c r="C6832" s="4"/>
    </row>
    <row r="6833">
      <c r="A6833" s="4"/>
      <c r="B6833" s="4"/>
      <c r="C6833" s="4"/>
    </row>
    <row r="6834">
      <c r="A6834" s="4"/>
      <c r="B6834" s="4"/>
      <c r="C6834" s="4"/>
    </row>
    <row r="6835">
      <c r="A6835" s="4"/>
      <c r="B6835" s="4"/>
      <c r="C6835" s="4"/>
    </row>
    <row r="6836">
      <c r="A6836" s="4"/>
      <c r="B6836" s="4"/>
      <c r="C6836" s="4"/>
    </row>
    <row r="6837">
      <c r="A6837" s="4"/>
      <c r="B6837" s="4"/>
      <c r="C6837" s="4"/>
    </row>
    <row r="6838">
      <c r="A6838" s="4"/>
      <c r="B6838" s="4"/>
      <c r="C6838" s="4"/>
    </row>
    <row r="6839">
      <c r="A6839" s="4"/>
      <c r="B6839" s="4"/>
      <c r="C6839" s="4"/>
    </row>
    <row r="6840">
      <c r="A6840" s="4"/>
      <c r="B6840" s="4"/>
      <c r="C6840" s="4"/>
    </row>
    <row r="6841">
      <c r="A6841" s="4"/>
      <c r="B6841" s="4"/>
      <c r="C6841" s="4"/>
    </row>
    <row r="6842">
      <c r="A6842" s="4"/>
      <c r="B6842" s="4"/>
      <c r="C6842" s="4"/>
    </row>
    <row r="6843">
      <c r="A6843" s="4"/>
      <c r="B6843" s="4"/>
      <c r="C6843" s="4"/>
    </row>
    <row r="6844">
      <c r="A6844" s="4"/>
      <c r="B6844" s="4"/>
      <c r="C6844" s="4"/>
    </row>
    <row r="6845">
      <c r="A6845" s="4"/>
      <c r="B6845" s="4"/>
      <c r="C6845" s="4"/>
    </row>
    <row r="6846">
      <c r="A6846" s="4"/>
      <c r="B6846" s="4"/>
      <c r="C6846" s="4"/>
    </row>
    <row r="6847">
      <c r="A6847" s="4"/>
      <c r="B6847" s="4"/>
      <c r="C6847" s="4"/>
    </row>
    <row r="6848">
      <c r="A6848" s="4"/>
      <c r="B6848" s="4"/>
      <c r="C6848" s="4"/>
    </row>
    <row r="6849">
      <c r="A6849" s="4"/>
      <c r="B6849" s="4"/>
      <c r="C6849" s="4"/>
    </row>
    <row r="6850">
      <c r="A6850" s="4"/>
      <c r="B6850" s="4"/>
      <c r="C6850" s="4"/>
    </row>
    <row r="6851">
      <c r="A6851" s="4"/>
      <c r="B6851" s="4"/>
      <c r="C6851" s="4"/>
    </row>
    <row r="6852">
      <c r="A6852" s="4"/>
      <c r="B6852" s="4"/>
      <c r="C6852" s="4"/>
    </row>
    <row r="6853">
      <c r="A6853" s="4"/>
      <c r="B6853" s="4"/>
      <c r="C6853" s="4"/>
    </row>
    <row r="6854">
      <c r="A6854" s="4"/>
      <c r="B6854" s="4"/>
      <c r="C6854" s="4"/>
    </row>
    <row r="6855">
      <c r="A6855" s="4"/>
      <c r="B6855" s="4"/>
      <c r="C6855" s="4"/>
    </row>
    <row r="6856">
      <c r="A6856" s="4"/>
      <c r="B6856" s="4"/>
      <c r="C6856" s="4"/>
    </row>
    <row r="6857">
      <c r="A6857" s="4"/>
      <c r="B6857" s="4"/>
      <c r="C6857" s="4"/>
    </row>
    <row r="6858">
      <c r="A6858" s="4"/>
      <c r="B6858" s="4"/>
      <c r="C6858" s="4"/>
    </row>
    <row r="6859">
      <c r="A6859" s="4"/>
      <c r="B6859" s="4"/>
      <c r="C6859" s="4"/>
    </row>
    <row r="6860">
      <c r="A6860" s="4"/>
      <c r="B6860" s="4"/>
      <c r="C6860" s="4"/>
    </row>
    <row r="6861">
      <c r="A6861" s="4"/>
      <c r="B6861" s="4"/>
      <c r="C6861" s="4"/>
    </row>
    <row r="6862">
      <c r="A6862" s="4"/>
      <c r="B6862" s="4"/>
      <c r="C6862" s="4"/>
    </row>
    <row r="6863">
      <c r="A6863" s="4"/>
      <c r="B6863" s="4"/>
      <c r="C6863" s="4"/>
    </row>
    <row r="6864">
      <c r="A6864" s="4"/>
      <c r="B6864" s="4"/>
      <c r="C6864" s="4"/>
    </row>
    <row r="6865">
      <c r="A6865" s="4"/>
      <c r="B6865" s="4"/>
      <c r="C6865" s="4"/>
    </row>
    <row r="6866">
      <c r="A6866" s="4"/>
      <c r="B6866" s="4"/>
      <c r="C6866" s="4"/>
    </row>
    <row r="6867">
      <c r="A6867" s="4"/>
      <c r="B6867" s="4"/>
      <c r="C6867" s="4"/>
    </row>
    <row r="6868">
      <c r="A6868" s="4"/>
      <c r="B6868" s="4"/>
      <c r="C6868" s="4"/>
    </row>
    <row r="6869">
      <c r="A6869" s="4"/>
      <c r="B6869" s="4"/>
      <c r="C6869" s="4"/>
    </row>
    <row r="6870">
      <c r="A6870" s="4"/>
      <c r="B6870" s="4"/>
      <c r="C6870" s="4"/>
    </row>
    <row r="6871">
      <c r="A6871" s="4"/>
      <c r="B6871" s="4"/>
      <c r="C6871" s="4"/>
    </row>
    <row r="6872">
      <c r="A6872" s="4"/>
      <c r="B6872" s="4"/>
      <c r="C6872" s="4"/>
    </row>
    <row r="6873">
      <c r="A6873" s="4"/>
      <c r="B6873" s="4"/>
      <c r="C6873" s="4"/>
    </row>
    <row r="6874">
      <c r="A6874" s="4"/>
      <c r="B6874" s="4"/>
      <c r="C6874" s="4"/>
    </row>
    <row r="6875">
      <c r="A6875" s="4"/>
      <c r="B6875" s="4"/>
      <c r="C6875" s="4"/>
    </row>
    <row r="6876">
      <c r="A6876" s="4"/>
      <c r="B6876" s="4"/>
      <c r="C6876" s="4"/>
    </row>
    <row r="6877">
      <c r="A6877" s="4"/>
      <c r="B6877" s="4"/>
      <c r="C6877" s="4"/>
    </row>
    <row r="6878">
      <c r="A6878" s="4"/>
      <c r="B6878" s="4"/>
      <c r="C6878" s="4"/>
    </row>
    <row r="6879">
      <c r="A6879" s="4"/>
      <c r="B6879" s="4"/>
      <c r="C6879" s="4"/>
    </row>
    <row r="6880">
      <c r="A6880" s="4"/>
      <c r="B6880" s="4"/>
      <c r="C6880" s="4"/>
    </row>
    <row r="6881">
      <c r="A6881" s="4"/>
      <c r="B6881" s="4"/>
      <c r="C6881" s="4"/>
    </row>
    <row r="6882">
      <c r="A6882" s="4"/>
      <c r="B6882" s="4"/>
      <c r="C6882" s="4"/>
    </row>
    <row r="6883">
      <c r="A6883" s="4"/>
      <c r="B6883" s="4"/>
      <c r="C6883" s="4"/>
    </row>
    <row r="6884">
      <c r="A6884" s="4"/>
      <c r="B6884" s="4"/>
      <c r="C6884" s="4"/>
    </row>
    <row r="6885">
      <c r="A6885" s="4"/>
      <c r="B6885" s="4"/>
      <c r="C6885" s="4"/>
    </row>
    <row r="6886">
      <c r="A6886" s="4"/>
      <c r="B6886" s="4"/>
      <c r="C6886" s="4"/>
    </row>
    <row r="6887">
      <c r="A6887" s="4"/>
      <c r="B6887" s="4"/>
      <c r="C6887" s="4"/>
    </row>
    <row r="6888">
      <c r="A6888" s="4"/>
      <c r="B6888" s="4"/>
      <c r="C6888" s="4"/>
    </row>
    <row r="6889">
      <c r="A6889" s="4"/>
      <c r="B6889" s="4"/>
      <c r="C6889" s="4"/>
    </row>
    <row r="6890">
      <c r="A6890" s="4"/>
      <c r="B6890" s="4"/>
      <c r="C6890" s="4"/>
    </row>
    <row r="6891">
      <c r="A6891" s="4"/>
      <c r="B6891" s="4"/>
      <c r="C6891" s="4"/>
    </row>
    <row r="6892">
      <c r="A6892" s="4"/>
      <c r="B6892" s="4"/>
      <c r="C6892" s="4"/>
    </row>
    <row r="6893">
      <c r="A6893" s="4"/>
      <c r="B6893" s="4"/>
      <c r="C6893" s="4"/>
    </row>
    <row r="6894">
      <c r="A6894" s="4"/>
      <c r="B6894" s="4"/>
      <c r="C6894" s="4"/>
    </row>
    <row r="6895">
      <c r="A6895" s="4"/>
      <c r="B6895" s="4"/>
      <c r="C6895" s="4"/>
    </row>
    <row r="6896">
      <c r="A6896" s="4"/>
      <c r="B6896" s="4"/>
      <c r="C6896" s="4"/>
    </row>
    <row r="6897">
      <c r="A6897" s="4"/>
      <c r="B6897" s="4"/>
      <c r="C6897" s="4"/>
    </row>
    <row r="6898">
      <c r="A6898" s="4"/>
      <c r="B6898" s="4"/>
      <c r="C6898" s="4"/>
    </row>
    <row r="6899">
      <c r="A6899" s="4"/>
      <c r="B6899" s="4"/>
      <c r="C6899" s="4"/>
    </row>
    <row r="6900">
      <c r="A6900" s="4"/>
      <c r="B6900" s="4"/>
      <c r="C6900" s="4"/>
    </row>
    <row r="6901">
      <c r="A6901" s="4"/>
      <c r="B6901" s="4"/>
      <c r="C6901" s="4"/>
    </row>
    <row r="6902">
      <c r="A6902" s="4"/>
      <c r="B6902" s="4"/>
      <c r="C6902" s="4"/>
    </row>
    <row r="6903">
      <c r="A6903" s="4"/>
      <c r="B6903" s="4"/>
      <c r="C6903" s="4"/>
    </row>
    <row r="6904">
      <c r="A6904" s="4"/>
      <c r="B6904" s="4"/>
      <c r="C6904" s="4"/>
    </row>
    <row r="6905">
      <c r="A6905" s="4"/>
      <c r="B6905" s="4"/>
      <c r="C6905" s="4"/>
    </row>
    <row r="6906">
      <c r="A6906" s="4"/>
      <c r="B6906" s="4"/>
      <c r="C6906" s="4"/>
    </row>
    <row r="6907">
      <c r="A6907" s="4"/>
      <c r="B6907" s="4"/>
      <c r="C6907" s="4"/>
    </row>
    <row r="6908">
      <c r="A6908" s="4"/>
      <c r="B6908" s="4"/>
      <c r="C6908" s="4"/>
    </row>
    <row r="6909">
      <c r="A6909" s="4"/>
      <c r="B6909" s="4"/>
      <c r="C6909" s="4"/>
    </row>
    <row r="6910">
      <c r="A6910" s="4"/>
      <c r="B6910" s="4"/>
      <c r="C6910" s="4"/>
    </row>
    <row r="6911">
      <c r="A6911" s="4"/>
      <c r="B6911" s="4"/>
      <c r="C6911" s="4"/>
    </row>
    <row r="6912">
      <c r="A6912" s="4"/>
      <c r="B6912" s="4"/>
      <c r="C6912" s="4"/>
    </row>
    <row r="6913">
      <c r="A6913" s="4"/>
      <c r="B6913" s="4"/>
      <c r="C6913" s="4"/>
    </row>
    <row r="6914">
      <c r="A6914" s="4"/>
      <c r="B6914" s="4"/>
      <c r="C6914" s="4"/>
    </row>
    <row r="6915">
      <c r="A6915" s="4"/>
      <c r="B6915" s="4"/>
      <c r="C6915" s="4"/>
    </row>
    <row r="6916">
      <c r="A6916" s="4"/>
      <c r="B6916" s="4"/>
      <c r="C6916" s="4"/>
    </row>
    <row r="6917">
      <c r="A6917" s="4"/>
      <c r="B6917" s="4"/>
      <c r="C6917" s="4"/>
    </row>
    <row r="6918">
      <c r="A6918" s="4"/>
      <c r="B6918" s="4"/>
      <c r="C6918" s="4"/>
    </row>
    <row r="6919">
      <c r="A6919" s="4"/>
      <c r="B6919" s="4"/>
      <c r="C6919" s="4"/>
    </row>
    <row r="6920">
      <c r="A6920" s="4"/>
      <c r="B6920" s="4"/>
      <c r="C6920" s="4"/>
    </row>
    <row r="6921">
      <c r="A6921" s="4"/>
      <c r="B6921" s="4"/>
      <c r="C6921" s="4"/>
    </row>
    <row r="6922">
      <c r="A6922" s="4"/>
      <c r="B6922" s="4"/>
      <c r="C6922" s="4"/>
    </row>
    <row r="6923">
      <c r="A6923" s="4"/>
      <c r="B6923" s="4"/>
      <c r="C6923" s="4"/>
    </row>
    <row r="6924">
      <c r="A6924" s="4"/>
      <c r="B6924" s="4"/>
      <c r="C6924" s="4"/>
    </row>
    <row r="6925">
      <c r="A6925" s="4"/>
      <c r="B6925" s="4"/>
      <c r="C6925" s="4"/>
    </row>
    <row r="6926">
      <c r="A6926" s="4"/>
      <c r="B6926" s="4"/>
      <c r="C6926" s="4"/>
    </row>
    <row r="6927">
      <c r="A6927" s="4"/>
      <c r="B6927" s="4"/>
      <c r="C6927" s="4"/>
    </row>
    <row r="6928">
      <c r="A6928" s="4"/>
      <c r="B6928" s="4"/>
      <c r="C6928" s="4"/>
    </row>
    <row r="6929">
      <c r="A6929" s="4"/>
      <c r="B6929" s="4"/>
      <c r="C6929" s="4"/>
    </row>
    <row r="6930">
      <c r="A6930" s="4"/>
      <c r="B6930" s="4"/>
      <c r="C6930" s="4"/>
    </row>
    <row r="6931">
      <c r="A6931" s="4"/>
      <c r="B6931" s="4"/>
      <c r="C6931" s="4"/>
    </row>
    <row r="6932">
      <c r="A6932" s="4"/>
      <c r="B6932" s="4"/>
      <c r="C6932" s="4"/>
    </row>
    <row r="6933">
      <c r="A6933" s="4"/>
      <c r="B6933" s="4"/>
      <c r="C6933" s="4"/>
    </row>
    <row r="6934">
      <c r="A6934" s="4"/>
      <c r="B6934" s="4"/>
      <c r="C6934" s="4"/>
    </row>
    <row r="6935">
      <c r="A6935" s="4"/>
      <c r="B6935" s="4"/>
      <c r="C6935" s="4"/>
    </row>
    <row r="6936">
      <c r="A6936" s="4"/>
      <c r="B6936" s="4"/>
      <c r="C6936" s="4"/>
    </row>
    <row r="6937">
      <c r="A6937" s="4"/>
      <c r="B6937" s="4"/>
      <c r="C6937" s="4"/>
    </row>
    <row r="6938">
      <c r="A6938" s="4"/>
      <c r="B6938" s="4"/>
      <c r="C6938" s="4"/>
    </row>
    <row r="6939">
      <c r="A6939" s="4"/>
      <c r="B6939" s="4"/>
      <c r="C6939" s="4"/>
    </row>
    <row r="6940">
      <c r="A6940" s="4"/>
      <c r="B6940" s="4"/>
      <c r="C6940" s="4"/>
    </row>
    <row r="6941">
      <c r="A6941" s="4"/>
      <c r="B6941" s="4"/>
      <c r="C6941" s="4"/>
    </row>
    <row r="6942">
      <c r="A6942" s="4"/>
      <c r="B6942" s="4"/>
      <c r="C6942" s="4"/>
    </row>
    <row r="6943">
      <c r="A6943" s="4"/>
      <c r="B6943" s="4"/>
      <c r="C6943" s="4"/>
    </row>
    <row r="6944">
      <c r="A6944" s="4"/>
      <c r="B6944" s="4"/>
      <c r="C6944" s="4"/>
    </row>
    <row r="6945">
      <c r="A6945" s="4"/>
      <c r="B6945" s="4"/>
      <c r="C6945" s="4"/>
    </row>
    <row r="6946">
      <c r="A6946" s="4"/>
      <c r="B6946" s="4"/>
      <c r="C6946" s="4"/>
    </row>
    <row r="6947">
      <c r="A6947" s="4"/>
      <c r="B6947" s="4"/>
      <c r="C6947" s="4"/>
    </row>
    <row r="6948">
      <c r="A6948" s="4"/>
      <c r="B6948" s="4"/>
      <c r="C6948" s="4"/>
    </row>
    <row r="6949">
      <c r="A6949" s="4"/>
      <c r="B6949" s="4"/>
      <c r="C6949" s="4"/>
    </row>
    <row r="6950">
      <c r="A6950" s="4"/>
      <c r="B6950" s="4"/>
      <c r="C6950" s="4"/>
    </row>
    <row r="6951">
      <c r="A6951" s="4"/>
      <c r="B6951" s="4"/>
      <c r="C6951" s="4"/>
    </row>
    <row r="6952">
      <c r="A6952" s="4"/>
      <c r="B6952" s="4"/>
      <c r="C6952" s="4"/>
    </row>
    <row r="6953">
      <c r="A6953" s="4"/>
      <c r="B6953" s="4"/>
      <c r="C6953" s="4"/>
    </row>
    <row r="6954">
      <c r="A6954" s="4"/>
      <c r="B6954" s="4"/>
      <c r="C6954" s="4"/>
    </row>
    <row r="6955">
      <c r="A6955" s="4"/>
      <c r="B6955" s="4"/>
      <c r="C6955" s="4"/>
    </row>
    <row r="6956">
      <c r="A6956" s="4"/>
      <c r="B6956" s="4"/>
      <c r="C6956" s="4"/>
    </row>
    <row r="6957">
      <c r="A6957" s="4"/>
      <c r="B6957" s="4"/>
      <c r="C6957" s="4"/>
    </row>
    <row r="6958">
      <c r="A6958" s="4"/>
      <c r="B6958" s="4"/>
      <c r="C6958" s="4"/>
    </row>
    <row r="6959">
      <c r="A6959" s="4"/>
      <c r="B6959" s="4"/>
      <c r="C6959" s="4"/>
    </row>
    <row r="6960">
      <c r="A6960" s="4"/>
      <c r="B6960" s="4"/>
      <c r="C6960" s="4"/>
    </row>
    <row r="6961">
      <c r="A6961" s="4"/>
      <c r="B6961" s="4"/>
      <c r="C6961" s="4"/>
    </row>
    <row r="6962">
      <c r="A6962" s="4"/>
      <c r="B6962" s="4"/>
      <c r="C6962" s="4"/>
    </row>
    <row r="6963">
      <c r="A6963" s="4"/>
      <c r="B6963" s="4"/>
      <c r="C6963" s="4"/>
    </row>
    <row r="6964">
      <c r="A6964" s="4"/>
      <c r="B6964" s="4"/>
      <c r="C6964" s="4"/>
    </row>
    <row r="6965">
      <c r="A6965" s="4"/>
      <c r="B6965" s="4"/>
      <c r="C6965" s="4"/>
    </row>
    <row r="6966">
      <c r="A6966" s="4"/>
      <c r="B6966" s="4"/>
      <c r="C6966" s="4"/>
    </row>
    <row r="6967">
      <c r="A6967" s="4"/>
      <c r="B6967" s="4"/>
      <c r="C6967" s="4"/>
    </row>
    <row r="6968">
      <c r="A6968" s="4"/>
      <c r="B6968" s="4"/>
      <c r="C6968" s="4"/>
    </row>
    <row r="6969">
      <c r="A6969" s="4"/>
      <c r="B6969" s="4"/>
      <c r="C6969" s="4"/>
    </row>
    <row r="6970">
      <c r="A6970" s="4"/>
      <c r="B6970" s="4"/>
      <c r="C6970" s="4"/>
    </row>
    <row r="6971">
      <c r="A6971" s="4"/>
      <c r="B6971" s="4"/>
      <c r="C6971" s="4"/>
    </row>
    <row r="6972">
      <c r="A6972" s="4"/>
      <c r="B6972" s="4"/>
      <c r="C6972" s="4"/>
    </row>
    <row r="6973">
      <c r="A6973" s="4"/>
      <c r="B6973" s="4"/>
      <c r="C6973" s="4"/>
    </row>
    <row r="6974">
      <c r="A6974" s="4"/>
      <c r="B6974" s="4"/>
      <c r="C6974" s="4"/>
    </row>
    <row r="6975">
      <c r="A6975" s="4"/>
      <c r="B6975" s="4"/>
      <c r="C6975" s="4"/>
    </row>
    <row r="6976">
      <c r="A6976" s="4"/>
      <c r="B6976" s="4"/>
      <c r="C6976" s="4"/>
    </row>
    <row r="6977">
      <c r="A6977" s="4"/>
      <c r="B6977" s="4"/>
      <c r="C6977" s="4"/>
    </row>
    <row r="6978">
      <c r="A6978" s="4"/>
      <c r="B6978" s="4"/>
      <c r="C6978" s="4"/>
    </row>
    <row r="6979">
      <c r="A6979" s="4"/>
      <c r="B6979" s="4"/>
      <c r="C6979" s="4"/>
    </row>
    <row r="6980">
      <c r="A6980" s="4"/>
      <c r="B6980" s="4"/>
      <c r="C6980" s="4"/>
    </row>
    <row r="6981">
      <c r="A6981" s="4"/>
      <c r="B6981" s="4"/>
      <c r="C6981" s="4"/>
    </row>
    <row r="6982">
      <c r="A6982" s="4"/>
      <c r="B6982" s="4"/>
      <c r="C6982" s="4"/>
    </row>
    <row r="6983">
      <c r="A6983" s="4"/>
      <c r="B6983" s="4"/>
      <c r="C6983" s="4"/>
    </row>
    <row r="6984">
      <c r="A6984" s="4"/>
      <c r="B6984" s="4"/>
      <c r="C6984" s="4"/>
    </row>
    <row r="6985">
      <c r="A6985" s="4"/>
      <c r="B6985" s="4"/>
      <c r="C6985" s="4"/>
    </row>
    <row r="6986">
      <c r="A6986" s="4"/>
      <c r="B6986" s="4"/>
      <c r="C6986" s="4"/>
    </row>
    <row r="6987">
      <c r="A6987" s="4"/>
      <c r="B6987" s="4"/>
      <c r="C6987" s="4"/>
    </row>
    <row r="6988">
      <c r="A6988" s="4"/>
      <c r="B6988" s="4"/>
      <c r="C6988" s="4"/>
    </row>
    <row r="6989">
      <c r="A6989" s="4"/>
      <c r="B6989" s="4"/>
      <c r="C6989" s="4"/>
    </row>
    <row r="6990">
      <c r="A6990" s="4"/>
      <c r="B6990" s="4"/>
      <c r="C6990" s="4"/>
    </row>
    <row r="6991">
      <c r="A6991" s="4"/>
      <c r="B6991" s="4"/>
      <c r="C6991" s="4"/>
    </row>
    <row r="6992">
      <c r="A6992" s="4"/>
      <c r="B6992" s="4"/>
      <c r="C6992" s="4"/>
    </row>
    <row r="6993">
      <c r="A6993" s="4"/>
      <c r="B6993" s="4"/>
      <c r="C6993" s="4"/>
    </row>
    <row r="6994">
      <c r="A6994" s="4"/>
      <c r="B6994" s="4"/>
      <c r="C6994" s="4"/>
    </row>
    <row r="6995">
      <c r="A6995" s="4"/>
      <c r="B6995" s="4"/>
      <c r="C6995" s="4"/>
    </row>
    <row r="6996">
      <c r="A6996" s="4"/>
      <c r="B6996" s="4"/>
      <c r="C6996" s="4"/>
    </row>
    <row r="6997">
      <c r="A6997" s="4"/>
      <c r="B6997" s="4"/>
      <c r="C6997" s="4"/>
    </row>
    <row r="6998">
      <c r="A6998" s="4"/>
      <c r="B6998" s="4"/>
      <c r="C6998" s="4"/>
    </row>
    <row r="6999">
      <c r="A6999" s="4"/>
      <c r="B6999" s="4"/>
      <c r="C6999" s="4"/>
    </row>
    <row r="7000">
      <c r="A7000" s="4"/>
      <c r="B7000" s="4"/>
      <c r="C7000" s="4"/>
    </row>
    <row r="7001">
      <c r="A7001" s="4"/>
      <c r="B7001" s="4"/>
      <c r="C7001" s="4"/>
    </row>
    <row r="7002">
      <c r="A7002" s="4"/>
      <c r="B7002" s="4"/>
      <c r="C7002" s="4"/>
    </row>
    <row r="7003">
      <c r="A7003" s="4"/>
      <c r="B7003" s="4"/>
      <c r="C7003" s="4"/>
    </row>
    <row r="7004">
      <c r="A7004" s="4"/>
      <c r="B7004" s="4"/>
      <c r="C7004" s="4"/>
    </row>
    <row r="7005">
      <c r="A7005" s="4"/>
      <c r="B7005" s="4"/>
      <c r="C7005" s="4"/>
    </row>
    <row r="7006">
      <c r="A7006" s="4"/>
      <c r="B7006" s="4"/>
      <c r="C7006" s="4"/>
    </row>
    <row r="7007">
      <c r="A7007" s="4"/>
      <c r="B7007" s="4"/>
      <c r="C7007" s="4"/>
    </row>
    <row r="7008">
      <c r="A7008" s="4"/>
      <c r="B7008" s="4"/>
      <c r="C7008" s="4"/>
    </row>
    <row r="7009">
      <c r="A7009" s="4"/>
      <c r="B7009" s="4"/>
      <c r="C7009" s="4"/>
    </row>
    <row r="7010">
      <c r="A7010" s="4"/>
      <c r="B7010" s="4"/>
      <c r="C7010" s="4"/>
    </row>
    <row r="7011">
      <c r="A7011" s="4"/>
      <c r="B7011" s="4"/>
      <c r="C7011" s="4"/>
    </row>
    <row r="7012">
      <c r="A7012" s="4"/>
      <c r="B7012" s="4"/>
      <c r="C7012" s="4"/>
    </row>
    <row r="7013">
      <c r="A7013" s="4"/>
      <c r="B7013" s="4"/>
      <c r="C7013" s="4"/>
    </row>
    <row r="7014">
      <c r="A7014" s="4"/>
      <c r="B7014" s="4"/>
      <c r="C7014" s="4"/>
    </row>
    <row r="7015">
      <c r="A7015" s="4"/>
      <c r="B7015" s="4"/>
      <c r="C7015" s="4"/>
    </row>
    <row r="7016">
      <c r="A7016" s="4"/>
      <c r="B7016" s="4"/>
      <c r="C7016" s="4"/>
    </row>
    <row r="7017">
      <c r="A7017" s="4"/>
      <c r="B7017" s="4"/>
      <c r="C7017" s="4"/>
    </row>
    <row r="7018">
      <c r="A7018" s="4"/>
      <c r="B7018" s="4"/>
      <c r="C7018" s="4"/>
    </row>
    <row r="7019">
      <c r="A7019" s="4"/>
      <c r="B7019" s="4"/>
      <c r="C7019" s="4"/>
    </row>
    <row r="7020">
      <c r="A7020" s="4"/>
      <c r="B7020" s="4"/>
      <c r="C7020" s="4"/>
    </row>
    <row r="7021">
      <c r="A7021" s="4"/>
      <c r="B7021" s="4"/>
      <c r="C7021" s="4"/>
    </row>
    <row r="7022">
      <c r="A7022" s="4"/>
      <c r="B7022" s="4"/>
      <c r="C7022" s="4"/>
    </row>
    <row r="7023">
      <c r="A7023" s="4"/>
      <c r="B7023" s="4"/>
      <c r="C7023" s="4"/>
    </row>
    <row r="7024">
      <c r="A7024" s="4"/>
      <c r="B7024" s="4"/>
      <c r="C7024" s="4"/>
    </row>
    <row r="7025">
      <c r="A7025" s="4"/>
      <c r="B7025" s="4"/>
      <c r="C7025" s="4"/>
    </row>
    <row r="7026">
      <c r="A7026" s="4"/>
      <c r="B7026" s="4"/>
      <c r="C7026" s="4"/>
    </row>
    <row r="7027">
      <c r="A7027" s="4"/>
      <c r="B7027" s="4"/>
      <c r="C7027" s="4"/>
    </row>
    <row r="7028">
      <c r="A7028" s="4"/>
      <c r="B7028" s="4"/>
      <c r="C7028" s="4"/>
    </row>
    <row r="7029">
      <c r="A7029" s="4"/>
      <c r="B7029" s="4"/>
      <c r="C7029" s="4"/>
    </row>
    <row r="7030">
      <c r="A7030" s="4"/>
      <c r="B7030" s="4"/>
      <c r="C7030" s="4"/>
    </row>
    <row r="7031">
      <c r="A7031" s="4"/>
      <c r="B7031" s="4"/>
      <c r="C7031" s="4"/>
    </row>
    <row r="7032">
      <c r="A7032" s="4"/>
      <c r="B7032" s="4"/>
      <c r="C7032" s="4"/>
    </row>
    <row r="7033">
      <c r="A7033" s="4"/>
      <c r="B7033" s="4"/>
      <c r="C7033" s="4"/>
    </row>
    <row r="7034">
      <c r="A7034" s="4"/>
      <c r="B7034" s="4"/>
      <c r="C7034" s="4"/>
    </row>
    <row r="7035">
      <c r="A7035" s="4"/>
      <c r="B7035" s="4"/>
      <c r="C7035" s="4"/>
    </row>
    <row r="7036">
      <c r="A7036" s="4"/>
      <c r="B7036" s="4"/>
      <c r="C7036" s="4"/>
    </row>
    <row r="7037">
      <c r="A7037" s="4"/>
      <c r="B7037" s="4"/>
      <c r="C7037" s="4"/>
    </row>
    <row r="7038">
      <c r="A7038" s="4"/>
      <c r="B7038" s="4"/>
      <c r="C7038" s="4"/>
    </row>
    <row r="7039">
      <c r="A7039" s="4"/>
      <c r="B7039" s="4"/>
      <c r="C7039" s="4"/>
    </row>
    <row r="7040">
      <c r="A7040" s="4"/>
      <c r="B7040" s="4"/>
      <c r="C7040" s="4"/>
    </row>
    <row r="7041">
      <c r="A7041" s="4"/>
      <c r="B7041" s="4"/>
      <c r="C7041" s="4"/>
    </row>
    <row r="7042">
      <c r="A7042" s="4"/>
      <c r="B7042" s="4"/>
      <c r="C7042" s="4"/>
    </row>
    <row r="7043">
      <c r="A7043" s="4"/>
      <c r="B7043" s="4"/>
      <c r="C7043" s="4"/>
    </row>
    <row r="7044">
      <c r="A7044" s="4"/>
      <c r="B7044" s="4"/>
      <c r="C7044" s="4"/>
    </row>
    <row r="7045">
      <c r="A7045" s="4"/>
      <c r="B7045" s="4"/>
      <c r="C7045" s="4"/>
    </row>
    <row r="7046">
      <c r="A7046" s="4"/>
      <c r="B7046" s="4"/>
      <c r="C7046" s="4"/>
    </row>
    <row r="7047">
      <c r="A7047" s="4"/>
      <c r="B7047" s="4"/>
      <c r="C7047" s="4"/>
    </row>
    <row r="7048">
      <c r="A7048" s="4"/>
      <c r="B7048" s="4"/>
      <c r="C7048" s="4"/>
    </row>
    <row r="7049">
      <c r="A7049" s="4"/>
      <c r="B7049" s="4"/>
      <c r="C7049" s="4"/>
    </row>
    <row r="7050">
      <c r="A7050" s="4"/>
      <c r="B7050" s="4"/>
      <c r="C7050" s="4"/>
    </row>
    <row r="7051">
      <c r="A7051" s="4"/>
      <c r="B7051" s="4"/>
      <c r="C7051" s="4"/>
    </row>
    <row r="7052">
      <c r="A7052" s="4"/>
      <c r="B7052" s="4"/>
      <c r="C7052" s="4"/>
    </row>
    <row r="7053">
      <c r="A7053" s="4"/>
      <c r="B7053" s="4"/>
      <c r="C7053" s="4"/>
    </row>
    <row r="7054">
      <c r="A7054" s="4"/>
      <c r="B7054" s="4"/>
      <c r="C7054" s="4"/>
    </row>
    <row r="7055">
      <c r="A7055" s="4"/>
      <c r="B7055" s="4"/>
      <c r="C7055" s="4"/>
    </row>
    <row r="7056">
      <c r="A7056" s="4"/>
      <c r="B7056" s="4"/>
      <c r="C7056" s="4"/>
    </row>
    <row r="7057">
      <c r="A7057" s="4"/>
      <c r="B7057" s="4"/>
      <c r="C7057" s="4"/>
    </row>
    <row r="7058">
      <c r="A7058" s="4"/>
      <c r="B7058" s="4"/>
      <c r="C7058" s="4"/>
    </row>
    <row r="7059">
      <c r="A7059" s="4"/>
      <c r="B7059" s="4"/>
      <c r="C7059" s="4"/>
    </row>
    <row r="7060">
      <c r="A7060" s="4"/>
      <c r="B7060" s="4"/>
      <c r="C7060" s="4"/>
    </row>
    <row r="7061">
      <c r="A7061" s="4"/>
      <c r="B7061" s="4"/>
      <c r="C7061" s="4"/>
    </row>
    <row r="7062">
      <c r="A7062" s="4"/>
      <c r="B7062" s="4"/>
      <c r="C7062" s="4"/>
    </row>
    <row r="7063">
      <c r="A7063" s="4"/>
      <c r="B7063" s="4"/>
      <c r="C7063" s="4"/>
    </row>
    <row r="7064">
      <c r="A7064" s="4"/>
      <c r="B7064" s="4"/>
      <c r="C7064" s="4"/>
    </row>
    <row r="7065">
      <c r="A7065" s="4"/>
      <c r="B7065" s="4"/>
      <c r="C7065" s="4"/>
    </row>
    <row r="7066">
      <c r="A7066" s="4"/>
      <c r="B7066" s="4"/>
      <c r="C7066" s="4"/>
    </row>
    <row r="7067">
      <c r="A7067" s="4"/>
      <c r="B7067" s="4"/>
      <c r="C7067" s="4"/>
    </row>
    <row r="7068">
      <c r="A7068" s="4"/>
      <c r="B7068" s="4"/>
      <c r="C7068" s="4"/>
    </row>
    <row r="7069">
      <c r="A7069" s="4"/>
      <c r="B7069" s="4"/>
      <c r="C7069" s="4"/>
    </row>
    <row r="7070">
      <c r="A7070" s="4"/>
      <c r="B7070" s="4"/>
      <c r="C7070" s="4"/>
    </row>
    <row r="7071">
      <c r="A7071" s="4"/>
      <c r="B7071" s="4"/>
      <c r="C7071" s="4"/>
    </row>
    <row r="7072">
      <c r="A7072" s="4"/>
      <c r="B7072" s="4"/>
      <c r="C7072" s="4"/>
    </row>
    <row r="7073">
      <c r="A7073" s="4"/>
      <c r="B7073" s="4"/>
      <c r="C7073" s="4"/>
    </row>
    <row r="7074">
      <c r="A7074" s="4"/>
      <c r="B7074" s="4"/>
      <c r="C7074" s="4"/>
    </row>
    <row r="7075">
      <c r="A7075" s="4"/>
      <c r="B7075" s="4"/>
      <c r="C7075" s="4"/>
    </row>
    <row r="7076">
      <c r="A7076" s="4"/>
      <c r="B7076" s="4"/>
      <c r="C7076" s="4"/>
    </row>
    <row r="7077">
      <c r="A7077" s="4"/>
      <c r="B7077" s="4"/>
      <c r="C7077" s="4"/>
    </row>
    <row r="7078">
      <c r="A7078" s="4"/>
      <c r="B7078" s="4"/>
      <c r="C7078" s="4"/>
    </row>
    <row r="7079">
      <c r="A7079" s="4"/>
      <c r="B7079" s="4"/>
      <c r="C7079" s="4"/>
    </row>
    <row r="7080">
      <c r="A7080" s="4"/>
      <c r="B7080" s="4"/>
      <c r="C7080" s="4"/>
    </row>
    <row r="7081">
      <c r="A7081" s="4"/>
      <c r="B7081" s="4"/>
      <c r="C7081" s="4"/>
    </row>
    <row r="7082">
      <c r="A7082" s="4"/>
      <c r="B7082" s="4"/>
      <c r="C7082" s="4"/>
    </row>
    <row r="7083">
      <c r="A7083" s="4"/>
      <c r="B7083" s="4"/>
      <c r="C7083" s="4"/>
    </row>
    <row r="7084">
      <c r="A7084" s="4"/>
      <c r="B7084" s="4"/>
      <c r="C7084" s="4"/>
    </row>
    <row r="7085">
      <c r="A7085" s="4"/>
      <c r="B7085" s="4"/>
      <c r="C7085" s="4"/>
    </row>
    <row r="7086">
      <c r="A7086" s="4"/>
      <c r="B7086" s="4"/>
      <c r="C7086" s="4"/>
    </row>
    <row r="7087">
      <c r="A7087" s="4"/>
      <c r="B7087" s="4"/>
      <c r="C7087" s="4"/>
    </row>
    <row r="7088">
      <c r="A7088" s="4"/>
      <c r="B7088" s="4"/>
      <c r="C7088" s="4"/>
    </row>
    <row r="7089">
      <c r="A7089" s="4"/>
      <c r="B7089" s="4"/>
      <c r="C7089" s="4"/>
    </row>
    <row r="7090">
      <c r="A7090" s="4"/>
      <c r="B7090" s="4"/>
      <c r="C7090" s="4"/>
    </row>
    <row r="7091">
      <c r="A7091" s="4"/>
      <c r="B7091" s="4"/>
      <c r="C7091" s="4"/>
    </row>
    <row r="7092">
      <c r="A7092" s="4"/>
      <c r="B7092" s="4"/>
      <c r="C7092" s="4"/>
    </row>
    <row r="7093">
      <c r="A7093" s="4"/>
      <c r="B7093" s="4"/>
      <c r="C7093" s="4"/>
    </row>
    <row r="7094">
      <c r="A7094" s="4"/>
      <c r="B7094" s="4"/>
      <c r="C7094" s="4"/>
    </row>
    <row r="7095">
      <c r="A7095" s="4"/>
      <c r="B7095" s="4"/>
      <c r="C7095" s="4"/>
    </row>
    <row r="7096">
      <c r="A7096" s="4"/>
      <c r="B7096" s="4"/>
      <c r="C7096" s="4"/>
    </row>
    <row r="7097">
      <c r="A7097" s="4"/>
      <c r="B7097" s="4"/>
      <c r="C7097" s="4"/>
    </row>
    <row r="7098">
      <c r="A7098" s="4"/>
      <c r="B7098" s="4"/>
      <c r="C7098" s="4"/>
    </row>
    <row r="7099">
      <c r="A7099" s="4"/>
      <c r="B7099" s="4"/>
      <c r="C7099" s="4"/>
    </row>
    <row r="7100">
      <c r="A7100" s="4"/>
      <c r="B7100" s="4"/>
      <c r="C7100" s="4"/>
    </row>
    <row r="7101">
      <c r="A7101" s="4"/>
      <c r="B7101" s="4"/>
      <c r="C7101" s="4"/>
    </row>
    <row r="7102">
      <c r="A7102" s="4"/>
      <c r="B7102" s="4"/>
      <c r="C7102" s="4"/>
    </row>
    <row r="7103">
      <c r="A7103" s="4"/>
      <c r="B7103" s="4"/>
      <c r="C7103" s="4"/>
    </row>
    <row r="7104">
      <c r="A7104" s="4"/>
      <c r="B7104" s="4"/>
      <c r="C7104" s="4"/>
    </row>
    <row r="7105">
      <c r="A7105" s="4"/>
      <c r="B7105" s="4"/>
      <c r="C7105" s="4"/>
    </row>
    <row r="7106">
      <c r="A7106" s="4"/>
      <c r="B7106" s="4"/>
      <c r="C7106" s="4"/>
    </row>
    <row r="7107">
      <c r="A7107" s="4"/>
      <c r="B7107" s="4"/>
      <c r="C7107" s="4"/>
    </row>
    <row r="7108">
      <c r="A7108" s="4"/>
      <c r="B7108" s="4"/>
      <c r="C7108" s="4"/>
    </row>
    <row r="7109">
      <c r="A7109" s="4"/>
      <c r="B7109" s="4"/>
      <c r="C7109" s="4"/>
    </row>
    <row r="7110">
      <c r="A7110" s="4"/>
      <c r="B7110" s="4"/>
      <c r="C7110" s="4"/>
    </row>
    <row r="7111">
      <c r="A7111" s="4"/>
      <c r="B7111" s="4"/>
      <c r="C7111" s="4"/>
    </row>
    <row r="7112">
      <c r="A7112" s="4"/>
      <c r="B7112" s="4"/>
      <c r="C7112" s="4"/>
    </row>
    <row r="7113">
      <c r="A7113" s="4"/>
      <c r="B7113" s="4"/>
      <c r="C7113" s="4"/>
    </row>
    <row r="7114">
      <c r="A7114" s="4"/>
      <c r="B7114" s="4"/>
      <c r="C7114" s="4"/>
    </row>
    <row r="7115">
      <c r="A7115" s="4"/>
      <c r="B7115" s="4"/>
      <c r="C7115" s="4"/>
    </row>
    <row r="7116">
      <c r="A7116" s="4"/>
      <c r="B7116" s="4"/>
      <c r="C7116" s="4"/>
    </row>
    <row r="7117">
      <c r="A7117" s="4"/>
      <c r="B7117" s="4"/>
      <c r="C7117" s="4"/>
    </row>
    <row r="7118">
      <c r="A7118" s="4"/>
      <c r="B7118" s="4"/>
      <c r="C7118" s="4"/>
    </row>
    <row r="7119">
      <c r="A7119" s="4"/>
      <c r="B7119" s="4"/>
      <c r="C7119" s="4"/>
    </row>
    <row r="7120">
      <c r="A7120" s="4"/>
      <c r="B7120" s="4"/>
      <c r="C7120" s="4"/>
    </row>
    <row r="7121">
      <c r="A7121" s="4"/>
      <c r="B7121" s="4"/>
      <c r="C7121" s="4"/>
    </row>
    <row r="7122">
      <c r="A7122" s="4"/>
      <c r="B7122" s="4"/>
      <c r="C7122" s="4"/>
    </row>
    <row r="7123">
      <c r="A7123" s="4"/>
      <c r="B7123" s="4"/>
      <c r="C7123" s="4"/>
    </row>
    <row r="7124">
      <c r="A7124" s="4"/>
      <c r="B7124" s="4"/>
      <c r="C7124" s="4"/>
    </row>
    <row r="7125">
      <c r="A7125" s="4"/>
      <c r="B7125" s="4"/>
      <c r="C7125" s="4"/>
    </row>
    <row r="7126">
      <c r="A7126" s="4"/>
      <c r="B7126" s="4"/>
      <c r="C7126" s="4"/>
    </row>
    <row r="7127">
      <c r="A7127" s="4"/>
      <c r="B7127" s="4"/>
      <c r="C7127" s="4"/>
    </row>
    <row r="7128">
      <c r="A7128" s="4"/>
      <c r="B7128" s="4"/>
      <c r="C7128" s="4"/>
    </row>
    <row r="7129">
      <c r="A7129" s="4"/>
      <c r="B7129" s="4"/>
      <c r="C7129" s="4"/>
    </row>
    <row r="7130">
      <c r="A7130" s="4"/>
      <c r="B7130" s="4"/>
      <c r="C7130" s="4"/>
    </row>
    <row r="7131">
      <c r="A7131" s="4"/>
      <c r="B7131" s="4"/>
      <c r="C7131" s="4"/>
    </row>
    <row r="7132">
      <c r="A7132" s="4"/>
      <c r="B7132" s="4"/>
      <c r="C7132" s="4"/>
    </row>
    <row r="7133">
      <c r="A7133" s="4"/>
      <c r="B7133" s="4"/>
      <c r="C7133" s="4"/>
    </row>
    <row r="7134">
      <c r="A7134" s="4"/>
      <c r="B7134" s="4"/>
      <c r="C7134" s="4"/>
    </row>
    <row r="7135">
      <c r="A7135" s="4"/>
      <c r="B7135" s="4"/>
      <c r="C7135" s="4"/>
    </row>
    <row r="7136">
      <c r="A7136" s="4"/>
      <c r="B7136" s="4"/>
      <c r="C7136" s="4"/>
    </row>
    <row r="7137">
      <c r="A7137" s="4"/>
      <c r="B7137" s="4"/>
      <c r="C7137" s="4"/>
    </row>
    <row r="7138">
      <c r="A7138" s="4"/>
      <c r="B7138" s="4"/>
      <c r="C7138" s="4"/>
    </row>
    <row r="7139">
      <c r="A7139" s="4"/>
      <c r="B7139" s="4"/>
      <c r="C7139" s="4"/>
    </row>
    <row r="7140">
      <c r="A7140" s="4"/>
      <c r="B7140" s="4"/>
      <c r="C7140" s="4"/>
    </row>
    <row r="7141">
      <c r="A7141" s="4"/>
      <c r="B7141" s="4"/>
      <c r="C7141" s="4"/>
    </row>
    <row r="7142">
      <c r="A7142" s="4"/>
      <c r="B7142" s="4"/>
      <c r="C7142" s="4"/>
    </row>
    <row r="7143">
      <c r="A7143" s="4"/>
      <c r="B7143" s="4"/>
      <c r="C7143" s="4"/>
    </row>
    <row r="7144">
      <c r="A7144" s="4"/>
      <c r="B7144" s="4"/>
      <c r="C7144" s="4"/>
    </row>
    <row r="7145">
      <c r="A7145" s="4"/>
      <c r="B7145" s="4"/>
      <c r="C7145" s="4"/>
    </row>
    <row r="7146">
      <c r="A7146" s="4"/>
      <c r="B7146" s="4"/>
      <c r="C7146" s="4"/>
    </row>
    <row r="7147">
      <c r="A7147" s="4"/>
      <c r="B7147" s="4"/>
      <c r="C7147" s="4"/>
    </row>
    <row r="7148">
      <c r="A7148" s="4"/>
      <c r="B7148" s="4"/>
      <c r="C7148" s="4"/>
    </row>
    <row r="7149">
      <c r="A7149" s="4"/>
      <c r="B7149" s="4"/>
      <c r="C7149" s="4"/>
    </row>
    <row r="7150">
      <c r="A7150" s="4"/>
      <c r="B7150" s="4"/>
      <c r="C7150" s="4"/>
    </row>
    <row r="7151">
      <c r="A7151" s="4"/>
      <c r="B7151" s="4"/>
      <c r="C7151" s="4"/>
    </row>
    <row r="7152">
      <c r="A7152" s="4"/>
      <c r="B7152" s="4"/>
      <c r="C7152" s="4"/>
    </row>
    <row r="7153">
      <c r="A7153" s="4"/>
      <c r="B7153" s="4"/>
      <c r="C7153" s="4"/>
    </row>
    <row r="7154">
      <c r="A7154" s="4"/>
      <c r="B7154" s="4"/>
      <c r="C7154" s="4"/>
    </row>
    <row r="7155">
      <c r="A7155" s="4"/>
      <c r="B7155" s="4"/>
      <c r="C7155" s="4"/>
    </row>
    <row r="7156">
      <c r="A7156" s="4"/>
      <c r="B7156" s="4"/>
      <c r="C7156" s="4"/>
    </row>
    <row r="7157">
      <c r="A7157" s="4"/>
      <c r="B7157" s="4"/>
      <c r="C7157" s="4"/>
    </row>
    <row r="7158">
      <c r="A7158" s="4"/>
      <c r="B7158" s="4"/>
      <c r="C7158" s="4"/>
    </row>
    <row r="7159">
      <c r="A7159" s="4"/>
      <c r="B7159" s="4"/>
      <c r="C7159" s="4"/>
    </row>
    <row r="7160">
      <c r="A7160" s="4"/>
      <c r="B7160" s="4"/>
      <c r="C7160" s="4"/>
    </row>
    <row r="7161">
      <c r="A7161" s="4"/>
      <c r="B7161" s="4"/>
      <c r="C7161" s="4"/>
    </row>
    <row r="7162">
      <c r="A7162" s="4"/>
      <c r="B7162" s="4"/>
      <c r="C7162" s="4"/>
    </row>
    <row r="7163">
      <c r="A7163" s="4"/>
      <c r="B7163" s="4"/>
      <c r="C7163" s="4"/>
    </row>
    <row r="7164">
      <c r="A7164" s="4"/>
      <c r="B7164" s="4"/>
      <c r="C7164" s="4"/>
    </row>
    <row r="7165">
      <c r="A7165" s="4"/>
      <c r="B7165" s="4"/>
      <c r="C7165" s="4"/>
    </row>
    <row r="7166">
      <c r="A7166" s="4"/>
      <c r="B7166" s="4"/>
      <c r="C7166" s="4"/>
    </row>
    <row r="7167">
      <c r="A7167" s="4"/>
      <c r="B7167" s="4"/>
      <c r="C7167" s="4"/>
    </row>
    <row r="7168">
      <c r="A7168" s="4"/>
      <c r="B7168" s="4"/>
      <c r="C7168" s="4"/>
    </row>
    <row r="7169">
      <c r="A7169" s="4"/>
      <c r="B7169" s="4"/>
      <c r="C7169" s="4"/>
    </row>
    <row r="7170">
      <c r="A7170" s="4"/>
      <c r="B7170" s="4"/>
      <c r="C7170" s="4"/>
    </row>
    <row r="7171">
      <c r="A7171" s="4"/>
      <c r="B7171" s="4"/>
      <c r="C7171" s="4"/>
    </row>
    <row r="7172">
      <c r="A7172" s="4"/>
      <c r="B7172" s="4"/>
      <c r="C7172" s="4"/>
    </row>
    <row r="7173">
      <c r="A7173" s="4"/>
      <c r="B7173" s="4"/>
      <c r="C7173" s="4"/>
    </row>
    <row r="7174">
      <c r="A7174" s="4"/>
      <c r="B7174" s="4"/>
      <c r="C7174" s="4"/>
    </row>
    <row r="7175">
      <c r="A7175" s="4"/>
      <c r="B7175" s="4"/>
      <c r="C7175" s="4"/>
    </row>
    <row r="7176">
      <c r="A7176" s="4"/>
      <c r="B7176" s="4"/>
      <c r="C7176" s="4"/>
    </row>
    <row r="7177">
      <c r="A7177" s="4"/>
      <c r="B7177" s="4"/>
      <c r="C7177" s="4"/>
    </row>
    <row r="7178">
      <c r="A7178" s="4"/>
      <c r="B7178" s="4"/>
      <c r="C7178" s="4"/>
    </row>
    <row r="7179">
      <c r="A7179" s="4"/>
      <c r="B7179" s="4"/>
      <c r="C7179" s="4"/>
    </row>
    <row r="7180">
      <c r="A7180" s="4"/>
      <c r="B7180" s="4"/>
      <c r="C7180" s="4"/>
    </row>
    <row r="7181">
      <c r="A7181" s="4"/>
      <c r="B7181" s="4"/>
      <c r="C7181" s="4"/>
    </row>
    <row r="7182">
      <c r="A7182" s="4"/>
      <c r="B7182" s="4"/>
      <c r="C7182" s="4"/>
    </row>
    <row r="7183">
      <c r="A7183" s="4"/>
      <c r="B7183" s="4"/>
      <c r="C7183" s="4"/>
    </row>
    <row r="7184">
      <c r="A7184" s="4"/>
      <c r="B7184" s="4"/>
      <c r="C7184" s="4"/>
    </row>
    <row r="7185">
      <c r="A7185" s="4"/>
      <c r="B7185" s="4"/>
      <c r="C7185" s="4"/>
    </row>
    <row r="7186">
      <c r="A7186" s="4"/>
      <c r="B7186" s="4"/>
      <c r="C7186" s="4"/>
    </row>
    <row r="7187">
      <c r="A7187" s="4"/>
      <c r="B7187" s="4"/>
      <c r="C7187" s="4"/>
    </row>
    <row r="7188">
      <c r="A7188" s="4"/>
      <c r="B7188" s="4"/>
      <c r="C7188" s="4"/>
    </row>
    <row r="7189">
      <c r="A7189" s="4"/>
      <c r="B7189" s="4"/>
      <c r="C7189" s="4"/>
    </row>
    <row r="7190">
      <c r="A7190" s="4"/>
      <c r="B7190" s="4"/>
      <c r="C7190" s="4"/>
    </row>
    <row r="7191">
      <c r="A7191" s="4"/>
      <c r="B7191" s="4"/>
      <c r="C7191" s="4"/>
    </row>
    <row r="7192">
      <c r="A7192" s="4"/>
      <c r="B7192" s="4"/>
      <c r="C7192" s="4"/>
    </row>
    <row r="7193">
      <c r="A7193" s="4"/>
      <c r="B7193" s="4"/>
      <c r="C7193" s="4"/>
    </row>
    <row r="7194">
      <c r="A7194" s="4"/>
      <c r="B7194" s="4"/>
      <c r="C7194" s="4"/>
    </row>
    <row r="7195">
      <c r="A7195" s="4"/>
      <c r="B7195" s="4"/>
      <c r="C7195" s="4"/>
    </row>
    <row r="7196">
      <c r="A7196" s="4"/>
      <c r="B7196" s="4"/>
      <c r="C7196" s="4"/>
    </row>
    <row r="7197">
      <c r="A7197" s="4"/>
      <c r="B7197" s="4"/>
      <c r="C7197" s="4"/>
    </row>
    <row r="7198">
      <c r="A7198" s="4"/>
      <c r="B7198" s="4"/>
      <c r="C7198" s="4"/>
    </row>
    <row r="7199">
      <c r="A7199" s="4"/>
      <c r="B7199" s="4"/>
      <c r="C7199" s="4"/>
    </row>
    <row r="7200">
      <c r="A7200" s="4"/>
      <c r="B7200" s="4"/>
      <c r="C7200" s="4"/>
    </row>
    <row r="7201">
      <c r="A7201" s="4"/>
      <c r="B7201" s="4"/>
      <c r="C7201" s="4"/>
    </row>
    <row r="7202">
      <c r="A7202" s="4"/>
      <c r="B7202" s="4"/>
      <c r="C7202" s="4"/>
    </row>
    <row r="7203">
      <c r="A7203" s="4"/>
      <c r="B7203" s="4"/>
      <c r="C7203" s="4"/>
    </row>
    <row r="7204">
      <c r="A7204" s="4"/>
      <c r="B7204" s="4"/>
      <c r="C7204" s="4"/>
    </row>
    <row r="7205">
      <c r="A7205" s="4"/>
      <c r="B7205" s="4"/>
      <c r="C7205" s="4"/>
    </row>
    <row r="7206">
      <c r="A7206" s="4"/>
      <c r="B7206" s="4"/>
      <c r="C7206" s="4"/>
    </row>
    <row r="7207">
      <c r="A7207" s="4"/>
      <c r="B7207" s="4"/>
      <c r="C7207" s="4"/>
    </row>
    <row r="7208">
      <c r="A7208" s="4"/>
      <c r="B7208" s="4"/>
      <c r="C7208" s="4"/>
    </row>
    <row r="7209">
      <c r="A7209" s="4"/>
      <c r="B7209" s="4"/>
      <c r="C7209" s="4"/>
    </row>
    <row r="7210">
      <c r="A7210" s="4"/>
      <c r="B7210" s="4"/>
      <c r="C7210" s="4"/>
    </row>
    <row r="7211">
      <c r="A7211" s="4"/>
      <c r="B7211" s="4"/>
      <c r="C7211" s="4"/>
    </row>
    <row r="7212">
      <c r="A7212" s="4"/>
      <c r="B7212" s="4"/>
      <c r="C7212" s="4"/>
    </row>
    <row r="7213">
      <c r="A7213" s="4"/>
      <c r="B7213" s="4"/>
      <c r="C7213" s="4"/>
    </row>
    <row r="7214">
      <c r="A7214" s="4"/>
      <c r="B7214" s="4"/>
      <c r="C7214" s="4"/>
    </row>
    <row r="7215">
      <c r="A7215" s="4"/>
      <c r="B7215" s="4"/>
      <c r="C7215" s="4"/>
    </row>
    <row r="7216">
      <c r="A7216" s="4"/>
      <c r="B7216" s="4"/>
      <c r="C7216" s="4"/>
    </row>
    <row r="7217">
      <c r="A7217" s="4"/>
      <c r="B7217" s="4"/>
      <c r="C7217" s="4"/>
    </row>
    <row r="7218">
      <c r="A7218" s="4"/>
      <c r="B7218" s="4"/>
      <c r="C7218" s="4"/>
    </row>
    <row r="7219">
      <c r="A7219" s="4"/>
      <c r="B7219" s="4"/>
      <c r="C7219" s="4"/>
    </row>
    <row r="7220">
      <c r="A7220" s="4"/>
      <c r="B7220" s="4"/>
      <c r="C7220" s="4"/>
    </row>
    <row r="7221">
      <c r="A7221" s="4"/>
      <c r="B7221" s="4"/>
      <c r="C7221" s="4"/>
    </row>
    <row r="7222">
      <c r="A7222" s="4"/>
      <c r="B7222" s="4"/>
      <c r="C7222" s="4"/>
    </row>
    <row r="7223">
      <c r="A7223" s="4"/>
      <c r="B7223" s="4"/>
      <c r="C7223" s="4"/>
    </row>
    <row r="7224">
      <c r="A7224" s="4"/>
      <c r="B7224" s="4"/>
      <c r="C7224" s="4"/>
    </row>
    <row r="7225">
      <c r="A7225" s="4"/>
      <c r="B7225" s="4"/>
      <c r="C7225" s="4"/>
    </row>
    <row r="7226">
      <c r="A7226" s="4"/>
      <c r="B7226" s="4"/>
      <c r="C7226" s="4"/>
    </row>
    <row r="7227">
      <c r="A7227" s="4"/>
      <c r="B7227" s="4"/>
      <c r="C7227" s="4"/>
    </row>
    <row r="7228">
      <c r="A7228" s="4"/>
      <c r="B7228" s="4"/>
      <c r="C7228" s="4"/>
    </row>
    <row r="7229">
      <c r="A7229" s="4"/>
      <c r="B7229" s="4"/>
      <c r="C7229" s="4"/>
    </row>
    <row r="7230">
      <c r="A7230" s="4"/>
      <c r="B7230" s="4"/>
      <c r="C7230" s="4"/>
    </row>
    <row r="7231">
      <c r="A7231" s="4"/>
      <c r="B7231" s="4"/>
      <c r="C7231" s="4"/>
    </row>
    <row r="7232">
      <c r="A7232" s="4"/>
      <c r="B7232" s="4"/>
      <c r="C7232" s="4"/>
    </row>
    <row r="7233">
      <c r="A7233" s="4"/>
      <c r="B7233" s="4"/>
      <c r="C7233" s="4"/>
    </row>
    <row r="7234">
      <c r="A7234" s="4"/>
      <c r="B7234" s="4"/>
      <c r="C7234" s="4"/>
    </row>
    <row r="7235">
      <c r="A7235" s="4"/>
      <c r="B7235" s="4"/>
      <c r="C7235" s="4"/>
    </row>
    <row r="7236">
      <c r="A7236" s="4"/>
      <c r="B7236" s="4"/>
      <c r="C7236" s="4"/>
    </row>
    <row r="7237">
      <c r="A7237" s="4"/>
      <c r="B7237" s="4"/>
      <c r="C7237" s="4"/>
    </row>
    <row r="7238">
      <c r="A7238" s="4"/>
      <c r="B7238" s="4"/>
      <c r="C7238" s="4"/>
    </row>
    <row r="7239">
      <c r="A7239" s="4"/>
      <c r="B7239" s="4"/>
      <c r="C7239" s="4"/>
    </row>
    <row r="7240">
      <c r="A7240" s="4"/>
      <c r="B7240" s="4"/>
      <c r="C7240" s="4"/>
    </row>
    <row r="7241">
      <c r="A7241" s="4"/>
      <c r="B7241" s="4"/>
      <c r="C7241" s="4"/>
    </row>
    <row r="7242">
      <c r="A7242" s="4"/>
      <c r="B7242" s="4"/>
      <c r="C7242" s="4"/>
    </row>
    <row r="7243">
      <c r="A7243" s="4"/>
      <c r="B7243" s="4"/>
      <c r="C7243" s="4"/>
    </row>
    <row r="7244">
      <c r="A7244" s="4"/>
      <c r="B7244" s="4"/>
      <c r="C7244" s="4"/>
    </row>
    <row r="7245">
      <c r="A7245" s="4"/>
      <c r="B7245" s="4"/>
      <c r="C7245" s="4"/>
    </row>
    <row r="7246">
      <c r="A7246" s="4"/>
      <c r="B7246" s="4"/>
      <c r="C7246" s="4"/>
    </row>
    <row r="7247">
      <c r="A7247" s="4"/>
      <c r="B7247" s="4"/>
      <c r="C7247" s="4"/>
    </row>
    <row r="7248">
      <c r="A7248" s="4"/>
      <c r="B7248" s="4"/>
      <c r="C7248" s="4"/>
    </row>
    <row r="7249">
      <c r="A7249" s="4"/>
      <c r="B7249" s="4"/>
      <c r="C7249" s="4"/>
    </row>
    <row r="7250">
      <c r="A7250" s="4"/>
      <c r="B7250" s="4"/>
      <c r="C7250" s="4"/>
    </row>
    <row r="7251">
      <c r="A7251" s="4"/>
      <c r="B7251" s="4"/>
      <c r="C7251" s="4"/>
    </row>
    <row r="7252">
      <c r="A7252" s="4"/>
      <c r="B7252" s="4"/>
      <c r="C7252" s="4"/>
    </row>
    <row r="7253">
      <c r="A7253" s="4"/>
      <c r="B7253" s="4"/>
      <c r="C7253" s="4"/>
    </row>
    <row r="7254">
      <c r="A7254" s="4"/>
      <c r="B7254" s="4"/>
      <c r="C7254" s="4"/>
    </row>
    <row r="7255">
      <c r="A7255" s="4"/>
      <c r="B7255" s="4"/>
      <c r="C7255" s="4"/>
    </row>
    <row r="7256">
      <c r="A7256" s="4"/>
      <c r="B7256" s="4"/>
      <c r="C7256" s="4"/>
    </row>
    <row r="7257">
      <c r="A7257" s="4"/>
      <c r="B7257" s="4"/>
      <c r="C7257" s="4"/>
    </row>
    <row r="7258">
      <c r="A7258" s="4"/>
      <c r="B7258" s="4"/>
      <c r="C7258" s="4"/>
    </row>
    <row r="7259">
      <c r="A7259" s="4"/>
      <c r="B7259" s="4"/>
      <c r="C7259" s="4"/>
    </row>
    <row r="7260">
      <c r="A7260" s="4"/>
      <c r="B7260" s="4"/>
      <c r="C7260" s="4"/>
    </row>
    <row r="7261">
      <c r="A7261" s="4"/>
      <c r="B7261" s="4"/>
      <c r="C7261" s="4"/>
    </row>
    <row r="7262">
      <c r="A7262" s="4"/>
      <c r="B7262" s="4"/>
      <c r="C7262" s="4"/>
    </row>
    <row r="7263">
      <c r="A7263" s="4"/>
      <c r="B7263" s="4"/>
      <c r="C7263" s="4"/>
    </row>
    <row r="7264">
      <c r="A7264" s="4"/>
      <c r="B7264" s="4"/>
      <c r="C7264" s="4"/>
    </row>
    <row r="7265">
      <c r="A7265" s="4"/>
      <c r="B7265" s="4"/>
      <c r="C7265" s="4"/>
    </row>
    <row r="7266">
      <c r="A7266" s="4"/>
      <c r="B7266" s="4"/>
      <c r="C7266" s="4"/>
    </row>
    <row r="7267">
      <c r="A7267" s="4"/>
      <c r="B7267" s="4"/>
      <c r="C7267" s="4"/>
    </row>
    <row r="7268">
      <c r="A7268" s="4"/>
      <c r="B7268" s="4"/>
      <c r="C7268" s="4"/>
    </row>
    <row r="7269">
      <c r="A7269" s="4"/>
      <c r="B7269" s="4"/>
      <c r="C7269" s="4"/>
    </row>
    <row r="7270">
      <c r="A7270" s="4"/>
      <c r="B7270" s="4"/>
      <c r="C7270" s="4"/>
    </row>
    <row r="7271">
      <c r="A7271" s="4"/>
      <c r="B7271" s="4"/>
      <c r="C7271" s="4"/>
    </row>
    <row r="7272">
      <c r="A7272" s="4"/>
      <c r="B7272" s="4"/>
      <c r="C7272" s="4"/>
    </row>
    <row r="7273">
      <c r="A7273" s="4"/>
      <c r="B7273" s="4"/>
      <c r="C7273" s="4"/>
    </row>
    <row r="7274">
      <c r="A7274" s="4"/>
      <c r="B7274" s="4"/>
      <c r="C7274" s="4"/>
    </row>
    <row r="7275">
      <c r="A7275" s="4"/>
      <c r="B7275" s="4"/>
      <c r="C7275" s="4"/>
    </row>
    <row r="7276">
      <c r="A7276" s="4"/>
      <c r="B7276" s="4"/>
      <c r="C7276" s="4"/>
    </row>
    <row r="7277">
      <c r="A7277" s="4"/>
      <c r="B7277" s="4"/>
      <c r="C7277" s="4"/>
    </row>
    <row r="7278">
      <c r="A7278" s="4"/>
      <c r="B7278" s="4"/>
      <c r="C7278" s="4"/>
    </row>
    <row r="7279">
      <c r="A7279" s="4"/>
      <c r="B7279" s="4"/>
      <c r="C7279" s="4"/>
    </row>
    <row r="7280">
      <c r="A7280" s="4"/>
      <c r="B7280" s="4"/>
      <c r="C7280" s="4"/>
    </row>
    <row r="7281">
      <c r="A7281" s="4"/>
      <c r="B7281" s="4"/>
      <c r="C7281" s="4"/>
    </row>
    <row r="7282">
      <c r="A7282" s="4"/>
      <c r="B7282" s="4"/>
      <c r="C7282" s="4"/>
    </row>
    <row r="7283">
      <c r="A7283" s="4"/>
      <c r="B7283" s="4"/>
      <c r="C7283" s="4"/>
    </row>
    <row r="7284">
      <c r="A7284" s="4"/>
      <c r="B7284" s="4"/>
      <c r="C7284" s="4"/>
    </row>
    <row r="7285">
      <c r="A7285" s="4"/>
      <c r="B7285" s="4"/>
      <c r="C7285" s="4"/>
    </row>
    <row r="7286">
      <c r="A7286" s="4"/>
      <c r="B7286" s="4"/>
      <c r="C7286" s="4"/>
    </row>
    <row r="7287">
      <c r="A7287" s="4"/>
      <c r="B7287" s="4"/>
      <c r="C7287" s="4"/>
    </row>
    <row r="7288">
      <c r="A7288" s="4"/>
      <c r="B7288" s="4"/>
      <c r="C7288" s="4"/>
    </row>
    <row r="7289">
      <c r="A7289" s="4"/>
      <c r="B7289" s="4"/>
      <c r="C7289" s="4"/>
    </row>
    <row r="7290">
      <c r="A7290" s="4"/>
      <c r="B7290" s="4"/>
      <c r="C7290" s="4"/>
    </row>
    <row r="7291">
      <c r="A7291" s="4"/>
      <c r="B7291" s="4"/>
      <c r="C7291" s="4"/>
    </row>
    <row r="7292">
      <c r="A7292" s="4"/>
      <c r="B7292" s="4"/>
      <c r="C7292" s="4"/>
    </row>
    <row r="7293">
      <c r="A7293" s="4"/>
      <c r="B7293" s="4"/>
      <c r="C7293" s="4"/>
    </row>
    <row r="7294">
      <c r="A7294" s="4"/>
      <c r="B7294" s="4"/>
      <c r="C7294" s="4"/>
    </row>
    <row r="7295">
      <c r="A7295" s="4"/>
      <c r="B7295" s="4"/>
      <c r="C7295" s="4"/>
    </row>
    <row r="7296">
      <c r="A7296" s="4"/>
      <c r="B7296" s="4"/>
      <c r="C7296" s="4"/>
    </row>
    <row r="7297">
      <c r="A7297" s="4"/>
      <c r="B7297" s="4"/>
      <c r="C7297" s="4"/>
    </row>
    <row r="7298">
      <c r="A7298" s="4"/>
      <c r="B7298" s="4"/>
      <c r="C7298" s="4"/>
    </row>
    <row r="7299">
      <c r="A7299" s="4"/>
      <c r="B7299" s="4"/>
      <c r="C7299" s="4"/>
    </row>
    <row r="7300">
      <c r="A7300" s="4"/>
      <c r="B7300" s="4"/>
      <c r="C7300" s="4"/>
    </row>
    <row r="7301">
      <c r="A7301" s="4"/>
      <c r="B7301" s="4"/>
      <c r="C7301" s="4"/>
    </row>
    <row r="7302">
      <c r="A7302" s="4"/>
      <c r="B7302" s="4"/>
      <c r="C7302" s="4"/>
    </row>
    <row r="7303">
      <c r="A7303" s="4"/>
      <c r="B7303" s="4"/>
      <c r="C7303" s="4"/>
    </row>
    <row r="7304">
      <c r="A7304" s="4"/>
      <c r="B7304" s="4"/>
      <c r="C7304" s="4"/>
    </row>
    <row r="7305">
      <c r="A7305" s="4"/>
      <c r="B7305" s="4"/>
      <c r="C7305" s="4"/>
    </row>
    <row r="7306">
      <c r="A7306" s="4"/>
      <c r="B7306" s="4"/>
      <c r="C7306" s="4"/>
    </row>
    <row r="7307">
      <c r="A7307" s="4"/>
      <c r="B7307" s="4"/>
      <c r="C7307" s="4"/>
    </row>
    <row r="7308">
      <c r="A7308" s="4"/>
      <c r="B7308" s="4"/>
      <c r="C7308" s="4"/>
    </row>
    <row r="7309">
      <c r="A7309" s="4"/>
      <c r="B7309" s="4"/>
      <c r="C7309" s="4"/>
    </row>
    <row r="7310">
      <c r="A7310" s="4"/>
      <c r="B7310" s="4"/>
      <c r="C7310" s="4"/>
    </row>
    <row r="7311">
      <c r="A7311" s="4"/>
      <c r="B7311" s="4"/>
      <c r="C7311" s="4"/>
    </row>
    <row r="7312">
      <c r="A7312" s="4"/>
      <c r="B7312" s="4"/>
      <c r="C7312" s="4"/>
    </row>
    <row r="7313">
      <c r="A7313" s="4"/>
      <c r="B7313" s="4"/>
      <c r="C7313" s="4"/>
    </row>
    <row r="7314">
      <c r="A7314" s="4"/>
      <c r="B7314" s="4"/>
      <c r="C7314" s="4"/>
    </row>
    <row r="7315">
      <c r="A7315" s="4"/>
      <c r="B7315" s="4"/>
      <c r="C7315" s="4"/>
    </row>
    <row r="7316">
      <c r="A7316" s="4"/>
      <c r="B7316" s="4"/>
      <c r="C7316" s="4"/>
    </row>
    <row r="7317">
      <c r="A7317" s="4"/>
      <c r="B7317" s="4"/>
      <c r="C7317" s="4"/>
    </row>
    <row r="7318">
      <c r="A7318" s="4"/>
      <c r="B7318" s="4"/>
      <c r="C7318" s="4"/>
    </row>
    <row r="7319">
      <c r="A7319" s="4"/>
      <c r="B7319" s="4"/>
      <c r="C7319" s="4"/>
    </row>
    <row r="7320">
      <c r="A7320" s="4"/>
      <c r="B7320" s="4"/>
      <c r="C7320" s="4"/>
    </row>
    <row r="7321">
      <c r="A7321" s="4"/>
      <c r="B7321" s="4"/>
      <c r="C7321" s="4"/>
    </row>
    <row r="7322">
      <c r="A7322" s="4"/>
      <c r="B7322" s="4"/>
      <c r="C7322" s="4"/>
    </row>
    <row r="7323">
      <c r="A7323" s="4"/>
      <c r="B7323" s="4"/>
      <c r="C7323" s="4"/>
    </row>
    <row r="7324">
      <c r="A7324" s="4"/>
      <c r="B7324" s="4"/>
      <c r="C7324" s="4"/>
    </row>
    <row r="7325">
      <c r="A7325" s="4"/>
      <c r="B7325" s="4"/>
      <c r="C7325" s="4"/>
    </row>
    <row r="7326">
      <c r="A7326" s="4"/>
      <c r="B7326" s="4"/>
      <c r="C7326" s="4"/>
    </row>
    <row r="7327">
      <c r="A7327" s="4"/>
      <c r="B7327" s="4"/>
      <c r="C7327" s="4"/>
    </row>
    <row r="7328">
      <c r="A7328" s="4"/>
      <c r="B7328" s="4"/>
      <c r="C7328" s="4"/>
    </row>
    <row r="7329">
      <c r="A7329" s="4"/>
      <c r="B7329" s="4"/>
      <c r="C7329" s="4"/>
    </row>
    <row r="7330">
      <c r="A7330" s="4"/>
      <c r="B7330" s="4"/>
      <c r="C7330" s="4"/>
    </row>
    <row r="7331">
      <c r="A7331" s="4"/>
      <c r="B7331" s="4"/>
      <c r="C7331" s="4"/>
    </row>
    <row r="7332">
      <c r="A7332" s="4"/>
      <c r="B7332" s="4"/>
      <c r="C7332" s="4"/>
    </row>
    <row r="7333">
      <c r="A7333" s="4"/>
      <c r="B7333" s="4"/>
      <c r="C7333" s="4"/>
    </row>
    <row r="7334">
      <c r="A7334" s="4"/>
      <c r="B7334" s="4"/>
      <c r="C7334" s="4"/>
    </row>
    <row r="7335">
      <c r="A7335" s="4"/>
      <c r="B7335" s="4"/>
      <c r="C7335" s="4"/>
    </row>
    <row r="7336">
      <c r="A7336" s="4"/>
      <c r="B7336" s="4"/>
      <c r="C7336" s="4"/>
    </row>
    <row r="7337">
      <c r="A7337" s="4"/>
      <c r="B7337" s="4"/>
      <c r="C7337" s="4"/>
    </row>
    <row r="7338">
      <c r="A7338" s="4"/>
      <c r="B7338" s="4"/>
      <c r="C7338" s="4"/>
    </row>
    <row r="7339">
      <c r="A7339" s="4"/>
      <c r="B7339" s="4"/>
      <c r="C7339" s="4"/>
    </row>
    <row r="7340">
      <c r="A7340" s="4"/>
      <c r="B7340" s="4"/>
      <c r="C7340" s="4"/>
    </row>
    <row r="7341">
      <c r="A7341" s="4"/>
      <c r="B7341" s="4"/>
      <c r="C7341" s="4"/>
    </row>
    <row r="7342">
      <c r="A7342" s="4"/>
      <c r="B7342" s="4"/>
      <c r="C7342" s="4"/>
    </row>
    <row r="7343">
      <c r="A7343" s="4"/>
      <c r="B7343" s="4"/>
      <c r="C7343" s="4"/>
    </row>
    <row r="7344">
      <c r="A7344" s="4"/>
      <c r="B7344" s="4"/>
      <c r="C7344" s="4"/>
    </row>
    <row r="7345">
      <c r="A7345" s="4"/>
      <c r="B7345" s="4"/>
      <c r="C7345" s="4"/>
    </row>
    <row r="7346">
      <c r="A7346" s="4"/>
      <c r="B7346" s="4"/>
      <c r="C7346" s="4"/>
    </row>
    <row r="7347">
      <c r="A7347" s="4"/>
      <c r="B7347" s="4"/>
      <c r="C7347" s="4"/>
    </row>
    <row r="7348">
      <c r="A7348" s="4"/>
      <c r="B7348" s="4"/>
      <c r="C7348" s="4"/>
    </row>
    <row r="7349">
      <c r="A7349" s="4"/>
      <c r="B7349" s="4"/>
      <c r="C7349" s="4"/>
    </row>
    <row r="7350">
      <c r="A7350" s="4"/>
      <c r="B7350" s="4"/>
      <c r="C7350" s="4"/>
    </row>
    <row r="7351">
      <c r="A7351" s="4"/>
      <c r="B7351" s="4"/>
      <c r="C7351" s="4"/>
    </row>
    <row r="7352">
      <c r="A7352" s="4"/>
      <c r="B7352" s="4"/>
      <c r="C7352" s="4"/>
    </row>
    <row r="7353">
      <c r="A7353" s="4"/>
      <c r="B7353" s="4"/>
      <c r="C7353" s="4"/>
    </row>
    <row r="7354">
      <c r="A7354" s="4"/>
      <c r="B7354" s="4"/>
      <c r="C7354" s="4"/>
    </row>
    <row r="7355">
      <c r="A7355" s="4"/>
      <c r="B7355" s="4"/>
      <c r="C7355" s="4"/>
    </row>
    <row r="7356">
      <c r="A7356" s="4"/>
      <c r="B7356" s="4"/>
      <c r="C7356" s="4"/>
    </row>
    <row r="7357">
      <c r="A7357" s="4"/>
      <c r="B7357" s="4"/>
      <c r="C7357" s="4"/>
    </row>
    <row r="7358">
      <c r="A7358" s="4"/>
      <c r="B7358" s="4"/>
      <c r="C7358" s="4"/>
    </row>
    <row r="7359">
      <c r="A7359" s="4"/>
      <c r="B7359" s="4"/>
      <c r="C7359" s="4"/>
    </row>
    <row r="7360">
      <c r="A7360" s="4"/>
      <c r="B7360" s="4"/>
      <c r="C7360" s="4"/>
    </row>
    <row r="7361">
      <c r="A7361" s="4"/>
      <c r="B7361" s="4"/>
      <c r="C7361" s="4"/>
    </row>
    <row r="7362">
      <c r="A7362" s="4"/>
      <c r="B7362" s="4"/>
      <c r="C7362" s="4"/>
    </row>
    <row r="7363">
      <c r="A7363" s="4"/>
      <c r="B7363" s="4"/>
      <c r="C7363" s="4"/>
    </row>
    <row r="7364">
      <c r="A7364" s="4"/>
      <c r="B7364" s="4"/>
      <c r="C7364" s="4"/>
    </row>
    <row r="7365">
      <c r="A7365" s="4"/>
      <c r="B7365" s="4"/>
      <c r="C7365" s="4"/>
    </row>
    <row r="7366">
      <c r="A7366" s="4"/>
      <c r="B7366" s="4"/>
      <c r="C7366" s="4"/>
    </row>
    <row r="7367">
      <c r="A7367" s="4"/>
      <c r="B7367" s="4"/>
      <c r="C7367" s="4"/>
    </row>
    <row r="7368">
      <c r="A7368" s="4"/>
      <c r="B7368" s="4"/>
      <c r="C7368" s="4"/>
    </row>
    <row r="7369">
      <c r="A7369" s="4"/>
      <c r="B7369" s="4"/>
      <c r="C7369" s="4"/>
    </row>
    <row r="7370">
      <c r="A7370" s="4"/>
      <c r="B7370" s="4"/>
      <c r="C7370" s="4"/>
    </row>
    <row r="7371">
      <c r="A7371" s="4"/>
      <c r="B7371" s="4"/>
      <c r="C7371" s="4"/>
    </row>
    <row r="7372">
      <c r="A7372" s="4"/>
      <c r="B7372" s="4"/>
      <c r="C7372" s="4"/>
    </row>
    <row r="7373">
      <c r="A7373" s="4"/>
      <c r="B7373" s="4"/>
      <c r="C7373" s="4"/>
    </row>
    <row r="7374">
      <c r="A7374" s="4"/>
      <c r="B7374" s="4"/>
      <c r="C7374" s="4"/>
    </row>
    <row r="7375">
      <c r="A7375" s="4"/>
      <c r="B7375" s="4"/>
      <c r="C7375" s="4"/>
    </row>
    <row r="7376">
      <c r="A7376" s="4"/>
      <c r="B7376" s="4"/>
      <c r="C7376" s="4"/>
    </row>
    <row r="7377">
      <c r="A7377" s="4"/>
      <c r="B7377" s="4"/>
      <c r="C7377" s="4"/>
    </row>
    <row r="7378">
      <c r="A7378" s="4"/>
      <c r="B7378" s="4"/>
      <c r="C7378" s="4"/>
    </row>
    <row r="7379">
      <c r="A7379" s="4"/>
      <c r="B7379" s="4"/>
      <c r="C7379" s="4"/>
    </row>
    <row r="7380">
      <c r="A7380" s="4"/>
      <c r="B7380" s="4"/>
      <c r="C7380" s="4"/>
    </row>
    <row r="7381">
      <c r="A7381" s="4"/>
      <c r="B7381" s="4"/>
      <c r="C7381" s="4"/>
    </row>
    <row r="7382">
      <c r="A7382" s="4"/>
      <c r="B7382" s="4"/>
      <c r="C7382" s="4"/>
    </row>
    <row r="7383">
      <c r="A7383" s="4"/>
      <c r="B7383" s="4"/>
      <c r="C7383" s="4"/>
    </row>
    <row r="7384">
      <c r="A7384" s="4"/>
      <c r="B7384" s="4"/>
      <c r="C7384" s="4"/>
    </row>
    <row r="7385">
      <c r="A7385" s="4"/>
      <c r="B7385" s="4"/>
      <c r="C7385" s="4"/>
    </row>
    <row r="7386">
      <c r="A7386" s="4"/>
      <c r="B7386" s="4"/>
      <c r="C7386" s="4"/>
    </row>
    <row r="7387">
      <c r="A7387" s="4"/>
      <c r="B7387" s="4"/>
      <c r="C7387" s="4"/>
    </row>
    <row r="7388">
      <c r="A7388" s="4"/>
      <c r="B7388" s="4"/>
      <c r="C7388" s="4"/>
    </row>
    <row r="7389">
      <c r="A7389" s="4"/>
      <c r="B7389" s="4"/>
      <c r="C7389" s="4"/>
    </row>
    <row r="7390">
      <c r="A7390" s="4"/>
      <c r="B7390" s="4"/>
      <c r="C7390" s="4"/>
    </row>
    <row r="7391">
      <c r="A7391" s="4"/>
      <c r="B7391" s="4"/>
      <c r="C7391" s="4"/>
    </row>
    <row r="7392">
      <c r="A7392" s="4"/>
      <c r="B7392" s="4"/>
      <c r="C7392" s="4"/>
    </row>
    <row r="7393">
      <c r="A7393" s="4"/>
      <c r="B7393" s="4"/>
      <c r="C7393" s="4"/>
    </row>
    <row r="7394">
      <c r="A7394" s="4"/>
      <c r="B7394" s="4"/>
      <c r="C7394" s="4"/>
    </row>
    <row r="7395">
      <c r="A7395" s="4"/>
      <c r="B7395" s="4"/>
      <c r="C7395" s="4"/>
    </row>
    <row r="7396">
      <c r="A7396" s="4"/>
      <c r="B7396" s="4"/>
      <c r="C7396" s="4"/>
    </row>
    <row r="7397">
      <c r="A7397" s="4"/>
      <c r="B7397" s="4"/>
      <c r="C7397" s="4"/>
    </row>
    <row r="7398">
      <c r="A7398" s="4"/>
      <c r="B7398" s="4"/>
      <c r="C7398" s="4"/>
    </row>
    <row r="7399">
      <c r="A7399" s="4"/>
      <c r="B7399" s="4"/>
      <c r="C7399" s="4"/>
    </row>
    <row r="7400">
      <c r="A7400" s="4"/>
      <c r="B7400" s="4"/>
      <c r="C7400" s="4"/>
    </row>
    <row r="7401">
      <c r="A7401" s="4"/>
      <c r="B7401" s="4"/>
      <c r="C7401" s="4"/>
    </row>
    <row r="7402">
      <c r="A7402" s="4"/>
      <c r="B7402" s="4"/>
      <c r="C7402" s="4"/>
    </row>
    <row r="7403">
      <c r="A7403" s="4"/>
      <c r="B7403" s="4"/>
      <c r="C7403" s="4"/>
    </row>
    <row r="7404">
      <c r="A7404" s="4"/>
      <c r="B7404" s="4"/>
      <c r="C7404" s="4"/>
    </row>
    <row r="7405">
      <c r="A7405" s="4"/>
      <c r="B7405" s="4"/>
      <c r="C7405" s="4"/>
    </row>
    <row r="7406">
      <c r="A7406" s="4"/>
      <c r="B7406" s="4"/>
      <c r="C7406" s="4"/>
    </row>
    <row r="7407">
      <c r="A7407" s="4"/>
      <c r="B7407" s="4"/>
      <c r="C7407" s="4"/>
    </row>
    <row r="7408">
      <c r="A7408" s="4"/>
      <c r="B7408" s="4"/>
      <c r="C7408" s="4"/>
    </row>
    <row r="7409">
      <c r="A7409" s="4"/>
      <c r="B7409" s="4"/>
      <c r="C7409" s="4"/>
    </row>
    <row r="7410">
      <c r="A7410" s="4"/>
      <c r="B7410" s="4"/>
      <c r="C7410" s="4"/>
    </row>
    <row r="7411">
      <c r="A7411" s="4"/>
      <c r="B7411" s="4"/>
      <c r="C7411" s="4"/>
    </row>
    <row r="7412">
      <c r="A7412" s="4"/>
      <c r="B7412" s="4"/>
      <c r="C7412" s="4"/>
    </row>
    <row r="7413">
      <c r="A7413" s="4"/>
      <c r="B7413" s="4"/>
      <c r="C7413" s="4"/>
    </row>
    <row r="7414">
      <c r="A7414" s="4"/>
      <c r="B7414" s="4"/>
      <c r="C7414" s="4"/>
    </row>
    <row r="7415">
      <c r="A7415" s="4"/>
      <c r="B7415" s="4"/>
      <c r="C7415" s="4"/>
    </row>
    <row r="7416">
      <c r="A7416" s="4"/>
      <c r="B7416" s="4"/>
      <c r="C7416" s="4"/>
    </row>
    <row r="7417">
      <c r="A7417" s="4"/>
      <c r="B7417" s="4"/>
      <c r="C7417" s="4"/>
    </row>
    <row r="7418">
      <c r="A7418" s="4"/>
      <c r="B7418" s="4"/>
      <c r="C7418" s="4"/>
    </row>
    <row r="7419">
      <c r="A7419" s="4"/>
      <c r="B7419" s="4"/>
      <c r="C7419" s="4"/>
    </row>
    <row r="7420">
      <c r="A7420" s="4"/>
      <c r="B7420" s="4"/>
      <c r="C7420" s="4"/>
    </row>
    <row r="7421">
      <c r="A7421" s="4"/>
      <c r="B7421" s="4"/>
      <c r="C7421" s="4"/>
    </row>
    <row r="7422">
      <c r="A7422" s="4"/>
      <c r="B7422" s="4"/>
      <c r="C7422" s="4"/>
    </row>
    <row r="7423">
      <c r="A7423" s="4"/>
      <c r="B7423" s="4"/>
      <c r="C7423" s="4"/>
    </row>
    <row r="7424">
      <c r="A7424" s="4"/>
      <c r="B7424" s="4"/>
      <c r="C7424" s="4"/>
    </row>
    <row r="7425">
      <c r="A7425" s="4"/>
      <c r="B7425" s="4"/>
      <c r="C7425" s="4"/>
    </row>
    <row r="7426">
      <c r="A7426" s="4"/>
      <c r="B7426" s="4"/>
      <c r="C7426" s="4"/>
    </row>
    <row r="7427">
      <c r="A7427" s="4"/>
      <c r="B7427" s="4"/>
      <c r="C7427" s="4"/>
    </row>
    <row r="7428">
      <c r="A7428" s="4"/>
      <c r="B7428" s="4"/>
      <c r="C7428" s="4"/>
    </row>
    <row r="7429">
      <c r="A7429" s="4"/>
      <c r="B7429" s="4"/>
      <c r="C7429" s="4"/>
    </row>
    <row r="7430">
      <c r="A7430" s="4"/>
      <c r="B7430" s="4"/>
      <c r="C7430" s="4"/>
    </row>
    <row r="7431">
      <c r="A7431" s="4"/>
      <c r="B7431" s="4"/>
      <c r="C7431" s="4"/>
    </row>
    <row r="7432">
      <c r="A7432" s="4"/>
      <c r="B7432" s="4"/>
      <c r="C7432" s="4"/>
    </row>
    <row r="7433">
      <c r="A7433" s="4"/>
      <c r="B7433" s="4"/>
      <c r="C7433" s="4"/>
    </row>
    <row r="7434">
      <c r="A7434" s="4"/>
      <c r="B7434" s="4"/>
      <c r="C7434" s="4"/>
    </row>
    <row r="7435">
      <c r="A7435" s="4"/>
      <c r="B7435" s="4"/>
      <c r="C7435" s="4"/>
    </row>
    <row r="7436">
      <c r="A7436" s="4"/>
      <c r="B7436" s="4"/>
      <c r="C7436" s="4"/>
    </row>
    <row r="7437">
      <c r="A7437" s="4"/>
      <c r="B7437" s="4"/>
      <c r="C7437" s="4"/>
    </row>
    <row r="7438">
      <c r="A7438" s="4"/>
      <c r="B7438" s="4"/>
      <c r="C7438" s="4"/>
    </row>
    <row r="7439">
      <c r="A7439" s="4"/>
      <c r="B7439" s="4"/>
      <c r="C7439" s="4"/>
    </row>
    <row r="7440">
      <c r="A7440" s="4"/>
      <c r="B7440" s="4"/>
      <c r="C7440" s="4"/>
    </row>
    <row r="7441">
      <c r="A7441" s="4"/>
      <c r="B7441" s="4"/>
      <c r="C7441" s="4"/>
    </row>
    <row r="7442">
      <c r="A7442" s="4"/>
      <c r="B7442" s="4"/>
      <c r="C7442" s="4"/>
    </row>
    <row r="7443">
      <c r="A7443" s="4"/>
      <c r="B7443" s="4"/>
      <c r="C7443" s="4"/>
    </row>
    <row r="7444">
      <c r="A7444" s="4"/>
      <c r="B7444" s="4"/>
      <c r="C7444" s="4"/>
    </row>
    <row r="7445">
      <c r="A7445" s="4"/>
      <c r="B7445" s="4"/>
      <c r="C7445" s="4"/>
    </row>
    <row r="7446">
      <c r="A7446" s="4"/>
      <c r="B7446" s="4"/>
      <c r="C7446" s="4"/>
    </row>
    <row r="7447">
      <c r="A7447" s="4"/>
      <c r="B7447" s="4"/>
      <c r="C7447" s="4"/>
    </row>
    <row r="7448">
      <c r="A7448" s="4"/>
      <c r="B7448" s="4"/>
      <c r="C7448" s="4"/>
    </row>
    <row r="7449">
      <c r="A7449" s="4"/>
      <c r="B7449" s="4"/>
      <c r="C7449" s="4"/>
    </row>
    <row r="7450">
      <c r="A7450" s="4"/>
      <c r="B7450" s="4"/>
      <c r="C7450" s="4"/>
    </row>
    <row r="7451">
      <c r="A7451" s="4"/>
      <c r="B7451" s="4"/>
      <c r="C7451" s="4"/>
    </row>
    <row r="7452">
      <c r="A7452" s="4"/>
      <c r="B7452" s="4"/>
      <c r="C7452" s="4"/>
    </row>
    <row r="7453">
      <c r="A7453" s="4"/>
      <c r="B7453" s="4"/>
      <c r="C7453" s="4"/>
    </row>
    <row r="7454">
      <c r="A7454" s="4"/>
      <c r="B7454" s="4"/>
      <c r="C7454" s="4"/>
    </row>
    <row r="7455">
      <c r="A7455" s="4"/>
      <c r="B7455" s="4"/>
      <c r="C7455" s="4"/>
    </row>
    <row r="7456">
      <c r="A7456" s="4"/>
      <c r="B7456" s="4"/>
      <c r="C7456" s="4"/>
    </row>
    <row r="7457">
      <c r="A7457" s="4"/>
      <c r="B7457" s="4"/>
      <c r="C7457" s="4"/>
    </row>
    <row r="7458">
      <c r="A7458" s="4"/>
      <c r="B7458" s="4"/>
      <c r="C7458" s="4"/>
    </row>
    <row r="7459">
      <c r="A7459" s="4"/>
      <c r="B7459" s="4"/>
      <c r="C7459" s="4"/>
    </row>
    <row r="7460">
      <c r="A7460" s="4"/>
      <c r="B7460" s="4"/>
      <c r="C7460" s="4"/>
    </row>
    <row r="7461">
      <c r="A7461" s="4"/>
      <c r="B7461" s="4"/>
      <c r="C7461" s="4"/>
    </row>
    <row r="7462">
      <c r="A7462" s="4"/>
      <c r="B7462" s="4"/>
      <c r="C7462" s="4"/>
    </row>
    <row r="7463">
      <c r="A7463" s="4"/>
      <c r="B7463" s="4"/>
      <c r="C7463" s="4"/>
    </row>
    <row r="7464">
      <c r="A7464" s="4"/>
      <c r="B7464" s="4"/>
      <c r="C7464" s="4"/>
    </row>
    <row r="7465">
      <c r="A7465" s="4"/>
      <c r="B7465" s="4"/>
      <c r="C7465" s="4"/>
    </row>
    <row r="7466">
      <c r="A7466" s="4"/>
      <c r="B7466" s="4"/>
      <c r="C7466" s="4"/>
    </row>
    <row r="7467">
      <c r="A7467" s="4"/>
      <c r="B7467" s="4"/>
      <c r="C7467" s="4"/>
    </row>
    <row r="7468">
      <c r="A7468" s="4"/>
      <c r="B7468" s="4"/>
      <c r="C7468" s="4"/>
    </row>
    <row r="7469">
      <c r="A7469" s="4"/>
      <c r="B7469" s="4"/>
      <c r="C7469" s="4"/>
    </row>
    <row r="7470">
      <c r="A7470" s="4"/>
      <c r="B7470" s="4"/>
      <c r="C7470" s="4"/>
    </row>
    <row r="7471">
      <c r="A7471" s="4"/>
      <c r="B7471" s="4"/>
      <c r="C7471" s="4"/>
    </row>
    <row r="7472">
      <c r="A7472" s="4"/>
      <c r="B7472" s="4"/>
      <c r="C7472" s="4"/>
    </row>
    <row r="7473">
      <c r="A7473" s="4"/>
      <c r="B7473" s="4"/>
      <c r="C7473" s="4"/>
    </row>
    <row r="7474">
      <c r="A7474" s="4"/>
      <c r="B7474" s="4"/>
      <c r="C7474" s="4"/>
    </row>
    <row r="7475">
      <c r="A7475" s="4"/>
      <c r="B7475" s="4"/>
      <c r="C7475" s="4"/>
    </row>
    <row r="7476">
      <c r="A7476" s="4"/>
      <c r="B7476" s="4"/>
      <c r="C7476" s="4"/>
    </row>
    <row r="7477">
      <c r="A7477" s="4"/>
      <c r="B7477" s="4"/>
      <c r="C7477" s="4"/>
    </row>
    <row r="7478">
      <c r="A7478" s="4"/>
      <c r="B7478" s="4"/>
      <c r="C7478" s="4"/>
    </row>
    <row r="7479">
      <c r="A7479" s="4"/>
      <c r="B7479" s="4"/>
      <c r="C7479" s="4"/>
    </row>
    <row r="7480">
      <c r="A7480" s="4"/>
      <c r="B7480" s="4"/>
      <c r="C7480" s="4"/>
    </row>
    <row r="7481">
      <c r="A7481" s="4"/>
      <c r="B7481" s="4"/>
      <c r="C7481" s="4"/>
    </row>
    <row r="7482">
      <c r="A7482" s="4"/>
      <c r="B7482" s="4"/>
      <c r="C7482" s="4"/>
    </row>
    <row r="7483">
      <c r="A7483" s="4"/>
      <c r="B7483" s="4"/>
      <c r="C7483" s="4"/>
    </row>
    <row r="7484">
      <c r="A7484" s="4"/>
      <c r="B7484" s="4"/>
      <c r="C7484" s="4"/>
    </row>
    <row r="7485">
      <c r="A7485" s="4"/>
      <c r="B7485" s="4"/>
      <c r="C7485" s="4"/>
    </row>
    <row r="7486">
      <c r="A7486" s="4"/>
      <c r="B7486" s="4"/>
      <c r="C7486" s="4"/>
    </row>
    <row r="7487">
      <c r="A7487" s="4"/>
      <c r="B7487" s="4"/>
      <c r="C7487" s="4"/>
    </row>
    <row r="7488">
      <c r="A7488" s="4"/>
      <c r="B7488" s="4"/>
      <c r="C7488" s="4"/>
    </row>
    <row r="7489">
      <c r="A7489" s="4"/>
      <c r="B7489" s="4"/>
      <c r="C7489" s="4"/>
    </row>
    <row r="7490">
      <c r="A7490" s="4"/>
      <c r="B7490" s="4"/>
      <c r="C7490" s="4"/>
    </row>
    <row r="7491">
      <c r="A7491" s="4"/>
      <c r="B7491" s="4"/>
      <c r="C7491" s="4"/>
    </row>
    <row r="7492">
      <c r="A7492" s="4"/>
      <c r="B7492" s="4"/>
      <c r="C7492" s="4"/>
    </row>
    <row r="7493">
      <c r="A7493" s="4"/>
      <c r="B7493" s="4"/>
      <c r="C7493" s="4"/>
    </row>
    <row r="7494">
      <c r="A7494" s="4"/>
      <c r="B7494" s="4"/>
      <c r="C7494" s="4"/>
    </row>
    <row r="7495">
      <c r="A7495" s="4"/>
      <c r="B7495" s="4"/>
      <c r="C7495" s="4"/>
    </row>
    <row r="7496">
      <c r="A7496" s="4"/>
      <c r="B7496" s="4"/>
      <c r="C7496" s="4"/>
    </row>
    <row r="7497">
      <c r="A7497" s="4"/>
      <c r="B7497" s="4"/>
      <c r="C7497" s="4"/>
    </row>
    <row r="7498">
      <c r="A7498" s="4"/>
      <c r="B7498" s="4"/>
      <c r="C7498" s="4"/>
    </row>
    <row r="7499">
      <c r="A7499" s="4"/>
      <c r="B7499" s="4"/>
      <c r="C7499" s="4"/>
    </row>
    <row r="7500">
      <c r="A7500" s="4"/>
      <c r="B7500" s="4"/>
      <c r="C7500" s="4"/>
    </row>
    <row r="7501">
      <c r="A7501" s="4"/>
      <c r="B7501" s="4"/>
      <c r="C7501" s="4"/>
    </row>
    <row r="7502">
      <c r="A7502" s="4"/>
      <c r="B7502" s="4"/>
      <c r="C7502" s="4"/>
    </row>
    <row r="7503">
      <c r="A7503" s="4"/>
      <c r="B7503" s="4"/>
      <c r="C7503" s="4"/>
    </row>
    <row r="7504">
      <c r="A7504" s="4"/>
      <c r="B7504" s="4"/>
      <c r="C7504" s="4"/>
    </row>
    <row r="7505">
      <c r="A7505" s="4"/>
      <c r="B7505" s="4"/>
      <c r="C7505" s="4"/>
    </row>
    <row r="7506">
      <c r="A7506" s="4"/>
      <c r="B7506" s="4"/>
      <c r="C7506" s="4"/>
    </row>
    <row r="7507">
      <c r="A7507" s="4"/>
      <c r="B7507" s="4"/>
      <c r="C7507" s="4"/>
    </row>
    <row r="7508">
      <c r="A7508" s="4"/>
      <c r="B7508" s="4"/>
      <c r="C7508" s="4"/>
    </row>
    <row r="7509">
      <c r="A7509" s="4"/>
      <c r="B7509" s="4"/>
      <c r="C7509" s="4"/>
    </row>
    <row r="7510">
      <c r="A7510" s="4"/>
      <c r="B7510" s="4"/>
      <c r="C7510" s="4"/>
    </row>
    <row r="7511">
      <c r="A7511" s="4"/>
      <c r="B7511" s="4"/>
      <c r="C7511" s="4"/>
    </row>
    <row r="7512">
      <c r="A7512" s="4"/>
      <c r="B7512" s="4"/>
      <c r="C7512" s="4"/>
    </row>
    <row r="7513">
      <c r="A7513" s="4"/>
      <c r="B7513" s="4"/>
      <c r="C7513" s="4"/>
    </row>
    <row r="7514">
      <c r="A7514" s="4"/>
      <c r="B7514" s="4"/>
      <c r="C7514" s="4"/>
    </row>
    <row r="7515">
      <c r="A7515" s="4"/>
      <c r="B7515" s="4"/>
      <c r="C7515" s="4"/>
    </row>
    <row r="7516">
      <c r="A7516" s="4"/>
      <c r="B7516" s="4"/>
      <c r="C7516" s="4"/>
    </row>
    <row r="7517">
      <c r="A7517" s="4"/>
      <c r="B7517" s="4"/>
      <c r="C7517" s="4"/>
    </row>
    <row r="7518">
      <c r="A7518" s="4"/>
      <c r="B7518" s="4"/>
      <c r="C7518" s="4"/>
    </row>
    <row r="7519">
      <c r="A7519" s="4"/>
      <c r="B7519" s="4"/>
      <c r="C7519" s="4"/>
    </row>
    <row r="7520">
      <c r="A7520" s="4"/>
      <c r="B7520" s="4"/>
      <c r="C7520" s="4"/>
    </row>
    <row r="7521">
      <c r="A7521" s="4"/>
      <c r="B7521" s="4"/>
      <c r="C7521" s="4"/>
    </row>
    <row r="7522">
      <c r="A7522" s="4"/>
      <c r="B7522" s="4"/>
      <c r="C7522" s="4"/>
    </row>
    <row r="7523">
      <c r="A7523" s="4"/>
      <c r="B7523" s="4"/>
      <c r="C7523" s="4"/>
    </row>
    <row r="7524">
      <c r="A7524" s="4"/>
      <c r="B7524" s="4"/>
      <c r="C7524" s="4"/>
    </row>
    <row r="7525">
      <c r="A7525" s="4"/>
      <c r="B7525" s="4"/>
      <c r="C7525" s="4"/>
    </row>
    <row r="7526">
      <c r="A7526" s="4"/>
      <c r="B7526" s="4"/>
      <c r="C7526" s="4"/>
    </row>
    <row r="7527">
      <c r="A7527" s="4"/>
      <c r="B7527" s="4"/>
      <c r="C7527" s="4"/>
    </row>
    <row r="7528">
      <c r="A7528" s="4"/>
      <c r="B7528" s="4"/>
      <c r="C7528" s="4"/>
    </row>
    <row r="7529">
      <c r="A7529" s="4"/>
      <c r="B7529" s="4"/>
      <c r="C7529" s="4"/>
    </row>
    <row r="7530">
      <c r="A7530" s="4"/>
      <c r="B7530" s="4"/>
      <c r="C7530" s="4"/>
    </row>
    <row r="7531">
      <c r="A7531" s="4"/>
      <c r="B7531" s="4"/>
      <c r="C7531" s="4"/>
    </row>
    <row r="7532">
      <c r="A7532" s="4"/>
      <c r="B7532" s="4"/>
      <c r="C7532" s="4"/>
    </row>
    <row r="7533">
      <c r="A7533" s="4"/>
      <c r="B7533" s="4"/>
      <c r="C7533" s="4"/>
    </row>
    <row r="7534">
      <c r="A7534" s="4"/>
      <c r="B7534" s="4"/>
      <c r="C7534" s="4"/>
    </row>
    <row r="7535">
      <c r="A7535" s="4"/>
      <c r="B7535" s="4"/>
      <c r="C7535" s="4"/>
    </row>
    <row r="7536">
      <c r="A7536" s="4"/>
      <c r="B7536" s="4"/>
      <c r="C7536" s="4"/>
    </row>
    <row r="7537">
      <c r="A7537" s="4"/>
      <c r="B7537" s="4"/>
      <c r="C7537" s="4"/>
    </row>
    <row r="7538">
      <c r="A7538" s="4"/>
      <c r="B7538" s="4"/>
      <c r="C7538" s="4"/>
    </row>
    <row r="7539">
      <c r="A7539" s="4"/>
      <c r="B7539" s="4"/>
      <c r="C7539" s="4"/>
    </row>
    <row r="7540">
      <c r="A7540" s="4"/>
      <c r="B7540" s="4"/>
      <c r="C7540" s="4"/>
    </row>
    <row r="7541">
      <c r="A7541" s="4"/>
      <c r="B7541" s="4"/>
      <c r="C7541" s="4"/>
    </row>
    <row r="7542">
      <c r="A7542" s="4"/>
      <c r="B7542" s="4"/>
      <c r="C7542" s="4"/>
    </row>
    <row r="7543">
      <c r="A7543" s="4"/>
      <c r="B7543" s="4"/>
      <c r="C7543" s="4"/>
    </row>
    <row r="7544">
      <c r="A7544" s="4"/>
      <c r="B7544" s="4"/>
      <c r="C7544" s="4"/>
    </row>
    <row r="7545">
      <c r="A7545" s="4"/>
      <c r="B7545" s="4"/>
      <c r="C7545" s="4"/>
    </row>
    <row r="7546">
      <c r="A7546" s="4"/>
      <c r="B7546" s="4"/>
      <c r="C7546" s="4"/>
    </row>
    <row r="7547">
      <c r="A7547" s="4"/>
      <c r="B7547" s="4"/>
      <c r="C7547" s="4"/>
    </row>
    <row r="7548">
      <c r="A7548" s="4"/>
      <c r="B7548" s="4"/>
      <c r="C7548" s="4"/>
    </row>
    <row r="7549">
      <c r="A7549" s="4"/>
      <c r="B7549" s="4"/>
      <c r="C7549" s="4"/>
    </row>
    <row r="7550">
      <c r="A7550" s="4"/>
      <c r="B7550" s="4"/>
      <c r="C7550" s="4"/>
    </row>
    <row r="7551">
      <c r="A7551" s="4"/>
      <c r="B7551" s="4"/>
      <c r="C7551" s="4"/>
    </row>
    <row r="7552">
      <c r="A7552" s="4"/>
      <c r="B7552" s="4"/>
      <c r="C7552" s="4"/>
    </row>
    <row r="7553">
      <c r="A7553" s="4"/>
      <c r="B7553" s="4"/>
      <c r="C7553" s="4"/>
    </row>
    <row r="7554">
      <c r="A7554" s="4"/>
      <c r="B7554" s="4"/>
      <c r="C7554" s="4"/>
    </row>
    <row r="7555">
      <c r="A7555" s="4"/>
      <c r="B7555" s="4"/>
      <c r="C7555" s="4"/>
    </row>
    <row r="7556">
      <c r="A7556" s="4"/>
      <c r="B7556" s="4"/>
      <c r="C7556" s="4"/>
    </row>
    <row r="7557">
      <c r="A7557" s="4"/>
      <c r="B7557" s="4"/>
      <c r="C7557" s="4"/>
    </row>
    <row r="7558">
      <c r="A7558" s="4"/>
      <c r="B7558" s="4"/>
      <c r="C7558" s="4"/>
    </row>
    <row r="7559">
      <c r="A7559" s="4"/>
      <c r="B7559" s="4"/>
      <c r="C7559" s="4"/>
    </row>
    <row r="7560">
      <c r="A7560" s="4"/>
      <c r="B7560" s="4"/>
      <c r="C7560" s="4"/>
    </row>
    <row r="7561">
      <c r="A7561" s="4"/>
      <c r="B7561" s="4"/>
      <c r="C7561" s="4"/>
    </row>
    <row r="7562">
      <c r="A7562" s="4"/>
      <c r="B7562" s="4"/>
      <c r="C7562" s="4"/>
    </row>
    <row r="7563">
      <c r="A7563" s="4"/>
      <c r="B7563" s="4"/>
      <c r="C7563" s="4"/>
    </row>
    <row r="7564">
      <c r="A7564" s="4"/>
      <c r="B7564" s="4"/>
      <c r="C7564" s="4"/>
    </row>
    <row r="7565">
      <c r="A7565" s="4"/>
      <c r="B7565" s="4"/>
      <c r="C7565" s="4"/>
    </row>
    <row r="7566">
      <c r="A7566" s="4"/>
      <c r="B7566" s="4"/>
      <c r="C7566" s="4"/>
    </row>
    <row r="7567">
      <c r="A7567" s="4"/>
      <c r="B7567" s="4"/>
      <c r="C7567" s="4"/>
    </row>
    <row r="7568">
      <c r="A7568" s="4"/>
      <c r="B7568" s="4"/>
      <c r="C7568" s="4"/>
    </row>
    <row r="7569">
      <c r="A7569" s="4"/>
      <c r="B7569" s="4"/>
      <c r="C7569" s="4"/>
    </row>
    <row r="7570">
      <c r="A7570" s="4"/>
      <c r="B7570" s="4"/>
      <c r="C7570" s="4"/>
    </row>
    <row r="7571">
      <c r="A7571" s="4"/>
      <c r="B7571" s="4"/>
      <c r="C7571" s="4"/>
    </row>
    <row r="7572">
      <c r="A7572" s="4"/>
      <c r="B7572" s="4"/>
      <c r="C7572" s="4"/>
    </row>
    <row r="7573">
      <c r="A7573" s="4"/>
      <c r="B7573" s="4"/>
      <c r="C7573" s="4"/>
    </row>
    <row r="7574">
      <c r="A7574" s="4"/>
      <c r="B7574" s="4"/>
      <c r="C7574" s="4"/>
    </row>
    <row r="7575">
      <c r="A7575" s="4"/>
      <c r="B7575" s="4"/>
      <c r="C7575" s="4"/>
    </row>
    <row r="7576">
      <c r="A7576" s="4"/>
      <c r="B7576" s="4"/>
      <c r="C7576" s="4"/>
    </row>
    <row r="7577">
      <c r="A7577" s="4"/>
      <c r="B7577" s="4"/>
      <c r="C7577" s="4"/>
    </row>
    <row r="7578">
      <c r="A7578" s="4"/>
      <c r="B7578" s="4"/>
      <c r="C7578" s="4"/>
    </row>
    <row r="7579">
      <c r="A7579" s="4"/>
      <c r="B7579" s="4"/>
      <c r="C7579" s="4"/>
    </row>
    <row r="7580">
      <c r="A7580" s="4"/>
      <c r="B7580" s="4"/>
      <c r="C7580" s="4"/>
    </row>
    <row r="7581">
      <c r="A7581" s="4"/>
      <c r="B7581" s="4"/>
      <c r="C7581" s="4"/>
    </row>
    <row r="7582">
      <c r="A7582" s="4"/>
      <c r="B7582" s="4"/>
      <c r="C7582" s="4"/>
    </row>
    <row r="7583">
      <c r="A7583" s="4"/>
      <c r="B7583" s="4"/>
      <c r="C7583" s="4"/>
    </row>
    <row r="7584">
      <c r="A7584" s="4"/>
      <c r="B7584" s="4"/>
      <c r="C7584" s="4"/>
    </row>
    <row r="7585">
      <c r="A7585" s="4"/>
      <c r="B7585" s="4"/>
      <c r="C7585" s="4"/>
    </row>
    <row r="7586">
      <c r="A7586" s="4"/>
      <c r="B7586" s="4"/>
      <c r="C7586" s="4"/>
    </row>
    <row r="7587">
      <c r="A7587" s="4"/>
      <c r="B7587" s="4"/>
      <c r="C7587" s="4"/>
    </row>
    <row r="7588">
      <c r="A7588" s="4"/>
      <c r="B7588" s="4"/>
      <c r="C7588" s="4"/>
    </row>
    <row r="7589">
      <c r="A7589" s="4"/>
      <c r="B7589" s="4"/>
      <c r="C7589" s="4"/>
    </row>
    <row r="7590">
      <c r="A7590" s="4"/>
      <c r="B7590" s="4"/>
      <c r="C7590" s="4"/>
    </row>
    <row r="7591">
      <c r="A7591" s="4"/>
      <c r="B7591" s="4"/>
      <c r="C7591" s="4"/>
    </row>
    <row r="7592">
      <c r="A7592" s="4"/>
      <c r="B7592" s="4"/>
      <c r="C7592" s="4"/>
    </row>
    <row r="7593">
      <c r="A7593" s="4"/>
      <c r="B7593" s="4"/>
      <c r="C7593" s="4"/>
    </row>
    <row r="7594">
      <c r="A7594" s="4"/>
      <c r="B7594" s="4"/>
      <c r="C7594" s="4"/>
    </row>
    <row r="7595">
      <c r="A7595" s="4"/>
      <c r="B7595" s="4"/>
      <c r="C7595" s="4"/>
    </row>
    <row r="7596">
      <c r="A7596" s="4"/>
      <c r="B7596" s="4"/>
      <c r="C7596" s="4"/>
    </row>
    <row r="7597">
      <c r="A7597" s="4"/>
      <c r="B7597" s="4"/>
      <c r="C7597" s="4"/>
    </row>
    <row r="7598">
      <c r="A7598" s="4"/>
      <c r="B7598" s="4"/>
      <c r="C7598" s="4"/>
    </row>
    <row r="7599">
      <c r="A7599" s="4"/>
      <c r="B7599" s="4"/>
      <c r="C7599" s="4"/>
    </row>
    <row r="7600">
      <c r="A7600" s="4"/>
      <c r="B7600" s="4"/>
      <c r="C7600" s="4"/>
    </row>
    <row r="7601">
      <c r="A7601" s="4"/>
      <c r="B7601" s="4"/>
      <c r="C7601" s="4"/>
    </row>
    <row r="7602">
      <c r="A7602" s="4"/>
      <c r="B7602" s="4"/>
      <c r="C7602" s="4"/>
    </row>
    <row r="7603">
      <c r="A7603" s="4"/>
      <c r="B7603" s="4"/>
      <c r="C7603" s="4"/>
    </row>
    <row r="7604">
      <c r="A7604" s="4"/>
      <c r="B7604" s="4"/>
      <c r="C7604" s="4"/>
    </row>
    <row r="7605">
      <c r="A7605" s="4"/>
      <c r="B7605" s="4"/>
      <c r="C7605" s="4"/>
    </row>
    <row r="7606">
      <c r="A7606" s="4"/>
      <c r="B7606" s="4"/>
      <c r="C7606" s="4"/>
    </row>
    <row r="7607">
      <c r="A7607" s="4"/>
      <c r="B7607" s="4"/>
      <c r="C7607" s="4"/>
    </row>
    <row r="7608">
      <c r="A7608" s="4"/>
      <c r="B7608" s="4"/>
      <c r="C7608" s="4"/>
    </row>
    <row r="7609">
      <c r="A7609" s="4"/>
      <c r="B7609" s="4"/>
      <c r="C7609" s="4"/>
    </row>
    <row r="7610">
      <c r="A7610" s="4"/>
      <c r="B7610" s="4"/>
      <c r="C7610" s="4"/>
    </row>
    <row r="7611">
      <c r="A7611" s="4"/>
      <c r="B7611" s="4"/>
      <c r="C7611" s="4"/>
    </row>
    <row r="7612">
      <c r="A7612" s="4"/>
      <c r="B7612" s="4"/>
      <c r="C7612" s="4"/>
    </row>
    <row r="7613">
      <c r="A7613" s="4"/>
      <c r="B7613" s="4"/>
      <c r="C7613" s="4"/>
    </row>
    <row r="7614">
      <c r="A7614" s="4"/>
      <c r="B7614" s="4"/>
      <c r="C7614" s="4"/>
    </row>
    <row r="7615">
      <c r="A7615" s="4"/>
      <c r="B7615" s="4"/>
      <c r="C7615" s="4"/>
    </row>
    <row r="7616">
      <c r="A7616" s="4"/>
      <c r="B7616" s="4"/>
      <c r="C7616" s="4"/>
    </row>
    <row r="7617">
      <c r="A7617" s="4"/>
      <c r="B7617" s="4"/>
      <c r="C7617" s="4"/>
    </row>
    <row r="7618">
      <c r="A7618" s="4"/>
      <c r="B7618" s="4"/>
      <c r="C7618" s="4"/>
    </row>
    <row r="7619">
      <c r="A7619" s="4"/>
      <c r="B7619" s="4"/>
      <c r="C7619" s="4"/>
    </row>
    <row r="7620">
      <c r="A7620" s="4"/>
      <c r="B7620" s="4"/>
      <c r="C7620" s="4"/>
    </row>
    <row r="7621">
      <c r="A7621" s="4"/>
      <c r="B7621" s="4"/>
      <c r="C7621" s="4"/>
    </row>
    <row r="7622">
      <c r="A7622" s="4"/>
      <c r="B7622" s="4"/>
      <c r="C7622" s="4"/>
    </row>
    <row r="7623">
      <c r="A7623" s="4"/>
      <c r="B7623" s="4"/>
      <c r="C7623" s="4"/>
    </row>
    <row r="7624">
      <c r="A7624" s="4"/>
      <c r="B7624" s="4"/>
      <c r="C7624" s="4"/>
    </row>
    <row r="7625">
      <c r="A7625" s="4"/>
      <c r="B7625" s="4"/>
      <c r="C7625" s="4"/>
    </row>
    <row r="7626">
      <c r="A7626" s="4"/>
      <c r="B7626" s="4"/>
      <c r="C7626" s="4"/>
    </row>
    <row r="7627">
      <c r="A7627" s="4"/>
      <c r="B7627" s="4"/>
      <c r="C7627" s="4"/>
    </row>
    <row r="7628">
      <c r="A7628" s="4"/>
      <c r="B7628" s="4"/>
      <c r="C7628" s="4"/>
    </row>
    <row r="7629">
      <c r="A7629" s="4"/>
      <c r="B7629" s="4"/>
      <c r="C7629" s="4"/>
    </row>
    <row r="7630">
      <c r="A7630" s="4"/>
      <c r="B7630" s="4"/>
      <c r="C7630" s="4"/>
    </row>
    <row r="7631">
      <c r="A7631" s="4"/>
      <c r="B7631" s="4"/>
      <c r="C7631" s="4"/>
    </row>
    <row r="7632">
      <c r="A7632" s="4"/>
      <c r="B7632" s="4"/>
      <c r="C7632" s="4"/>
    </row>
    <row r="7633">
      <c r="A7633" s="4"/>
      <c r="B7633" s="4"/>
      <c r="C7633" s="4"/>
    </row>
    <row r="7634">
      <c r="A7634" s="4"/>
      <c r="B7634" s="4"/>
      <c r="C7634" s="4"/>
    </row>
    <row r="7635">
      <c r="A7635" s="4"/>
      <c r="B7635" s="4"/>
      <c r="C7635" s="4"/>
    </row>
    <row r="7636">
      <c r="A7636" s="4"/>
      <c r="B7636" s="4"/>
      <c r="C7636" s="4"/>
    </row>
    <row r="7637">
      <c r="A7637" s="4"/>
      <c r="B7637" s="4"/>
      <c r="C7637" s="4"/>
    </row>
    <row r="7638">
      <c r="A7638" s="4"/>
      <c r="B7638" s="4"/>
      <c r="C7638" s="4"/>
    </row>
    <row r="7639">
      <c r="A7639" s="4"/>
      <c r="B7639" s="4"/>
      <c r="C7639" s="4"/>
    </row>
    <row r="7640">
      <c r="A7640" s="4"/>
      <c r="B7640" s="4"/>
      <c r="C7640" s="4"/>
    </row>
    <row r="7641">
      <c r="A7641" s="4"/>
      <c r="B7641" s="4"/>
      <c r="C7641" s="4"/>
    </row>
    <row r="7642">
      <c r="A7642" s="4"/>
      <c r="B7642" s="4"/>
      <c r="C7642" s="4"/>
    </row>
    <row r="7643">
      <c r="A7643" s="4"/>
      <c r="B7643" s="4"/>
      <c r="C7643" s="4"/>
    </row>
    <row r="7644">
      <c r="A7644" s="4"/>
      <c r="B7644" s="4"/>
      <c r="C7644" s="4"/>
    </row>
    <row r="7645">
      <c r="A7645" s="4"/>
      <c r="B7645" s="4"/>
      <c r="C7645" s="4"/>
    </row>
    <row r="7646">
      <c r="A7646" s="4"/>
      <c r="B7646" s="4"/>
      <c r="C7646" s="4"/>
    </row>
    <row r="7647">
      <c r="A7647" s="4"/>
      <c r="B7647" s="4"/>
      <c r="C7647" s="4"/>
    </row>
    <row r="7648">
      <c r="A7648" s="4"/>
      <c r="B7648" s="4"/>
      <c r="C7648" s="4"/>
    </row>
    <row r="7649">
      <c r="A7649" s="4"/>
      <c r="B7649" s="4"/>
      <c r="C7649" s="4"/>
    </row>
    <row r="7650">
      <c r="A7650" s="4"/>
      <c r="B7650" s="4"/>
      <c r="C7650" s="4"/>
    </row>
    <row r="7651">
      <c r="A7651" s="4"/>
      <c r="B7651" s="4"/>
      <c r="C7651" s="4"/>
    </row>
    <row r="7652">
      <c r="A7652" s="4"/>
      <c r="B7652" s="4"/>
      <c r="C7652" s="4"/>
    </row>
    <row r="7653">
      <c r="A7653" s="4"/>
      <c r="B7653" s="4"/>
      <c r="C7653" s="4"/>
    </row>
    <row r="7654">
      <c r="A7654" s="4"/>
      <c r="B7654" s="4"/>
      <c r="C7654" s="4"/>
    </row>
    <row r="7655">
      <c r="A7655" s="4"/>
      <c r="B7655" s="4"/>
      <c r="C7655" s="4"/>
    </row>
    <row r="7656">
      <c r="A7656" s="4"/>
      <c r="B7656" s="4"/>
      <c r="C7656" s="4"/>
    </row>
    <row r="7657">
      <c r="A7657" s="4"/>
      <c r="B7657" s="4"/>
      <c r="C7657" s="4"/>
    </row>
    <row r="7658">
      <c r="A7658" s="4"/>
      <c r="B7658" s="4"/>
      <c r="C7658" s="4"/>
    </row>
    <row r="7659">
      <c r="A7659" s="4"/>
      <c r="B7659" s="4"/>
      <c r="C7659" s="4"/>
    </row>
    <row r="7660">
      <c r="A7660" s="4"/>
      <c r="B7660" s="4"/>
      <c r="C7660" s="4"/>
    </row>
    <row r="7661">
      <c r="A7661" s="4"/>
      <c r="B7661" s="4"/>
      <c r="C7661" s="4"/>
    </row>
    <row r="7662">
      <c r="A7662" s="4"/>
      <c r="B7662" s="4"/>
      <c r="C7662" s="4"/>
    </row>
    <row r="7663">
      <c r="A7663" s="4"/>
      <c r="B7663" s="4"/>
      <c r="C7663" s="4"/>
    </row>
    <row r="7664">
      <c r="A7664" s="4"/>
      <c r="B7664" s="4"/>
      <c r="C7664" s="4"/>
    </row>
    <row r="7665">
      <c r="A7665" s="4"/>
      <c r="B7665" s="4"/>
      <c r="C7665" s="4"/>
    </row>
    <row r="7666">
      <c r="A7666" s="4"/>
      <c r="B7666" s="4"/>
      <c r="C7666" s="4"/>
    </row>
    <row r="7667">
      <c r="A7667" s="4"/>
      <c r="B7667" s="4"/>
      <c r="C7667" s="4"/>
    </row>
    <row r="7668">
      <c r="A7668" s="4"/>
      <c r="B7668" s="4"/>
      <c r="C7668" s="4"/>
    </row>
    <row r="7669">
      <c r="A7669" s="4"/>
      <c r="B7669" s="4"/>
      <c r="C7669" s="4"/>
    </row>
    <row r="7670">
      <c r="A7670" s="4"/>
      <c r="B7670" s="4"/>
      <c r="C7670" s="4"/>
    </row>
    <row r="7671">
      <c r="A7671" s="4"/>
      <c r="B7671" s="4"/>
      <c r="C7671" s="4"/>
    </row>
    <row r="7672">
      <c r="A7672" s="4"/>
      <c r="B7672" s="4"/>
      <c r="C7672" s="4"/>
    </row>
    <row r="7673">
      <c r="A7673" s="4"/>
      <c r="B7673" s="4"/>
      <c r="C7673" s="4"/>
    </row>
    <row r="7674">
      <c r="A7674" s="4"/>
      <c r="B7674" s="4"/>
      <c r="C7674" s="4"/>
    </row>
    <row r="7675">
      <c r="A7675" s="4"/>
      <c r="B7675" s="4"/>
      <c r="C7675" s="4"/>
    </row>
    <row r="7676">
      <c r="A7676" s="4"/>
      <c r="B7676" s="4"/>
      <c r="C7676" s="4"/>
    </row>
    <row r="7677">
      <c r="A7677" s="4"/>
      <c r="B7677" s="4"/>
      <c r="C7677" s="4"/>
    </row>
    <row r="7678">
      <c r="A7678" s="4"/>
      <c r="B7678" s="4"/>
      <c r="C7678" s="4"/>
    </row>
    <row r="7679">
      <c r="A7679" s="4"/>
      <c r="B7679" s="4"/>
      <c r="C7679" s="4"/>
    </row>
    <row r="7680">
      <c r="A7680" s="4"/>
      <c r="B7680" s="4"/>
      <c r="C7680" s="4"/>
    </row>
    <row r="7681">
      <c r="A7681" s="4"/>
      <c r="B7681" s="4"/>
      <c r="C7681" s="4"/>
    </row>
    <row r="7682">
      <c r="A7682" s="4"/>
      <c r="B7682" s="4"/>
      <c r="C7682" s="4"/>
    </row>
    <row r="7683">
      <c r="A7683" s="4"/>
      <c r="B7683" s="4"/>
      <c r="C7683" s="4"/>
    </row>
    <row r="7684">
      <c r="A7684" s="4"/>
      <c r="B7684" s="4"/>
      <c r="C7684" s="4"/>
    </row>
    <row r="7685">
      <c r="A7685" s="4"/>
      <c r="B7685" s="4"/>
      <c r="C7685" s="4"/>
    </row>
    <row r="7686">
      <c r="A7686" s="4"/>
      <c r="B7686" s="4"/>
      <c r="C7686" s="4"/>
    </row>
    <row r="7687">
      <c r="A7687" s="4"/>
      <c r="B7687" s="4"/>
      <c r="C7687" s="4"/>
    </row>
    <row r="7688">
      <c r="A7688" s="4"/>
      <c r="B7688" s="4"/>
      <c r="C7688" s="4"/>
    </row>
    <row r="7689">
      <c r="A7689" s="4"/>
      <c r="B7689" s="4"/>
      <c r="C7689" s="4"/>
    </row>
    <row r="7690">
      <c r="A7690" s="4"/>
      <c r="B7690" s="4"/>
      <c r="C7690" s="4"/>
    </row>
    <row r="7691">
      <c r="A7691" s="4"/>
      <c r="B7691" s="4"/>
      <c r="C7691" s="4"/>
    </row>
    <row r="7692">
      <c r="A7692" s="4"/>
      <c r="B7692" s="4"/>
      <c r="C7692" s="4"/>
    </row>
    <row r="7693">
      <c r="A7693" s="4"/>
      <c r="B7693" s="4"/>
      <c r="C7693" s="4"/>
    </row>
    <row r="7694">
      <c r="A7694" s="4"/>
      <c r="B7694" s="4"/>
      <c r="C7694" s="4"/>
    </row>
    <row r="7695">
      <c r="A7695" s="4"/>
      <c r="B7695" s="4"/>
      <c r="C7695" s="4"/>
    </row>
    <row r="7696">
      <c r="A7696" s="4"/>
      <c r="B7696" s="4"/>
      <c r="C7696" s="4"/>
    </row>
    <row r="7697">
      <c r="A7697" s="4"/>
      <c r="B7697" s="4"/>
      <c r="C7697" s="4"/>
    </row>
    <row r="7698">
      <c r="A7698" s="4"/>
      <c r="B7698" s="4"/>
      <c r="C7698" s="4"/>
    </row>
    <row r="7699">
      <c r="A7699" s="4"/>
      <c r="B7699" s="4"/>
      <c r="C7699" s="4"/>
    </row>
    <row r="7700">
      <c r="A7700" s="4"/>
      <c r="B7700" s="4"/>
      <c r="C7700" s="4"/>
    </row>
    <row r="7701">
      <c r="A7701" s="4"/>
      <c r="B7701" s="4"/>
      <c r="C7701" s="4"/>
    </row>
    <row r="7702">
      <c r="A7702" s="4"/>
      <c r="B7702" s="4"/>
      <c r="C7702" s="4"/>
    </row>
    <row r="7703">
      <c r="A7703" s="4"/>
      <c r="B7703" s="4"/>
      <c r="C7703" s="4"/>
    </row>
    <row r="7704">
      <c r="A7704" s="4"/>
      <c r="B7704" s="4"/>
      <c r="C7704" s="4"/>
    </row>
    <row r="7705">
      <c r="A7705" s="4"/>
      <c r="B7705" s="4"/>
      <c r="C7705" s="4"/>
    </row>
    <row r="7706">
      <c r="A7706" s="4"/>
      <c r="B7706" s="4"/>
      <c r="C7706" s="4"/>
    </row>
    <row r="7707">
      <c r="A7707" s="4"/>
      <c r="B7707" s="4"/>
      <c r="C7707" s="4"/>
    </row>
    <row r="7708">
      <c r="A7708" s="4"/>
      <c r="B7708" s="4"/>
      <c r="C7708" s="4"/>
    </row>
    <row r="7709">
      <c r="A7709" s="4"/>
      <c r="B7709" s="4"/>
      <c r="C7709" s="4"/>
    </row>
    <row r="7710">
      <c r="A7710" s="4"/>
      <c r="B7710" s="4"/>
      <c r="C7710" s="4"/>
    </row>
    <row r="7711">
      <c r="A7711" s="4"/>
      <c r="B7711" s="4"/>
      <c r="C7711" s="4"/>
    </row>
    <row r="7712">
      <c r="A7712" s="4"/>
      <c r="B7712" s="4"/>
      <c r="C7712" s="4"/>
    </row>
    <row r="7713">
      <c r="A7713" s="4"/>
      <c r="B7713" s="4"/>
      <c r="C7713" s="4"/>
    </row>
    <row r="7714">
      <c r="A7714" s="4"/>
      <c r="B7714" s="4"/>
      <c r="C7714" s="4"/>
    </row>
    <row r="7715">
      <c r="A7715" s="4"/>
      <c r="B7715" s="4"/>
      <c r="C7715" s="4"/>
    </row>
    <row r="7716">
      <c r="A7716" s="4"/>
      <c r="B7716" s="4"/>
      <c r="C7716" s="4"/>
    </row>
    <row r="7717">
      <c r="A7717" s="4"/>
      <c r="B7717" s="4"/>
      <c r="C7717" s="4"/>
    </row>
    <row r="7718">
      <c r="A7718" s="4"/>
      <c r="B7718" s="4"/>
      <c r="C7718" s="4"/>
    </row>
    <row r="7719">
      <c r="A7719" s="4"/>
      <c r="B7719" s="4"/>
      <c r="C7719" s="4"/>
    </row>
    <row r="7720">
      <c r="A7720" s="4"/>
      <c r="B7720" s="4"/>
      <c r="C7720" s="4"/>
    </row>
    <row r="7721">
      <c r="A7721" s="4"/>
      <c r="B7721" s="4"/>
      <c r="C7721" s="4"/>
    </row>
    <row r="7722">
      <c r="A7722" s="4"/>
      <c r="B7722" s="4"/>
      <c r="C7722" s="4"/>
    </row>
    <row r="7723">
      <c r="A7723" s="4"/>
      <c r="B7723" s="4"/>
      <c r="C7723" s="4"/>
    </row>
    <row r="7724">
      <c r="A7724" s="4"/>
      <c r="B7724" s="4"/>
      <c r="C7724" s="4"/>
    </row>
    <row r="7725">
      <c r="A7725" s="4"/>
      <c r="B7725" s="4"/>
      <c r="C7725" s="4"/>
    </row>
    <row r="7726">
      <c r="A7726" s="4"/>
      <c r="B7726" s="4"/>
      <c r="C7726" s="4"/>
    </row>
    <row r="7727">
      <c r="A7727" s="4"/>
      <c r="B7727" s="4"/>
      <c r="C7727" s="4"/>
    </row>
    <row r="7728">
      <c r="A7728" s="4"/>
      <c r="B7728" s="4"/>
      <c r="C7728" s="4"/>
    </row>
    <row r="7729">
      <c r="A7729" s="4"/>
      <c r="B7729" s="4"/>
      <c r="C7729" s="4"/>
    </row>
    <row r="7730">
      <c r="A7730" s="4"/>
      <c r="B7730" s="4"/>
      <c r="C7730" s="4"/>
    </row>
    <row r="7731">
      <c r="A7731" s="4"/>
      <c r="B7731" s="4"/>
      <c r="C7731" s="4"/>
    </row>
    <row r="7732">
      <c r="A7732" s="4"/>
      <c r="B7732" s="4"/>
      <c r="C7732" s="4"/>
    </row>
    <row r="7733">
      <c r="A7733" s="4"/>
      <c r="B7733" s="4"/>
      <c r="C7733" s="4"/>
    </row>
    <row r="7734">
      <c r="A7734" s="4"/>
      <c r="B7734" s="4"/>
      <c r="C7734" s="4"/>
    </row>
    <row r="7735">
      <c r="A7735" s="4"/>
      <c r="B7735" s="4"/>
      <c r="C7735" s="4"/>
    </row>
    <row r="7736">
      <c r="A7736" s="4"/>
      <c r="B7736" s="4"/>
      <c r="C7736" s="4"/>
    </row>
    <row r="7737">
      <c r="A7737" s="4"/>
      <c r="B7737" s="4"/>
      <c r="C7737" s="4"/>
    </row>
    <row r="7738">
      <c r="A7738" s="4"/>
      <c r="B7738" s="4"/>
      <c r="C7738" s="4"/>
    </row>
    <row r="7739">
      <c r="A7739" s="4"/>
      <c r="B7739" s="4"/>
      <c r="C7739" s="4"/>
    </row>
    <row r="7740">
      <c r="A7740" s="4"/>
      <c r="B7740" s="4"/>
      <c r="C7740" s="4"/>
    </row>
    <row r="7741">
      <c r="A7741" s="4"/>
      <c r="B7741" s="4"/>
      <c r="C7741" s="4"/>
    </row>
    <row r="7742">
      <c r="A7742" s="4"/>
      <c r="B7742" s="4"/>
      <c r="C7742" s="4"/>
    </row>
    <row r="7743">
      <c r="A7743" s="4"/>
      <c r="B7743" s="4"/>
      <c r="C7743" s="4"/>
    </row>
    <row r="7744">
      <c r="A7744" s="4"/>
      <c r="B7744" s="4"/>
      <c r="C7744" s="4"/>
    </row>
    <row r="7745">
      <c r="A7745" s="4"/>
      <c r="B7745" s="4"/>
      <c r="C7745" s="4"/>
    </row>
    <row r="7746">
      <c r="A7746" s="4"/>
      <c r="B7746" s="4"/>
      <c r="C7746" s="4"/>
    </row>
    <row r="7747">
      <c r="A7747" s="4"/>
      <c r="B7747" s="4"/>
      <c r="C7747" s="4"/>
    </row>
    <row r="7748">
      <c r="A7748" s="4"/>
      <c r="B7748" s="4"/>
      <c r="C7748" s="4"/>
    </row>
    <row r="7749">
      <c r="A7749" s="4"/>
      <c r="B7749" s="4"/>
      <c r="C7749" s="4"/>
    </row>
    <row r="7750">
      <c r="A7750" s="4"/>
      <c r="B7750" s="4"/>
      <c r="C7750" s="4"/>
    </row>
    <row r="7751">
      <c r="A7751" s="4"/>
      <c r="B7751" s="4"/>
      <c r="C7751" s="4"/>
    </row>
    <row r="7752">
      <c r="A7752" s="4"/>
      <c r="B7752" s="4"/>
      <c r="C7752" s="4"/>
    </row>
    <row r="7753">
      <c r="A7753" s="4"/>
      <c r="B7753" s="4"/>
      <c r="C7753" s="4"/>
    </row>
    <row r="7754">
      <c r="A7754" s="4"/>
      <c r="B7754" s="4"/>
      <c r="C7754" s="4"/>
    </row>
    <row r="7755">
      <c r="A7755" s="4"/>
      <c r="B7755" s="4"/>
      <c r="C7755" s="4"/>
    </row>
    <row r="7756">
      <c r="A7756" s="4"/>
      <c r="B7756" s="4"/>
      <c r="C7756" s="4"/>
    </row>
    <row r="7757">
      <c r="A7757" s="4"/>
      <c r="B7757" s="4"/>
      <c r="C7757" s="4"/>
    </row>
    <row r="7758">
      <c r="A7758" s="4"/>
      <c r="B7758" s="4"/>
      <c r="C7758" s="4"/>
    </row>
    <row r="7759">
      <c r="A7759" s="4"/>
      <c r="B7759" s="4"/>
      <c r="C7759" s="4"/>
    </row>
    <row r="7760">
      <c r="A7760" s="4"/>
      <c r="B7760" s="4"/>
      <c r="C7760" s="4"/>
    </row>
    <row r="7761">
      <c r="A7761" s="4"/>
      <c r="B7761" s="4"/>
      <c r="C7761" s="4"/>
    </row>
    <row r="7762">
      <c r="A7762" s="4"/>
      <c r="B7762" s="4"/>
      <c r="C7762" s="4"/>
    </row>
    <row r="7763">
      <c r="A7763" s="4"/>
      <c r="B7763" s="4"/>
      <c r="C7763" s="4"/>
    </row>
    <row r="7764">
      <c r="A7764" s="4"/>
      <c r="B7764" s="4"/>
      <c r="C7764" s="4"/>
    </row>
    <row r="7765">
      <c r="A7765" s="4"/>
      <c r="B7765" s="4"/>
      <c r="C7765" s="4"/>
    </row>
    <row r="7766">
      <c r="A7766" s="4"/>
      <c r="B7766" s="4"/>
      <c r="C7766" s="4"/>
    </row>
    <row r="7767">
      <c r="A7767" s="4"/>
      <c r="B7767" s="4"/>
      <c r="C7767" s="4"/>
    </row>
    <row r="7768">
      <c r="A7768" s="4"/>
      <c r="B7768" s="4"/>
      <c r="C7768" s="4"/>
    </row>
    <row r="7769">
      <c r="A7769" s="4"/>
      <c r="B7769" s="4"/>
      <c r="C7769" s="4"/>
    </row>
    <row r="7770">
      <c r="A7770" s="4"/>
      <c r="B7770" s="4"/>
      <c r="C7770" s="4"/>
    </row>
    <row r="7771">
      <c r="A7771" s="4"/>
      <c r="B7771" s="4"/>
      <c r="C7771" s="4"/>
    </row>
    <row r="7772">
      <c r="A7772" s="4"/>
      <c r="B7772" s="4"/>
      <c r="C7772" s="4"/>
    </row>
    <row r="7773">
      <c r="A7773" s="4"/>
      <c r="B7773" s="4"/>
      <c r="C7773" s="4"/>
    </row>
    <row r="7774">
      <c r="A7774" s="4"/>
      <c r="B7774" s="4"/>
      <c r="C7774" s="4"/>
    </row>
    <row r="7775">
      <c r="A7775" s="4"/>
      <c r="B7775" s="4"/>
      <c r="C7775" s="4"/>
    </row>
    <row r="7776">
      <c r="A7776" s="4"/>
      <c r="B7776" s="4"/>
      <c r="C7776" s="4"/>
    </row>
    <row r="7777">
      <c r="A7777" s="4"/>
      <c r="B7777" s="4"/>
      <c r="C7777" s="4"/>
    </row>
    <row r="7778">
      <c r="A7778" s="4"/>
      <c r="B7778" s="4"/>
      <c r="C7778" s="4"/>
    </row>
    <row r="7779">
      <c r="A7779" s="4"/>
      <c r="B7779" s="4"/>
      <c r="C7779" s="4"/>
    </row>
    <row r="7780">
      <c r="A7780" s="4"/>
      <c r="B7780" s="4"/>
      <c r="C7780" s="4"/>
    </row>
    <row r="7781">
      <c r="A7781" s="4"/>
      <c r="B7781" s="4"/>
      <c r="C7781" s="4"/>
    </row>
    <row r="7782">
      <c r="A7782" s="4"/>
      <c r="B7782" s="4"/>
      <c r="C7782" s="4"/>
    </row>
    <row r="7783">
      <c r="A7783" s="4"/>
      <c r="B7783" s="4"/>
      <c r="C7783" s="4"/>
    </row>
    <row r="7784">
      <c r="A7784" s="4"/>
      <c r="B7784" s="4"/>
      <c r="C7784" s="4"/>
    </row>
    <row r="7785">
      <c r="A7785" s="4"/>
      <c r="B7785" s="4"/>
      <c r="C7785" s="4"/>
    </row>
    <row r="7786">
      <c r="A7786" s="4"/>
      <c r="B7786" s="4"/>
      <c r="C7786" s="4"/>
    </row>
    <row r="7787">
      <c r="A7787" s="4"/>
      <c r="B7787" s="4"/>
      <c r="C7787" s="4"/>
    </row>
    <row r="7788">
      <c r="A7788" s="4"/>
      <c r="B7788" s="4"/>
      <c r="C7788" s="4"/>
    </row>
    <row r="7789">
      <c r="A7789" s="4"/>
      <c r="B7789" s="4"/>
      <c r="C7789" s="4"/>
    </row>
    <row r="7790">
      <c r="A7790" s="4"/>
      <c r="B7790" s="4"/>
      <c r="C7790" s="4"/>
    </row>
    <row r="7791">
      <c r="A7791" s="4"/>
      <c r="B7791" s="4"/>
      <c r="C7791" s="4"/>
    </row>
    <row r="7792">
      <c r="A7792" s="4"/>
      <c r="B7792" s="4"/>
      <c r="C7792" s="4"/>
    </row>
    <row r="7793">
      <c r="A7793" s="4"/>
      <c r="B7793" s="4"/>
      <c r="C7793" s="4"/>
    </row>
    <row r="7794">
      <c r="A7794" s="4"/>
      <c r="B7794" s="4"/>
      <c r="C7794" s="4"/>
    </row>
    <row r="7795">
      <c r="A7795" s="4"/>
      <c r="B7795" s="4"/>
      <c r="C7795" s="4"/>
    </row>
    <row r="7796">
      <c r="A7796" s="4"/>
      <c r="B7796" s="4"/>
      <c r="C7796" s="4"/>
    </row>
    <row r="7797">
      <c r="A7797" s="4"/>
      <c r="B7797" s="4"/>
      <c r="C7797" s="4"/>
    </row>
    <row r="7798">
      <c r="A7798" s="4"/>
      <c r="B7798" s="4"/>
      <c r="C7798" s="4"/>
    </row>
    <row r="7799">
      <c r="A7799" s="4"/>
      <c r="B7799" s="4"/>
      <c r="C7799" s="4"/>
    </row>
    <row r="7800">
      <c r="A7800" s="4"/>
      <c r="B7800" s="4"/>
      <c r="C7800" s="4"/>
    </row>
    <row r="7801">
      <c r="A7801" s="4"/>
      <c r="B7801" s="4"/>
      <c r="C7801" s="4"/>
    </row>
    <row r="7802">
      <c r="A7802" s="4"/>
      <c r="B7802" s="4"/>
      <c r="C7802" s="4"/>
    </row>
    <row r="7803">
      <c r="A7803" s="4"/>
      <c r="B7803" s="4"/>
      <c r="C7803" s="4"/>
    </row>
    <row r="7804">
      <c r="A7804" s="4"/>
      <c r="B7804" s="4"/>
      <c r="C7804" s="4"/>
    </row>
    <row r="7805">
      <c r="A7805" s="4"/>
      <c r="B7805" s="4"/>
      <c r="C7805" s="4"/>
    </row>
    <row r="7806">
      <c r="A7806" s="4"/>
      <c r="B7806" s="4"/>
      <c r="C7806" s="4"/>
    </row>
    <row r="7807">
      <c r="A7807" s="4"/>
      <c r="B7807" s="4"/>
      <c r="C7807" s="4"/>
    </row>
    <row r="7808">
      <c r="A7808" s="4"/>
      <c r="B7808" s="4"/>
      <c r="C7808" s="4"/>
    </row>
    <row r="7809">
      <c r="A7809" s="4"/>
      <c r="B7809" s="4"/>
      <c r="C7809" s="4"/>
    </row>
    <row r="7810">
      <c r="A7810" s="4"/>
      <c r="B7810" s="4"/>
      <c r="C7810" s="4"/>
    </row>
    <row r="7811">
      <c r="A7811" s="4"/>
      <c r="B7811" s="4"/>
      <c r="C7811" s="4"/>
    </row>
    <row r="7812">
      <c r="A7812" s="4"/>
      <c r="B7812" s="4"/>
      <c r="C7812" s="4"/>
    </row>
    <row r="7813">
      <c r="A7813" s="4"/>
      <c r="B7813" s="4"/>
      <c r="C7813" s="4"/>
    </row>
    <row r="7814">
      <c r="A7814" s="4"/>
      <c r="B7814" s="4"/>
      <c r="C7814" s="4"/>
    </row>
    <row r="7815">
      <c r="A7815" s="4"/>
      <c r="B7815" s="4"/>
      <c r="C7815" s="4"/>
    </row>
    <row r="7816">
      <c r="A7816" s="4"/>
      <c r="B7816" s="4"/>
      <c r="C7816" s="4"/>
    </row>
    <row r="7817">
      <c r="A7817" s="4"/>
      <c r="B7817" s="4"/>
      <c r="C7817" s="4"/>
    </row>
    <row r="7818">
      <c r="A7818" s="4"/>
      <c r="B7818" s="4"/>
      <c r="C7818" s="4"/>
    </row>
    <row r="7819">
      <c r="A7819" s="4"/>
      <c r="B7819" s="4"/>
      <c r="C7819" s="4"/>
    </row>
    <row r="7820">
      <c r="A7820" s="4"/>
      <c r="B7820" s="4"/>
      <c r="C7820" s="4"/>
    </row>
    <row r="7821">
      <c r="A7821" s="4"/>
      <c r="B7821" s="4"/>
      <c r="C7821" s="4"/>
    </row>
    <row r="7822">
      <c r="A7822" s="4"/>
      <c r="B7822" s="4"/>
      <c r="C7822" s="4"/>
    </row>
    <row r="7823">
      <c r="A7823" s="4"/>
      <c r="B7823" s="4"/>
      <c r="C7823" s="4"/>
    </row>
    <row r="7824">
      <c r="A7824" s="4"/>
      <c r="B7824" s="4"/>
      <c r="C7824" s="4"/>
    </row>
    <row r="7825">
      <c r="A7825" s="4"/>
      <c r="B7825" s="4"/>
      <c r="C7825" s="4"/>
    </row>
    <row r="7826">
      <c r="A7826" s="4"/>
      <c r="B7826" s="4"/>
      <c r="C7826" s="4"/>
    </row>
    <row r="7827">
      <c r="A7827" s="4"/>
      <c r="B7827" s="4"/>
      <c r="C7827" s="4"/>
    </row>
    <row r="7828">
      <c r="A7828" s="4"/>
      <c r="B7828" s="4"/>
      <c r="C7828" s="4"/>
    </row>
    <row r="7829">
      <c r="A7829" s="4"/>
      <c r="B7829" s="4"/>
      <c r="C7829" s="4"/>
    </row>
    <row r="7830">
      <c r="A7830" s="4"/>
      <c r="B7830" s="4"/>
      <c r="C7830" s="4"/>
    </row>
    <row r="7831">
      <c r="A7831" s="4"/>
      <c r="B7831" s="4"/>
      <c r="C7831" s="4"/>
    </row>
    <row r="7832">
      <c r="A7832" s="4"/>
      <c r="B7832" s="4"/>
      <c r="C7832" s="4"/>
    </row>
    <row r="7833">
      <c r="A7833" s="4"/>
      <c r="B7833" s="4"/>
      <c r="C7833" s="4"/>
    </row>
    <row r="7834">
      <c r="A7834" s="4"/>
      <c r="B7834" s="4"/>
      <c r="C7834" s="4"/>
    </row>
    <row r="7835">
      <c r="A7835" s="4"/>
      <c r="B7835" s="4"/>
      <c r="C7835" s="4"/>
    </row>
    <row r="7836">
      <c r="A7836" s="4"/>
      <c r="B7836" s="4"/>
      <c r="C7836" s="4"/>
    </row>
    <row r="7837">
      <c r="A7837" s="4"/>
      <c r="B7837" s="4"/>
      <c r="C7837" s="4"/>
    </row>
    <row r="7838">
      <c r="A7838" s="4"/>
      <c r="B7838" s="4"/>
      <c r="C7838" s="4"/>
    </row>
    <row r="7839">
      <c r="A7839" s="4"/>
      <c r="B7839" s="4"/>
      <c r="C7839" s="4"/>
    </row>
    <row r="7840">
      <c r="A7840" s="4"/>
      <c r="B7840" s="4"/>
      <c r="C7840" s="4"/>
    </row>
    <row r="7841">
      <c r="A7841" s="4"/>
      <c r="B7841" s="4"/>
      <c r="C7841" s="4"/>
    </row>
    <row r="7842">
      <c r="A7842" s="4"/>
      <c r="B7842" s="4"/>
      <c r="C7842" s="4"/>
    </row>
    <row r="7843">
      <c r="A7843" s="4"/>
      <c r="B7843" s="4"/>
      <c r="C7843" s="4"/>
    </row>
    <row r="7844">
      <c r="A7844" s="4"/>
      <c r="B7844" s="4"/>
      <c r="C7844" s="4"/>
    </row>
    <row r="7845">
      <c r="A7845" s="4"/>
      <c r="B7845" s="4"/>
      <c r="C7845" s="4"/>
    </row>
    <row r="7846">
      <c r="A7846" s="4"/>
      <c r="B7846" s="4"/>
      <c r="C7846" s="4"/>
    </row>
    <row r="7847">
      <c r="A7847" s="4"/>
      <c r="B7847" s="4"/>
      <c r="C7847" s="4"/>
    </row>
    <row r="7848">
      <c r="A7848" s="4"/>
      <c r="B7848" s="4"/>
      <c r="C7848" s="4"/>
    </row>
    <row r="7849">
      <c r="A7849" s="4"/>
      <c r="B7849" s="4"/>
      <c r="C7849" s="4"/>
    </row>
    <row r="7850">
      <c r="A7850" s="4"/>
      <c r="B7850" s="4"/>
      <c r="C7850" s="4"/>
    </row>
    <row r="7851">
      <c r="A7851" s="4"/>
      <c r="B7851" s="4"/>
      <c r="C7851" s="4"/>
    </row>
    <row r="7852">
      <c r="A7852" s="4"/>
      <c r="B7852" s="4"/>
      <c r="C7852" s="4"/>
    </row>
    <row r="7853">
      <c r="A7853" s="4"/>
      <c r="B7853" s="4"/>
      <c r="C7853" s="4"/>
    </row>
    <row r="7854">
      <c r="A7854" s="4"/>
      <c r="B7854" s="4"/>
      <c r="C7854" s="4"/>
    </row>
    <row r="7855">
      <c r="A7855" s="4"/>
      <c r="B7855" s="4"/>
      <c r="C7855" s="4"/>
    </row>
    <row r="7856">
      <c r="A7856" s="4"/>
      <c r="B7856" s="4"/>
      <c r="C7856" s="4"/>
    </row>
    <row r="7857">
      <c r="A7857" s="4"/>
      <c r="B7857" s="4"/>
      <c r="C7857" s="4"/>
    </row>
    <row r="7858">
      <c r="A7858" s="4"/>
      <c r="B7858" s="4"/>
      <c r="C7858" s="4"/>
    </row>
    <row r="7859">
      <c r="A7859" s="4"/>
      <c r="B7859" s="4"/>
      <c r="C7859" s="4"/>
    </row>
    <row r="7860">
      <c r="A7860" s="4"/>
      <c r="B7860" s="4"/>
      <c r="C7860" s="4"/>
    </row>
    <row r="7861">
      <c r="A7861" s="4"/>
      <c r="B7861" s="4"/>
      <c r="C7861" s="4"/>
    </row>
    <row r="7862">
      <c r="A7862" s="4"/>
      <c r="B7862" s="4"/>
      <c r="C7862" s="4"/>
    </row>
    <row r="7863">
      <c r="A7863" s="4"/>
      <c r="B7863" s="4"/>
      <c r="C7863" s="4"/>
    </row>
    <row r="7864">
      <c r="A7864" s="4"/>
      <c r="B7864" s="4"/>
      <c r="C7864" s="4"/>
    </row>
    <row r="7865">
      <c r="A7865" s="4"/>
      <c r="B7865" s="4"/>
      <c r="C7865" s="4"/>
    </row>
    <row r="7866">
      <c r="A7866" s="4"/>
      <c r="B7866" s="4"/>
      <c r="C7866" s="4"/>
    </row>
    <row r="7867">
      <c r="A7867" s="4"/>
      <c r="B7867" s="4"/>
      <c r="C7867" s="4"/>
    </row>
    <row r="7868">
      <c r="A7868" s="4"/>
      <c r="B7868" s="4"/>
      <c r="C7868" s="4"/>
    </row>
    <row r="7869">
      <c r="A7869" s="4"/>
      <c r="B7869" s="4"/>
      <c r="C7869" s="4"/>
    </row>
    <row r="7870">
      <c r="A7870" s="4"/>
      <c r="B7870" s="4"/>
      <c r="C7870" s="4"/>
    </row>
    <row r="7871">
      <c r="A7871" s="4"/>
      <c r="B7871" s="4"/>
      <c r="C7871" s="4"/>
    </row>
    <row r="7872">
      <c r="A7872" s="4"/>
      <c r="B7872" s="4"/>
      <c r="C7872" s="4"/>
    </row>
    <row r="7873">
      <c r="A7873" s="4"/>
      <c r="B7873" s="4"/>
      <c r="C7873" s="4"/>
    </row>
    <row r="7874">
      <c r="A7874" s="4"/>
      <c r="B7874" s="4"/>
      <c r="C7874" s="4"/>
    </row>
    <row r="7875">
      <c r="A7875" s="4"/>
      <c r="B7875" s="4"/>
      <c r="C7875" s="4"/>
    </row>
    <row r="7876">
      <c r="A7876" s="4"/>
      <c r="B7876" s="4"/>
      <c r="C7876" s="4"/>
    </row>
    <row r="7877">
      <c r="A7877" s="4"/>
      <c r="B7877" s="4"/>
      <c r="C7877" s="4"/>
    </row>
    <row r="7878">
      <c r="A7878" s="4"/>
      <c r="B7878" s="4"/>
      <c r="C7878" s="4"/>
    </row>
    <row r="7879">
      <c r="A7879" s="4"/>
      <c r="B7879" s="4"/>
      <c r="C7879" s="4"/>
    </row>
    <row r="7880">
      <c r="A7880" s="4"/>
      <c r="B7880" s="4"/>
      <c r="C7880" s="4"/>
    </row>
    <row r="7881">
      <c r="A7881" s="4"/>
      <c r="B7881" s="4"/>
      <c r="C7881" s="4"/>
    </row>
    <row r="7882">
      <c r="A7882" s="4"/>
      <c r="B7882" s="4"/>
      <c r="C7882" s="4"/>
    </row>
    <row r="7883">
      <c r="A7883" s="4"/>
      <c r="B7883" s="4"/>
      <c r="C7883" s="4"/>
    </row>
    <row r="7884">
      <c r="A7884" s="4"/>
      <c r="B7884" s="4"/>
      <c r="C7884" s="4"/>
    </row>
    <row r="7885">
      <c r="A7885" s="4"/>
      <c r="B7885" s="4"/>
      <c r="C7885" s="4"/>
    </row>
    <row r="7886">
      <c r="A7886" s="4"/>
      <c r="B7886" s="4"/>
      <c r="C7886" s="4"/>
    </row>
    <row r="7887">
      <c r="A7887" s="4"/>
      <c r="B7887" s="4"/>
      <c r="C7887" s="4"/>
    </row>
    <row r="7888">
      <c r="A7888" s="4"/>
      <c r="B7888" s="4"/>
      <c r="C7888" s="4"/>
    </row>
    <row r="7889">
      <c r="A7889" s="4"/>
      <c r="B7889" s="4"/>
      <c r="C7889" s="4"/>
    </row>
    <row r="7890">
      <c r="A7890" s="4"/>
      <c r="B7890" s="4"/>
      <c r="C7890" s="4"/>
    </row>
    <row r="7891">
      <c r="A7891" s="4"/>
      <c r="B7891" s="4"/>
      <c r="C7891" s="4"/>
    </row>
    <row r="7892">
      <c r="A7892" s="4"/>
      <c r="B7892" s="4"/>
      <c r="C7892" s="4"/>
    </row>
    <row r="7893">
      <c r="A7893" s="4"/>
      <c r="B7893" s="4"/>
      <c r="C7893" s="4"/>
    </row>
    <row r="7894">
      <c r="A7894" s="4"/>
      <c r="B7894" s="4"/>
      <c r="C7894" s="4"/>
    </row>
    <row r="7895">
      <c r="A7895" s="4"/>
      <c r="B7895" s="4"/>
      <c r="C7895" s="4"/>
    </row>
    <row r="7896">
      <c r="A7896" s="4"/>
      <c r="B7896" s="4"/>
      <c r="C7896" s="4"/>
    </row>
    <row r="7897">
      <c r="A7897" s="4"/>
      <c r="B7897" s="4"/>
      <c r="C7897" s="4"/>
    </row>
    <row r="7898">
      <c r="A7898" s="4"/>
      <c r="B7898" s="4"/>
      <c r="C7898" s="4"/>
    </row>
    <row r="7899">
      <c r="A7899" s="4"/>
      <c r="B7899" s="4"/>
      <c r="C7899" s="4"/>
    </row>
    <row r="7900">
      <c r="A7900" s="4"/>
      <c r="B7900" s="4"/>
      <c r="C7900" s="4"/>
    </row>
    <row r="7901">
      <c r="A7901" s="4"/>
      <c r="B7901" s="4"/>
      <c r="C7901" s="4"/>
    </row>
    <row r="7902">
      <c r="A7902" s="4"/>
      <c r="B7902" s="4"/>
      <c r="C7902" s="4"/>
    </row>
    <row r="7903">
      <c r="A7903" s="4"/>
      <c r="B7903" s="4"/>
      <c r="C7903" s="4"/>
    </row>
    <row r="7904">
      <c r="A7904" s="4"/>
      <c r="B7904" s="4"/>
      <c r="C7904" s="4"/>
    </row>
    <row r="7905">
      <c r="A7905" s="4"/>
      <c r="B7905" s="4"/>
      <c r="C7905" s="4"/>
    </row>
    <row r="7906">
      <c r="A7906" s="4"/>
      <c r="B7906" s="4"/>
      <c r="C7906" s="4"/>
    </row>
    <row r="7907">
      <c r="A7907" s="4"/>
      <c r="B7907" s="4"/>
      <c r="C7907" s="4"/>
    </row>
    <row r="7908">
      <c r="A7908" s="4"/>
      <c r="B7908" s="4"/>
      <c r="C7908" s="4"/>
    </row>
    <row r="7909">
      <c r="A7909" s="4"/>
      <c r="B7909" s="4"/>
      <c r="C7909" s="4"/>
    </row>
    <row r="7910">
      <c r="A7910" s="4"/>
      <c r="B7910" s="4"/>
      <c r="C7910" s="4"/>
    </row>
    <row r="7911">
      <c r="A7911" s="4"/>
      <c r="B7911" s="4"/>
      <c r="C7911" s="4"/>
    </row>
    <row r="7912">
      <c r="A7912" s="4"/>
      <c r="B7912" s="4"/>
      <c r="C7912" s="4"/>
    </row>
    <row r="7913">
      <c r="A7913" s="4"/>
      <c r="B7913" s="4"/>
      <c r="C7913" s="4"/>
    </row>
    <row r="7914">
      <c r="A7914" s="4"/>
      <c r="B7914" s="4"/>
      <c r="C7914" s="4"/>
    </row>
    <row r="7915">
      <c r="A7915" s="4"/>
      <c r="B7915" s="4"/>
      <c r="C7915" s="4"/>
    </row>
    <row r="7916">
      <c r="A7916" s="4"/>
      <c r="B7916" s="4"/>
      <c r="C7916" s="4"/>
    </row>
    <row r="7917">
      <c r="A7917" s="4"/>
      <c r="B7917" s="4"/>
      <c r="C7917" s="4"/>
    </row>
    <row r="7918">
      <c r="A7918" s="4"/>
      <c r="B7918" s="4"/>
      <c r="C7918" s="4"/>
    </row>
    <row r="7919">
      <c r="A7919" s="4"/>
      <c r="B7919" s="4"/>
      <c r="C7919" s="4"/>
    </row>
    <row r="7920">
      <c r="A7920" s="4"/>
      <c r="B7920" s="4"/>
      <c r="C7920" s="4"/>
    </row>
    <row r="7921">
      <c r="A7921" s="4"/>
      <c r="B7921" s="4"/>
      <c r="C7921" s="4"/>
    </row>
    <row r="7922">
      <c r="A7922" s="4"/>
      <c r="B7922" s="4"/>
      <c r="C7922" s="4"/>
    </row>
    <row r="7923">
      <c r="A7923" s="4"/>
      <c r="B7923" s="4"/>
      <c r="C7923" s="4"/>
    </row>
    <row r="7924">
      <c r="A7924" s="4"/>
      <c r="B7924" s="4"/>
      <c r="C7924" s="4"/>
    </row>
    <row r="7925">
      <c r="A7925" s="4"/>
      <c r="B7925" s="4"/>
      <c r="C7925" s="4"/>
    </row>
    <row r="7926">
      <c r="A7926" s="4"/>
      <c r="B7926" s="4"/>
      <c r="C7926" s="4"/>
    </row>
    <row r="7927">
      <c r="A7927" s="4"/>
      <c r="B7927" s="4"/>
      <c r="C7927" s="4"/>
    </row>
    <row r="7928">
      <c r="A7928" s="4"/>
      <c r="B7928" s="4"/>
      <c r="C7928" s="4"/>
    </row>
    <row r="7929">
      <c r="A7929" s="4"/>
      <c r="B7929" s="4"/>
      <c r="C7929" s="4"/>
    </row>
    <row r="7930">
      <c r="A7930" s="4"/>
      <c r="B7930" s="4"/>
      <c r="C7930" s="4"/>
    </row>
    <row r="7931">
      <c r="A7931" s="4"/>
      <c r="B7931" s="4"/>
      <c r="C7931" s="4"/>
    </row>
    <row r="7932">
      <c r="A7932" s="4"/>
      <c r="B7932" s="4"/>
      <c r="C7932" s="4"/>
    </row>
    <row r="7933">
      <c r="A7933" s="4"/>
      <c r="B7933" s="4"/>
      <c r="C7933" s="4"/>
    </row>
    <row r="7934">
      <c r="A7934" s="4"/>
      <c r="B7934" s="4"/>
      <c r="C7934" s="4"/>
    </row>
    <row r="7935">
      <c r="A7935" s="4"/>
      <c r="B7935" s="4"/>
      <c r="C7935" s="4"/>
    </row>
    <row r="7936">
      <c r="A7936" s="4"/>
      <c r="B7936" s="4"/>
      <c r="C7936" s="4"/>
    </row>
    <row r="7937">
      <c r="A7937" s="4"/>
      <c r="B7937" s="4"/>
      <c r="C7937" s="4"/>
    </row>
    <row r="7938">
      <c r="A7938" s="4"/>
      <c r="B7938" s="4"/>
      <c r="C7938" s="4"/>
    </row>
    <row r="7939">
      <c r="A7939" s="4"/>
      <c r="B7939" s="4"/>
      <c r="C7939" s="4"/>
    </row>
    <row r="7940">
      <c r="A7940" s="4"/>
      <c r="B7940" s="4"/>
      <c r="C7940" s="4"/>
    </row>
    <row r="7941">
      <c r="A7941" s="4"/>
      <c r="B7941" s="4"/>
      <c r="C7941" s="4"/>
    </row>
    <row r="7942">
      <c r="A7942" s="4"/>
      <c r="B7942" s="4"/>
      <c r="C7942" s="4"/>
    </row>
    <row r="7943">
      <c r="A7943" s="4"/>
      <c r="B7943" s="4"/>
      <c r="C7943" s="4"/>
    </row>
    <row r="7944">
      <c r="A7944" s="4"/>
      <c r="B7944" s="4"/>
      <c r="C7944" s="4"/>
    </row>
    <row r="7945">
      <c r="A7945" s="4"/>
      <c r="B7945" s="4"/>
      <c r="C7945" s="4"/>
    </row>
    <row r="7946">
      <c r="A7946" s="4"/>
      <c r="B7946" s="4"/>
      <c r="C7946" s="4"/>
    </row>
    <row r="7947">
      <c r="A7947" s="4"/>
      <c r="B7947" s="4"/>
      <c r="C7947" s="4"/>
    </row>
    <row r="7948">
      <c r="A7948" s="4"/>
      <c r="B7948" s="4"/>
      <c r="C7948" s="4"/>
    </row>
    <row r="7949">
      <c r="A7949" s="4"/>
      <c r="B7949" s="4"/>
      <c r="C7949" s="4"/>
    </row>
    <row r="7950">
      <c r="A7950" s="4"/>
      <c r="B7950" s="4"/>
      <c r="C7950" s="4"/>
    </row>
    <row r="7951">
      <c r="A7951" s="4"/>
      <c r="B7951" s="4"/>
      <c r="C7951" s="4"/>
    </row>
    <row r="7952">
      <c r="A7952" s="4"/>
      <c r="B7952" s="4"/>
      <c r="C7952" s="4"/>
    </row>
    <row r="7953">
      <c r="A7953" s="4"/>
      <c r="B7953" s="4"/>
      <c r="C7953" s="4"/>
    </row>
    <row r="7954">
      <c r="A7954" s="4"/>
      <c r="B7954" s="4"/>
      <c r="C7954" s="4"/>
    </row>
    <row r="7955">
      <c r="A7955" s="4"/>
      <c r="B7955" s="4"/>
      <c r="C7955" s="4"/>
    </row>
    <row r="7956">
      <c r="A7956" s="4"/>
      <c r="B7956" s="4"/>
      <c r="C7956" s="4"/>
    </row>
    <row r="7957">
      <c r="A7957" s="4"/>
      <c r="B7957" s="4"/>
      <c r="C7957" s="4"/>
    </row>
    <row r="7958">
      <c r="A7958" s="4"/>
      <c r="B7958" s="4"/>
      <c r="C7958" s="4"/>
    </row>
    <row r="7959">
      <c r="A7959" s="4"/>
      <c r="B7959" s="4"/>
      <c r="C7959" s="4"/>
    </row>
    <row r="7960">
      <c r="A7960" s="4"/>
      <c r="B7960" s="4"/>
      <c r="C7960" s="4"/>
    </row>
    <row r="7961">
      <c r="A7961" s="4"/>
      <c r="B7961" s="4"/>
      <c r="C7961" s="4"/>
    </row>
    <row r="7962">
      <c r="A7962" s="4"/>
      <c r="B7962" s="4"/>
      <c r="C7962" s="4"/>
    </row>
    <row r="7963">
      <c r="A7963" s="4"/>
      <c r="B7963" s="4"/>
      <c r="C7963" s="4"/>
    </row>
    <row r="7964">
      <c r="A7964" s="4"/>
      <c r="B7964" s="4"/>
      <c r="C7964" s="4"/>
    </row>
    <row r="7965">
      <c r="A7965" s="4"/>
      <c r="B7965" s="4"/>
      <c r="C7965" s="4"/>
    </row>
    <row r="7966">
      <c r="A7966" s="4"/>
      <c r="B7966" s="4"/>
      <c r="C7966" s="4"/>
    </row>
    <row r="7967">
      <c r="A7967" s="4"/>
      <c r="B7967" s="4"/>
      <c r="C7967" s="4"/>
    </row>
    <row r="7968">
      <c r="A7968" s="4"/>
      <c r="B7968" s="4"/>
      <c r="C7968" s="4"/>
    </row>
    <row r="7969">
      <c r="A7969" s="4"/>
      <c r="B7969" s="4"/>
      <c r="C7969" s="4"/>
    </row>
    <row r="7970">
      <c r="A7970" s="4"/>
      <c r="B7970" s="4"/>
      <c r="C7970" s="4"/>
    </row>
    <row r="7971">
      <c r="A7971" s="4"/>
      <c r="B7971" s="4"/>
      <c r="C7971" s="4"/>
    </row>
    <row r="7972">
      <c r="A7972" s="4"/>
      <c r="B7972" s="4"/>
      <c r="C7972" s="4"/>
    </row>
    <row r="7973">
      <c r="A7973" s="4"/>
      <c r="B7973" s="4"/>
      <c r="C7973" s="4"/>
    </row>
    <row r="7974">
      <c r="A7974" s="4"/>
      <c r="B7974" s="4"/>
      <c r="C7974" s="4"/>
    </row>
    <row r="7975">
      <c r="A7975" s="4"/>
      <c r="B7975" s="4"/>
      <c r="C7975" s="4"/>
    </row>
    <row r="7976">
      <c r="A7976" s="4"/>
      <c r="B7976" s="4"/>
      <c r="C7976" s="4"/>
    </row>
    <row r="7977">
      <c r="A7977" s="4"/>
      <c r="B7977" s="4"/>
      <c r="C7977" s="4"/>
    </row>
    <row r="7978">
      <c r="A7978" s="4"/>
      <c r="B7978" s="4"/>
      <c r="C7978" s="4"/>
    </row>
    <row r="7979">
      <c r="A7979" s="4"/>
      <c r="B7979" s="4"/>
      <c r="C7979" s="4"/>
    </row>
    <row r="7980">
      <c r="A7980" s="4"/>
      <c r="B7980" s="4"/>
      <c r="C7980" s="4"/>
    </row>
    <row r="7981">
      <c r="A7981" s="4"/>
      <c r="B7981" s="4"/>
      <c r="C7981" s="4"/>
    </row>
    <row r="7982">
      <c r="A7982" s="4"/>
      <c r="B7982" s="4"/>
      <c r="C7982" s="4"/>
    </row>
    <row r="7983">
      <c r="A7983" s="4"/>
      <c r="B7983" s="4"/>
      <c r="C7983" s="4"/>
    </row>
    <row r="7984">
      <c r="A7984" s="4"/>
      <c r="B7984" s="4"/>
      <c r="C7984" s="4"/>
    </row>
    <row r="7985">
      <c r="A7985" s="4"/>
      <c r="B7985" s="4"/>
      <c r="C7985" s="4"/>
    </row>
    <row r="7986">
      <c r="A7986" s="4"/>
      <c r="B7986" s="4"/>
      <c r="C7986" s="4"/>
    </row>
    <row r="7987">
      <c r="A7987" s="4"/>
      <c r="B7987" s="4"/>
      <c r="C7987" s="4"/>
    </row>
    <row r="7988">
      <c r="A7988" s="4"/>
      <c r="B7988" s="4"/>
      <c r="C7988" s="4"/>
    </row>
    <row r="7989">
      <c r="A7989" s="4"/>
      <c r="B7989" s="4"/>
      <c r="C7989" s="4"/>
    </row>
    <row r="7990">
      <c r="A7990" s="4"/>
      <c r="B7990" s="4"/>
      <c r="C7990" s="4"/>
    </row>
    <row r="7991">
      <c r="A7991" s="4"/>
      <c r="B7991" s="4"/>
      <c r="C7991" s="4"/>
    </row>
    <row r="7992">
      <c r="A7992" s="4"/>
      <c r="B7992" s="4"/>
      <c r="C7992" s="4"/>
    </row>
    <row r="7993">
      <c r="A7993" s="4"/>
      <c r="B7993" s="4"/>
      <c r="C7993" s="4"/>
    </row>
    <row r="7994">
      <c r="A7994" s="4"/>
      <c r="B7994" s="4"/>
      <c r="C7994" s="4"/>
    </row>
    <row r="7995">
      <c r="A7995" s="4"/>
      <c r="B7995" s="4"/>
      <c r="C7995" s="4"/>
    </row>
    <row r="7996">
      <c r="A7996" s="4"/>
      <c r="B7996" s="4"/>
      <c r="C7996" s="4"/>
    </row>
    <row r="7997">
      <c r="A7997" s="4"/>
      <c r="B7997" s="4"/>
      <c r="C7997" s="4"/>
    </row>
    <row r="7998">
      <c r="A7998" s="4"/>
      <c r="B7998" s="4"/>
      <c r="C7998" s="4"/>
    </row>
    <row r="7999">
      <c r="A7999" s="4"/>
      <c r="B7999" s="4"/>
      <c r="C7999" s="4"/>
    </row>
    <row r="8000">
      <c r="A8000" s="4"/>
      <c r="B8000" s="4"/>
      <c r="C8000" s="4"/>
    </row>
    <row r="8001">
      <c r="A8001" s="4"/>
      <c r="B8001" s="4"/>
      <c r="C8001" s="4"/>
    </row>
    <row r="8002">
      <c r="A8002" s="4"/>
      <c r="B8002" s="4"/>
      <c r="C8002" s="4"/>
    </row>
    <row r="8003">
      <c r="A8003" s="4"/>
      <c r="B8003" s="4"/>
      <c r="C8003" s="4"/>
    </row>
    <row r="8004">
      <c r="A8004" s="4"/>
      <c r="B8004" s="4"/>
      <c r="C8004" s="4"/>
    </row>
    <row r="8005">
      <c r="A8005" s="4"/>
      <c r="B8005" s="4"/>
      <c r="C8005" s="4"/>
    </row>
    <row r="8006">
      <c r="A8006" s="4"/>
      <c r="B8006" s="4"/>
      <c r="C8006" s="4"/>
    </row>
    <row r="8007">
      <c r="A8007" s="4"/>
      <c r="B8007" s="4"/>
      <c r="C8007" s="4"/>
    </row>
    <row r="8008">
      <c r="A8008" s="4"/>
      <c r="B8008" s="4"/>
      <c r="C8008" s="4"/>
    </row>
    <row r="8009">
      <c r="A8009" s="4"/>
      <c r="B8009" s="4"/>
      <c r="C8009" s="4"/>
    </row>
    <row r="8010">
      <c r="A8010" s="4"/>
      <c r="B8010" s="4"/>
      <c r="C8010" s="4"/>
    </row>
    <row r="8011">
      <c r="A8011" s="4"/>
      <c r="B8011" s="4"/>
      <c r="C8011" s="4"/>
    </row>
    <row r="8012">
      <c r="A8012" s="4"/>
      <c r="B8012" s="4"/>
      <c r="C8012" s="4"/>
    </row>
    <row r="8013">
      <c r="A8013" s="4"/>
      <c r="B8013" s="4"/>
      <c r="C8013" s="4"/>
    </row>
    <row r="8014">
      <c r="A8014" s="4"/>
      <c r="B8014" s="4"/>
      <c r="C8014" s="4"/>
    </row>
    <row r="8015">
      <c r="A8015" s="4"/>
      <c r="B8015" s="4"/>
      <c r="C8015" s="4"/>
    </row>
    <row r="8016">
      <c r="A8016" s="4"/>
      <c r="B8016" s="4"/>
      <c r="C8016" s="4"/>
    </row>
    <row r="8017">
      <c r="A8017" s="4"/>
      <c r="B8017" s="4"/>
      <c r="C8017" s="4"/>
    </row>
    <row r="8018">
      <c r="A8018" s="4"/>
      <c r="B8018" s="4"/>
      <c r="C8018" s="4"/>
    </row>
    <row r="8019">
      <c r="A8019" s="4"/>
      <c r="B8019" s="4"/>
      <c r="C8019" s="4"/>
    </row>
    <row r="8020">
      <c r="A8020" s="4"/>
      <c r="B8020" s="4"/>
      <c r="C8020" s="4"/>
    </row>
    <row r="8021">
      <c r="A8021" s="4"/>
      <c r="B8021" s="4"/>
      <c r="C8021" s="4"/>
    </row>
    <row r="8022">
      <c r="A8022" s="4"/>
      <c r="B8022" s="4"/>
      <c r="C8022" s="4"/>
    </row>
    <row r="8023">
      <c r="A8023" s="4"/>
      <c r="B8023" s="4"/>
      <c r="C8023" s="4"/>
    </row>
    <row r="8024">
      <c r="A8024" s="4"/>
      <c r="B8024" s="4"/>
      <c r="C8024" s="4"/>
    </row>
    <row r="8025">
      <c r="A8025" s="4"/>
      <c r="B8025" s="4"/>
      <c r="C8025" s="4"/>
    </row>
    <row r="8026">
      <c r="A8026" s="4"/>
      <c r="B8026" s="4"/>
      <c r="C8026" s="4"/>
    </row>
    <row r="8027">
      <c r="A8027" s="4"/>
      <c r="B8027" s="4"/>
      <c r="C8027" s="4"/>
    </row>
    <row r="8028">
      <c r="A8028" s="4"/>
      <c r="B8028" s="4"/>
      <c r="C8028" s="4"/>
    </row>
    <row r="8029">
      <c r="A8029" s="4"/>
      <c r="B8029" s="4"/>
      <c r="C8029" s="4"/>
    </row>
    <row r="8030">
      <c r="A8030" s="4"/>
      <c r="B8030" s="4"/>
      <c r="C8030" s="4"/>
    </row>
    <row r="8031">
      <c r="A8031" s="4"/>
      <c r="B8031" s="4"/>
      <c r="C8031" s="4"/>
    </row>
    <row r="8032">
      <c r="A8032" s="4"/>
      <c r="B8032" s="4"/>
      <c r="C8032" s="4"/>
    </row>
    <row r="8033">
      <c r="A8033" s="4"/>
      <c r="B8033" s="4"/>
      <c r="C8033" s="4"/>
    </row>
    <row r="8034">
      <c r="A8034" s="4"/>
      <c r="B8034" s="4"/>
      <c r="C8034" s="4"/>
    </row>
    <row r="8035">
      <c r="A8035" s="4"/>
      <c r="B8035" s="4"/>
      <c r="C8035" s="4"/>
    </row>
    <row r="8036">
      <c r="A8036" s="4"/>
      <c r="B8036" s="4"/>
      <c r="C8036" s="4"/>
    </row>
    <row r="8037">
      <c r="A8037" s="4"/>
      <c r="B8037" s="4"/>
      <c r="C8037" s="4"/>
    </row>
    <row r="8038">
      <c r="A8038" s="4"/>
      <c r="B8038" s="4"/>
      <c r="C8038" s="4"/>
    </row>
    <row r="8039">
      <c r="A8039" s="4"/>
      <c r="B8039" s="4"/>
      <c r="C8039" s="4"/>
    </row>
    <row r="8040">
      <c r="A8040" s="4"/>
      <c r="B8040" s="4"/>
      <c r="C8040" s="4"/>
    </row>
    <row r="8041">
      <c r="A8041" s="4"/>
      <c r="B8041" s="4"/>
      <c r="C8041" s="4"/>
    </row>
    <row r="8042">
      <c r="A8042" s="4"/>
      <c r="B8042" s="4"/>
      <c r="C8042" s="4"/>
    </row>
    <row r="8043">
      <c r="A8043" s="4"/>
      <c r="B8043" s="4"/>
      <c r="C8043" s="4"/>
    </row>
    <row r="8044">
      <c r="A8044" s="4"/>
      <c r="B8044" s="4"/>
      <c r="C8044" s="4"/>
    </row>
    <row r="8045">
      <c r="A8045" s="4"/>
      <c r="B8045" s="4"/>
      <c r="C8045" s="4"/>
    </row>
    <row r="8046">
      <c r="A8046" s="4"/>
      <c r="B8046" s="4"/>
      <c r="C8046" s="4"/>
    </row>
    <row r="8047">
      <c r="A8047" s="4"/>
      <c r="B8047" s="4"/>
      <c r="C8047" s="4"/>
    </row>
    <row r="8048">
      <c r="A8048" s="4"/>
      <c r="B8048" s="4"/>
      <c r="C8048" s="4"/>
    </row>
    <row r="8049">
      <c r="A8049" s="4"/>
      <c r="B8049" s="4"/>
      <c r="C8049" s="4"/>
    </row>
    <row r="8050">
      <c r="A8050" s="4"/>
      <c r="B8050" s="4"/>
      <c r="C8050" s="4"/>
    </row>
    <row r="8051">
      <c r="A8051" s="4"/>
      <c r="B8051" s="4"/>
      <c r="C8051" s="4"/>
    </row>
    <row r="8052">
      <c r="A8052" s="4"/>
      <c r="B8052" s="4"/>
      <c r="C8052" s="4"/>
    </row>
    <row r="8053">
      <c r="A8053" s="4"/>
      <c r="B8053" s="4"/>
      <c r="C8053" s="4"/>
    </row>
    <row r="8054">
      <c r="A8054" s="4"/>
      <c r="B8054" s="4"/>
      <c r="C8054" s="4"/>
    </row>
    <row r="8055">
      <c r="A8055" s="4"/>
      <c r="B8055" s="4"/>
      <c r="C8055" s="4"/>
    </row>
    <row r="8056">
      <c r="A8056" s="4"/>
      <c r="B8056" s="4"/>
      <c r="C8056" s="4"/>
    </row>
    <row r="8057">
      <c r="A8057" s="4"/>
      <c r="B8057" s="4"/>
      <c r="C8057" s="4"/>
    </row>
    <row r="8058">
      <c r="A8058" s="4"/>
      <c r="B8058" s="4"/>
      <c r="C8058" s="4"/>
    </row>
    <row r="8059">
      <c r="A8059" s="4"/>
      <c r="B8059" s="4"/>
      <c r="C8059" s="4"/>
    </row>
    <row r="8060">
      <c r="A8060" s="4"/>
      <c r="B8060" s="4"/>
      <c r="C8060" s="4"/>
    </row>
    <row r="8061">
      <c r="A8061" s="4"/>
      <c r="B8061" s="4"/>
      <c r="C8061" s="4"/>
    </row>
    <row r="8062">
      <c r="A8062" s="4"/>
      <c r="B8062" s="4"/>
      <c r="C8062" s="4"/>
    </row>
    <row r="8063">
      <c r="A8063" s="4"/>
      <c r="B8063" s="4"/>
      <c r="C8063" s="4"/>
    </row>
    <row r="8064">
      <c r="A8064" s="4"/>
      <c r="B8064" s="4"/>
      <c r="C8064" s="4"/>
    </row>
    <row r="8065">
      <c r="A8065" s="4"/>
      <c r="B8065" s="4"/>
      <c r="C8065" s="4"/>
    </row>
    <row r="8066">
      <c r="A8066" s="4"/>
      <c r="B8066" s="4"/>
      <c r="C8066" s="4"/>
    </row>
    <row r="8067">
      <c r="A8067" s="4"/>
      <c r="B8067" s="4"/>
      <c r="C8067" s="4"/>
    </row>
    <row r="8068">
      <c r="A8068" s="4"/>
      <c r="B8068" s="4"/>
      <c r="C8068" s="4"/>
    </row>
    <row r="8069">
      <c r="A8069" s="4"/>
      <c r="B8069" s="4"/>
      <c r="C8069" s="4"/>
    </row>
    <row r="8070">
      <c r="A8070" s="4"/>
      <c r="B8070" s="4"/>
      <c r="C8070" s="4"/>
    </row>
    <row r="8071">
      <c r="A8071" s="4"/>
      <c r="B8071" s="4"/>
      <c r="C8071" s="4"/>
    </row>
    <row r="8072">
      <c r="A8072" s="4"/>
      <c r="B8072" s="4"/>
      <c r="C8072" s="4"/>
    </row>
    <row r="8073">
      <c r="A8073" s="4"/>
      <c r="B8073" s="4"/>
      <c r="C8073" s="4"/>
    </row>
    <row r="8074">
      <c r="A8074" s="4"/>
      <c r="B8074" s="4"/>
      <c r="C8074" s="4"/>
    </row>
    <row r="8075">
      <c r="A8075" s="4"/>
      <c r="B8075" s="4"/>
      <c r="C8075" s="4"/>
    </row>
    <row r="8076">
      <c r="A8076" s="4"/>
      <c r="B8076" s="4"/>
      <c r="C8076" s="4"/>
    </row>
    <row r="8077">
      <c r="A8077" s="4"/>
      <c r="B8077" s="4"/>
      <c r="C8077" s="4"/>
    </row>
    <row r="8078">
      <c r="A8078" s="4"/>
      <c r="B8078" s="4"/>
      <c r="C8078" s="4"/>
    </row>
    <row r="8079">
      <c r="A8079" s="4"/>
      <c r="B8079" s="4"/>
      <c r="C8079" s="4"/>
    </row>
    <row r="8080">
      <c r="A8080" s="4"/>
      <c r="B8080" s="4"/>
      <c r="C8080" s="4"/>
    </row>
    <row r="8081">
      <c r="A8081" s="4"/>
      <c r="B8081" s="4"/>
      <c r="C8081" s="4"/>
    </row>
    <row r="8082">
      <c r="A8082" s="4"/>
      <c r="B8082" s="4"/>
      <c r="C8082" s="4"/>
    </row>
    <row r="8083">
      <c r="A8083" s="4"/>
      <c r="B8083" s="4"/>
      <c r="C8083" s="4"/>
    </row>
    <row r="8084">
      <c r="A8084" s="4"/>
      <c r="B8084" s="4"/>
      <c r="C8084" s="4"/>
    </row>
    <row r="8085">
      <c r="A8085" s="4"/>
      <c r="B8085" s="4"/>
      <c r="C8085" s="4"/>
    </row>
    <row r="8086">
      <c r="A8086" s="4"/>
      <c r="B8086" s="4"/>
      <c r="C8086" s="4"/>
    </row>
    <row r="8087">
      <c r="A8087" s="4"/>
      <c r="B8087" s="4"/>
      <c r="C8087" s="4"/>
    </row>
    <row r="8088">
      <c r="A8088" s="4"/>
      <c r="B8088" s="4"/>
      <c r="C8088" s="4"/>
    </row>
    <row r="8089">
      <c r="A8089" s="4"/>
      <c r="B8089" s="4"/>
      <c r="C8089" s="4"/>
    </row>
    <row r="8090">
      <c r="A8090" s="4"/>
      <c r="B8090" s="4"/>
      <c r="C8090" s="4"/>
    </row>
    <row r="8091">
      <c r="A8091" s="4"/>
      <c r="B8091" s="4"/>
      <c r="C8091" s="4"/>
    </row>
    <row r="8092">
      <c r="A8092" s="4"/>
      <c r="B8092" s="4"/>
      <c r="C8092" s="4"/>
    </row>
    <row r="8093">
      <c r="A8093" s="4"/>
      <c r="B8093" s="4"/>
      <c r="C8093" s="4"/>
    </row>
    <row r="8094">
      <c r="A8094" s="4"/>
      <c r="B8094" s="4"/>
      <c r="C8094" s="4"/>
    </row>
    <row r="8095">
      <c r="A8095" s="4"/>
      <c r="B8095" s="4"/>
      <c r="C8095" s="4"/>
    </row>
    <row r="8096">
      <c r="A8096" s="4"/>
      <c r="B8096" s="4"/>
      <c r="C8096" s="4"/>
    </row>
    <row r="8097">
      <c r="A8097" s="4"/>
      <c r="B8097" s="4"/>
      <c r="C8097" s="4"/>
    </row>
    <row r="8098">
      <c r="A8098" s="4"/>
      <c r="B8098" s="4"/>
      <c r="C8098" s="4"/>
    </row>
    <row r="8099">
      <c r="A8099" s="4"/>
      <c r="B8099" s="4"/>
      <c r="C8099" s="4"/>
    </row>
    <row r="8100">
      <c r="A8100" s="4"/>
      <c r="B8100" s="4"/>
      <c r="C8100" s="4"/>
    </row>
    <row r="8101">
      <c r="A8101" s="4"/>
      <c r="B8101" s="4"/>
      <c r="C8101" s="4"/>
    </row>
    <row r="8102">
      <c r="A8102" s="4"/>
      <c r="B8102" s="4"/>
      <c r="C8102" s="4"/>
    </row>
    <row r="8103">
      <c r="A8103" s="4"/>
      <c r="B8103" s="4"/>
      <c r="C8103" s="4"/>
    </row>
    <row r="8104">
      <c r="A8104" s="4"/>
      <c r="B8104" s="4"/>
      <c r="C8104" s="4"/>
    </row>
    <row r="8105">
      <c r="A8105" s="4"/>
      <c r="B8105" s="4"/>
      <c r="C8105" s="4"/>
    </row>
    <row r="8106">
      <c r="A8106" s="4"/>
      <c r="B8106" s="4"/>
      <c r="C8106" s="4"/>
    </row>
    <row r="8107">
      <c r="A8107" s="4"/>
      <c r="B8107" s="4"/>
      <c r="C8107" s="4"/>
    </row>
    <row r="8108">
      <c r="A8108" s="4"/>
      <c r="B8108" s="4"/>
      <c r="C8108" s="4"/>
    </row>
    <row r="8109">
      <c r="A8109" s="4"/>
      <c r="B8109" s="4"/>
      <c r="C8109" s="4"/>
    </row>
    <row r="8110">
      <c r="A8110" s="4"/>
      <c r="B8110" s="4"/>
      <c r="C8110" s="4"/>
    </row>
    <row r="8111">
      <c r="A8111" s="4"/>
      <c r="B8111" s="4"/>
      <c r="C8111" s="4"/>
    </row>
    <row r="8112">
      <c r="A8112" s="4"/>
      <c r="B8112" s="4"/>
      <c r="C8112" s="4"/>
    </row>
    <row r="8113">
      <c r="A8113" s="4"/>
      <c r="B8113" s="4"/>
      <c r="C8113" s="4"/>
    </row>
    <row r="8114">
      <c r="A8114" s="4"/>
      <c r="B8114" s="4"/>
      <c r="C8114" s="4"/>
    </row>
    <row r="8115">
      <c r="A8115" s="4"/>
      <c r="B8115" s="4"/>
      <c r="C8115" s="4"/>
    </row>
    <row r="8116">
      <c r="A8116" s="4"/>
      <c r="B8116" s="4"/>
      <c r="C8116" s="4"/>
    </row>
    <row r="8117">
      <c r="A8117" s="4"/>
      <c r="B8117" s="4"/>
      <c r="C8117" s="4"/>
    </row>
    <row r="8118">
      <c r="A8118" s="4"/>
      <c r="B8118" s="4"/>
      <c r="C8118" s="4"/>
    </row>
    <row r="8119">
      <c r="A8119" s="4"/>
      <c r="B8119" s="4"/>
      <c r="C8119" s="4"/>
    </row>
    <row r="8120">
      <c r="A8120" s="4"/>
      <c r="B8120" s="4"/>
      <c r="C8120" s="4"/>
    </row>
    <row r="8121">
      <c r="A8121" s="4"/>
      <c r="B8121" s="4"/>
      <c r="C8121" s="4"/>
    </row>
    <row r="8122">
      <c r="A8122" s="4"/>
      <c r="B8122" s="4"/>
      <c r="C8122" s="4"/>
    </row>
    <row r="8123">
      <c r="A8123" s="4"/>
      <c r="B8123" s="4"/>
      <c r="C8123" s="4"/>
    </row>
    <row r="8124">
      <c r="A8124" s="4"/>
      <c r="B8124" s="4"/>
      <c r="C8124" s="4"/>
    </row>
    <row r="8125">
      <c r="A8125" s="4"/>
      <c r="B8125" s="4"/>
      <c r="C8125" s="4"/>
    </row>
    <row r="8126">
      <c r="A8126" s="4"/>
      <c r="B8126" s="4"/>
      <c r="C8126" s="4"/>
    </row>
    <row r="8127">
      <c r="A8127" s="4"/>
      <c r="B8127" s="4"/>
      <c r="C8127" s="4"/>
    </row>
    <row r="8128">
      <c r="A8128" s="4"/>
      <c r="B8128" s="4"/>
      <c r="C8128" s="4"/>
    </row>
    <row r="8129">
      <c r="A8129" s="4"/>
      <c r="B8129" s="4"/>
      <c r="C8129" s="4"/>
    </row>
    <row r="8130">
      <c r="A8130" s="4"/>
      <c r="B8130" s="4"/>
      <c r="C8130" s="4"/>
    </row>
    <row r="8131">
      <c r="A8131" s="4"/>
      <c r="B8131" s="4"/>
      <c r="C8131" s="4"/>
    </row>
    <row r="8132">
      <c r="A8132" s="4"/>
      <c r="B8132" s="4"/>
      <c r="C8132" s="4"/>
    </row>
    <row r="8133">
      <c r="A8133" s="4"/>
      <c r="B8133" s="4"/>
      <c r="C8133" s="4"/>
    </row>
    <row r="8134">
      <c r="A8134" s="4"/>
      <c r="B8134" s="4"/>
      <c r="C8134" s="4"/>
    </row>
    <row r="8135">
      <c r="A8135" s="4"/>
      <c r="B8135" s="4"/>
      <c r="C8135" s="4"/>
    </row>
    <row r="8136">
      <c r="A8136" s="4"/>
      <c r="B8136" s="4"/>
      <c r="C8136" s="4"/>
    </row>
    <row r="8137">
      <c r="A8137" s="4"/>
      <c r="B8137" s="4"/>
      <c r="C8137" s="4"/>
    </row>
    <row r="8138">
      <c r="A8138" s="4"/>
      <c r="B8138" s="4"/>
      <c r="C8138" s="4"/>
    </row>
    <row r="8139">
      <c r="A8139" s="4"/>
      <c r="B8139" s="4"/>
      <c r="C8139" s="4"/>
    </row>
    <row r="8140">
      <c r="A8140" s="4"/>
      <c r="B8140" s="4"/>
      <c r="C8140" s="4"/>
    </row>
    <row r="8141">
      <c r="A8141" s="4"/>
      <c r="B8141" s="4"/>
      <c r="C8141" s="4"/>
    </row>
    <row r="8142">
      <c r="A8142" s="4"/>
      <c r="B8142" s="4"/>
      <c r="C8142" s="4"/>
    </row>
    <row r="8143">
      <c r="A8143" s="4"/>
      <c r="B8143" s="4"/>
      <c r="C8143" s="4"/>
    </row>
    <row r="8144">
      <c r="A8144" s="4"/>
      <c r="B8144" s="4"/>
      <c r="C8144" s="4"/>
    </row>
    <row r="8145">
      <c r="A8145" s="4"/>
      <c r="B8145" s="4"/>
      <c r="C8145" s="4"/>
    </row>
    <row r="8146">
      <c r="A8146" s="4"/>
      <c r="B8146" s="4"/>
      <c r="C8146" s="4"/>
    </row>
    <row r="8147">
      <c r="A8147" s="4"/>
      <c r="B8147" s="4"/>
      <c r="C8147" s="4"/>
    </row>
    <row r="8148">
      <c r="A8148" s="4"/>
      <c r="B8148" s="4"/>
      <c r="C8148" s="4"/>
    </row>
    <row r="8149">
      <c r="A8149" s="4"/>
      <c r="B8149" s="4"/>
      <c r="C8149" s="4"/>
    </row>
    <row r="8150">
      <c r="A8150" s="4"/>
      <c r="B8150" s="4"/>
      <c r="C8150" s="4"/>
    </row>
    <row r="8151">
      <c r="A8151" s="4"/>
      <c r="B8151" s="4"/>
      <c r="C8151" s="4"/>
    </row>
    <row r="8152">
      <c r="A8152" s="4"/>
      <c r="B8152" s="4"/>
      <c r="C8152" s="4"/>
    </row>
    <row r="8153">
      <c r="A8153" s="4"/>
      <c r="B8153" s="4"/>
      <c r="C8153" s="4"/>
    </row>
    <row r="8154">
      <c r="A8154" s="4"/>
      <c r="B8154" s="4"/>
      <c r="C8154" s="4"/>
    </row>
    <row r="8155">
      <c r="A8155" s="4"/>
      <c r="B8155" s="4"/>
      <c r="C8155" s="4"/>
    </row>
    <row r="8156">
      <c r="A8156" s="4"/>
      <c r="B8156" s="4"/>
      <c r="C8156" s="4"/>
    </row>
    <row r="8157">
      <c r="A8157" s="4"/>
      <c r="B8157" s="4"/>
      <c r="C8157" s="4"/>
    </row>
    <row r="8158">
      <c r="A8158" s="4"/>
      <c r="B8158" s="4"/>
      <c r="C8158" s="4"/>
    </row>
    <row r="8159">
      <c r="A8159" s="4"/>
      <c r="B8159" s="4"/>
      <c r="C8159" s="4"/>
    </row>
    <row r="8160">
      <c r="A8160" s="4"/>
      <c r="B8160" s="4"/>
      <c r="C8160" s="4"/>
    </row>
    <row r="8161">
      <c r="A8161" s="4"/>
      <c r="B8161" s="4"/>
      <c r="C8161" s="4"/>
    </row>
    <row r="8162">
      <c r="A8162" s="4"/>
      <c r="B8162" s="4"/>
      <c r="C8162" s="4"/>
    </row>
    <row r="8163">
      <c r="A8163" s="4"/>
      <c r="B8163" s="4"/>
      <c r="C8163" s="4"/>
    </row>
    <row r="8164">
      <c r="A8164" s="4"/>
      <c r="B8164" s="4"/>
      <c r="C8164" s="4"/>
    </row>
    <row r="8165">
      <c r="A8165" s="4"/>
      <c r="B8165" s="4"/>
      <c r="C8165" s="4"/>
    </row>
    <row r="8166">
      <c r="A8166" s="4"/>
      <c r="B8166" s="4"/>
      <c r="C8166" s="4"/>
    </row>
    <row r="8167">
      <c r="A8167" s="4"/>
      <c r="B8167" s="4"/>
      <c r="C8167" s="4"/>
    </row>
    <row r="8168">
      <c r="A8168" s="4"/>
      <c r="B8168" s="4"/>
      <c r="C8168" s="4"/>
    </row>
    <row r="8169">
      <c r="A8169" s="4"/>
      <c r="B8169" s="4"/>
      <c r="C8169" s="4"/>
    </row>
    <row r="8170">
      <c r="A8170" s="4"/>
      <c r="B8170" s="4"/>
      <c r="C8170" s="4"/>
    </row>
    <row r="8171">
      <c r="A8171" s="4"/>
      <c r="B8171" s="4"/>
      <c r="C8171" s="4"/>
    </row>
    <row r="8172">
      <c r="A8172" s="4"/>
      <c r="B8172" s="4"/>
      <c r="C8172" s="4"/>
    </row>
    <row r="8173">
      <c r="A8173" s="4"/>
      <c r="B8173" s="4"/>
      <c r="C8173" s="4"/>
    </row>
    <row r="8174">
      <c r="A8174" s="4"/>
      <c r="B8174" s="4"/>
      <c r="C8174" s="4"/>
    </row>
    <row r="8175">
      <c r="A8175" s="4"/>
      <c r="B8175" s="4"/>
      <c r="C8175" s="4"/>
    </row>
    <row r="8176">
      <c r="A8176" s="4"/>
      <c r="B8176" s="4"/>
      <c r="C8176" s="4"/>
    </row>
    <row r="8177">
      <c r="A8177" s="4"/>
      <c r="B8177" s="4"/>
      <c r="C8177" s="4"/>
    </row>
    <row r="8178">
      <c r="A8178" s="4"/>
      <c r="B8178" s="4"/>
      <c r="C8178" s="4"/>
    </row>
    <row r="8179">
      <c r="A8179" s="4"/>
      <c r="B8179" s="4"/>
      <c r="C8179" s="4"/>
    </row>
    <row r="8180">
      <c r="A8180" s="4"/>
      <c r="B8180" s="4"/>
      <c r="C8180" s="4"/>
    </row>
    <row r="8181">
      <c r="A8181" s="4"/>
      <c r="B8181" s="4"/>
      <c r="C8181" s="4"/>
    </row>
    <row r="8182">
      <c r="A8182" s="4"/>
      <c r="B8182" s="4"/>
      <c r="C8182" s="4"/>
    </row>
    <row r="8183">
      <c r="A8183" s="4"/>
      <c r="B8183" s="4"/>
      <c r="C8183" s="4"/>
    </row>
    <row r="8184">
      <c r="A8184" s="4"/>
      <c r="B8184" s="4"/>
      <c r="C8184" s="4"/>
    </row>
    <row r="8185">
      <c r="A8185" s="4"/>
      <c r="B8185" s="4"/>
      <c r="C8185" s="4"/>
    </row>
    <row r="8186">
      <c r="A8186" s="4"/>
      <c r="B8186" s="4"/>
      <c r="C8186" s="4"/>
    </row>
    <row r="8187">
      <c r="A8187" s="4"/>
      <c r="B8187" s="4"/>
      <c r="C8187" s="4"/>
    </row>
    <row r="8188">
      <c r="A8188" s="4"/>
      <c r="B8188" s="4"/>
      <c r="C8188" s="4"/>
    </row>
    <row r="8189">
      <c r="A8189" s="4"/>
      <c r="B8189" s="4"/>
      <c r="C8189" s="4"/>
    </row>
    <row r="8190">
      <c r="A8190" s="4"/>
      <c r="B8190" s="4"/>
      <c r="C8190" s="4"/>
    </row>
    <row r="8191">
      <c r="A8191" s="4"/>
      <c r="B8191" s="4"/>
      <c r="C8191" s="4"/>
    </row>
    <row r="8192">
      <c r="A8192" s="4"/>
      <c r="B8192" s="4"/>
      <c r="C8192" s="4"/>
    </row>
    <row r="8193">
      <c r="A8193" s="4"/>
      <c r="B8193" s="4"/>
      <c r="C8193" s="4"/>
    </row>
    <row r="8194">
      <c r="A8194" s="4"/>
      <c r="B8194" s="4"/>
      <c r="C8194" s="4"/>
    </row>
    <row r="8195">
      <c r="A8195" s="4"/>
      <c r="B8195" s="4"/>
      <c r="C8195" s="4"/>
    </row>
    <row r="8196">
      <c r="A8196" s="4"/>
      <c r="B8196" s="4"/>
      <c r="C8196" s="4"/>
    </row>
    <row r="8197">
      <c r="A8197" s="4"/>
      <c r="B8197" s="4"/>
      <c r="C8197" s="4"/>
    </row>
    <row r="8198">
      <c r="A8198" s="4"/>
      <c r="B8198" s="4"/>
      <c r="C8198" s="4"/>
    </row>
    <row r="8199">
      <c r="A8199" s="4"/>
      <c r="B8199" s="4"/>
      <c r="C8199" s="4"/>
    </row>
    <row r="8200">
      <c r="A8200" s="4"/>
      <c r="B8200" s="4"/>
      <c r="C8200" s="4"/>
    </row>
    <row r="8201">
      <c r="A8201" s="4"/>
      <c r="B8201" s="4"/>
      <c r="C8201" s="4"/>
    </row>
    <row r="8202">
      <c r="A8202" s="4"/>
      <c r="B8202" s="4"/>
      <c r="C8202" s="4"/>
    </row>
    <row r="8203">
      <c r="A8203" s="4"/>
      <c r="B8203" s="4"/>
      <c r="C8203" s="4"/>
    </row>
    <row r="8204">
      <c r="A8204" s="4"/>
      <c r="B8204" s="4"/>
      <c r="C8204" s="4"/>
    </row>
    <row r="8205">
      <c r="A8205" s="4"/>
      <c r="B8205" s="4"/>
      <c r="C8205" s="4"/>
    </row>
    <row r="8206">
      <c r="A8206" s="4"/>
      <c r="B8206" s="4"/>
      <c r="C8206" s="4"/>
    </row>
    <row r="8207">
      <c r="A8207" s="4"/>
      <c r="B8207" s="4"/>
      <c r="C8207" s="4"/>
    </row>
    <row r="8208">
      <c r="A8208" s="4"/>
      <c r="B8208" s="4"/>
      <c r="C8208" s="4"/>
    </row>
    <row r="8209">
      <c r="A8209" s="4"/>
      <c r="B8209" s="4"/>
      <c r="C8209" s="4"/>
    </row>
    <row r="8210">
      <c r="A8210" s="4"/>
      <c r="B8210" s="4"/>
      <c r="C8210" s="4"/>
    </row>
    <row r="8211">
      <c r="A8211" s="4"/>
      <c r="B8211" s="4"/>
      <c r="C8211" s="4"/>
    </row>
    <row r="8212">
      <c r="A8212" s="4"/>
      <c r="B8212" s="4"/>
      <c r="C8212" s="4"/>
    </row>
    <row r="8213">
      <c r="A8213" s="4"/>
      <c r="B8213" s="4"/>
      <c r="C8213" s="4"/>
    </row>
    <row r="8214">
      <c r="A8214" s="4"/>
      <c r="B8214" s="4"/>
      <c r="C8214" s="4"/>
    </row>
    <row r="8215">
      <c r="A8215" s="4"/>
      <c r="B8215" s="4"/>
      <c r="C8215" s="4"/>
    </row>
    <row r="8216">
      <c r="A8216" s="4"/>
      <c r="B8216" s="4"/>
      <c r="C8216" s="4"/>
    </row>
    <row r="8217">
      <c r="A8217" s="4"/>
      <c r="B8217" s="4"/>
      <c r="C8217" s="4"/>
    </row>
    <row r="8218">
      <c r="A8218" s="4"/>
      <c r="B8218" s="4"/>
      <c r="C8218" s="4"/>
    </row>
    <row r="8219">
      <c r="A8219" s="4"/>
      <c r="B8219" s="4"/>
      <c r="C8219" s="4"/>
    </row>
    <row r="8220">
      <c r="A8220" s="4"/>
      <c r="B8220" s="4"/>
      <c r="C8220" s="4"/>
    </row>
    <row r="8221">
      <c r="A8221" s="4"/>
      <c r="B8221" s="4"/>
      <c r="C8221" s="4"/>
    </row>
    <row r="8222">
      <c r="A8222" s="4"/>
      <c r="B8222" s="4"/>
      <c r="C8222" s="4"/>
    </row>
    <row r="8223">
      <c r="A8223" s="4"/>
      <c r="B8223" s="4"/>
      <c r="C8223" s="4"/>
    </row>
    <row r="8224">
      <c r="A8224" s="4"/>
      <c r="B8224" s="4"/>
      <c r="C8224" s="4"/>
    </row>
    <row r="8225">
      <c r="A8225" s="4"/>
      <c r="B8225" s="4"/>
      <c r="C8225" s="4"/>
    </row>
    <row r="8226">
      <c r="A8226" s="4"/>
      <c r="B8226" s="4"/>
      <c r="C8226" s="4"/>
    </row>
    <row r="8227">
      <c r="A8227" s="4"/>
      <c r="B8227" s="4"/>
      <c r="C8227" s="4"/>
    </row>
    <row r="8228">
      <c r="A8228" s="4"/>
      <c r="B8228" s="4"/>
      <c r="C8228" s="4"/>
    </row>
    <row r="8229">
      <c r="A8229" s="4"/>
      <c r="B8229" s="4"/>
      <c r="C8229" s="4"/>
    </row>
    <row r="8230">
      <c r="A8230" s="4"/>
      <c r="B8230" s="4"/>
      <c r="C8230" s="4"/>
    </row>
    <row r="8231">
      <c r="A8231" s="4"/>
      <c r="B8231" s="4"/>
      <c r="C8231" s="4"/>
    </row>
    <row r="8232">
      <c r="A8232" s="4"/>
      <c r="B8232" s="4"/>
      <c r="C8232" s="4"/>
    </row>
    <row r="8233">
      <c r="A8233" s="4"/>
      <c r="B8233" s="4"/>
      <c r="C8233" s="4"/>
    </row>
    <row r="8234">
      <c r="A8234" s="4"/>
      <c r="B8234" s="4"/>
      <c r="C8234" s="4"/>
    </row>
    <row r="8235">
      <c r="A8235" s="4"/>
      <c r="B8235" s="4"/>
      <c r="C8235" s="4"/>
    </row>
    <row r="8236">
      <c r="A8236" s="4"/>
      <c r="B8236" s="4"/>
      <c r="C8236" s="4"/>
    </row>
    <row r="8237">
      <c r="A8237" s="4"/>
      <c r="B8237" s="4"/>
      <c r="C8237" s="4"/>
    </row>
    <row r="8238">
      <c r="A8238" s="4"/>
      <c r="B8238" s="4"/>
      <c r="C8238" s="4"/>
    </row>
    <row r="8239">
      <c r="A8239" s="4"/>
      <c r="B8239" s="4"/>
      <c r="C8239" s="4"/>
    </row>
    <row r="8240">
      <c r="A8240" s="4"/>
      <c r="B8240" s="4"/>
      <c r="C8240" s="4"/>
    </row>
    <row r="8241">
      <c r="A8241" s="4"/>
      <c r="B8241" s="4"/>
      <c r="C8241" s="4"/>
    </row>
    <row r="8242">
      <c r="A8242" s="4"/>
      <c r="B8242" s="4"/>
      <c r="C8242" s="4"/>
    </row>
    <row r="8243">
      <c r="A8243" s="4"/>
      <c r="B8243" s="4"/>
      <c r="C8243" s="4"/>
    </row>
    <row r="8244">
      <c r="A8244" s="4"/>
      <c r="B8244" s="4"/>
      <c r="C8244" s="4"/>
    </row>
    <row r="8245">
      <c r="A8245" s="4"/>
      <c r="B8245" s="4"/>
      <c r="C8245" s="4"/>
    </row>
    <row r="8246">
      <c r="A8246" s="4"/>
      <c r="B8246" s="4"/>
      <c r="C8246" s="4"/>
    </row>
    <row r="8247">
      <c r="A8247" s="4"/>
      <c r="B8247" s="4"/>
      <c r="C8247" s="4"/>
    </row>
    <row r="8248">
      <c r="A8248" s="4"/>
      <c r="B8248" s="4"/>
      <c r="C8248" s="4"/>
    </row>
    <row r="8249">
      <c r="A8249" s="4"/>
      <c r="B8249" s="4"/>
      <c r="C8249" s="4"/>
    </row>
    <row r="8250">
      <c r="A8250" s="4"/>
      <c r="B8250" s="4"/>
      <c r="C8250" s="4"/>
    </row>
    <row r="8251">
      <c r="A8251" s="4"/>
      <c r="B8251" s="4"/>
      <c r="C8251" s="4"/>
    </row>
    <row r="8252">
      <c r="A8252" s="4"/>
      <c r="B8252" s="4"/>
      <c r="C8252" s="4"/>
    </row>
    <row r="8253">
      <c r="A8253" s="4"/>
      <c r="B8253" s="4"/>
      <c r="C8253" s="4"/>
    </row>
    <row r="8254">
      <c r="A8254" s="4"/>
      <c r="B8254" s="4"/>
      <c r="C8254" s="4"/>
    </row>
    <row r="8255">
      <c r="A8255" s="4"/>
      <c r="B8255" s="4"/>
      <c r="C8255" s="4"/>
    </row>
    <row r="8256">
      <c r="A8256" s="4"/>
      <c r="B8256" s="4"/>
      <c r="C8256" s="4"/>
    </row>
    <row r="8257">
      <c r="A8257" s="4"/>
      <c r="B8257" s="4"/>
      <c r="C8257" s="4"/>
    </row>
    <row r="8258">
      <c r="A8258" s="4"/>
      <c r="B8258" s="4"/>
      <c r="C8258" s="4"/>
    </row>
    <row r="8259">
      <c r="A8259" s="4"/>
      <c r="B8259" s="4"/>
      <c r="C8259" s="4"/>
    </row>
    <row r="8260">
      <c r="A8260" s="4"/>
      <c r="B8260" s="4"/>
      <c r="C8260" s="4"/>
    </row>
    <row r="8261">
      <c r="A8261" s="4"/>
      <c r="B8261" s="4"/>
      <c r="C8261" s="4"/>
    </row>
    <row r="8262">
      <c r="A8262" s="4"/>
      <c r="B8262" s="4"/>
      <c r="C8262" s="4"/>
    </row>
    <row r="8263">
      <c r="A8263" s="4"/>
      <c r="B8263" s="4"/>
      <c r="C8263" s="4"/>
    </row>
    <row r="8264">
      <c r="A8264" s="4"/>
      <c r="B8264" s="4"/>
      <c r="C8264" s="4"/>
    </row>
    <row r="8265">
      <c r="A8265" s="4"/>
      <c r="B8265" s="4"/>
      <c r="C8265" s="4"/>
    </row>
    <row r="8266">
      <c r="A8266" s="4"/>
      <c r="B8266" s="4"/>
      <c r="C8266" s="4"/>
    </row>
    <row r="8267">
      <c r="A8267" s="4"/>
      <c r="B8267" s="4"/>
      <c r="C8267" s="4"/>
    </row>
    <row r="8268">
      <c r="A8268" s="4"/>
      <c r="B8268" s="4"/>
      <c r="C8268" s="4"/>
    </row>
    <row r="8269">
      <c r="A8269" s="4"/>
      <c r="B8269" s="4"/>
      <c r="C8269" s="4"/>
    </row>
    <row r="8270">
      <c r="A8270" s="4"/>
      <c r="B8270" s="4"/>
      <c r="C8270" s="4"/>
    </row>
    <row r="8271">
      <c r="A8271" s="4"/>
      <c r="B8271" s="4"/>
      <c r="C8271" s="4"/>
    </row>
    <row r="8272">
      <c r="A8272" s="4"/>
      <c r="B8272" s="4"/>
      <c r="C8272" s="4"/>
    </row>
    <row r="8273">
      <c r="A8273" s="4"/>
      <c r="B8273" s="4"/>
      <c r="C8273" s="4"/>
    </row>
    <row r="8274">
      <c r="A8274" s="4"/>
      <c r="B8274" s="4"/>
      <c r="C8274" s="4"/>
    </row>
    <row r="8275">
      <c r="A8275" s="4"/>
      <c r="B8275" s="4"/>
      <c r="C8275" s="4"/>
    </row>
    <row r="8276">
      <c r="A8276" s="4"/>
      <c r="B8276" s="4"/>
      <c r="C8276" s="4"/>
    </row>
    <row r="8277">
      <c r="A8277" s="4"/>
      <c r="B8277" s="4"/>
      <c r="C8277" s="4"/>
    </row>
    <row r="8278">
      <c r="A8278" s="4"/>
      <c r="B8278" s="4"/>
      <c r="C8278" s="4"/>
    </row>
    <row r="8279">
      <c r="A8279" s="4"/>
      <c r="B8279" s="4"/>
      <c r="C8279" s="4"/>
    </row>
    <row r="8280">
      <c r="A8280" s="4"/>
      <c r="B8280" s="4"/>
      <c r="C8280" s="4"/>
    </row>
    <row r="8281">
      <c r="A8281" s="4"/>
      <c r="B8281" s="4"/>
      <c r="C8281" s="4"/>
    </row>
    <row r="8282">
      <c r="A8282" s="4"/>
      <c r="B8282" s="4"/>
      <c r="C8282" s="4"/>
    </row>
    <row r="8283">
      <c r="A8283" s="4"/>
      <c r="B8283" s="4"/>
      <c r="C8283" s="4"/>
    </row>
    <row r="8284">
      <c r="A8284" s="4"/>
      <c r="B8284" s="4"/>
      <c r="C8284" s="4"/>
    </row>
    <row r="8285">
      <c r="A8285" s="4"/>
      <c r="B8285" s="4"/>
      <c r="C8285" s="4"/>
    </row>
    <row r="8286">
      <c r="A8286" s="4"/>
      <c r="B8286" s="4"/>
      <c r="C8286" s="4"/>
    </row>
    <row r="8287">
      <c r="A8287" s="4"/>
      <c r="B8287" s="4"/>
      <c r="C8287" s="4"/>
    </row>
    <row r="8288">
      <c r="A8288" s="4"/>
      <c r="B8288" s="4"/>
      <c r="C8288" s="4"/>
    </row>
    <row r="8289">
      <c r="A8289" s="4"/>
      <c r="B8289" s="4"/>
      <c r="C8289" s="4"/>
    </row>
    <row r="8290">
      <c r="A8290" s="4"/>
      <c r="B8290" s="4"/>
      <c r="C8290" s="4"/>
    </row>
    <row r="8291">
      <c r="A8291" s="4"/>
      <c r="B8291" s="4"/>
      <c r="C8291" s="4"/>
    </row>
    <row r="8292">
      <c r="A8292" s="4"/>
      <c r="B8292" s="4"/>
      <c r="C8292" s="4"/>
    </row>
    <row r="8293">
      <c r="A8293" s="4"/>
      <c r="B8293" s="4"/>
      <c r="C8293" s="4"/>
    </row>
    <row r="8294">
      <c r="A8294" s="4"/>
      <c r="B8294" s="4"/>
      <c r="C8294" s="4"/>
    </row>
    <row r="8295">
      <c r="A8295" s="4"/>
      <c r="B8295" s="4"/>
      <c r="C8295" s="4"/>
    </row>
    <row r="8296">
      <c r="A8296" s="4"/>
      <c r="B8296" s="4"/>
      <c r="C8296" s="4"/>
    </row>
    <row r="8297">
      <c r="A8297" s="4"/>
      <c r="B8297" s="4"/>
      <c r="C8297" s="4"/>
    </row>
    <row r="8298">
      <c r="A8298" s="4"/>
      <c r="B8298" s="4"/>
      <c r="C8298" s="4"/>
    </row>
    <row r="8299">
      <c r="A8299" s="4"/>
      <c r="B8299" s="4"/>
      <c r="C8299" s="4"/>
    </row>
    <row r="8300">
      <c r="A8300" s="4"/>
      <c r="B8300" s="4"/>
      <c r="C8300" s="4"/>
    </row>
    <row r="8301">
      <c r="A8301" s="4"/>
      <c r="B8301" s="4"/>
      <c r="C8301" s="4"/>
    </row>
    <row r="8302">
      <c r="A8302" s="4"/>
      <c r="B8302" s="4"/>
      <c r="C8302" s="4"/>
    </row>
    <row r="8303">
      <c r="A8303" s="4"/>
      <c r="B8303" s="4"/>
      <c r="C8303" s="4"/>
    </row>
    <row r="8304">
      <c r="A8304" s="4"/>
      <c r="B8304" s="4"/>
      <c r="C8304" s="4"/>
    </row>
    <row r="8305">
      <c r="A8305" s="4"/>
      <c r="B8305" s="4"/>
      <c r="C8305" s="4"/>
    </row>
    <row r="8306">
      <c r="A8306" s="4"/>
      <c r="B8306" s="4"/>
      <c r="C8306" s="4"/>
    </row>
    <row r="8307">
      <c r="A8307" s="4"/>
      <c r="B8307" s="4"/>
      <c r="C8307" s="4"/>
    </row>
    <row r="8308">
      <c r="A8308" s="4"/>
      <c r="B8308" s="4"/>
      <c r="C8308" s="4"/>
    </row>
    <row r="8309">
      <c r="A8309" s="4"/>
      <c r="B8309" s="4"/>
      <c r="C8309" s="4"/>
    </row>
    <row r="8310">
      <c r="A8310" s="4"/>
      <c r="B8310" s="4"/>
      <c r="C8310" s="4"/>
    </row>
    <row r="8311">
      <c r="A8311" s="4"/>
      <c r="B8311" s="4"/>
      <c r="C8311" s="4"/>
    </row>
    <row r="8312">
      <c r="A8312" s="4"/>
      <c r="B8312" s="4"/>
      <c r="C8312" s="4"/>
    </row>
    <row r="8313">
      <c r="A8313" s="4"/>
      <c r="B8313" s="4"/>
      <c r="C8313" s="4"/>
    </row>
    <row r="8314">
      <c r="A8314" s="4"/>
      <c r="B8314" s="4"/>
      <c r="C8314" s="4"/>
    </row>
    <row r="8315">
      <c r="A8315" s="4"/>
      <c r="B8315" s="4"/>
      <c r="C8315" s="4"/>
    </row>
    <row r="8316">
      <c r="A8316" s="4"/>
      <c r="B8316" s="4"/>
      <c r="C8316" s="4"/>
    </row>
    <row r="8317">
      <c r="A8317" s="4"/>
      <c r="B8317" s="4"/>
      <c r="C8317" s="4"/>
    </row>
    <row r="8318">
      <c r="A8318" s="4"/>
      <c r="B8318" s="4"/>
      <c r="C8318" s="4"/>
    </row>
    <row r="8319">
      <c r="A8319" s="4"/>
      <c r="B8319" s="4"/>
      <c r="C8319" s="4"/>
    </row>
    <row r="8320">
      <c r="A8320" s="4"/>
      <c r="B8320" s="4"/>
      <c r="C8320" s="4"/>
    </row>
    <row r="8321">
      <c r="A8321" s="4"/>
      <c r="B8321" s="4"/>
      <c r="C8321" s="4"/>
    </row>
    <row r="8322">
      <c r="A8322" s="4"/>
      <c r="B8322" s="4"/>
      <c r="C8322" s="4"/>
    </row>
    <row r="8323">
      <c r="A8323" s="4"/>
      <c r="B8323" s="4"/>
      <c r="C8323" s="4"/>
    </row>
    <row r="8324">
      <c r="A8324" s="4"/>
      <c r="B8324" s="4"/>
      <c r="C8324" s="4"/>
    </row>
    <row r="8325">
      <c r="A8325" s="4"/>
      <c r="B8325" s="4"/>
      <c r="C8325" s="4"/>
    </row>
    <row r="8326">
      <c r="A8326" s="4"/>
      <c r="B8326" s="4"/>
      <c r="C8326" s="4"/>
    </row>
    <row r="8327">
      <c r="A8327" s="4"/>
      <c r="B8327" s="4"/>
      <c r="C8327" s="4"/>
    </row>
    <row r="8328">
      <c r="A8328" s="4"/>
      <c r="B8328" s="4"/>
      <c r="C8328" s="4"/>
    </row>
    <row r="8329">
      <c r="A8329" s="4"/>
      <c r="B8329" s="4"/>
      <c r="C8329" s="4"/>
    </row>
    <row r="8330">
      <c r="A8330" s="4"/>
      <c r="B8330" s="4"/>
      <c r="C8330" s="4"/>
    </row>
    <row r="8331">
      <c r="A8331" s="4"/>
      <c r="B8331" s="4"/>
      <c r="C8331" s="4"/>
    </row>
    <row r="8332">
      <c r="A8332" s="4"/>
      <c r="B8332" s="4"/>
      <c r="C8332" s="4"/>
    </row>
    <row r="8333">
      <c r="A8333" s="4"/>
      <c r="B8333" s="4"/>
      <c r="C8333" s="4"/>
    </row>
    <row r="8334">
      <c r="A8334" s="4"/>
      <c r="B8334" s="4"/>
      <c r="C8334" s="4"/>
    </row>
    <row r="8335">
      <c r="A8335" s="4"/>
      <c r="B8335" s="4"/>
      <c r="C8335" s="4"/>
    </row>
    <row r="8336">
      <c r="A8336" s="4"/>
      <c r="B8336" s="4"/>
      <c r="C8336" s="4"/>
    </row>
    <row r="8337">
      <c r="A8337" s="4"/>
      <c r="B8337" s="4"/>
      <c r="C8337" s="4"/>
    </row>
    <row r="8338">
      <c r="A8338" s="4"/>
      <c r="B8338" s="4"/>
      <c r="C8338" s="4"/>
    </row>
    <row r="8339">
      <c r="A8339" s="4"/>
      <c r="B8339" s="4"/>
      <c r="C8339" s="4"/>
    </row>
    <row r="8340">
      <c r="A8340" s="4"/>
      <c r="B8340" s="4"/>
      <c r="C8340" s="4"/>
    </row>
    <row r="8341">
      <c r="A8341" s="4"/>
      <c r="B8341" s="4"/>
      <c r="C8341" s="4"/>
    </row>
    <row r="8342">
      <c r="A8342" s="4"/>
      <c r="B8342" s="4"/>
      <c r="C8342" s="4"/>
    </row>
    <row r="8343">
      <c r="A8343" s="4"/>
      <c r="B8343" s="4"/>
      <c r="C8343" s="4"/>
    </row>
    <row r="8344">
      <c r="A8344" s="4"/>
      <c r="B8344" s="4"/>
      <c r="C8344" s="4"/>
    </row>
    <row r="8345">
      <c r="A8345" s="4"/>
      <c r="B8345" s="4"/>
      <c r="C8345" s="4"/>
    </row>
    <row r="8346">
      <c r="A8346" s="4"/>
      <c r="B8346" s="4"/>
      <c r="C8346" s="4"/>
    </row>
    <row r="8347">
      <c r="A8347" s="4"/>
      <c r="B8347" s="4"/>
      <c r="C8347" s="4"/>
    </row>
    <row r="8348">
      <c r="A8348" s="4"/>
      <c r="B8348" s="4"/>
      <c r="C8348" s="4"/>
    </row>
    <row r="8349">
      <c r="A8349" s="4"/>
      <c r="B8349" s="4"/>
      <c r="C8349" s="4"/>
    </row>
    <row r="8350">
      <c r="A8350" s="4"/>
      <c r="B8350" s="4"/>
      <c r="C8350" s="4"/>
    </row>
    <row r="8351">
      <c r="A8351" s="4"/>
      <c r="B8351" s="4"/>
      <c r="C8351" s="4"/>
    </row>
    <row r="8352">
      <c r="A8352" s="4"/>
      <c r="B8352" s="4"/>
      <c r="C8352" s="4"/>
    </row>
    <row r="8353">
      <c r="A8353" s="4"/>
      <c r="B8353" s="4"/>
      <c r="C8353" s="4"/>
    </row>
    <row r="8354">
      <c r="A8354" s="4"/>
      <c r="B8354" s="4"/>
      <c r="C8354" s="4"/>
    </row>
    <row r="8355">
      <c r="A8355" s="4"/>
      <c r="B8355" s="4"/>
      <c r="C8355" s="4"/>
    </row>
    <row r="8356">
      <c r="A8356" s="4"/>
      <c r="B8356" s="4"/>
      <c r="C8356" s="4"/>
    </row>
    <row r="8357">
      <c r="A8357" s="4"/>
      <c r="B8357" s="4"/>
      <c r="C8357" s="4"/>
    </row>
    <row r="8358">
      <c r="A8358" s="4"/>
      <c r="B8358" s="4"/>
      <c r="C8358" s="4"/>
    </row>
    <row r="8359">
      <c r="A8359" s="4"/>
      <c r="B8359" s="4"/>
      <c r="C8359" s="4"/>
    </row>
    <row r="8360">
      <c r="A8360" s="4"/>
      <c r="B8360" s="4"/>
      <c r="C8360" s="4"/>
    </row>
    <row r="8361">
      <c r="A8361" s="4"/>
      <c r="B8361" s="4"/>
      <c r="C8361" s="4"/>
    </row>
    <row r="8362">
      <c r="A8362" s="4"/>
      <c r="B8362" s="4"/>
      <c r="C8362" s="4"/>
    </row>
    <row r="8363">
      <c r="A8363" s="4"/>
      <c r="B8363" s="4"/>
      <c r="C8363" s="4"/>
    </row>
    <row r="8364">
      <c r="A8364" s="4"/>
      <c r="B8364" s="4"/>
      <c r="C8364" s="4"/>
    </row>
    <row r="8365">
      <c r="A8365" s="4"/>
      <c r="B8365" s="4"/>
      <c r="C8365" s="4"/>
    </row>
    <row r="8366">
      <c r="A8366" s="4"/>
      <c r="B8366" s="4"/>
      <c r="C8366" s="4"/>
    </row>
    <row r="8367">
      <c r="A8367" s="4"/>
      <c r="B8367" s="4"/>
      <c r="C8367" s="4"/>
    </row>
    <row r="8368">
      <c r="A8368" s="4"/>
      <c r="B8368" s="4"/>
      <c r="C8368" s="4"/>
    </row>
    <row r="8369">
      <c r="A8369" s="4"/>
      <c r="B8369" s="4"/>
      <c r="C8369" s="4"/>
    </row>
    <row r="8370">
      <c r="A8370" s="4"/>
      <c r="B8370" s="4"/>
      <c r="C8370" s="4"/>
    </row>
    <row r="8371">
      <c r="A8371" s="4"/>
      <c r="B8371" s="4"/>
      <c r="C8371" s="4"/>
    </row>
    <row r="8372">
      <c r="A8372" s="4"/>
      <c r="B8372" s="4"/>
      <c r="C8372" s="4"/>
    </row>
    <row r="8373">
      <c r="A8373" s="4"/>
      <c r="B8373" s="4"/>
      <c r="C8373" s="4"/>
    </row>
    <row r="8374">
      <c r="A8374" s="4"/>
      <c r="B8374" s="4"/>
      <c r="C8374" s="4"/>
    </row>
    <row r="8375">
      <c r="A8375" s="4"/>
      <c r="B8375" s="4"/>
      <c r="C8375" s="4"/>
    </row>
    <row r="8376">
      <c r="A8376" s="4"/>
      <c r="B8376" s="4"/>
      <c r="C8376" s="4"/>
    </row>
    <row r="8377">
      <c r="A8377" s="4"/>
      <c r="B8377" s="4"/>
      <c r="C8377" s="4"/>
    </row>
    <row r="8378">
      <c r="A8378" s="4"/>
      <c r="B8378" s="4"/>
      <c r="C8378" s="4"/>
    </row>
    <row r="8379">
      <c r="A8379" s="4"/>
      <c r="B8379" s="4"/>
      <c r="C8379" s="4"/>
    </row>
    <row r="8380">
      <c r="A8380" s="4"/>
      <c r="B8380" s="4"/>
      <c r="C8380" s="4"/>
    </row>
    <row r="8381">
      <c r="A8381" s="4"/>
      <c r="B8381" s="4"/>
      <c r="C8381" s="4"/>
    </row>
    <row r="8382">
      <c r="A8382" s="4"/>
      <c r="B8382" s="4"/>
      <c r="C8382" s="4"/>
    </row>
    <row r="8383">
      <c r="A8383" s="4"/>
      <c r="B8383" s="4"/>
      <c r="C8383" s="4"/>
    </row>
    <row r="8384">
      <c r="A8384" s="4"/>
      <c r="B8384" s="4"/>
      <c r="C8384" s="4"/>
    </row>
    <row r="8385">
      <c r="A8385" s="4"/>
      <c r="B8385" s="4"/>
      <c r="C8385" s="4"/>
    </row>
    <row r="8386">
      <c r="A8386" s="4"/>
      <c r="B8386" s="4"/>
      <c r="C8386" s="4"/>
    </row>
    <row r="8387">
      <c r="A8387" s="4"/>
      <c r="B8387" s="4"/>
      <c r="C8387" s="4"/>
    </row>
    <row r="8388">
      <c r="A8388" s="4"/>
      <c r="B8388" s="4"/>
      <c r="C8388" s="4"/>
    </row>
    <row r="8389">
      <c r="A8389" s="4"/>
      <c r="B8389" s="4"/>
      <c r="C8389" s="4"/>
    </row>
    <row r="8390">
      <c r="A8390" s="4"/>
      <c r="B8390" s="4"/>
      <c r="C8390" s="4"/>
    </row>
    <row r="8391">
      <c r="A8391" s="4"/>
      <c r="B8391" s="4"/>
      <c r="C8391" s="4"/>
    </row>
    <row r="8392">
      <c r="A8392" s="4"/>
      <c r="B8392" s="4"/>
      <c r="C8392" s="4"/>
    </row>
    <row r="8393">
      <c r="A8393" s="4"/>
      <c r="B8393" s="4"/>
      <c r="C8393" s="4"/>
    </row>
    <row r="8394">
      <c r="A8394" s="4"/>
      <c r="B8394" s="4"/>
      <c r="C8394" s="4"/>
    </row>
    <row r="8395">
      <c r="A8395" s="4"/>
      <c r="B8395" s="4"/>
      <c r="C8395" s="4"/>
    </row>
    <row r="8396">
      <c r="A8396" s="4"/>
      <c r="B8396" s="4"/>
      <c r="C8396" s="4"/>
    </row>
    <row r="8397">
      <c r="A8397" s="4"/>
      <c r="B8397" s="4"/>
      <c r="C8397" s="4"/>
    </row>
    <row r="8398">
      <c r="A8398" s="4"/>
      <c r="B8398" s="4"/>
      <c r="C8398" s="4"/>
    </row>
    <row r="8399">
      <c r="A8399" s="4"/>
      <c r="B8399" s="4"/>
      <c r="C8399" s="4"/>
    </row>
    <row r="8400">
      <c r="A8400" s="4"/>
      <c r="B8400" s="4"/>
      <c r="C8400" s="4"/>
    </row>
    <row r="8401">
      <c r="A8401" s="4"/>
      <c r="B8401" s="4"/>
      <c r="C8401" s="4"/>
    </row>
    <row r="8402">
      <c r="A8402" s="4"/>
      <c r="B8402" s="4"/>
      <c r="C8402" s="4"/>
    </row>
    <row r="8403">
      <c r="A8403" s="4"/>
      <c r="B8403" s="4"/>
      <c r="C8403" s="4"/>
    </row>
    <row r="8404">
      <c r="A8404" s="4"/>
      <c r="B8404" s="4"/>
      <c r="C8404" s="4"/>
    </row>
    <row r="8405">
      <c r="A8405" s="4"/>
      <c r="B8405" s="4"/>
      <c r="C8405" s="4"/>
    </row>
    <row r="8406">
      <c r="A8406" s="4"/>
      <c r="B8406" s="4"/>
      <c r="C8406" s="4"/>
    </row>
    <row r="8407">
      <c r="A8407" s="4"/>
      <c r="B8407" s="4"/>
      <c r="C8407" s="4"/>
    </row>
    <row r="8408">
      <c r="A8408" s="4"/>
      <c r="B8408" s="4"/>
      <c r="C8408" s="4"/>
    </row>
    <row r="8409">
      <c r="A8409" s="4"/>
      <c r="B8409" s="4"/>
      <c r="C8409" s="4"/>
    </row>
    <row r="8410">
      <c r="A8410" s="4"/>
      <c r="B8410" s="4"/>
      <c r="C8410" s="4"/>
    </row>
    <row r="8411">
      <c r="A8411" s="4"/>
      <c r="B8411" s="4"/>
      <c r="C8411" s="4"/>
    </row>
    <row r="8412">
      <c r="A8412" s="4"/>
      <c r="B8412" s="4"/>
      <c r="C8412" s="4"/>
    </row>
    <row r="8413">
      <c r="A8413" s="4"/>
      <c r="B8413" s="4"/>
      <c r="C8413" s="4"/>
    </row>
    <row r="8414">
      <c r="A8414" s="4"/>
      <c r="B8414" s="4"/>
      <c r="C8414" s="4"/>
    </row>
    <row r="8415">
      <c r="A8415" s="4"/>
      <c r="B8415" s="4"/>
      <c r="C8415" s="4"/>
    </row>
    <row r="8416">
      <c r="A8416" s="4"/>
      <c r="B8416" s="4"/>
      <c r="C8416" s="4"/>
    </row>
    <row r="8417">
      <c r="A8417" s="4"/>
      <c r="B8417" s="4"/>
      <c r="C8417" s="4"/>
    </row>
    <row r="8418">
      <c r="A8418" s="4"/>
      <c r="B8418" s="4"/>
      <c r="C8418" s="4"/>
    </row>
    <row r="8419">
      <c r="A8419" s="4"/>
      <c r="B8419" s="4"/>
      <c r="C8419" s="4"/>
    </row>
    <row r="8420">
      <c r="A8420" s="4"/>
      <c r="B8420" s="4"/>
      <c r="C8420" s="4"/>
    </row>
    <row r="8421">
      <c r="A8421" s="4"/>
      <c r="B8421" s="4"/>
      <c r="C8421" s="4"/>
    </row>
    <row r="8422">
      <c r="A8422" s="4"/>
      <c r="B8422" s="4"/>
      <c r="C8422" s="4"/>
    </row>
    <row r="8423">
      <c r="A8423" s="4"/>
      <c r="B8423" s="4"/>
      <c r="C8423" s="4"/>
    </row>
    <row r="8424">
      <c r="A8424" s="4"/>
      <c r="B8424" s="4"/>
      <c r="C8424" s="4"/>
    </row>
    <row r="8425">
      <c r="A8425" s="4"/>
      <c r="B8425" s="4"/>
      <c r="C8425" s="4"/>
    </row>
    <row r="8426">
      <c r="A8426" s="4"/>
      <c r="B8426" s="4"/>
      <c r="C8426" s="4"/>
    </row>
    <row r="8427">
      <c r="A8427" s="4"/>
      <c r="B8427" s="4"/>
      <c r="C8427" s="4"/>
    </row>
    <row r="8428">
      <c r="A8428" s="4"/>
      <c r="B8428" s="4"/>
      <c r="C8428" s="4"/>
    </row>
    <row r="8429">
      <c r="A8429" s="4"/>
      <c r="B8429" s="4"/>
      <c r="C8429" s="4"/>
    </row>
    <row r="8430">
      <c r="A8430" s="4"/>
      <c r="B8430" s="4"/>
      <c r="C8430" s="4"/>
    </row>
    <row r="8431">
      <c r="A8431" s="4"/>
      <c r="B8431" s="4"/>
      <c r="C8431" s="4"/>
    </row>
    <row r="8432">
      <c r="A8432" s="4"/>
      <c r="B8432" s="4"/>
      <c r="C8432" s="4"/>
    </row>
    <row r="8433">
      <c r="A8433" s="4"/>
      <c r="B8433" s="4"/>
      <c r="C8433" s="4"/>
    </row>
    <row r="8434">
      <c r="A8434" s="4"/>
      <c r="B8434" s="4"/>
      <c r="C8434" s="4"/>
    </row>
    <row r="8435">
      <c r="A8435" s="4"/>
      <c r="B8435" s="4"/>
      <c r="C8435" s="4"/>
    </row>
    <row r="8436">
      <c r="A8436" s="4"/>
      <c r="B8436" s="4"/>
      <c r="C8436" s="4"/>
    </row>
    <row r="8437">
      <c r="A8437" s="4"/>
      <c r="B8437" s="4"/>
      <c r="C8437" s="4"/>
    </row>
    <row r="8438">
      <c r="A8438" s="4"/>
      <c r="B8438" s="4"/>
      <c r="C8438" s="4"/>
    </row>
    <row r="8439">
      <c r="A8439" s="4"/>
      <c r="B8439" s="4"/>
      <c r="C8439" s="4"/>
    </row>
    <row r="8440">
      <c r="A8440" s="4"/>
      <c r="B8440" s="4"/>
      <c r="C8440" s="4"/>
    </row>
    <row r="8441">
      <c r="A8441" s="4"/>
      <c r="B8441" s="4"/>
      <c r="C8441" s="4"/>
    </row>
    <row r="8442">
      <c r="A8442" s="4"/>
      <c r="B8442" s="4"/>
      <c r="C8442" s="4"/>
    </row>
    <row r="8443">
      <c r="A8443" s="4"/>
      <c r="B8443" s="4"/>
      <c r="C8443" s="4"/>
    </row>
    <row r="8444">
      <c r="A8444" s="4"/>
      <c r="B8444" s="4"/>
      <c r="C8444" s="4"/>
    </row>
    <row r="8445">
      <c r="A8445" s="4"/>
      <c r="B8445" s="4"/>
      <c r="C8445" s="4"/>
    </row>
    <row r="8446">
      <c r="A8446" s="4"/>
      <c r="B8446" s="4"/>
      <c r="C8446" s="4"/>
    </row>
    <row r="8447">
      <c r="A8447" s="4"/>
      <c r="B8447" s="4"/>
      <c r="C8447" s="4"/>
    </row>
    <row r="8448">
      <c r="A8448" s="4"/>
      <c r="B8448" s="4"/>
      <c r="C8448" s="4"/>
    </row>
    <row r="8449">
      <c r="A8449" s="4"/>
      <c r="B8449" s="4"/>
      <c r="C8449" s="4"/>
    </row>
    <row r="8450">
      <c r="A8450" s="4"/>
      <c r="B8450" s="4"/>
      <c r="C8450" s="4"/>
    </row>
    <row r="8451">
      <c r="A8451" s="4"/>
      <c r="B8451" s="4"/>
      <c r="C8451" s="4"/>
    </row>
    <row r="8452">
      <c r="A8452" s="4"/>
      <c r="B8452" s="4"/>
      <c r="C8452" s="4"/>
    </row>
    <row r="8453">
      <c r="A8453" s="4"/>
      <c r="B8453" s="4"/>
      <c r="C8453" s="4"/>
    </row>
    <row r="8454">
      <c r="A8454" s="4"/>
      <c r="B8454" s="4"/>
      <c r="C8454" s="4"/>
    </row>
    <row r="8455">
      <c r="A8455" s="4"/>
      <c r="B8455" s="4"/>
      <c r="C8455" s="4"/>
    </row>
    <row r="8456">
      <c r="A8456" s="4"/>
      <c r="B8456" s="4"/>
      <c r="C8456" s="4"/>
    </row>
    <row r="8457">
      <c r="A8457" s="4"/>
      <c r="B8457" s="4"/>
      <c r="C8457" s="4"/>
    </row>
    <row r="8458">
      <c r="A8458" s="4"/>
      <c r="B8458" s="4"/>
      <c r="C8458" s="4"/>
    </row>
    <row r="8459">
      <c r="A8459" s="4"/>
      <c r="B8459" s="4"/>
      <c r="C8459" s="4"/>
    </row>
    <row r="8460">
      <c r="A8460" s="4"/>
      <c r="B8460" s="4"/>
      <c r="C8460" s="4"/>
    </row>
    <row r="8461">
      <c r="A8461" s="4"/>
      <c r="B8461" s="4"/>
      <c r="C8461" s="4"/>
    </row>
    <row r="8462">
      <c r="A8462" s="4"/>
      <c r="B8462" s="4"/>
      <c r="C8462" s="4"/>
    </row>
    <row r="8463">
      <c r="A8463" s="4"/>
      <c r="B8463" s="4"/>
      <c r="C8463" s="4"/>
    </row>
    <row r="8464">
      <c r="A8464" s="4"/>
      <c r="B8464" s="4"/>
      <c r="C8464" s="4"/>
    </row>
    <row r="8465">
      <c r="A8465" s="4"/>
      <c r="B8465" s="4"/>
      <c r="C8465" s="4"/>
    </row>
    <row r="8466">
      <c r="A8466" s="4"/>
      <c r="B8466" s="4"/>
      <c r="C8466" s="4"/>
    </row>
    <row r="8467">
      <c r="A8467" s="4"/>
      <c r="B8467" s="4"/>
      <c r="C8467" s="4"/>
    </row>
    <row r="8468">
      <c r="A8468" s="4"/>
      <c r="B8468" s="4"/>
      <c r="C8468" s="4"/>
    </row>
    <row r="8469">
      <c r="A8469" s="4"/>
      <c r="B8469" s="4"/>
      <c r="C8469" s="4"/>
    </row>
    <row r="8470">
      <c r="A8470" s="4"/>
      <c r="B8470" s="4"/>
      <c r="C8470" s="4"/>
    </row>
    <row r="8471">
      <c r="A8471" s="4"/>
      <c r="B8471" s="4"/>
      <c r="C8471" s="4"/>
    </row>
    <row r="8472">
      <c r="A8472" s="4"/>
      <c r="B8472" s="4"/>
      <c r="C8472" s="4"/>
    </row>
    <row r="8473">
      <c r="A8473" s="4"/>
      <c r="B8473" s="4"/>
      <c r="C8473" s="4"/>
    </row>
    <row r="8474">
      <c r="A8474" s="4"/>
      <c r="B8474" s="4"/>
      <c r="C8474" s="4"/>
    </row>
    <row r="8475">
      <c r="A8475" s="4"/>
      <c r="B8475" s="4"/>
      <c r="C8475" s="4"/>
    </row>
    <row r="8476">
      <c r="A8476" s="4"/>
      <c r="B8476" s="4"/>
      <c r="C8476" s="4"/>
    </row>
    <row r="8477">
      <c r="A8477" s="4"/>
      <c r="B8477" s="4"/>
      <c r="C8477" s="4"/>
    </row>
    <row r="8478">
      <c r="A8478" s="4"/>
      <c r="B8478" s="4"/>
      <c r="C8478" s="4"/>
    </row>
    <row r="8479">
      <c r="A8479" s="4"/>
      <c r="B8479" s="4"/>
      <c r="C8479" s="4"/>
    </row>
    <row r="8480">
      <c r="A8480" s="4"/>
      <c r="B8480" s="4"/>
      <c r="C8480" s="4"/>
    </row>
    <row r="8481">
      <c r="A8481" s="4"/>
      <c r="B8481" s="4"/>
      <c r="C8481" s="4"/>
    </row>
    <row r="8482">
      <c r="A8482" s="4"/>
      <c r="B8482" s="4"/>
      <c r="C8482" s="4"/>
    </row>
    <row r="8483">
      <c r="A8483" s="4"/>
      <c r="B8483" s="4"/>
      <c r="C8483" s="4"/>
    </row>
    <row r="8484">
      <c r="A8484" s="4"/>
      <c r="B8484" s="4"/>
      <c r="C8484" s="4"/>
    </row>
    <row r="8485">
      <c r="A8485" s="4"/>
      <c r="B8485" s="4"/>
      <c r="C8485" s="4"/>
    </row>
    <row r="8486">
      <c r="A8486" s="4"/>
      <c r="B8486" s="4"/>
      <c r="C8486" s="4"/>
    </row>
    <row r="8487">
      <c r="A8487" s="4"/>
      <c r="B8487" s="4"/>
      <c r="C8487" s="4"/>
    </row>
    <row r="8488">
      <c r="A8488" s="4"/>
      <c r="B8488" s="4"/>
      <c r="C8488" s="4"/>
    </row>
    <row r="8489">
      <c r="A8489" s="4"/>
      <c r="B8489" s="4"/>
      <c r="C8489" s="4"/>
    </row>
    <row r="8490">
      <c r="A8490" s="4"/>
      <c r="B8490" s="4"/>
      <c r="C8490" s="4"/>
    </row>
    <row r="8491">
      <c r="A8491" s="4"/>
      <c r="B8491" s="4"/>
      <c r="C8491" s="4"/>
    </row>
    <row r="8492">
      <c r="A8492" s="4"/>
      <c r="B8492" s="4"/>
      <c r="C8492" s="4"/>
    </row>
    <row r="8493">
      <c r="A8493" s="4"/>
      <c r="B8493" s="4"/>
      <c r="C8493" s="4"/>
    </row>
    <row r="8494">
      <c r="A8494" s="4"/>
      <c r="B8494" s="4"/>
      <c r="C8494" s="4"/>
    </row>
    <row r="8495">
      <c r="A8495" s="4"/>
      <c r="B8495" s="4"/>
      <c r="C8495" s="4"/>
    </row>
    <row r="8496">
      <c r="A8496" s="4"/>
      <c r="B8496" s="4"/>
      <c r="C8496" s="4"/>
    </row>
    <row r="8497">
      <c r="A8497" s="4"/>
      <c r="B8497" s="4"/>
      <c r="C8497" s="4"/>
    </row>
    <row r="8498">
      <c r="A8498" s="4"/>
      <c r="B8498" s="4"/>
      <c r="C8498" s="4"/>
    </row>
    <row r="8499">
      <c r="A8499" s="4"/>
      <c r="B8499" s="4"/>
      <c r="C8499" s="4"/>
    </row>
    <row r="8500">
      <c r="A8500" s="4"/>
      <c r="B8500" s="4"/>
      <c r="C8500" s="4"/>
    </row>
    <row r="8501">
      <c r="A8501" s="4"/>
      <c r="B8501" s="4"/>
      <c r="C8501" s="4"/>
    </row>
    <row r="8502">
      <c r="A8502" s="4"/>
      <c r="B8502" s="4"/>
      <c r="C8502" s="4"/>
    </row>
    <row r="8503">
      <c r="A8503" s="4"/>
      <c r="B8503" s="4"/>
      <c r="C8503" s="4"/>
    </row>
    <row r="8504">
      <c r="A8504" s="4"/>
      <c r="B8504" s="4"/>
      <c r="C8504" s="4"/>
    </row>
    <row r="8505">
      <c r="A8505" s="4"/>
      <c r="B8505" s="4"/>
      <c r="C8505" s="4"/>
    </row>
    <row r="8506">
      <c r="A8506" s="4"/>
      <c r="B8506" s="4"/>
      <c r="C8506" s="4"/>
    </row>
    <row r="8507">
      <c r="A8507" s="4"/>
      <c r="B8507" s="4"/>
      <c r="C8507" s="4"/>
    </row>
    <row r="8508">
      <c r="A8508" s="4"/>
      <c r="B8508" s="4"/>
      <c r="C8508" s="4"/>
    </row>
    <row r="8509">
      <c r="A8509" s="4"/>
      <c r="B8509" s="4"/>
      <c r="C8509" s="4"/>
    </row>
    <row r="8510">
      <c r="A8510" s="4"/>
      <c r="B8510" s="4"/>
      <c r="C8510" s="4"/>
    </row>
    <row r="8511">
      <c r="A8511" s="4"/>
      <c r="B8511" s="4"/>
      <c r="C8511" s="4"/>
    </row>
    <row r="8512">
      <c r="A8512" s="4"/>
      <c r="B8512" s="4"/>
      <c r="C8512" s="4"/>
    </row>
    <row r="8513">
      <c r="A8513" s="4"/>
      <c r="B8513" s="4"/>
      <c r="C8513" s="4"/>
    </row>
    <row r="8514">
      <c r="A8514" s="4"/>
      <c r="B8514" s="4"/>
      <c r="C8514" s="4"/>
    </row>
    <row r="8515">
      <c r="A8515" s="4"/>
      <c r="B8515" s="4"/>
      <c r="C8515" s="4"/>
    </row>
    <row r="8516">
      <c r="A8516" s="4"/>
      <c r="B8516" s="4"/>
      <c r="C8516" s="4"/>
    </row>
    <row r="8517">
      <c r="A8517" s="4"/>
      <c r="B8517" s="4"/>
      <c r="C8517" s="4"/>
    </row>
    <row r="8518">
      <c r="A8518" s="4"/>
      <c r="B8518" s="4"/>
      <c r="C8518" s="4"/>
    </row>
    <row r="8519">
      <c r="A8519" s="4"/>
      <c r="B8519" s="4"/>
      <c r="C8519" s="4"/>
    </row>
    <row r="8520">
      <c r="A8520" s="4"/>
      <c r="B8520" s="4"/>
      <c r="C8520" s="4"/>
    </row>
    <row r="8521">
      <c r="A8521" s="4"/>
      <c r="B8521" s="4"/>
      <c r="C8521" s="4"/>
    </row>
    <row r="8522">
      <c r="A8522" s="4"/>
      <c r="B8522" s="4"/>
      <c r="C8522" s="4"/>
    </row>
    <row r="8523">
      <c r="A8523" s="4"/>
      <c r="B8523" s="4"/>
      <c r="C8523" s="4"/>
    </row>
    <row r="8524">
      <c r="A8524" s="4"/>
      <c r="B8524" s="4"/>
      <c r="C8524" s="4"/>
    </row>
    <row r="8525">
      <c r="A8525" s="4"/>
      <c r="B8525" s="4"/>
      <c r="C8525" s="4"/>
    </row>
    <row r="8526">
      <c r="A8526" s="4"/>
      <c r="B8526" s="4"/>
      <c r="C8526" s="4"/>
    </row>
    <row r="8527">
      <c r="A8527" s="4"/>
      <c r="B8527" s="4"/>
      <c r="C8527" s="4"/>
    </row>
    <row r="8528">
      <c r="A8528" s="4"/>
      <c r="B8528" s="4"/>
      <c r="C8528" s="4"/>
    </row>
    <row r="8529">
      <c r="A8529" s="4"/>
      <c r="B8529" s="4"/>
      <c r="C8529" s="4"/>
    </row>
    <row r="8530">
      <c r="A8530" s="4"/>
      <c r="B8530" s="4"/>
      <c r="C8530" s="4"/>
    </row>
    <row r="8531">
      <c r="A8531" s="4"/>
      <c r="B8531" s="4"/>
      <c r="C8531" s="4"/>
    </row>
    <row r="8532">
      <c r="A8532" s="4"/>
      <c r="B8532" s="4"/>
      <c r="C8532" s="4"/>
    </row>
    <row r="8533">
      <c r="A8533" s="4"/>
      <c r="B8533" s="4"/>
      <c r="C8533" s="4"/>
    </row>
    <row r="8534">
      <c r="A8534" s="4"/>
      <c r="B8534" s="4"/>
      <c r="C8534" s="4"/>
    </row>
    <row r="8535">
      <c r="A8535" s="4"/>
      <c r="B8535" s="4"/>
      <c r="C8535" s="4"/>
    </row>
    <row r="8536">
      <c r="A8536" s="4"/>
      <c r="B8536" s="4"/>
      <c r="C8536" s="4"/>
    </row>
    <row r="8537">
      <c r="A8537" s="4"/>
      <c r="B8537" s="4"/>
      <c r="C8537" s="4"/>
    </row>
    <row r="8538">
      <c r="A8538" s="4"/>
      <c r="B8538" s="4"/>
      <c r="C8538" s="4"/>
    </row>
    <row r="8539">
      <c r="A8539" s="4"/>
      <c r="B8539" s="4"/>
      <c r="C8539" s="4"/>
    </row>
    <row r="8540">
      <c r="A8540" s="4"/>
      <c r="B8540" s="4"/>
      <c r="C8540" s="4"/>
    </row>
    <row r="8541">
      <c r="A8541" s="4"/>
      <c r="B8541" s="4"/>
      <c r="C8541" s="4"/>
    </row>
    <row r="8542">
      <c r="A8542" s="4"/>
      <c r="B8542" s="4"/>
      <c r="C8542" s="4"/>
    </row>
    <row r="8543">
      <c r="A8543" s="4"/>
      <c r="B8543" s="4"/>
      <c r="C8543" s="4"/>
    </row>
    <row r="8544">
      <c r="A8544" s="4"/>
      <c r="B8544" s="4"/>
      <c r="C8544" s="4"/>
    </row>
    <row r="8545">
      <c r="A8545" s="4"/>
      <c r="B8545" s="4"/>
      <c r="C8545" s="4"/>
    </row>
    <row r="8546">
      <c r="A8546" s="4"/>
      <c r="B8546" s="4"/>
      <c r="C8546" s="4"/>
    </row>
    <row r="8547">
      <c r="A8547" s="4"/>
      <c r="B8547" s="4"/>
      <c r="C8547" s="4"/>
    </row>
    <row r="8548">
      <c r="A8548" s="4"/>
      <c r="B8548" s="4"/>
      <c r="C8548" s="4"/>
    </row>
    <row r="8549">
      <c r="A8549" s="4"/>
      <c r="B8549" s="4"/>
      <c r="C8549" s="4"/>
    </row>
    <row r="8550">
      <c r="A8550" s="4"/>
      <c r="B8550" s="4"/>
      <c r="C8550" s="4"/>
    </row>
    <row r="8551">
      <c r="A8551" s="4"/>
      <c r="B8551" s="4"/>
      <c r="C8551" s="4"/>
    </row>
    <row r="8552">
      <c r="A8552" s="4"/>
      <c r="B8552" s="4"/>
      <c r="C8552" s="4"/>
    </row>
    <row r="8553">
      <c r="A8553" s="4"/>
      <c r="B8553" s="4"/>
      <c r="C8553" s="4"/>
    </row>
    <row r="8554">
      <c r="A8554" s="4"/>
      <c r="B8554" s="4"/>
      <c r="C8554" s="4"/>
    </row>
    <row r="8555">
      <c r="A8555" s="4"/>
      <c r="B8555" s="4"/>
      <c r="C8555" s="4"/>
    </row>
    <row r="8556">
      <c r="A8556" s="4"/>
      <c r="B8556" s="4"/>
      <c r="C8556" s="4"/>
    </row>
    <row r="8557">
      <c r="A8557" s="4"/>
      <c r="B8557" s="4"/>
      <c r="C8557" s="4"/>
    </row>
    <row r="8558">
      <c r="A8558" s="4"/>
      <c r="B8558" s="4"/>
      <c r="C8558" s="4"/>
    </row>
    <row r="8559">
      <c r="A8559" s="4"/>
      <c r="B8559" s="4"/>
      <c r="C8559" s="4"/>
    </row>
    <row r="8560">
      <c r="A8560" s="4"/>
      <c r="B8560" s="4"/>
      <c r="C8560" s="4"/>
    </row>
    <row r="8561">
      <c r="A8561" s="4"/>
      <c r="B8561" s="4"/>
      <c r="C8561" s="4"/>
    </row>
    <row r="8562">
      <c r="A8562" s="4"/>
      <c r="B8562" s="4"/>
      <c r="C8562" s="4"/>
    </row>
    <row r="8563">
      <c r="A8563" s="4"/>
      <c r="B8563" s="4"/>
      <c r="C8563" s="4"/>
    </row>
    <row r="8564">
      <c r="A8564" s="4"/>
      <c r="B8564" s="4"/>
      <c r="C8564" s="4"/>
    </row>
    <row r="8565">
      <c r="A8565" s="4"/>
      <c r="B8565" s="4"/>
      <c r="C8565" s="4"/>
    </row>
    <row r="8566">
      <c r="A8566" s="4"/>
      <c r="B8566" s="4"/>
      <c r="C8566" s="4"/>
    </row>
    <row r="8567">
      <c r="A8567" s="4"/>
      <c r="B8567" s="4"/>
      <c r="C8567" s="4"/>
    </row>
    <row r="8568">
      <c r="A8568" s="4"/>
      <c r="B8568" s="4"/>
      <c r="C8568" s="4"/>
    </row>
    <row r="8569">
      <c r="A8569" s="4"/>
      <c r="B8569" s="4"/>
      <c r="C8569" s="4"/>
    </row>
    <row r="8570">
      <c r="A8570" s="4"/>
      <c r="B8570" s="4"/>
      <c r="C8570" s="4"/>
    </row>
    <row r="8571">
      <c r="A8571" s="4"/>
      <c r="B8571" s="4"/>
      <c r="C8571" s="4"/>
    </row>
    <row r="8572">
      <c r="A8572" s="4"/>
      <c r="B8572" s="4"/>
      <c r="C8572" s="4"/>
    </row>
    <row r="8573">
      <c r="A8573" s="4"/>
      <c r="B8573" s="4"/>
      <c r="C8573" s="4"/>
    </row>
    <row r="8574">
      <c r="A8574" s="4"/>
      <c r="B8574" s="4"/>
      <c r="C8574" s="4"/>
    </row>
    <row r="8575">
      <c r="A8575" s="4"/>
      <c r="B8575" s="4"/>
      <c r="C8575" s="4"/>
    </row>
    <row r="8576">
      <c r="A8576" s="4"/>
      <c r="B8576" s="4"/>
      <c r="C8576" s="4"/>
    </row>
    <row r="8577">
      <c r="A8577" s="4"/>
      <c r="B8577" s="4"/>
      <c r="C8577" s="4"/>
    </row>
    <row r="8578">
      <c r="A8578" s="4"/>
      <c r="B8578" s="4"/>
      <c r="C8578" s="4"/>
    </row>
    <row r="8579">
      <c r="A8579" s="4"/>
      <c r="B8579" s="4"/>
      <c r="C8579" s="4"/>
    </row>
    <row r="8580">
      <c r="A8580" s="4"/>
      <c r="B8580" s="4"/>
      <c r="C8580" s="4"/>
    </row>
    <row r="8581">
      <c r="A8581" s="4"/>
      <c r="B8581" s="4"/>
      <c r="C8581" s="4"/>
    </row>
    <row r="8582">
      <c r="A8582" s="4"/>
      <c r="B8582" s="4"/>
      <c r="C8582" s="4"/>
    </row>
    <row r="8583">
      <c r="A8583" s="4"/>
      <c r="B8583" s="4"/>
      <c r="C8583" s="4"/>
    </row>
    <row r="8584">
      <c r="A8584" s="4"/>
      <c r="B8584" s="4"/>
      <c r="C8584" s="4"/>
    </row>
    <row r="8585">
      <c r="A8585" s="4"/>
      <c r="B8585" s="4"/>
      <c r="C8585" s="4"/>
    </row>
    <row r="8586">
      <c r="A8586" s="4"/>
      <c r="B8586" s="4"/>
      <c r="C8586" s="4"/>
    </row>
    <row r="8587">
      <c r="A8587" s="4"/>
      <c r="B8587" s="4"/>
      <c r="C8587" s="4"/>
    </row>
    <row r="8588">
      <c r="A8588" s="4"/>
      <c r="B8588" s="4"/>
      <c r="C8588" s="4"/>
    </row>
    <row r="8589">
      <c r="A8589" s="4"/>
      <c r="B8589" s="4"/>
      <c r="C8589" s="4"/>
    </row>
    <row r="8590">
      <c r="A8590" s="4"/>
      <c r="B8590" s="4"/>
      <c r="C8590" s="4"/>
    </row>
    <row r="8591">
      <c r="A8591" s="4"/>
      <c r="B8591" s="4"/>
      <c r="C8591" s="4"/>
    </row>
    <row r="8592">
      <c r="A8592" s="4"/>
      <c r="B8592" s="4"/>
      <c r="C8592" s="4"/>
    </row>
    <row r="8593">
      <c r="A8593" s="4"/>
      <c r="B8593" s="4"/>
      <c r="C8593" s="4"/>
    </row>
    <row r="8594">
      <c r="A8594" s="4"/>
      <c r="B8594" s="4"/>
      <c r="C8594" s="4"/>
    </row>
    <row r="8595">
      <c r="A8595" s="4"/>
      <c r="B8595" s="4"/>
      <c r="C8595" s="4"/>
    </row>
    <row r="8596">
      <c r="A8596" s="4"/>
      <c r="B8596" s="4"/>
      <c r="C8596" s="4"/>
    </row>
    <row r="8597">
      <c r="A8597" s="4"/>
      <c r="B8597" s="4"/>
      <c r="C8597" s="4"/>
    </row>
    <row r="8598">
      <c r="A8598" s="4"/>
      <c r="B8598" s="4"/>
      <c r="C8598" s="4"/>
    </row>
    <row r="8599">
      <c r="A8599" s="4"/>
      <c r="B8599" s="4"/>
      <c r="C8599" s="4"/>
    </row>
    <row r="8600">
      <c r="A8600" s="4"/>
      <c r="B8600" s="4"/>
      <c r="C8600" s="4"/>
    </row>
    <row r="8601">
      <c r="A8601" s="4"/>
      <c r="B8601" s="4"/>
      <c r="C8601" s="4"/>
    </row>
    <row r="8602">
      <c r="A8602" s="4"/>
      <c r="B8602" s="4"/>
      <c r="C8602" s="4"/>
    </row>
    <row r="8603">
      <c r="A8603" s="4"/>
      <c r="B8603" s="4"/>
      <c r="C8603" s="4"/>
    </row>
    <row r="8604">
      <c r="A8604" s="4"/>
      <c r="B8604" s="4"/>
      <c r="C8604" s="4"/>
    </row>
    <row r="8605">
      <c r="A8605" s="4"/>
      <c r="B8605" s="4"/>
      <c r="C8605" s="4"/>
    </row>
    <row r="8606">
      <c r="A8606" s="4"/>
      <c r="B8606" s="4"/>
      <c r="C8606" s="4"/>
    </row>
    <row r="8607">
      <c r="A8607" s="4"/>
      <c r="B8607" s="4"/>
      <c r="C8607" s="4"/>
    </row>
    <row r="8608">
      <c r="A8608" s="4"/>
      <c r="B8608" s="4"/>
      <c r="C8608" s="4"/>
    </row>
    <row r="8609">
      <c r="A8609" s="4"/>
      <c r="B8609" s="4"/>
      <c r="C8609" s="4"/>
    </row>
    <row r="8610">
      <c r="A8610" s="4"/>
      <c r="B8610" s="4"/>
      <c r="C8610" s="4"/>
    </row>
    <row r="8611">
      <c r="A8611" s="4"/>
      <c r="B8611" s="4"/>
      <c r="C8611" s="4"/>
    </row>
    <row r="8612">
      <c r="A8612" s="4"/>
      <c r="B8612" s="4"/>
      <c r="C8612" s="4"/>
    </row>
    <row r="8613">
      <c r="A8613" s="4"/>
      <c r="B8613" s="4"/>
      <c r="C8613" s="4"/>
    </row>
    <row r="8614">
      <c r="A8614" s="4"/>
      <c r="B8614" s="4"/>
      <c r="C8614" s="4"/>
    </row>
    <row r="8615">
      <c r="A8615" s="4"/>
      <c r="B8615" s="4"/>
      <c r="C8615" s="4"/>
    </row>
    <row r="8616">
      <c r="A8616" s="4"/>
      <c r="B8616" s="4"/>
      <c r="C8616" s="4"/>
    </row>
    <row r="8617">
      <c r="A8617" s="4"/>
      <c r="B8617" s="4"/>
      <c r="C8617" s="4"/>
    </row>
    <row r="8618">
      <c r="A8618" s="4"/>
      <c r="B8618" s="4"/>
      <c r="C8618" s="4"/>
    </row>
    <row r="8619">
      <c r="A8619" s="4"/>
      <c r="B8619" s="4"/>
      <c r="C8619" s="4"/>
    </row>
    <row r="8620">
      <c r="A8620" s="4"/>
      <c r="B8620" s="4"/>
      <c r="C8620" s="4"/>
    </row>
    <row r="8621">
      <c r="A8621" s="4"/>
      <c r="B8621" s="4"/>
      <c r="C8621" s="4"/>
    </row>
    <row r="8622">
      <c r="A8622" s="4"/>
      <c r="B8622" s="4"/>
      <c r="C8622" s="4"/>
    </row>
    <row r="8623">
      <c r="A8623" s="4"/>
      <c r="B8623" s="4"/>
      <c r="C8623" s="4"/>
    </row>
    <row r="8624">
      <c r="A8624" s="4"/>
      <c r="B8624" s="4"/>
      <c r="C8624" s="4"/>
    </row>
    <row r="8625">
      <c r="A8625" s="4"/>
      <c r="B8625" s="4"/>
      <c r="C8625" s="4"/>
    </row>
    <row r="8626">
      <c r="A8626" s="4"/>
      <c r="B8626" s="4"/>
      <c r="C8626" s="4"/>
    </row>
    <row r="8627">
      <c r="A8627" s="4"/>
      <c r="B8627" s="4"/>
      <c r="C8627" s="4"/>
    </row>
    <row r="8628">
      <c r="A8628" s="4"/>
      <c r="B8628" s="4"/>
      <c r="C8628" s="4"/>
    </row>
    <row r="8629">
      <c r="A8629" s="4"/>
      <c r="B8629" s="4"/>
      <c r="C8629" s="4"/>
    </row>
    <row r="8630">
      <c r="A8630" s="4"/>
      <c r="B8630" s="4"/>
      <c r="C8630" s="4"/>
    </row>
    <row r="8631">
      <c r="A8631" s="4"/>
      <c r="B8631" s="4"/>
      <c r="C8631" s="4"/>
    </row>
    <row r="8632">
      <c r="A8632" s="4"/>
      <c r="B8632" s="4"/>
      <c r="C8632" s="4"/>
    </row>
    <row r="8633">
      <c r="A8633" s="4"/>
      <c r="B8633" s="4"/>
      <c r="C8633" s="4"/>
    </row>
    <row r="8634">
      <c r="A8634" s="4"/>
      <c r="B8634" s="4"/>
      <c r="C8634" s="4"/>
    </row>
    <row r="8635">
      <c r="A8635" s="4"/>
      <c r="B8635" s="4"/>
      <c r="C8635" s="4"/>
    </row>
    <row r="8636">
      <c r="A8636" s="4"/>
      <c r="B8636" s="4"/>
      <c r="C8636" s="4"/>
    </row>
    <row r="8637">
      <c r="A8637" s="4"/>
      <c r="B8637" s="4"/>
      <c r="C8637" s="4"/>
    </row>
    <row r="8638">
      <c r="A8638" s="4"/>
      <c r="B8638" s="4"/>
      <c r="C8638" s="4"/>
    </row>
    <row r="8639">
      <c r="A8639" s="4"/>
      <c r="B8639" s="4"/>
      <c r="C8639" s="4"/>
    </row>
    <row r="8640">
      <c r="A8640" s="4"/>
      <c r="B8640" s="4"/>
      <c r="C8640" s="4"/>
    </row>
    <row r="8641">
      <c r="A8641" s="4"/>
      <c r="B8641" s="4"/>
      <c r="C8641" s="4"/>
    </row>
    <row r="8642">
      <c r="A8642" s="4"/>
      <c r="B8642" s="4"/>
      <c r="C8642" s="4"/>
    </row>
    <row r="8643">
      <c r="A8643" s="4"/>
      <c r="B8643" s="4"/>
      <c r="C8643" s="4"/>
    </row>
    <row r="8644">
      <c r="A8644" s="4"/>
      <c r="B8644" s="4"/>
      <c r="C8644" s="4"/>
    </row>
    <row r="8645">
      <c r="A8645" s="4"/>
      <c r="B8645" s="4"/>
      <c r="C8645" s="4"/>
    </row>
    <row r="8646">
      <c r="A8646" s="4"/>
      <c r="B8646" s="4"/>
      <c r="C8646" s="4"/>
    </row>
    <row r="8647">
      <c r="A8647" s="4"/>
      <c r="B8647" s="4"/>
      <c r="C8647" s="4"/>
    </row>
    <row r="8648">
      <c r="A8648" s="4"/>
      <c r="B8648" s="4"/>
      <c r="C8648" s="4"/>
    </row>
    <row r="8649">
      <c r="A8649" s="4"/>
      <c r="B8649" s="4"/>
      <c r="C8649" s="4"/>
    </row>
    <row r="8650">
      <c r="A8650" s="4"/>
      <c r="B8650" s="4"/>
      <c r="C8650" s="4"/>
    </row>
    <row r="8651">
      <c r="A8651" s="4"/>
      <c r="B8651" s="4"/>
      <c r="C8651" s="4"/>
    </row>
    <row r="8652">
      <c r="A8652" s="4"/>
      <c r="B8652" s="4"/>
      <c r="C8652" s="4"/>
    </row>
    <row r="8653">
      <c r="A8653" s="4"/>
      <c r="B8653" s="4"/>
      <c r="C8653" s="4"/>
    </row>
    <row r="8654">
      <c r="A8654" s="4"/>
      <c r="B8654" s="4"/>
      <c r="C8654" s="4"/>
    </row>
    <row r="8655">
      <c r="A8655" s="4"/>
      <c r="B8655" s="4"/>
      <c r="C8655" s="4"/>
    </row>
    <row r="8656">
      <c r="A8656" s="4"/>
      <c r="B8656" s="4"/>
      <c r="C8656" s="4"/>
    </row>
    <row r="8657">
      <c r="A8657" s="4"/>
      <c r="B8657" s="4"/>
      <c r="C8657" s="4"/>
    </row>
    <row r="8658">
      <c r="A8658" s="4"/>
      <c r="B8658" s="4"/>
      <c r="C8658" s="4"/>
    </row>
    <row r="8659">
      <c r="A8659" s="4"/>
      <c r="B8659" s="4"/>
      <c r="C8659" s="4"/>
    </row>
    <row r="8660">
      <c r="A8660" s="4"/>
      <c r="B8660" s="4"/>
      <c r="C8660" s="4"/>
    </row>
    <row r="8661">
      <c r="A8661" s="4"/>
      <c r="B8661" s="4"/>
      <c r="C8661" s="4"/>
    </row>
    <row r="8662">
      <c r="A8662" s="4"/>
      <c r="B8662" s="4"/>
      <c r="C8662" s="4"/>
    </row>
    <row r="8663">
      <c r="A8663" s="4"/>
      <c r="B8663" s="4"/>
      <c r="C8663" s="4"/>
    </row>
    <row r="8664">
      <c r="A8664" s="4"/>
      <c r="B8664" s="4"/>
      <c r="C8664" s="4"/>
    </row>
    <row r="8665">
      <c r="A8665" s="4"/>
      <c r="B8665" s="4"/>
      <c r="C8665" s="4"/>
    </row>
    <row r="8666">
      <c r="A8666" s="4"/>
      <c r="B8666" s="4"/>
      <c r="C8666" s="4"/>
    </row>
    <row r="8667">
      <c r="A8667" s="4"/>
      <c r="B8667" s="4"/>
      <c r="C8667" s="4"/>
    </row>
    <row r="8668">
      <c r="A8668" s="4"/>
      <c r="B8668" s="4"/>
      <c r="C8668" s="4"/>
    </row>
    <row r="8669">
      <c r="A8669" s="4"/>
      <c r="B8669" s="4"/>
      <c r="C8669" s="4"/>
    </row>
    <row r="8670">
      <c r="A8670" s="4"/>
      <c r="B8670" s="4"/>
      <c r="C8670" s="4"/>
    </row>
    <row r="8671">
      <c r="A8671" s="4"/>
      <c r="B8671" s="4"/>
      <c r="C8671" s="4"/>
    </row>
    <row r="8672">
      <c r="A8672" s="4"/>
      <c r="B8672" s="4"/>
      <c r="C8672" s="4"/>
    </row>
    <row r="8673">
      <c r="A8673" s="4"/>
      <c r="B8673" s="4"/>
      <c r="C8673" s="4"/>
    </row>
    <row r="8674">
      <c r="A8674" s="4"/>
      <c r="B8674" s="4"/>
      <c r="C8674" s="4"/>
    </row>
    <row r="8675">
      <c r="A8675" s="4"/>
      <c r="B8675" s="4"/>
      <c r="C8675" s="4"/>
    </row>
    <row r="8676">
      <c r="A8676" s="4"/>
      <c r="B8676" s="4"/>
      <c r="C8676" s="4"/>
    </row>
    <row r="8677">
      <c r="A8677" s="4"/>
      <c r="B8677" s="4"/>
      <c r="C8677" s="4"/>
    </row>
    <row r="8678">
      <c r="A8678" s="4"/>
      <c r="B8678" s="4"/>
      <c r="C8678" s="4"/>
    </row>
    <row r="8679">
      <c r="A8679" s="4"/>
      <c r="B8679" s="4"/>
      <c r="C8679" s="4"/>
    </row>
    <row r="8680">
      <c r="A8680" s="4"/>
      <c r="B8680" s="4"/>
      <c r="C8680" s="4"/>
    </row>
    <row r="8681">
      <c r="A8681" s="4"/>
      <c r="B8681" s="4"/>
      <c r="C8681" s="4"/>
    </row>
    <row r="8682">
      <c r="A8682" s="4"/>
      <c r="B8682" s="4"/>
      <c r="C8682" s="4"/>
    </row>
    <row r="8683">
      <c r="A8683" s="4"/>
      <c r="B8683" s="4"/>
      <c r="C8683" s="4"/>
    </row>
    <row r="8684">
      <c r="A8684" s="4"/>
      <c r="B8684" s="4"/>
      <c r="C8684" s="4"/>
    </row>
    <row r="8685">
      <c r="A8685" s="4"/>
      <c r="B8685" s="4"/>
      <c r="C8685" s="4"/>
    </row>
    <row r="8686">
      <c r="A8686" s="4"/>
      <c r="B8686" s="4"/>
      <c r="C8686" s="4"/>
    </row>
    <row r="8687">
      <c r="A8687" s="4"/>
      <c r="B8687" s="4"/>
      <c r="C8687" s="4"/>
    </row>
    <row r="8688">
      <c r="A8688" s="4"/>
      <c r="B8688" s="4"/>
      <c r="C8688" s="4"/>
    </row>
    <row r="8689">
      <c r="A8689" s="4"/>
      <c r="B8689" s="4"/>
      <c r="C8689" s="4"/>
    </row>
    <row r="8690">
      <c r="A8690" s="4"/>
      <c r="B8690" s="4"/>
      <c r="C8690" s="4"/>
    </row>
    <row r="8691">
      <c r="A8691" s="4"/>
      <c r="B8691" s="4"/>
      <c r="C8691" s="4"/>
    </row>
    <row r="8692">
      <c r="A8692" s="4"/>
      <c r="B8692" s="4"/>
      <c r="C8692" s="4"/>
    </row>
    <row r="8693">
      <c r="A8693" s="4"/>
      <c r="B8693" s="4"/>
      <c r="C8693" s="4"/>
    </row>
    <row r="8694">
      <c r="A8694" s="4"/>
      <c r="B8694" s="4"/>
      <c r="C8694" s="4"/>
    </row>
    <row r="8695">
      <c r="A8695" s="4"/>
      <c r="B8695" s="4"/>
      <c r="C8695" s="4"/>
    </row>
    <row r="8696">
      <c r="A8696" s="4"/>
      <c r="B8696" s="4"/>
      <c r="C8696" s="4"/>
    </row>
    <row r="8697">
      <c r="A8697" s="4"/>
      <c r="B8697" s="4"/>
      <c r="C8697" s="4"/>
    </row>
    <row r="8698">
      <c r="A8698" s="4"/>
      <c r="B8698" s="4"/>
      <c r="C8698" s="4"/>
    </row>
    <row r="8699">
      <c r="A8699" s="4"/>
      <c r="B8699" s="4"/>
      <c r="C8699" s="4"/>
    </row>
    <row r="8700">
      <c r="A8700" s="4"/>
      <c r="B8700" s="4"/>
      <c r="C8700" s="4"/>
    </row>
    <row r="8701">
      <c r="A8701" s="4"/>
      <c r="B8701" s="4"/>
      <c r="C8701" s="4"/>
    </row>
    <row r="8702">
      <c r="A8702" s="4"/>
      <c r="B8702" s="4"/>
      <c r="C8702" s="4"/>
    </row>
    <row r="8703">
      <c r="A8703" s="4"/>
      <c r="B8703" s="4"/>
      <c r="C8703" s="4"/>
    </row>
    <row r="8704">
      <c r="A8704" s="4"/>
      <c r="B8704" s="4"/>
      <c r="C8704" s="4"/>
    </row>
    <row r="8705">
      <c r="A8705" s="4"/>
      <c r="B8705" s="4"/>
      <c r="C8705" s="4"/>
    </row>
    <row r="8706">
      <c r="A8706" s="4"/>
      <c r="B8706" s="4"/>
      <c r="C8706" s="4"/>
    </row>
    <row r="8707">
      <c r="A8707" s="4"/>
      <c r="B8707" s="4"/>
      <c r="C8707" s="4"/>
    </row>
    <row r="8708">
      <c r="A8708" s="4"/>
      <c r="B8708" s="4"/>
      <c r="C8708" s="4"/>
    </row>
    <row r="8709">
      <c r="A8709" s="4"/>
      <c r="B8709" s="4"/>
      <c r="C8709" s="4"/>
    </row>
    <row r="8710">
      <c r="A8710" s="4"/>
      <c r="B8710" s="4"/>
      <c r="C8710" s="4"/>
    </row>
    <row r="8711">
      <c r="A8711" s="4"/>
      <c r="B8711" s="4"/>
      <c r="C8711" s="4"/>
    </row>
    <row r="8712">
      <c r="A8712" s="4"/>
      <c r="B8712" s="4"/>
      <c r="C8712" s="4"/>
    </row>
    <row r="8713">
      <c r="A8713" s="4"/>
      <c r="B8713" s="4"/>
      <c r="C8713" s="4"/>
    </row>
    <row r="8714">
      <c r="A8714" s="4"/>
      <c r="B8714" s="4"/>
      <c r="C8714" s="4"/>
    </row>
    <row r="8715">
      <c r="A8715" s="4"/>
      <c r="B8715" s="4"/>
      <c r="C8715" s="4"/>
    </row>
    <row r="8716">
      <c r="A8716" s="4"/>
      <c r="B8716" s="4"/>
      <c r="C8716" s="4"/>
    </row>
    <row r="8717">
      <c r="A8717" s="4"/>
      <c r="B8717" s="4"/>
      <c r="C8717" s="4"/>
    </row>
    <row r="8718">
      <c r="A8718" s="4"/>
      <c r="B8718" s="4"/>
      <c r="C8718" s="4"/>
    </row>
    <row r="8719">
      <c r="A8719" s="4"/>
      <c r="B8719" s="4"/>
      <c r="C8719" s="4"/>
    </row>
    <row r="8720">
      <c r="A8720" s="4"/>
      <c r="B8720" s="4"/>
      <c r="C8720" s="4"/>
    </row>
    <row r="8721">
      <c r="A8721" s="4"/>
      <c r="B8721" s="4"/>
      <c r="C8721" s="4"/>
    </row>
    <row r="8722">
      <c r="A8722" s="4"/>
      <c r="B8722" s="4"/>
      <c r="C8722" s="4"/>
    </row>
    <row r="8723">
      <c r="A8723" s="4"/>
      <c r="B8723" s="4"/>
      <c r="C8723" s="4"/>
    </row>
    <row r="8724">
      <c r="A8724" s="4"/>
      <c r="B8724" s="4"/>
      <c r="C8724" s="4"/>
    </row>
    <row r="8725">
      <c r="A8725" s="4"/>
      <c r="B8725" s="4"/>
      <c r="C8725" s="4"/>
    </row>
    <row r="8726">
      <c r="A8726" s="4"/>
      <c r="B8726" s="4"/>
      <c r="C8726" s="4"/>
    </row>
    <row r="8727">
      <c r="A8727" s="4"/>
      <c r="B8727" s="4"/>
      <c r="C8727" s="4"/>
    </row>
    <row r="8728">
      <c r="A8728" s="4"/>
      <c r="B8728" s="4"/>
      <c r="C8728" s="4"/>
    </row>
    <row r="8729">
      <c r="A8729" s="4"/>
      <c r="B8729" s="4"/>
      <c r="C8729" s="4"/>
    </row>
    <row r="8730">
      <c r="A8730" s="4"/>
      <c r="B8730" s="4"/>
      <c r="C8730" s="4"/>
    </row>
    <row r="8731">
      <c r="A8731" s="4"/>
      <c r="B8731" s="4"/>
      <c r="C8731" s="4"/>
    </row>
    <row r="8732">
      <c r="A8732" s="4"/>
      <c r="B8732" s="4"/>
      <c r="C8732" s="4"/>
    </row>
    <row r="8733">
      <c r="A8733" s="4"/>
      <c r="B8733" s="4"/>
      <c r="C8733" s="4"/>
    </row>
    <row r="8734">
      <c r="A8734" s="4"/>
      <c r="B8734" s="4"/>
      <c r="C8734" s="4"/>
    </row>
    <row r="8735">
      <c r="A8735" s="4"/>
      <c r="B8735" s="4"/>
      <c r="C8735" s="4"/>
    </row>
    <row r="8736">
      <c r="A8736" s="4"/>
      <c r="B8736" s="4"/>
      <c r="C8736" s="4"/>
    </row>
    <row r="8737">
      <c r="A8737" s="4"/>
      <c r="B8737" s="4"/>
      <c r="C8737" s="4"/>
    </row>
    <row r="8738">
      <c r="A8738" s="4"/>
      <c r="B8738" s="4"/>
      <c r="C8738" s="4"/>
    </row>
    <row r="8739">
      <c r="A8739" s="4"/>
      <c r="B8739" s="4"/>
      <c r="C8739" s="4"/>
    </row>
    <row r="8740">
      <c r="A8740" s="4"/>
      <c r="B8740" s="4"/>
      <c r="C8740" s="4"/>
    </row>
    <row r="8741">
      <c r="A8741" s="4"/>
      <c r="B8741" s="4"/>
      <c r="C8741" s="4"/>
    </row>
    <row r="8742">
      <c r="A8742" s="4"/>
      <c r="B8742" s="4"/>
      <c r="C8742" s="4"/>
    </row>
    <row r="8743">
      <c r="A8743" s="4"/>
      <c r="B8743" s="4"/>
      <c r="C8743" s="4"/>
    </row>
    <row r="8744">
      <c r="A8744" s="4"/>
      <c r="B8744" s="4"/>
      <c r="C8744" s="4"/>
    </row>
    <row r="8745">
      <c r="A8745" s="4"/>
      <c r="B8745" s="4"/>
      <c r="C8745" s="4"/>
    </row>
    <row r="8746">
      <c r="A8746" s="4"/>
      <c r="B8746" s="4"/>
      <c r="C8746" s="4"/>
    </row>
    <row r="8747">
      <c r="A8747" s="4"/>
      <c r="B8747" s="4"/>
      <c r="C8747" s="4"/>
    </row>
    <row r="8748">
      <c r="A8748" s="4"/>
      <c r="B8748" s="4"/>
      <c r="C8748" s="4"/>
    </row>
    <row r="8749">
      <c r="A8749" s="4"/>
      <c r="B8749" s="4"/>
      <c r="C8749" s="4"/>
    </row>
    <row r="8750">
      <c r="A8750" s="4"/>
      <c r="B8750" s="4"/>
      <c r="C8750" s="4"/>
    </row>
    <row r="8751">
      <c r="A8751" s="4"/>
      <c r="B8751" s="4"/>
      <c r="C8751" s="4"/>
    </row>
    <row r="8752">
      <c r="A8752" s="4"/>
      <c r="B8752" s="4"/>
      <c r="C8752" s="4"/>
    </row>
    <row r="8753">
      <c r="A8753" s="4"/>
      <c r="B8753" s="4"/>
      <c r="C8753" s="4"/>
    </row>
    <row r="8754">
      <c r="A8754" s="4"/>
      <c r="B8754" s="4"/>
      <c r="C8754" s="4"/>
    </row>
    <row r="8755">
      <c r="A8755" s="4"/>
      <c r="B8755" s="4"/>
      <c r="C8755" s="4"/>
    </row>
    <row r="8756">
      <c r="A8756" s="4"/>
      <c r="B8756" s="4"/>
      <c r="C8756" s="4"/>
    </row>
    <row r="8757">
      <c r="A8757" s="4"/>
      <c r="B8757" s="4"/>
      <c r="C8757" s="4"/>
    </row>
    <row r="8758">
      <c r="A8758" s="4"/>
      <c r="B8758" s="4"/>
      <c r="C8758" s="4"/>
    </row>
    <row r="8759">
      <c r="A8759" s="4"/>
      <c r="B8759" s="4"/>
      <c r="C8759" s="4"/>
    </row>
    <row r="8760">
      <c r="A8760" s="4"/>
      <c r="B8760" s="4"/>
      <c r="C8760" s="4"/>
    </row>
    <row r="8761">
      <c r="A8761" s="4"/>
      <c r="B8761" s="4"/>
      <c r="C8761" s="4"/>
    </row>
    <row r="8762">
      <c r="A8762" s="4"/>
      <c r="B8762" s="4"/>
      <c r="C8762" s="4"/>
    </row>
    <row r="8763">
      <c r="A8763" s="4"/>
      <c r="B8763" s="4"/>
      <c r="C8763" s="4"/>
    </row>
    <row r="8764">
      <c r="A8764" s="4"/>
      <c r="B8764" s="4"/>
      <c r="C8764" s="4"/>
    </row>
    <row r="8765">
      <c r="A8765" s="4"/>
      <c r="B8765" s="4"/>
      <c r="C8765" s="4"/>
    </row>
    <row r="8766">
      <c r="A8766" s="4"/>
      <c r="B8766" s="4"/>
      <c r="C8766" s="4"/>
    </row>
    <row r="8767">
      <c r="A8767" s="4"/>
      <c r="B8767" s="4"/>
      <c r="C8767" s="4"/>
    </row>
    <row r="8768">
      <c r="A8768" s="4"/>
      <c r="B8768" s="4"/>
      <c r="C8768" s="4"/>
    </row>
    <row r="8769">
      <c r="A8769" s="4"/>
      <c r="B8769" s="4"/>
      <c r="C8769" s="4"/>
    </row>
    <row r="8770">
      <c r="A8770" s="4"/>
      <c r="B8770" s="4"/>
      <c r="C8770" s="4"/>
    </row>
    <row r="8771">
      <c r="A8771" s="4"/>
      <c r="B8771" s="4"/>
      <c r="C8771" s="4"/>
    </row>
    <row r="8772">
      <c r="A8772" s="4"/>
      <c r="B8772" s="4"/>
      <c r="C8772" s="4"/>
    </row>
    <row r="8773">
      <c r="A8773" s="4"/>
      <c r="B8773" s="4"/>
      <c r="C8773" s="4"/>
    </row>
    <row r="8774">
      <c r="A8774" s="4"/>
      <c r="B8774" s="4"/>
      <c r="C8774" s="4"/>
    </row>
    <row r="8775">
      <c r="A8775" s="4"/>
      <c r="B8775" s="4"/>
      <c r="C8775" s="4"/>
    </row>
    <row r="8776">
      <c r="A8776" s="4"/>
      <c r="B8776" s="4"/>
      <c r="C8776" s="4"/>
    </row>
    <row r="8777">
      <c r="A8777" s="4"/>
      <c r="B8777" s="4"/>
      <c r="C8777" s="4"/>
    </row>
    <row r="8778">
      <c r="A8778" s="4"/>
      <c r="B8778" s="4"/>
      <c r="C8778" s="4"/>
    </row>
    <row r="8779">
      <c r="A8779" s="4"/>
      <c r="B8779" s="4"/>
      <c r="C8779" s="4"/>
    </row>
    <row r="8780">
      <c r="A8780" s="4"/>
      <c r="B8780" s="4"/>
      <c r="C8780" s="4"/>
    </row>
    <row r="8781">
      <c r="A8781" s="4"/>
      <c r="B8781" s="4"/>
      <c r="C8781" s="4"/>
    </row>
    <row r="8782">
      <c r="A8782" s="4"/>
      <c r="B8782" s="4"/>
      <c r="C8782" s="4"/>
    </row>
    <row r="8783">
      <c r="A8783" s="4"/>
      <c r="B8783" s="4"/>
      <c r="C8783" s="4"/>
    </row>
    <row r="8784">
      <c r="A8784" s="4"/>
      <c r="B8784" s="4"/>
      <c r="C8784" s="4"/>
    </row>
    <row r="8785">
      <c r="A8785" s="4"/>
      <c r="B8785" s="4"/>
      <c r="C8785" s="4"/>
    </row>
    <row r="8786">
      <c r="A8786" s="4"/>
      <c r="B8786" s="4"/>
      <c r="C8786" s="4"/>
    </row>
    <row r="8787">
      <c r="A8787" s="4"/>
      <c r="B8787" s="4"/>
      <c r="C8787" s="4"/>
    </row>
  </sheetData>
  <autoFilter ref="$A$1:$C$2927">
    <filterColumn colId="1">
      <filters>
        <filter val="Países Bajos"/>
        <filter val="El Salvador"/>
        <filter val="Marruecos"/>
        <filter val="Panamá"/>
        <filter val="Curazao"/>
        <filter val="México"/>
        <filter val="Canadá"/>
        <filter val="Bélgica"/>
        <filter val="Perú"/>
        <filter val="Finlandia"/>
        <filter val="Pakistán"/>
        <filter val="No encontrado"/>
        <filter val="República Dominicana"/>
        <filter val="Not found"/>
        <filter val="mexico"/>
        <filter val="Bangladesh"/>
        <filter val="Nicaragua"/>
        <filter val="Emiratos Árabes Unidos"/>
        <filter val="Mexico"/>
        <filter val="Nueva Zelanda"/>
        <filter val="Israel"/>
        <filter val="uruguay"/>
        <filter val="Indonesia"/>
      </filters>
    </filterColumn>
  </autoFilter>
  <hyperlinks>
    <hyperlink r:id="rId1" ref="A394"/>
    <hyperlink r:id="rId2" ref="A550"/>
    <hyperlink r:id="rId3" ref="A577"/>
    <hyperlink r:id="rId4" ref="A976"/>
    <hyperlink r:id="rId5" ref="A1248"/>
    <hyperlink r:id="rId6" ref="A1255"/>
    <hyperlink r:id="rId7" ref="A1580"/>
    <hyperlink r:id="rId8" ref="A1637"/>
    <hyperlink r:id="rId9" ref="A1750"/>
    <hyperlink r:id="rId10" ref="A1815"/>
    <hyperlink r:id="rId11" ref="A2019"/>
    <hyperlink r:id="rId12" ref="A2076"/>
    <hyperlink r:id="rId13" ref="A2853"/>
    <hyperlink r:id="rId14" ref="A2897"/>
    <hyperlink r:id="rId15" ref="A2911"/>
    <hyperlink r:id="rId16" ref="A3010"/>
    <hyperlink r:id="rId17" ref="A3041"/>
    <hyperlink r:id="rId18" ref="A3327"/>
  </hyperlinks>
  <drawing r:id="rId19"/>
</worksheet>
</file>