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00" yWindow="-165" windowWidth="17940" windowHeight="5205" tabRatio="500" activeTab="2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E25" i="3" l="1"/>
  <c r="D23" i="3"/>
  <c r="D24" i="3"/>
  <c r="E23" i="3"/>
  <c r="D22" i="3"/>
  <c r="E24" i="3"/>
  <c r="D28" i="3"/>
  <c r="D29" i="3"/>
  <c r="D30" i="3"/>
  <c r="E29" i="3"/>
  <c r="E30" i="3"/>
  <c r="E31" i="3"/>
  <c r="D34" i="3"/>
  <c r="D35" i="3"/>
  <c r="D36" i="3"/>
  <c r="E35" i="3"/>
  <c r="E36" i="3"/>
  <c r="E37" i="3"/>
  <c r="D40" i="3"/>
  <c r="D41" i="3"/>
  <c r="D42" i="3"/>
  <c r="E41" i="3"/>
  <c r="E42" i="3"/>
  <c r="E43" i="3"/>
  <c r="D46" i="3"/>
  <c r="D47" i="3"/>
  <c r="D48" i="3"/>
  <c r="E47" i="3"/>
  <c r="E48" i="3"/>
  <c r="E49" i="3"/>
  <c r="D52" i="3"/>
  <c r="D53" i="3"/>
  <c r="D54" i="3"/>
  <c r="E53" i="3"/>
  <c r="E54" i="3"/>
  <c r="E55" i="3"/>
  <c r="D10" i="3"/>
  <c r="D16" i="3"/>
  <c r="D17" i="3"/>
  <c r="D18" i="3"/>
  <c r="E17" i="3"/>
  <c r="E18" i="3"/>
  <c r="E19" i="3"/>
  <c r="D11" i="3"/>
  <c r="D12" i="3"/>
  <c r="E11" i="3"/>
  <c r="E12" i="3"/>
  <c r="E13" i="3"/>
  <c r="E6" i="3"/>
  <c r="E7" i="3"/>
  <c r="E5" i="3"/>
  <c r="D4" i="3"/>
  <c r="D5" i="3"/>
  <c r="D6" i="3"/>
  <c r="F20" i="1"/>
  <c r="H3" i="3"/>
  <c r="G23" i="1"/>
  <c r="G53" i="2"/>
  <c r="F57" i="2"/>
  <c r="F56" i="2"/>
  <c r="F55" i="2"/>
  <c r="F54" i="2"/>
  <c r="F53" i="2"/>
  <c r="G54" i="2"/>
  <c r="G55" i="2"/>
  <c r="Q54" i="2"/>
  <c r="F106" i="2"/>
  <c r="F102" i="2"/>
  <c r="F103" i="2"/>
  <c r="F104" i="2"/>
  <c r="G103" i="2"/>
  <c r="G104" i="2"/>
  <c r="G105" i="2"/>
  <c r="N105" i="2"/>
  <c r="F105" i="2"/>
  <c r="Q104" i="2"/>
  <c r="R104" i="2"/>
  <c r="N103" i="2"/>
  <c r="N101" i="2"/>
  <c r="N102" i="2"/>
  <c r="G4" i="2"/>
  <c r="F97" i="2"/>
  <c r="F93" i="2"/>
  <c r="F94" i="2"/>
  <c r="F95" i="2"/>
  <c r="G94" i="2"/>
  <c r="G95" i="2"/>
  <c r="G96" i="2"/>
  <c r="N96" i="2"/>
  <c r="F96" i="2"/>
  <c r="Q95" i="2"/>
  <c r="R95" i="2"/>
  <c r="N94" i="2"/>
  <c r="N92" i="2"/>
  <c r="N93" i="2"/>
  <c r="F89" i="2"/>
  <c r="F85" i="2"/>
  <c r="F86" i="2"/>
  <c r="F87" i="2"/>
  <c r="G86" i="2"/>
  <c r="G87" i="2"/>
  <c r="G88" i="2"/>
  <c r="N88" i="2"/>
  <c r="F88" i="2"/>
  <c r="Q87" i="2"/>
  <c r="R87" i="2"/>
  <c r="N86" i="2"/>
  <c r="N84" i="2"/>
  <c r="N85" i="2"/>
  <c r="F81" i="2"/>
  <c r="F77" i="2"/>
  <c r="F78" i="2"/>
  <c r="F79" i="2"/>
  <c r="G78" i="2"/>
  <c r="G79" i="2"/>
  <c r="G80" i="2"/>
  <c r="N80" i="2"/>
  <c r="F80" i="2"/>
  <c r="Q79" i="2"/>
  <c r="R79" i="2"/>
  <c r="N78" i="2"/>
  <c r="N76" i="2"/>
  <c r="N77" i="2"/>
  <c r="F72" i="2"/>
  <c r="F68" i="2"/>
  <c r="F69" i="2"/>
  <c r="F70" i="2"/>
  <c r="G69" i="2"/>
  <c r="G70" i="2"/>
  <c r="G71" i="2"/>
  <c r="N71" i="2"/>
  <c r="F71" i="2"/>
  <c r="Q70" i="2"/>
  <c r="R70" i="2"/>
  <c r="N69" i="2"/>
  <c r="N67" i="2"/>
  <c r="N68" i="2"/>
  <c r="F64" i="2"/>
  <c r="F60" i="2"/>
  <c r="F61" i="2"/>
  <c r="F62" i="2"/>
  <c r="G61" i="2"/>
  <c r="G62" i="2"/>
  <c r="G63" i="2"/>
  <c r="N63" i="2"/>
  <c r="F63" i="2"/>
  <c r="Q62" i="2"/>
  <c r="R62" i="2"/>
  <c r="N61" i="2"/>
  <c r="N59" i="2"/>
  <c r="N60" i="2"/>
  <c r="F52" i="2"/>
  <c r="N55" i="2"/>
  <c r="R54" i="2"/>
  <c r="N53" i="2"/>
  <c r="N51" i="2"/>
  <c r="N52" i="2"/>
  <c r="F4" i="2"/>
  <c r="F5" i="2"/>
  <c r="F3" i="2"/>
  <c r="G5" i="2"/>
  <c r="G6" i="2"/>
  <c r="Q5" i="2"/>
  <c r="F43" i="2"/>
  <c r="F44" i="2"/>
  <c r="F45" i="2"/>
  <c r="G44" i="2"/>
  <c r="G45" i="2"/>
  <c r="G46" i="2"/>
  <c r="N46" i="2"/>
  <c r="Q45" i="2"/>
  <c r="R45" i="2"/>
  <c r="N44" i="2"/>
  <c r="N42" i="2"/>
  <c r="N43" i="2"/>
  <c r="F35" i="2"/>
  <c r="F36" i="2"/>
  <c r="F37" i="2"/>
  <c r="G36" i="2"/>
  <c r="G37" i="2"/>
  <c r="G38" i="2"/>
  <c r="N38" i="2"/>
  <c r="Q37" i="2"/>
  <c r="R37" i="2"/>
  <c r="N36" i="2"/>
  <c r="N34" i="2"/>
  <c r="N35" i="2"/>
  <c r="F27" i="2"/>
  <c r="F28" i="2"/>
  <c r="F29" i="2"/>
  <c r="G28" i="2"/>
  <c r="G29" i="2"/>
  <c r="G30" i="2"/>
  <c r="N30" i="2"/>
  <c r="Q29" i="2"/>
  <c r="R29" i="2"/>
  <c r="N28" i="2"/>
  <c r="N26" i="2"/>
  <c r="N27" i="2"/>
  <c r="F19" i="2"/>
  <c r="F20" i="2"/>
  <c r="F21" i="2"/>
  <c r="G20" i="2"/>
  <c r="G21" i="2"/>
  <c r="G22" i="2"/>
  <c r="N22" i="2"/>
  <c r="Q21" i="2"/>
  <c r="R21" i="2"/>
  <c r="N20" i="2"/>
  <c r="N18" i="2"/>
  <c r="N19" i="2"/>
  <c r="F11" i="2"/>
  <c r="F12" i="2"/>
  <c r="F13" i="2"/>
  <c r="G12" i="2"/>
  <c r="G13" i="2"/>
  <c r="G14" i="2"/>
  <c r="Q13" i="2"/>
  <c r="N14" i="2"/>
  <c r="R13" i="2"/>
  <c r="N12" i="2"/>
  <c r="N10" i="2"/>
  <c r="N11" i="2"/>
  <c r="N2" i="2"/>
  <c r="N3" i="2"/>
  <c r="N4" i="2"/>
  <c r="R5" i="2"/>
  <c r="N6" i="2"/>
  <c r="F47" i="2"/>
  <c r="F46" i="2"/>
  <c r="F39" i="2"/>
  <c r="F38" i="2"/>
  <c r="F31" i="2"/>
  <c r="F30" i="2"/>
  <c r="F23" i="2"/>
  <c r="F22" i="2"/>
  <c r="F15" i="2"/>
  <c r="F14" i="2"/>
  <c r="F6" i="2"/>
  <c r="F7" i="2"/>
  <c r="G66" i="1"/>
  <c r="H53" i="1"/>
  <c r="G54" i="1"/>
  <c r="G53" i="1"/>
  <c r="G49" i="1"/>
  <c r="G40" i="1"/>
  <c r="G39" i="1"/>
  <c r="G29" i="1"/>
  <c r="H50" i="1"/>
  <c r="F48" i="1"/>
  <c r="H51" i="1"/>
  <c r="G64" i="1"/>
  <c r="G68" i="1"/>
  <c r="F49" i="1"/>
  <c r="G21" i="1"/>
  <c r="G22" i="1"/>
  <c r="I49" i="1"/>
  <c r="F63" i="1"/>
  <c r="G65" i="1"/>
  <c r="F64" i="1"/>
  <c r="F65" i="1"/>
  <c r="F66" i="1"/>
  <c r="F67" i="1"/>
  <c r="F69" i="1"/>
  <c r="O38" i="1"/>
  <c r="G41" i="1"/>
  <c r="F54" i="1"/>
  <c r="I53" i="1"/>
  <c r="G50" i="1"/>
  <c r="G51" i="1"/>
  <c r="F22" i="1"/>
  <c r="F21" i="1"/>
  <c r="F51" i="1"/>
  <c r="F52" i="1"/>
  <c r="F50" i="1"/>
  <c r="G30" i="1"/>
  <c r="G31" i="1"/>
  <c r="P50" i="1"/>
  <c r="P49" i="1"/>
  <c r="O52" i="1"/>
  <c r="O50" i="1"/>
  <c r="O49" i="1"/>
  <c r="O48" i="1"/>
  <c r="P31" i="1"/>
  <c r="O29" i="1"/>
  <c r="O30" i="1"/>
  <c r="O31" i="1"/>
  <c r="O32" i="1"/>
  <c r="O28" i="1"/>
  <c r="O41" i="1"/>
  <c r="O42" i="1"/>
  <c r="O40" i="1"/>
  <c r="O39" i="1"/>
  <c r="P39" i="1"/>
  <c r="P51" i="1"/>
  <c r="P29" i="1"/>
  <c r="P30" i="1"/>
  <c r="P40" i="1"/>
  <c r="P41" i="1"/>
  <c r="F42" i="1"/>
  <c r="F40" i="1"/>
  <c r="F39" i="1"/>
  <c r="F38" i="1"/>
  <c r="F32" i="1"/>
  <c r="F30" i="1"/>
  <c r="F29" i="1"/>
  <c r="F28" i="1"/>
  <c r="H19" i="1"/>
  <c r="I13" i="1"/>
  <c r="B13" i="1"/>
  <c r="B12" i="1"/>
</calcChain>
</file>

<file path=xl/sharedStrings.xml><?xml version="1.0" encoding="utf-8"?>
<sst xmlns="http://schemas.openxmlformats.org/spreadsheetml/2006/main" count="559" uniqueCount="76">
  <si>
    <t>HCl</t>
  </si>
  <si>
    <t>MeOH</t>
  </si>
  <si>
    <t>CH3COOH</t>
  </si>
  <si>
    <t>CH3COOMe</t>
  </si>
  <si>
    <t>H2O</t>
  </si>
  <si>
    <t>Cl-</t>
  </si>
  <si>
    <t>B3lyp/6-31+G(d)</t>
  </si>
  <si>
    <t>Reactants</t>
  </si>
  <si>
    <t>Ts1b-1</t>
  </si>
  <si>
    <t>TS1b-1</t>
  </si>
  <si>
    <t>Conversion factor</t>
  </si>
  <si>
    <t>Products</t>
  </si>
  <si>
    <t>relative energies (MeOH as solvent for all)</t>
  </si>
  <si>
    <t>With Methanol as slovent:</t>
  </si>
  <si>
    <t>In the gas phase:</t>
  </si>
  <si>
    <t>Autoionization 2013</t>
  </si>
  <si>
    <t>TS1a</t>
  </si>
  <si>
    <t>∆Gg*b</t>
  </si>
  <si>
    <t>∆Gsol*b</t>
  </si>
  <si>
    <t>∆Gsol0c</t>
  </si>
  <si>
    <t>RTln[H2O]</t>
  </si>
  <si>
    <t>to kcal</t>
  </si>
  <si>
    <t>∆∆Gsolv(smd-gas)</t>
  </si>
  <si>
    <t>X3LYP</t>
  </si>
  <si>
    <t>RTln[CH3OH]</t>
  </si>
  <si>
    <t>observable</t>
  </si>
  <si>
    <t>CPCM</t>
  </si>
  <si>
    <t>TS</t>
  </si>
  <si>
    <t>Rxt</t>
  </si>
  <si>
    <t>Gibbs</t>
  </si>
  <si>
    <t>SCRF</t>
  </si>
  <si>
    <t>SCF</t>
  </si>
  <si>
    <t>SO Happy-9/10/2015</t>
  </si>
  <si>
    <t>TS611-OH</t>
  </si>
  <si>
    <t>TS622-OH</t>
  </si>
  <si>
    <t>ACID</t>
  </si>
  <si>
    <t>Meoh</t>
  </si>
  <si>
    <t>ΔG*gas</t>
  </si>
  <si>
    <t>REACTANT</t>
  </si>
  <si>
    <t>PRODUCT</t>
  </si>
  <si>
    <t>ΔGsol</t>
  </si>
  <si>
    <t>Product</t>
  </si>
  <si>
    <t>MeOAc</t>
  </si>
  <si>
    <t>int622-OH</t>
  </si>
  <si>
    <t>M062x</t>
  </si>
  <si>
    <t>int622</t>
  </si>
  <si>
    <t>TS632-OH</t>
  </si>
  <si>
    <t>Intb22OH</t>
  </si>
  <si>
    <t>TSB-3</t>
  </si>
  <si>
    <t>Happy 23/09</t>
  </si>
  <si>
    <t>Gibbs cluster</t>
  </si>
  <si>
    <t>SCFcpcm</t>
  </si>
  <si>
    <t>SCFgas</t>
  </si>
  <si>
    <t>Gibbsgas</t>
  </si>
  <si>
    <t>correct</t>
  </si>
  <si>
    <t>MeOHAc</t>
  </si>
  <si>
    <t>paper</t>
  </si>
  <si>
    <t>cpcm</t>
  </si>
  <si>
    <t>TS61I</t>
  </si>
  <si>
    <t>methanol</t>
  </si>
  <si>
    <t>pyridine</t>
  </si>
  <si>
    <t>triethylamine</t>
  </si>
  <si>
    <t>TS61F</t>
  </si>
  <si>
    <t>R[cal/(mol.k)]</t>
  </si>
  <si>
    <t>kB(J/K)</t>
  </si>
  <si>
    <t>h(JS)</t>
  </si>
  <si>
    <t>RT=</t>
  </si>
  <si>
    <t>k</t>
  </si>
  <si>
    <t>lnk</t>
  </si>
  <si>
    <t>T(K)</t>
  </si>
  <si>
    <t>c=1</t>
  </si>
  <si>
    <t>TS61Cl</t>
  </si>
  <si>
    <t>TS61Br</t>
  </si>
  <si>
    <t>toluene</t>
  </si>
  <si>
    <t>scfcpcm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</si>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</sst>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3"/>
      <name val="Calibri"/>
      <family val="2"/>
      <scheme val="minor"/>
    </font>
    <font>
      <sz val="14"/>
      <color theme="3"/>
      <name val="Times New Roman"/>
      <family val="1"/>
    </font>
    <font>
      <sz val="12"/>
      <color rgb="FF0000CC"/>
      <name val="Calibri"/>
      <family val="2"/>
    </font>
    <font>
      <sz val="12"/>
      <color rgb="FF0000CC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zoomScale="78" zoomScaleNormal="78" workbookViewId="0">
      <selection activeCell="A19" sqref="A19:H24"/>
    </sheetView>
  </sheetViews>
  <sheetFormatPr defaultColWidth="11" defaultRowHeight="15.75" x14ac:dyDescent="0.25"/>
  <cols>
    <col min="16" max="16" width="10.875" customWidth="1"/>
  </cols>
  <sheetData>
    <row r="1" spans="1:12" x14ac:dyDescent="0.25">
      <c r="A1" t="s">
        <v>13</v>
      </c>
      <c r="H1" t="s">
        <v>14</v>
      </c>
    </row>
    <row r="2" spans="1:12" x14ac:dyDescent="0.25">
      <c r="B2" t="s">
        <v>6</v>
      </c>
      <c r="D2" t="s">
        <v>10</v>
      </c>
      <c r="E2">
        <v>627.51</v>
      </c>
      <c r="I2" t="s">
        <v>6</v>
      </c>
      <c r="K2" t="s">
        <v>10</v>
      </c>
      <c r="L2">
        <v>627.51</v>
      </c>
    </row>
    <row r="3" spans="1:12" x14ac:dyDescent="0.25">
      <c r="A3" t="s">
        <v>0</v>
      </c>
      <c r="B3">
        <v>-460.80176510000001</v>
      </c>
      <c r="D3" t="s">
        <v>8</v>
      </c>
      <c r="E3">
        <v>-460.97063179999998</v>
      </c>
      <c r="H3" t="s">
        <v>0</v>
      </c>
      <c r="I3">
        <v>-460.79799969999999</v>
      </c>
      <c r="K3" t="s">
        <v>8</v>
      </c>
    </row>
    <row r="4" spans="1:12" x14ac:dyDescent="0.25">
      <c r="A4" t="s">
        <v>1</v>
      </c>
      <c r="B4">
        <v>-115.7314569</v>
      </c>
      <c r="H4" t="s">
        <v>1</v>
      </c>
      <c r="I4">
        <v>-115.7251931</v>
      </c>
    </row>
    <row r="5" spans="1:12" x14ac:dyDescent="0.25">
      <c r="A5" t="s">
        <v>2</v>
      </c>
      <c r="B5">
        <v>-229.10352839999999</v>
      </c>
      <c r="H5" t="s">
        <v>2</v>
      </c>
      <c r="I5">
        <v>-229.09563370000001</v>
      </c>
    </row>
    <row r="6" spans="1:12" x14ac:dyDescent="0.25">
      <c r="A6" t="s">
        <v>3</v>
      </c>
      <c r="B6">
        <v>-268.408321</v>
      </c>
      <c r="H6" t="s">
        <v>3</v>
      </c>
      <c r="I6">
        <v>-268.40166149999999</v>
      </c>
    </row>
    <row r="7" spans="1:12" x14ac:dyDescent="0.25">
      <c r="A7" t="s">
        <v>4</v>
      </c>
      <c r="B7">
        <v>-76.431129299999995</v>
      </c>
      <c r="H7" t="s">
        <v>4</v>
      </c>
      <c r="I7">
        <v>-76.422572400000007</v>
      </c>
    </row>
    <row r="8" spans="1:12" x14ac:dyDescent="0.25">
      <c r="A8" t="s">
        <v>5</v>
      </c>
      <c r="B8">
        <v>-460.38267189999999</v>
      </c>
      <c r="H8" t="s">
        <v>5</v>
      </c>
      <c r="I8">
        <v>-460.27472590000002</v>
      </c>
    </row>
    <row r="10" spans="1:12" x14ac:dyDescent="0.25">
      <c r="B10" t="s">
        <v>12</v>
      </c>
    </row>
    <row r="11" spans="1:12" x14ac:dyDescent="0.25">
      <c r="A11" t="s">
        <v>7</v>
      </c>
      <c r="B11">
        <v>0</v>
      </c>
      <c r="H11" t="s">
        <v>7</v>
      </c>
      <c r="I11">
        <v>0</v>
      </c>
    </row>
    <row r="12" spans="1:12" x14ac:dyDescent="0.25">
      <c r="A12" t="s">
        <v>9</v>
      </c>
      <c r="B12">
        <f>((B8+E3)-(B5+2*B4+B3))*E2</f>
        <v>9.352158036015755</v>
      </c>
      <c r="H12" t="s">
        <v>9</v>
      </c>
    </row>
    <row r="13" spans="1:12" x14ac:dyDescent="0.25">
      <c r="A13" t="s">
        <v>11</v>
      </c>
      <c r="B13">
        <f>((B6+B7+B4+B8)-(B5+B3+2*B4))*E2</f>
        <v>260.18334178195272</v>
      </c>
      <c r="H13" t="s">
        <v>11</v>
      </c>
      <c r="I13">
        <f>((I6+I7+I4+I8)-(I5+I3+2*I4))*L2</f>
        <v>326.22155291704996</v>
      </c>
    </row>
    <row r="17" spans="1:17" x14ac:dyDescent="0.25">
      <c r="E17" t="s">
        <v>32</v>
      </c>
    </row>
    <row r="18" spans="1:17" x14ac:dyDescent="0.25">
      <c r="E18" t="s">
        <v>15</v>
      </c>
      <c r="G18" t="s">
        <v>23</v>
      </c>
    </row>
    <row r="19" spans="1:17" x14ac:dyDescent="0.25">
      <c r="B19" t="s">
        <v>16</v>
      </c>
      <c r="C19" t="s">
        <v>27</v>
      </c>
      <c r="D19" t="s">
        <v>28</v>
      </c>
      <c r="E19" t="s">
        <v>21</v>
      </c>
      <c r="G19" t="s">
        <v>20</v>
      </c>
      <c r="H19">
        <f>2.38</f>
        <v>2.38</v>
      </c>
    </row>
    <row r="20" spans="1:17" x14ac:dyDescent="0.25">
      <c r="A20" t="s">
        <v>29</v>
      </c>
      <c r="B20" s="3" t="s">
        <v>17</v>
      </c>
      <c r="C20">
        <v>-344.533818</v>
      </c>
      <c r="D20">
        <v>-268.22730100000001</v>
      </c>
      <c r="E20">
        <v>-76.389379000000005</v>
      </c>
      <c r="F20" s="4">
        <f>(C20-(D20+E20))*$L$2</f>
        <v>51.996733620021452</v>
      </c>
      <c r="G20" t="s">
        <v>24</v>
      </c>
      <c r="H20">
        <v>1.9</v>
      </c>
    </row>
    <row r="21" spans="1:17" x14ac:dyDescent="0.25">
      <c r="A21" t="s">
        <v>30</v>
      </c>
      <c r="B21" s="3" t="s">
        <v>22</v>
      </c>
      <c r="C21">
        <v>-344.62875631200001</v>
      </c>
      <c r="D21">
        <v>-268.29372188899998</v>
      </c>
      <c r="E21">
        <v>-76.407658055100001</v>
      </c>
      <c r="F21">
        <f>(C21-(D21+E21))*$L$2</f>
        <v>45.572055379055953</v>
      </c>
      <c r="G21" s="4">
        <f>F21-F22</f>
        <v>3.8234411458348418</v>
      </c>
    </row>
    <row r="22" spans="1:17" x14ac:dyDescent="0.25">
      <c r="A22" t="s">
        <v>52</v>
      </c>
      <c r="B22" s="3" t="s">
        <v>18</v>
      </c>
      <c r="C22">
        <v>-344.61395320100002</v>
      </c>
      <c r="D22">
        <v>-268.28762934500003</v>
      </c>
      <c r="E22">
        <v>-76.392854451900007</v>
      </c>
      <c r="F22">
        <f>(C22-(D22+E22))*$L$2</f>
        <v>41.748614233221112</v>
      </c>
      <c r="G22" s="4">
        <f>F20+G21</f>
        <v>55.820174765856294</v>
      </c>
    </row>
    <row r="23" spans="1:17" x14ac:dyDescent="0.25">
      <c r="A23" t="s">
        <v>25</v>
      </c>
      <c r="B23" s="3" t="s">
        <v>19</v>
      </c>
      <c r="G23" s="4">
        <f>G22-H19</f>
        <v>53.440174765856291</v>
      </c>
    </row>
    <row r="25" spans="1:17" x14ac:dyDescent="0.25">
      <c r="E25" t="s">
        <v>34</v>
      </c>
      <c r="N25" t="s">
        <v>43</v>
      </c>
    </row>
    <row r="26" spans="1:17" x14ac:dyDescent="0.25">
      <c r="G26" t="s">
        <v>44</v>
      </c>
      <c r="P26" t="s">
        <v>44</v>
      </c>
    </row>
    <row r="27" spans="1:17" x14ac:dyDescent="0.25">
      <c r="C27" t="s">
        <v>27</v>
      </c>
      <c r="D27" t="s">
        <v>35</v>
      </c>
      <c r="E27" t="s">
        <v>36</v>
      </c>
      <c r="L27" t="s">
        <v>45</v>
      </c>
      <c r="N27" t="s">
        <v>36</v>
      </c>
    </row>
    <row r="28" spans="1:17" x14ac:dyDescent="0.25">
      <c r="A28" t="s">
        <v>29</v>
      </c>
      <c r="B28" s="3" t="s">
        <v>17</v>
      </c>
      <c r="C28">
        <v>-460.36446799999999</v>
      </c>
      <c r="D28">
        <v>-229.04463200000001</v>
      </c>
      <c r="E28">
        <v>-115.68595500000001</v>
      </c>
      <c r="F28" s="4">
        <f>(C28-(D28+(E28*2)))*$L$2</f>
        <v>32.676955740038565</v>
      </c>
      <c r="G28" t="s">
        <v>24</v>
      </c>
      <c r="H28">
        <v>1.9</v>
      </c>
      <c r="I28" s="1"/>
      <c r="J28" t="s">
        <v>29</v>
      </c>
      <c r="K28" s="3" t="s">
        <v>17</v>
      </c>
      <c r="L28">
        <v>-344.71997299999998</v>
      </c>
      <c r="N28">
        <v>-115.68595500000001</v>
      </c>
      <c r="O28" s="4">
        <f>((L28+N28)-(D28+(E28*2)))*$L$2</f>
        <v>6.6603911400202813</v>
      </c>
      <c r="P28" t="s">
        <v>24</v>
      </c>
      <c r="Q28">
        <v>1.9</v>
      </c>
    </row>
    <row r="29" spans="1:17" x14ac:dyDescent="0.25">
      <c r="A29" t="s">
        <v>30</v>
      </c>
      <c r="B29" s="3" t="s">
        <v>22</v>
      </c>
      <c r="C29">
        <v>-460.51874261500001</v>
      </c>
      <c r="D29">
        <v>-229.09704092699999</v>
      </c>
      <c r="E29">
        <v>-115.723635556</v>
      </c>
      <c r="F29" s="4">
        <f>(C29-(D29+(E29*2)))*$L$2</f>
        <v>16.045069254255854</v>
      </c>
      <c r="G29" s="4">
        <f>F29-F30</f>
        <v>4.6863419440665659</v>
      </c>
      <c r="I29" s="1"/>
      <c r="J29" t="s">
        <v>30</v>
      </c>
      <c r="K29" s="3" t="s">
        <v>22</v>
      </c>
      <c r="L29">
        <v>-344.82219310200003</v>
      </c>
      <c r="N29">
        <v>-115.723635556</v>
      </c>
      <c r="O29" s="4">
        <f>((L29+N29)-(D29+(E29*2)))*$L$2</f>
        <v>-0.95169358867230247</v>
      </c>
      <c r="P29" s="4">
        <f>O29-O30</f>
        <v>7.3166335678639793</v>
      </c>
    </row>
    <row r="30" spans="1:17" x14ac:dyDescent="0.25">
      <c r="A30" t="s">
        <v>31</v>
      </c>
      <c r="B30" s="3" t="s">
        <v>18</v>
      </c>
      <c r="C30">
        <v>-460.49219843100002</v>
      </c>
      <c r="D30">
        <v>-229.07988255199999</v>
      </c>
      <c r="E30">
        <v>-115.715208574</v>
      </c>
      <c r="F30" s="4">
        <f>(C30-(D30+(E30*2)))*$L$2</f>
        <v>11.358727310189288</v>
      </c>
      <c r="G30" s="4">
        <f>F28+G29</f>
        <v>37.363297684105135</v>
      </c>
      <c r="I30" s="1"/>
      <c r="J30" t="s">
        <v>31</v>
      </c>
      <c r="K30" s="3" t="s">
        <v>18</v>
      </c>
      <c r="L30">
        <v>-344.80826753299999</v>
      </c>
      <c r="N30">
        <v>-115.715208574</v>
      </c>
      <c r="O30" s="4">
        <f>((L30+N30)-(D30+(E30*2)))*$L$2</f>
        <v>-8.2683271565362819</v>
      </c>
      <c r="P30" s="4">
        <f>O28+P29</f>
        <v>13.977024707884262</v>
      </c>
    </row>
    <row r="31" spans="1:17" x14ac:dyDescent="0.25">
      <c r="A31" t="s">
        <v>25</v>
      </c>
      <c r="B31" s="3" t="s">
        <v>19</v>
      </c>
      <c r="F31" s="4"/>
      <c r="G31" s="4">
        <f>G30+H28</f>
        <v>39.263297684105133</v>
      </c>
      <c r="I31" s="1"/>
      <c r="J31" t="s">
        <v>25</v>
      </c>
      <c r="K31" s="3" t="s">
        <v>19</v>
      </c>
      <c r="O31" s="4">
        <f>((L31+N31)-(D31+(E31*2)))*$L$2</f>
        <v>0</v>
      </c>
      <c r="P31" s="4">
        <f>P30+Q28</f>
        <v>15.877024707884262</v>
      </c>
    </row>
    <row r="32" spans="1:17" x14ac:dyDescent="0.25">
      <c r="A32" t="s">
        <v>29</v>
      </c>
      <c r="B32" s="3" t="s">
        <v>26</v>
      </c>
      <c r="C32">
        <v>-460.376823</v>
      </c>
      <c r="D32" s="1">
        <v>-229.057084</v>
      </c>
      <c r="E32" s="1">
        <v>-115.691355</v>
      </c>
      <c r="F32" s="4">
        <f>(C32-(D32+(E32*2)))*$L$2</f>
        <v>39.514932210002854</v>
      </c>
      <c r="G32" s="1"/>
      <c r="H32" s="1"/>
      <c r="I32" s="1"/>
      <c r="J32" t="s">
        <v>29</v>
      </c>
      <c r="K32" s="3" t="s">
        <v>26</v>
      </c>
      <c r="L32">
        <v>-344.72835900000001</v>
      </c>
      <c r="M32" s="5"/>
      <c r="N32" s="5">
        <v>-115.691355</v>
      </c>
      <c r="O32" s="4">
        <f>((L32+N32)-(D32+(E32*2)))*$L$2</f>
        <v>12.60040080000452</v>
      </c>
      <c r="P32" s="1"/>
      <c r="Q32" s="1"/>
    </row>
    <row r="33" spans="1:17" ht="18.75" x14ac:dyDescent="0.3">
      <c r="D33" s="1"/>
      <c r="E33" s="1"/>
      <c r="F33" s="1"/>
      <c r="G33" s="1"/>
      <c r="H33" s="1"/>
      <c r="I33" s="2"/>
      <c r="J33" s="2"/>
    </row>
    <row r="34" spans="1:17" x14ac:dyDescent="0.25">
      <c r="D34" s="1"/>
      <c r="E34" s="1"/>
      <c r="F34" s="1"/>
      <c r="G34" s="1"/>
      <c r="H34" s="1"/>
      <c r="I34" s="1"/>
      <c r="J34" s="1"/>
    </row>
    <row r="35" spans="1:17" x14ac:dyDescent="0.25">
      <c r="E35" t="s">
        <v>33</v>
      </c>
      <c r="N35" t="s">
        <v>41</v>
      </c>
    </row>
    <row r="36" spans="1:17" x14ac:dyDescent="0.25">
      <c r="G36" t="s">
        <v>44</v>
      </c>
      <c r="P36" t="s">
        <v>44</v>
      </c>
    </row>
    <row r="37" spans="1:17" x14ac:dyDescent="0.25">
      <c r="C37" t="s">
        <v>27</v>
      </c>
      <c r="D37" t="s">
        <v>35</v>
      </c>
      <c r="E37" t="s">
        <v>36</v>
      </c>
      <c r="L37" t="s">
        <v>42</v>
      </c>
      <c r="M37" t="s">
        <v>4</v>
      </c>
      <c r="N37" t="s">
        <v>36</v>
      </c>
    </row>
    <row r="38" spans="1:17" x14ac:dyDescent="0.25">
      <c r="A38" t="s">
        <v>29</v>
      </c>
      <c r="B38" s="3" t="s">
        <v>17</v>
      </c>
      <c r="C38">
        <v>-460.35194000000001</v>
      </c>
      <c r="D38">
        <v>-229.04463200000001</v>
      </c>
      <c r="E38">
        <v>-115.68595500000001</v>
      </c>
      <c r="F38" s="4">
        <f>(C38-(D38+(E38*2)))*$L$2</f>
        <v>40.538401020022739</v>
      </c>
      <c r="G38" t="s">
        <v>24</v>
      </c>
      <c r="H38">
        <v>1.9</v>
      </c>
      <c r="J38" t="s">
        <v>29</v>
      </c>
      <c r="K38" s="3" t="s">
        <v>17</v>
      </c>
      <c r="L38">
        <v>-268.32083799999998</v>
      </c>
      <c r="M38">
        <v>-76.422173000000001</v>
      </c>
      <c r="N38">
        <v>-115.68595500000001</v>
      </c>
      <c r="O38" s="4">
        <f>((L38+M38+N38)-(D38+(E38*2)))*$L$2</f>
        <v>-7.7961842399349246</v>
      </c>
      <c r="P38" t="s">
        <v>24</v>
      </c>
      <c r="Q38">
        <v>1.9</v>
      </c>
    </row>
    <row r="39" spans="1:17" x14ac:dyDescent="0.25">
      <c r="A39" t="s">
        <v>30</v>
      </c>
      <c r="B39" s="3" t="s">
        <v>22</v>
      </c>
      <c r="C39">
        <v>-460.511126214</v>
      </c>
      <c r="D39">
        <v>-229.09704092699999</v>
      </c>
      <c r="E39">
        <v>-115.723635556</v>
      </c>
      <c r="F39" s="4">
        <f>(C39-(D39+(E39*2)))*$L$2</f>
        <v>20.824437045770274</v>
      </c>
      <c r="G39" s="4">
        <f>F39-F40</f>
        <v>2.4408018016237385</v>
      </c>
      <c r="J39" t="s">
        <v>30</v>
      </c>
      <c r="K39" s="3" t="s">
        <v>22</v>
      </c>
      <c r="L39">
        <v>-268.39006411100002</v>
      </c>
      <c r="M39">
        <v>-76.439357365999996</v>
      </c>
      <c r="N39">
        <v>-115.723635556</v>
      </c>
      <c r="O39" s="4">
        <f>((L39+M39+N39)-(D39+(E39*2)))*$L$2</f>
        <v>-5.4875711848935698</v>
      </c>
      <c r="P39" s="4">
        <f>O39-O40</f>
        <v>2.9110865983675236</v>
      </c>
    </row>
    <row r="40" spans="1:17" x14ac:dyDescent="0.25">
      <c r="A40" t="s">
        <v>52</v>
      </c>
      <c r="B40" s="3" t="s">
        <v>18</v>
      </c>
      <c r="C40">
        <v>-460.48100353699999</v>
      </c>
      <c r="D40">
        <v>-229.07988255199999</v>
      </c>
      <c r="E40">
        <v>-115.715208574</v>
      </c>
      <c r="F40" s="4">
        <f>(C40-(D40+(E40*2)))*$L$2</f>
        <v>18.383635244146536</v>
      </c>
      <c r="G40" s="4">
        <f>F38+G39</f>
        <v>42.979202821646481</v>
      </c>
      <c r="J40" t="s">
        <v>31</v>
      </c>
      <c r="K40" s="3" t="s">
        <v>18</v>
      </c>
      <c r="L40">
        <v>-268.382410037</v>
      </c>
      <c r="M40">
        <v>-76.426065190900005</v>
      </c>
      <c r="N40">
        <v>-115.715208574</v>
      </c>
      <c r="O40" s="4">
        <f>((L40+M40+N40)-(D40+(E40*2)))*$L$2</f>
        <v>-8.3986577832610934</v>
      </c>
      <c r="P40" s="4">
        <f>O38+P39</f>
        <v>-4.885097641567401</v>
      </c>
    </row>
    <row r="41" spans="1:17" x14ac:dyDescent="0.25">
      <c r="A41" t="s">
        <v>25</v>
      </c>
      <c r="B41" s="3" t="s">
        <v>19</v>
      </c>
      <c r="F41" s="4"/>
      <c r="G41" s="4">
        <f>G40+H38</f>
        <v>44.87920282164648</v>
      </c>
      <c r="J41" t="s">
        <v>25</v>
      </c>
      <c r="K41" s="3" t="s">
        <v>19</v>
      </c>
      <c r="O41" s="4">
        <f>((L41+M41+N41)-(D41+(E41*2)))*$L$2</f>
        <v>0</v>
      </c>
      <c r="P41" s="4">
        <f>P40+Q38</f>
        <v>-2.9850976415674011</v>
      </c>
    </row>
    <row r="42" spans="1:17" x14ac:dyDescent="0.25">
      <c r="A42" t="s">
        <v>29</v>
      </c>
      <c r="B42" s="3" t="s">
        <v>26</v>
      </c>
      <c r="C42">
        <v>-460.36573199999998</v>
      </c>
      <c r="D42" s="5">
        <v>-229.057084</v>
      </c>
      <c r="E42" s="5">
        <v>-115.691355</v>
      </c>
      <c r="F42" s="4">
        <f>(C42-(D42+(E42*2)))*$L$2</f>
        <v>46.474645620016489</v>
      </c>
      <c r="G42" s="1"/>
      <c r="H42" s="1"/>
      <c r="J42" t="s">
        <v>29</v>
      </c>
      <c r="K42" s="3" t="s">
        <v>26</v>
      </c>
      <c r="L42">
        <v>-268.326888</v>
      </c>
      <c r="M42" s="5">
        <v>-76.429713000000007</v>
      </c>
      <c r="N42" s="5">
        <v>-115.691355</v>
      </c>
      <c r="O42" s="4">
        <f>((L42+M42+N42)-(D42+(E42*2)))*$L$2</f>
        <v>-5.1217366199813306</v>
      </c>
      <c r="P42" s="1"/>
      <c r="Q42" s="1"/>
    </row>
    <row r="43" spans="1:17" x14ac:dyDescent="0.25">
      <c r="D43" s="1"/>
      <c r="E43" s="1"/>
      <c r="F43" s="1"/>
      <c r="G43" s="1"/>
      <c r="H43" s="1"/>
    </row>
    <row r="45" spans="1:17" x14ac:dyDescent="0.25">
      <c r="A45" s="6"/>
      <c r="B45" s="6"/>
      <c r="C45" s="6"/>
      <c r="D45" s="6"/>
      <c r="E45" s="6" t="s">
        <v>48</v>
      </c>
      <c r="F45" s="6"/>
      <c r="G45" s="6"/>
      <c r="H45" s="6"/>
      <c r="N45" t="s">
        <v>46</v>
      </c>
    </row>
    <row r="46" spans="1:17" x14ac:dyDescent="0.25">
      <c r="A46" s="6"/>
      <c r="B46" s="6"/>
      <c r="C46" s="6"/>
      <c r="D46" s="6"/>
      <c r="E46" s="6"/>
      <c r="F46" s="6"/>
      <c r="G46" s="6" t="s">
        <v>23</v>
      </c>
      <c r="H46" s="6"/>
      <c r="P46" t="s">
        <v>44</v>
      </c>
    </row>
    <row r="47" spans="1:17" x14ac:dyDescent="0.25">
      <c r="A47" s="6"/>
      <c r="B47" s="6"/>
      <c r="C47" s="6" t="s">
        <v>27</v>
      </c>
      <c r="D47" s="6" t="s">
        <v>35</v>
      </c>
      <c r="E47" s="6" t="s">
        <v>36</v>
      </c>
      <c r="F47" s="6" t="s">
        <v>49</v>
      </c>
      <c r="G47" s="6"/>
      <c r="H47" s="6">
        <v>0.11</v>
      </c>
      <c r="I47" s="6" t="s">
        <v>56</v>
      </c>
      <c r="L47" t="s">
        <v>27</v>
      </c>
      <c r="M47" t="s">
        <v>35</v>
      </c>
      <c r="N47" t="s">
        <v>36</v>
      </c>
    </row>
    <row r="48" spans="1:17" x14ac:dyDescent="0.25">
      <c r="A48" s="6" t="s">
        <v>53</v>
      </c>
      <c r="B48" s="7" t="s">
        <v>17</v>
      </c>
      <c r="C48" s="6">
        <v>-460.51062000000002</v>
      </c>
      <c r="D48" s="6">
        <v>-229.25320300000001</v>
      </c>
      <c r="E48" s="6">
        <v>-115.64478099999999</v>
      </c>
      <c r="F48" s="4">
        <f>(C48-(D48+(E48*2)))*$L$2</f>
        <v>20.171308950008836</v>
      </c>
      <c r="G48" s="6" t="s">
        <v>24</v>
      </c>
      <c r="H48" s="6">
        <v>1.9</v>
      </c>
      <c r="J48" t="s">
        <v>29</v>
      </c>
      <c r="K48" s="3" t="s">
        <v>17</v>
      </c>
      <c r="L48">
        <v>-460.37302199999999</v>
      </c>
      <c r="M48">
        <v>-229.04463200000001</v>
      </c>
      <c r="N48">
        <v>-115.68595500000001</v>
      </c>
      <c r="O48" s="4">
        <f>(L48-(M48+(N48*2)))*$L$2</f>
        <v>27.30923520003623</v>
      </c>
      <c r="P48" t="s">
        <v>24</v>
      </c>
      <c r="Q48">
        <v>1.9</v>
      </c>
    </row>
    <row r="49" spans="1:17" x14ac:dyDescent="0.25">
      <c r="A49" s="6" t="s">
        <v>30</v>
      </c>
      <c r="B49" s="7" t="s">
        <v>22</v>
      </c>
      <c r="C49" s="6">
        <v>-460.76008806900001</v>
      </c>
      <c r="D49" s="6">
        <v>-229.42407285199999</v>
      </c>
      <c r="E49" s="6">
        <v>-115.68331991300001</v>
      </c>
      <c r="F49" s="6">
        <f>(C49-(D49+(E49*2)))*$L$2</f>
        <v>19.217248393572284</v>
      </c>
      <c r="G49" s="6">
        <f>F49-G53-F54</f>
        <v>0.71098702776436618</v>
      </c>
      <c r="H49" s="6">
        <v>3.0279999999999999E-3</v>
      </c>
      <c r="I49">
        <f>E51*627.51</f>
        <v>0</v>
      </c>
      <c r="J49" t="s">
        <v>30</v>
      </c>
      <c r="K49" s="3" t="s">
        <v>22</v>
      </c>
      <c r="L49">
        <v>-460.52058518500002</v>
      </c>
      <c r="M49">
        <v>-229.09704092699999</v>
      </c>
      <c r="N49">
        <v>-115.723635556</v>
      </c>
      <c r="O49" s="4">
        <f>(L49-(M49+(N49*2)))*$L$2</f>
        <v>14.888838153550845</v>
      </c>
      <c r="P49" s="4">
        <f>O49-O50</f>
        <v>10.400496949812196</v>
      </c>
    </row>
    <row r="50" spans="1:17" x14ac:dyDescent="0.25">
      <c r="A50" s="6" t="s">
        <v>51</v>
      </c>
      <c r="B50" s="7" t="s">
        <v>18</v>
      </c>
      <c r="C50" s="6">
        <v>-460.732506161</v>
      </c>
      <c r="D50" s="6">
        <v>-229.40085523499999</v>
      </c>
      <c r="E50" s="6">
        <v>-115.679667014</v>
      </c>
      <c r="F50" s="6">
        <f>(C50-(D50+(E50*2)))*$L$2</f>
        <v>17.371423336036241</v>
      </c>
      <c r="G50" s="6">
        <f>F48+G49</f>
        <v>20.882295977773204</v>
      </c>
      <c r="H50" s="6">
        <f>(C50-C54)+C49-(E49*2)-D52-H49</f>
        <v>-0.12101448300000991</v>
      </c>
      <c r="J50" t="s">
        <v>31</v>
      </c>
      <c r="K50" s="3" t="s">
        <v>18</v>
      </c>
      <c r="L50">
        <v>-460.50314707899997</v>
      </c>
      <c r="M50">
        <v>-229.07988255199999</v>
      </c>
      <c r="N50">
        <v>-115.715208574</v>
      </c>
      <c r="O50" s="4">
        <f>(L50-(M50+(N50*2)))*$L$2</f>
        <v>4.4883412037386492</v>
      </c>
      <c r="P50" s="4">
        <f>O48+P49</f>
        <v>37.709732149848428</v>
      </c>
    </row>
    <row r="51" spans="1:17" x14ac:dyDescent="0.25">
      <c r="A51" s="6" t="s">
        <v>25</v>
      </c>
      <c r="B51" s="7" t="s">
        <v>19</v>
      </c>
      <c r="C51" s="6"/>
      <c r="D51" s="6"/>
      <c r="E51" s="6"/>
      <c r="F51" s="6">
        <f>(C51-(D51+(E51*2)))*$L$2</f>
        <v>0</v>
      </c>
      <c r="G51" s="6">
        <f>G50+H48</f>
        <v>22.782295977773202</v>
      </c>
      <c r="H51" s="6">
        <f>H50*627.51</f>
        <v>-75.937798227336216</v>
      </c>
      <c r="J51" t="s">
        <v>25</v>
      </c>
      <c r="K51" s="3" t="s">
        <v>19</v>
      </c>
      <c r="O51" s="4"/>
      <c r="P51" s="4">
        <f>P50+Q48</f>
        <v>39.609732149848426</v>
      </c>
    </row>
    <row r="52" spans="1:17" x14ac:dyDescent="0.25">
      <c r="A52" s="6" t="s">
        <v>29</v>
      </c>
      <c r="B52" s="7" t="s">
        <v>26</v>
      </c>
      <c r="C52" s="6">
        <v>-460.588796</v>
      </c>
      <c r="D52" s="6">
        <v>-229.35325</v>
      </c>
      <c r="E52" s="6">
        <v>-115.6511</v>
      </c>
      <c r="F52" s="6">
        <f>(C52-(D52+(E52*2)))*$L$2</f>
        <v>41.826051539982018</v>
      </c>
      <c r="G52" s="6" t="s">
        <v>50</v>
      </c>
      <c r="H52" s="6"/>
      <c r="I52" s="6" t="s">
        <v>54</v>
      </c>
      <c r="J52" t="s">
        <v>29</v>
      </c>
      <c r="K52" s="3" t="s">
        <v>26</v>
      </c>
      <c r="L52">
        <v>-460.38234</v>
      </c>
      <c r="M52" s="1">
        <v>-229.057084</v>
      </c>
      <c r="N52" s="1">
        <v>-115.691355</v>
      </c>
      <c r="O52" s="4">
        <f>(L52-(M52+(N52*2)))*$L$2</f>
        <v>36.052959540004395</v>
      </c>
      <c r="P52" s="1"/>
      <c r="Q52" s="1"/>
    </row>
    <row r="53" spans="1:17" x14ac:dyDescent="0.25">
      <c r="F53" s="6" t="s">
        <v>26</v>
      </c>
      <c r="G53" s="5">
        <f>F52-F49</f>
        <v>22.608803146409734</v>
      </c>
      <c r="H53" s="6">
        <f>C49-C54</f>
        <v>-0.10537014800001998</v>
      </c>
      <c r="I53" s="6">
        <f>H53*627.51</f>
        <v>-66.120821571492542</v>
      </c>
    </row>
    <row r="54" spans="1:17" x14ac:dyDescent="0.25">
      <c r="A54" s="6" t="s">
        <v>52</v>
      </c>
      <c r="C54">
        <v>-460.65471792099999</v>
      </c>
      <c r="D54">
        <v>-229.30132155800001</v>
      </c>
      <c r="E54">
        <v>-115.67342927599999</v>
      </c>
      <c r="F54" s="6">
        <f>(C54-(D54+(E54*2)))*$L$2</f>
        <v>-4.1025417806018165</v>
      </c>
      <c r="G54">
        <f>F54-G49</f>
        <v>-4.8135288083661827</v>
      </c>
    </row>
    <row r="55" spans="1:17" x14ac:dyDescent="0.25">
      <c r="B55" t="s">
        <v>38</v>
      </c>
      <c r="C55" t="s">
        <v>38</v>
      </c>
      <c r="D55" t="s">
        <v>34</v>
      </c>
      <c r="E55" t="s">
        <v>34</v>
      </c>
      <c r="F55" t="s">
        <v>47</v>
      </c>
      <c r="G55" t="s">
        <v>47</v>
      </c>
      <c r="H55" t="s">
        <v>46</v>
      </c>
      <c r="I55" t="s">
        <v>46</v>
      </c>
      <c r="J55" t="s">
        <v>39</v>
      </c>
      <c r="K55" t="s">
        <v>39</v>
      </c>
    </row>
    <row r="56" spans="1:17" x14ac:dyDescent="0.25">
      <c r="A56" t="s">
        <v>26</v>
      </c>
      <c r="B56">
        <v>0</v>
      </c>
      <c r="C56">
        <v>0</v>
      </c>
      <c r="D56">
        <v>39.51</v>
      </c>
      <c r="E56">
        <v>39.51</v>
      </c>
      <c r="F56">
        <v>12.6</v>
      </c>
      <c r="G56">
        <v>12.6</v>
      </c>
      <c r="H56">
        <v>36.049999999999997</v>
      </c>
      <c r="I56">
        <v>36.049999999999997</v>
      </c>
      <c r="J56">
        <v>-5.12</v>
      </c>
      <c r="K56">
        <v>-5.12</v>
      </c>
    </row>
    <row r="57" spans="1:17" x14ac:dyDescent="0.25">
      <c r="A57" t="s">
        <v>37</v>
      </c>
      <c r="B57">
        <v>0</v>
      </c>
      <c r="C57">
        <v>0</v>
      </c>
      <c r="D57">
        <v>32.68</v>
      </c>
      <c r="E57">
        <v>32.68</v>
      </c>
      <c r="F57">
        <v>6.66</v>
      </c>
      <c r="G57">
        <v>6.66</v>
      </c>
      <c r="H57">
        <v>27.31</v>
      </c>
      <c r="I57">
        <v>27.31</v>
      </c>
      <c r="J57">
        <v>-7.8</v>
      </c>
      <c r="K57">
        <v>-7.8</v>
      </c>
    </row>
    <row r="58" spans="1:17" x14ac:dyDescent="0.25">
      <c r="A58" t="s">
        <v>40</v>
      </c>
      <c r="B58">
        <v>0</v>
      </c>
      <c r="C58">
        <v>0</v>
      </c>
      <c r="D58">
        <v>39.26</v>
      </c>
      <c r="E58">
        <v>39.26</v>
      </c>
      <c r="F58">
        <v>15.88</v>
      </c>
      <c r="G58">
        <v>15.88</v>
      </c>
      <c r="H58">
        <v>39.61</v>
      </c>
      <c r="I58">
        <v>39.61</v>
      </c>
      <c r="J58">
        <v>-2.99</v>
      </c>
      <c r="K58">
        <v>-2.99</v>
      </c>
    </row>
    <row r="61" spans="1:17" x14ac:dyDescent="0.25">
      <c r="A61" s="6"/>
      <c r="B61" s="6"/>
      <c r="C61" s="6"/>
      <c r="D61" s="6"/>
      <c r="E61" s="6" t="s">
        <v>41</v>
      </c>
      <c r="F61" s="6"/>
      <c r="G61" s="6"/>
      <c r="H61" s="6"/>
    </row>
    <row r="62" spans="1:17" x14ac:dyDescent="0.25">
      <c r="A62" s="6"/>
      <c r="B62" s="6"/>
      <c r="C62" s="6" t="s">
        <v>4</v>
      </c>
      <c r="D62" s="6" t="s">
        <v>35</v>
      </c>
      <c r="E62" s="6" t="s">
        <v>36</v>
      </c>
      <c r="F62" s="6"/>
      <c r="G62" s="6"/>
      <c r="H62" s="6"/>
      <c r="I62" s="6"/>
      <c r="J62" t="s">
        <v>55</v>
      </c>
    </row>
    <row r="63" spans="1:17" x14ac:dyDescent="0.25">
      <c r="A63" s="6" t="s">
        <v>53</v>
      </c>
      <c r="B63" s="7" t="s">
        <v>17</v>
      </c>
      <c r="C63" s="6">
        <v>-76.389379000000005</v>
      </c>
      <c r="D63" s="6">
        <v>-229.25320300000001</v>
      </c>
      <c r="E63" s="6">
        <v>-115.64478099999999</v>
      </c>
      <c r="F63" s="4">
        <f>((C63+J63+E63)-(D63+(E63*2)))*$L$2</f>
        <v>-11.191640849994316</v>
      </c>
      <c r="G63" s="6" t="s">
        <v>24</v>
      </c>
      <c r="H63" s="6">
        <v>1.9</v>
      </c>
      <c r="J63">
        <v>-268.52643999999998</v>
      </c>
    </row>
    <row r="64" spans="1:17" x14ac:dyDescent="0.25">
      <c r="A64" s="6" t="s">
        <v>30</v>
      </c>
      <c r="B64" s="7" t="s">
        <v>22</v>
      </c>
      <c r="C64" s="6">
        <v>-76.407753069500004</v>
      </c>
      <c r="D64" s="6">
        <v>-229.42407285199999</v>
      </c>
      <c r="E64" s="6">
        <v>-115.68331991300001</v>
      </c>
      <c r="F64" s="6">
        <f t="shared" ref="F64:F69" si="0">((C64+J64+E64)-(D64+(E64*2)))*$L$2</f>
        <v>-2.6494196974402247</v>
      </c>
      <c r="G64" s="6">
        <f>F64-G68-F69</f>
        <v>9.3320556903488185</v>
      </c>
      <c r="H64" s="6">
        <v>3.0279999999999999E-3</v>
      </c>
      <c r="J64" s="6">
        <v>-268.70386181100002</v>
      </c>
    </row>
    <row r="65" spans="1:10" x14ac:dyDescent="0.25">
      <c r="A65" s="6" t="s">
        <v>51</v>
      </c>
      <c r="B65" s="7" t="s">
        <v>18</v>
      </c>
      <c r="C65" s="6">
        <v>-76.401407660999993</v>
      </c>
      <c r="D65" s="6">
        <v>-229.40085523499999</v>
      </c>
      <c r="E65" s="6">
        <v>-115.679667014</v>
      </c>
      <c r="F65" s="6">
        <f t="shared" si="0"/>
        <v>-4.4052626447688441</v>
      </c>
      <c r="G65" s="6">
        <f>F63+G64</f>
        <v>-1.8595851596454978</v>
      </c>
      <c r="H65" s="6"/>
      <c r="J65" s="6">
        <v>-268.686134815</v>
      </c>
    </row>
    <row r="66" spans="1:10" x14ac:dyDescent="0.25">
      <c r="A66" s="6" t="s">
        <v>25</v>
      </c>
      <c r="B66" s="7" t="s">
        <v>19</v>
      </c>
      <c r="C66" s="6"/>
      <c r="D66" s="6"/>
      <c r="E66" s="6"/>
      <c r="F66" s="6">
        <f t="shared" si="0"/>
        <v>0</v>
      </c>
      <c r="G66" s="6">
        <f>G65-H63</f>
        <v>-3.7595851596454977</v>
      </c>
      <c r="H66" s="6"/>
      <c r="J66" s="6"/>
    </row>
    <row r="67" spans="1:10" x14ac:dyDescent="0.25">
      <c r="A67" s="6" t="s">
        <v>29</v>
      </c>
      <c r="B67" s="7" t="s">
        <v>26</v>
      </c>
      <c r="C67" s="6">
        <v>-76.397942999999998</v>
      </c>
      <c r="D67" s="6">
        <v>-229.35325</v>
      </c>
      <c r="E67" s="6">
        <v>-115.6511</v>
      </c>
      <c r="F67" s="6">
        <f t="shared" si="0"/>
        <v>-4.3310740200157216</v>
      </c>
      <c r="G67" s="6" t="s">
        <v>50</v>
      </c>
      <c r="H67" s="6"/>
      <c r="I67" s="6"/>
      <c r="J67" s="6">
        <v>-268.61330900000002</v>
      </c>
    </row>
    <row r="68" spans="1:10" x14ac:dyDescent="0.25">
      <c r="F68" s="6" t="s">
        <v>57</v>
      </c>
      <c r="G68" s="5">
        <f>F67-F64</f>
        <v>-1.681654322575497</v>
      </c>
      <c r="H68" s="6"/>
      <c r="I68" s="6"/>
      <c r="J68" s="6"/>
    </row>
    <row r="69" spans="1:10" x14ac:dyDescent="0.25">
      <c r="A69" s="6" t="s">
        <v>52</v>
      </c>
      <c r="C69">
        <v>-76.392854451900007</v>
      </c>
      <c r="D69">
        <v>-229.30132155800001</v>
      </c>
      <c r="E69">
        <v>-115.67342927599999</v>
      </c>
      <c r="F69" s="6">
        <f t="shared" si="0"/>
        <v>-10.299821065213546</v>
      </c>
      <c r="J69">
        <v>-268.59831017800002</v>
      </c>
    </row>
    <row r="70" spans="1:10" x14ac:dyDescent="0.25">
      <c r="A70" s="6"/>
      <c r="F70" s="6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opLeftCell="B4" zoomScaleNormal="100" workbookViewId="0">
      <selection activeCell="I56" sqref="I56"/>
    </sheetView>
  </sheetViews>
  <sheetFormatPr defaultRowHeight="15.75" x14ac:dyDescent="0.25"/>
  <sheetData>
    <row r="1" spans="1:18" x14ac:dyDescent="0.25">
      <c r="E1" t="s">
        <v>58</v>
      </c>
      <c r="F1" t="s">
        <v>59</v>
      </c>
      <c r="G1" t="s">
        <v>44</v>
      </c>
    </row>
    <row r="2" spans="1:18" x14ac:dyDescent="0.25">
      <c r="C2" t="s">
        <v>27</v>
      </c>
      <c r="D2" t="s">
        <v>35</v>
      </c>
      <c r="E2" t="s">
        <v>36</v>
      </c>
      <c r="H2">
        <v>627.51</v>
      </c>
      <c r="K2" t="s">
        <v>63</v>
      </c>
      <c r="L2">
        <v>1.9870000000000001</v>
      </c>
      <c r="N2">
        <f>6.212</f>
        <v>6.2119999999999997</v>
      </c>
    </row>
    <row r="3" spans="1:18" x14ac:dyDescent="0.25">
      <c r="A3" t="s">
        <v>29</v>
      </c>
      <c r="B3" t="s">
        <v>17</v>
      </c>
      <c r="C3">
        <v>-682.19713300000001</v>
      </c>
      <c r="D3">
        <v>-450.85231399999998</v>
      </c>
      <c r="E3">
        <v>-115.68595500000001</v>
      </c>
      <c r="F3">
        <f>(C3-(D3+(E3*2)))*$H$2</f>
        <v>16.999873410025902</v>
      </c>
      <c r="G3" t="s">
        <v>24</v>
      </c>
      <c r="H3">
        <v>1.9</v>
      </c>
      <c r="K3" t="s">
        <v>64</v>
      </c>
      <c r="L3">
        <v>1.3806619999999999E-23</v>
      </c>
      <c r="N3">
        <f>N2*1000000000000</f>
        <v>6212000000000</v>
      </c>
    </row>
    <row r="4" spans="1:18" x14ac:dyDescent="0.25">
      <c r="A4" t="s">
        <v>30</v>
      </c>
      <c r="B4" t="s">
        <v>22</v>
      </c>
      <c r="C4">
        <v>-682.326981144</v>
      </c>
      <c r="D4">
        <v>-450.87431802999998</v>
      </c>
      <c r="E4">
        <v>-115.723635556</v>
      </c>
      <c r="F4">
        <f t="shared" ref="F4:F7" si="0">(C4-(D4+(E4*2)))*$H$2</f>
        <v>-3.383535175024881</v>
      </c>
      <c r="G4">
        <f>F4-F5</f>
        <v>3.8228248055175751</v>
      </c>
      <c r="K4" t="s">
        <v>65</v>
      </c>
      <c r="L4">
        <v>6.6261759999999997E-34</v>
      </c>
      <c r="M4" t="s">
        <v>66</v>
      </c>
      <c r="N4">
        <f>L2*L5</f>
        <v>592.42404999999997</v>
      </c>
      <c r="Q4" t="s">
        <v>67</v>
      </c>
      <c r="R4" t="s">
        <v>68</v>
      </c>
    </row>
    <row r="5" spans="1:18" x14ac:dyDescent="0.25">
      <c r="A5" t="s">
        <v>31</v>
      </c>
      <c r="B5" t="s">
        <v>18</v>
      </c>
      <c r="C5">
        <v>-682.31164235799997</v>
      </c>
      <c r="D5">
        <v>-450.869741154</v>
      </c>
      <c r="E5">
        <v>-115.715208574</v>
      </c>
      <c r="F5">
        <f t="shared" si="0"/>
        <v>-7.2063599805424561</v>
      </c>
      <c r="G5">
        <f>F3+G4</f>
        <v>20.822698215543475</v>
      </c>
      <c r="K5" t="s">
        <v>69</v>
      </c>
      <c r="L5">
        <v>298.14999999999998</v>
      </c>
      <c r="N5">
        <v>-460.36573199999998</v>
      </c>
      <c r="Q5">
        <f>$N$3*(EXP(1)^(-G6*$K$8/$N$4))</f>
        <v>1.3666770215088877E-4</v>
      </c>
      <c r="R5">
        <f>LN(Q5)</f>
        <v>-8.8979581102489131</v>
      </c>
    </row>
    <row r="6" spans="1:18" x14ac:dyDescent="0.25">
      <c r="A6" t="s">
        <v>25</v>
      </c>
      <c r="B6" t="s">
        <v>19</v>
      </c>
      <c r="F6">
        <f t="shared" si="0"/>
        <v>0</v>
      </c>
      <c r="G6">
        <f>G5+H3</f>
        <v>22.722698215543474</v>
      </c>
      <c r="L6" t="s">
        <v>70</v>
      </c>
      <c r="N6">
        <f>N5-G6</f>
        <v>-483.08843021554344</v>
      </c>
    </row>
    <row r="7" spans="1:18" x14ac:dyDescent="0.25">
      <c r="A7" t="s">
        <v>29</v>
      </c>
      <c r="B7" t="s">
        <v>26</v>
      </c>
      <c r="C7">
        <v>-682.20982900000001</v>
      </c>
      <c r="D7">
        <v>-450.85761400000001</v>
      </c>
      <c r="E7">
        <v>-115.691355</v>
      </c>
      <c r="F7">
        <f t="shared" si="0"/>
        <v>19.135917449983381</v>
      </c>
    </row>
    <row r="8" spans="1:18" x14ac:dyDescent="0.25">
      <c r="K8">
        <v>1000</v>
      </c>
    </row>
    <row r="9" spans="1:18" x14ac:dyDescent="0.25">
      <c r="E9" t="s">
        <v>58</v>
      </c>
      <c r="F9" t="s">
        <v>60</v>
      </c>
      <c r="G9" t="s">
        <v>44</v>
      </c>
    </row>
    <row r="10" spans="1:18" x14ac:dyDescent="0.25">
      <c r="C10" t="s">
        <v>27</v>
      </c>
      <c r="D10" t="s">
        <v>35</v>
      </c>
      <c r="E10" t="s">
        <v>36</v>
      </c>
      <c r="H10">
        <v>627.51</v>
      </c>
      <c r="K10" t="s">
        <v>63</v>
      </c>
      <c r="L10">
        <v>1.9870000000000001</v>
      </c>
      <c r="N10">
        <f>6.212</f>
        <v>6.2119999999999997</v>
      </c>
    </row>
    <row r="11" spans="1:18" x14ac:dyDescent="0.25">
      <c r="A11" t="s">
        <v>29</v>
      </c>
      <c r="B11" t="s">
        <v>17</v>
      </c>
      <c r="C11">
        <v>-682.19713300000001</v>
      </c>
      <c r="D11">
        <v>-450.85231399999998</v>
      </c>
      <c r="E11">
        <v>-115.68595500000001</v>
      </c>
      <c r="F11">
        <f>(C11-(D11+(E11*2)))*$H$2</f>
        <v>16.999873410025902</v>
      </c>
      <c r="G11" t="s">
        <v>24</v>
      </c>
      <c r="H11">
        <v>1.9</v>
      </c>
      <c r="K11" t="s">
        <v>64</v>
      </c>
      <c r="L11">
        <v>1.3806619999999999E-23</v>
      </c>
      <c r="N11">
        <f>N10*1000000000000</f>
        <v>6212000000000</v>
      </c>
    </row>
    <row r="12" spans="1:18" x14ac:dyDescent="0.25">
      <c r="A12" t="s">
        <v>30</v>
      </c>
      <c r="B12" t="s">
        <v>22</v>
      </c>
      <c r="C12">
        <v>-682.32634971899995</v>
      </c>
      <c r="D12">
        <v>-450.87693876399999</v>
      </c>
      <c r="E12">
        <v>-115.72010349</v>
      </c>
      <c r="F12">
        <f t="shared" ref="F12:F15" si="1">(C12-(D12+(E12*2)))*$H$2</f>
        <v>-5.7755863522445159</v>
      </c>
      <c r="G12">
        <f>F12-F13</f>
        <v>1.4307736282979402</v>
      </c>
      <c r="K12" t="s">
        <v>65</v>
      </c>
      <c r="L12">
        <v>6.6261759999999997E-34</v>
      </c>
      <c r="M12" t="s">
        <v>66</v>
      </c>
      <c r="N12">
        <f>L10*L13</f>
        <v>592.42404999999997</v>
      </c>
      <c r="Q12" t="s">
        <v>67</v>
      </c>
      <c r="R12" t="s">
        <v>68</v>
      </c>
    </row>
    <row r="13" spans="1:18" x14ac:dyDescent="0.25">
      <c r="A13" t="s">
        <v>31</v>
      </c>
      <c r="B13" t="s">
        <v>18</v>
      </c>
      <c r="C13">
        <v>-682.31164235799997</v>
      </c>
      <c r="D13">
        <v>-450.869741154</v>
      </c>
      <c r="E13">
        <v>-115.715208574</v>
      </c>
      <c r="F13">
        <f t="shared" si="1"/>
        <v>-7.2063599805424561</v>
      </c>
      <c r="G13">
        <f>F11+G12</f>
        <v>18.430647038323841</v>
      </c>
      <c r="K13" t="s">
        <v>69</v>
      </c>
      <c r="L13">
        <v>298.14999999999998</v>
      </c>
      <c r="N13">
        <v>-460.36573199999998</v>
      </c>
      <c r="Q13">
        <f>$N$3*(EXP(1)^(-G14*$K$8/$N$4))</f>
        <v>7.7487529841348659E-3</v>
      </c>
      <c r="R13">
        <f>LN(Q13)</f>
        <v>-4.8602233538364441</v>
      </c>
    </row>
    <row r="14" spans="1:18" x14ac:dyDescent="0.25">
      <c r="A14" t="s">
        <v>25</v>
      </c>
      <c r="B14" t="s">
        <v>19</v>
      </c>
      <c r="F14">
        <f t="shared" si="1"/>
        <v>0</v>
      </c>
      <c r="G14">
        <f>G13+H11</f>
        <v>20.330647038323839</v>
      </c>
      <c r="L14" t="s">
        <v>70</v>
      </c>
      <c r="N14">
        <f>N13-G14</f>
        <v>-480.69637903832381</v>
      </c>
    </row>
    <row r="15" spans="1:18" x14ac:dyDescent="0.25">
      <c r="A15" t="s">
        <v>29</v>
      </c>
      <c r="B15" t="s">
        <v>26</v>
      </c>
      <c r="C15">
        <v>-682.20905700000003</v>
      </c>
      <c r="D15">
        <v>-450.85731700000002</v>
      </c>
      <c r="E15">
        <v>-115.691067</v>
      </c>
      <c r="F15">
        <f t="shared" si="1"/>
        <v>19.072538940000715</v>
      </c>
    </row>
    <row r="16" spans="1:18" x14ac:dyDescent="0.25">
      <c r="K16">
        <v>1000</v>
      </c>
    </row>
    <row r="17" spans="1:18" x14ac:dyDescent="0.25">
      <c r="E17" t="s">
        <v>58</v>
      </c>
      <c r="F17" t="s">
        <v>61</v>
      </c>
      <c r="G17" t="s">
        <v>44</v>
      </c>
    </row>
    <row r="18" spans="1:18" x14ac:dyDescent="0.25">
      <c r="C18" t="s">
        <v>27</v>
      </c>
      <c r="D18" t="s">
        <v>35</v>
      </c>
      <c r="E18" t="s">
        <v>36</v>
      </c>
      <c r="H18">
        <v>627.51</v>
      </c>
      <c r="K18" t="s">
        <v>63</v>
      </c>
      <c r="L18">
        <v>1.9870000000000001</v>
      </c>
      <c r="N18">
        <f>6.212</f>
        <v>6.2119999999999997</v>
      </c>
    </row>
    <row r="19" spans="1:18" x14ac:dyDescent="0.25">
      <c r="A19" t="s">
        <v>29</v>
      </c>
      <c r="B19" t="s">
        <v>17</v>
      </c>
      <c r="C19">
        <v>-682.19713300000001</v>
      </c>
      <c r="D19">
        <v>-450.85231399999998</v>
      </c>
      <c r="E19">
        <v>-115.68595500000001</v>
      </c>
      <c r="F19">
        <f>(C19-(D19+(E19*2)))*$H$2</f>
        <v>16.999873410025902</v>
      </c>
      <c r="G19" t="s">
        <v>24</v>
      </c>
      <c r="H19">
        <v>1.9</v>
      </c>
      <c r="K19" t="s">
        <v>64</v>
      </c>
      <c r="L19">
        <v>1.3806619999999999E-23</v>
      </c>
      <c r="N19">
        <f>N18*1000000000000</f>
        <v>6212000000000</v>
      </c>
    </row>
    <row r="20" spans="1:18" x14ac:dyDescent="0.25">
      <c r="A20" t="s">
        <v>30</v>
      </c>
      <c r="B20" t="s">
        <v>22</v>
      </c>
      <c r="C20">
        <v>-682.32139039100002</v>
      </c>
      <c r="D20">
        <v>-450.87477850099998</v>
      </c>
      <c r="E20">
        <v>-115.718662103</v>
      </c>
      <c r="F20">
        <f t="shared" ref="F20:F23" si="2">(C20-(D20+(E20*2)))*$H$2</f>
        <v>-5.8281145868490682</v>
      </c>
      <c r="G20">
        <f>F20-F21</f>
        <v>1.3782453936933878</v>
      </c>
      <c r="K20" t="s">
        <v>65</v>
      </c>
      <c r="L20">
        <v>6.6261759999999997E-34</v>
      </c>
      <c r="M20" t="s">
        <v>66</v>
      </c>
      <c r="N20">
        <f>L18*L21</f>
        <v>592.42404999999997</v>
      </c>
      <c r="Q20" t="s">
        <v>67</v>
      </c>
      <c r="R20" t="s">
        <v>68</v>
      </c>
    </row>
    <row r="21" spans="1:18" x14ac:dyDescent="0.25">
      <c r="A21" t="s">
        <v>31</v>
      </c>
      <c r="B21" t="s">
        <v>18</v>
      </c>
      <c r="C21">
        <v>-682.31164235799997</v>
      </c>
      <c r="D21">
        <v>-450.869741154</v>
      </c>
      <c r="E21">
        <v>-115.715208574</v>
      </c>
      <c r="F21">
        <f t="shared" si="2"/>
        <v>-7.2063599805424561</v>
      </c>
      <c r="G21">
        <f>F19+G20</f>
        <v>18.378118803719289</v>
      </c>
      <c r="K21" t="s">
        <v>69</v>
      </c>
      <c r="L21">
        <v>298.14999999999998</v>
      </c>
      <c r="N21">
        <v>-460.36573199999998</v>
      </c>
      <c r="Q21">
        <f>$N$3*(EXP(1)^(-G22*$K$8/$N$4))</f>
        <v>8.4671886853973019E-3</v>
      </c>
      <c r="R21">
        <f>LN(Q21)</f>
        <v>-4.7715567397708067</v>
      </c>
    </row>
    <row r="22" spans="1:18" x14ac:dyDescent="0.25">
      <c r="A22" t="s">
        <v>25</v>
      </c>
      <c r="B22" t="s">
        <v>19</v>
      </c>
      <c r="F22">
        <f t="shared" si="2"/>
        <v>0</v>
      </c>
      <c r="G22">
        <f>G21+H19</f>
        <v>20.278118803719288</v>
      </c>
      <c r="L22" t="s">
        <v>70</v>
      </c>
      <c r="N22">
        <f>N21-G22</f>
        <v>-480.64385080371926</v>
      </c>
    </row>
    <row r="23" spans="1:18" x14ac:dyDescent="0.25">
      <c r="A23" t="s">
        <v>29</v>
      </c>
      <c r="B23" t="s">
        <v>26</v>
      </c>
      <c r="C23">
        <v>-682.20398899999998</v>
      </c>
      <c r="D23">
        <v>-450.855277</v>
      </c>
      <c r="E23">
        <v>-115.68904000000001</v>
      </c>
      <c r="F23">
        <f t="shared" si="2"/>
        <v>18.428713680056749</v>
      </c>
    </row>
    <row r="24" spans="1:18" x14ac:dyDescent="0.25">
      <c r="K24">
        <v>1000</v>
      </c>
    </row>
    <row r="25" spans="1:18" x14ac:dyDescent="0.25">
      <c r="E25" s="6" t="s">
        <v>62</v>
      </c>
      <c r="F25" t="s">
        <v>59</v>
      </c>
      <c r="G25" t="s">
        <v>44</v>
      </c>
    </row>
    <row r="26" spans="1:18" x14ac:dyDescent="0.25">
      <c r="C26" t="s">
        <v>27</v>
      </c>
      <c r="D26" t="s">
        <v>35</v>
      </c>
      <c r="E26" t="s">
        <v>36</v>
      </c>
      <c r="H26">
        <v>627.51</v>
      </c>
      <c r="K26" t="s">
        <v>63</v>
      </c>
      <c r="L26">
        <v>1.9870000000000001</v>
      </c>
      <c r="N26">
        <f>6.212</f>
        <v>6.2119999999999997</v>
      </c>
    </row>
    <row r="27" spans="1:18" x14ac:dyDescent="0.25">
      <c r="A27" t="s">
        <v>29</v>
      </c>
      <c r="B27" t="s">
        <v>17</v>
      </c>
      <c r="C27">
        <v>-484.39794699999999</v>
      </c>
      <c r="D27">
        <v>-253.081806</v>
      </c>
      <c r="E27">
        <v>-115.68595500000001</v>
      </c>
      <c r="F27">
        <f>(C27-(D27+(E27*2)))*$H$2</f>
        <v>34.99560518999872</v>
      </c>
      <c r="G27" t="s">
        <v>24</v>
      </c>
      <c r="H27">
        <v>1.9</v>
      </c>
      <c r="K27" t="s">
        <v>64</v>
      </c>
      <c r="L27">
        <v>1.3806619999999999E-23</v>
      </c>
      <c r="N27">
        <f>N26*1000000000000</f>
        <v>6212000000000</v>
      </c>
    </row>
    <row r="28" spans="1:18" x14ac:dyDescent="0.25">
      <c r="A28" t="s">
        <v>30</v>
      </c>
      <c r="B28" t="s">
        <v>22</v>
      </c>
      <c r="C28">
        <v>-484.54292734299997</v>
      </c>
      <c r="D28">
        <v>-253.11088940600001</v>
      </c>
      <c r="E28">
        <v>-115.723635556</v>
      </c>
      <c r="F28">
        <f t="shared" ref="F28:F31" si="3">(C28-(D28+(E28*2)))*$H$2</f>
        <v>9.5589696442804364</v>
      </c>
      <c r="G28">
        <f>F28-F29</f>
        <v>-1.0441214191008701</v>
      </c>
      <c r="K28" t="s">
        <v>65</v>
      </c>
      <c r="L28">
        <v>6.6261759999999997E-34</v>
      </c>
      <c r="M28" t="s">
        <v>66</v>
      </c>
      <c r="N28">
        <f>L26*L29</f>
        <v>592.42404999999997</v>
      </c>
      <c r="Q28" t="s">
        <v>67</v>
      </c>
      <c r="R28" t="s">
        <v>68</v>
      </c>
    </row>
    <row r="29" spans="1:18" x14ac:dyDescent="0.25">
      <c r="A29" t="s">
        <v>31</v>
      </c>
      <c r="B29" t="s">
        <v>18</v>
      </c>
      <c r="C29">
        <v>-484.51803617799999</v>
      </c>
      <c r="D29">
        <v>-253.104516117</v>
      </c>
      <c r="E29">
        <v>-115.715208574</v>
      </c>
      <c r="F29">
        <f t="shared" si="3"/>
        <v>10.603091063381306</v>
      </c>
      <c r="G29">
        <f>F27+G28</f>
        <v>33.951483770897852</v>
      </c>
      <c r="K29" t="s">
        <v>69</v>
      </c>
      <c r="L29">
        <v>298.14999999999998</v>
      </c>
      <c r="N29">
        <v>-460.36573199999998</v>
      </c>
      <c r="Q29">
        <f>$N$3*(EXP(1)^(-G30*$K$8/$N$4))</f>
        <v>3.2449651021948707E-14</v>
      </c>
      <c r="R29">
        <f>LN(Q29)</f>
        <v>-31.059086706149735</v>
      </c>
    </row>
    <row r="30" spans="1:18" x14ac:dyDescent="0.25">
      <c r="A30" t="s">
        <v>25</v>
      </c>
      <c r="B30" t="s">
        <v>19</v>
      </c>
      <c r="F30">
        <f t="shared" si="3"/>
        <v>0</v>
      </c>
      <c r="G30">
        <f>G29+H27</f>
        <v>35.85148377089785</v>
      </c>
      <c r="L30" t="s">
        <v>70</v>
      </c>
      <c r="N30">
        <f>N29-G30</f>
        <v>-496.21721577089784</v>
      </c>
    </row>
    <row r="31" spans="1:18" x14ac:dyDescent="0.25">
      <c r="A31" t="s">
        <v>29</v>
      </c>
      <c r="B31" t="s">
        <v>26</v>
      </c>
      <c r="C31">
        <v>-484.41130900000002</v>
      </c>
      <c r="D31">
        <v>-253.08793399999999</v>
      </c>
      <c r="E31">
        <v>-115.691355</v>
      </c>
      <c r="F31">
        <f t="shared" si="3"/>
        <v>37.233305849984902</v>
      </c>
    </row>
    <row r="32" spans="1:18" x14ac:dyDescent="0.25">
      <c r="K32">
        <v>1000</v>
      </c>
    </row>
    <row r="33" spans="1:18" x14ac:dyDescent="0.25">
      <c r="E33" t="s">
        <v>62</v>
      </c>
      <c r="F33" t="s">
        <v>60</v>
      </c>
      <c r="G33" t="s">
        <v>44</v>
      </c>
    </row>
    <row r="34" spans="1:18" x14ac:dyDescent="0.25">
      <c r="C34" t="s">
        <v>27</v>
      </c>
      <c r="D34" t="s">
        <v>35</v>
      </c>
      <c r="E34" t="s">
        <v>36</v>
      </c>
      <c r="H34">
        <v>627.51</v>
      </c>
      <c r="K34" t="s">
        <v>63</v>
      </c>
      <c r="L34">
        <v>1.9870000000000001</v>
      </c>
      <c r="N34">
        <f>6.212</f>
        <v>6.2119999999999997</v>
      </c>
    </row>
    <row r="35" spans="1:18" x14ac:dyDescent="0.25">
      <c r="A35" t="s">
        <v>29</v>
      </c>
      <c r="B35" t="s">
        <v>17</v>
      </c>
      <c r="C35">
        <v>-484.39794699999999</v>
      </c>
      <c r="D35">
        <v>-253.081806</v>
      </c>
      <c r="E35">
        <v>-115.68595500000001</v>
      </c>
      <c r="F35">
        <f>(C35-(D35+(E35*2)))*$H$2</f>
        <v>34.99560518999872</v>
      </c>
      <c r="G35" t="s">
        <v>24</v>
      </c>
      <c r="H35">
        <v>1.9</v>
      </c>
      <c r="K35" t="s">
        <v>64</v>
      </c>
      <c r="L35">
        <v>1.3806619999999999E-23</v>
      </c>
      <c r="N35">
        <f>N34*1000000000000</f>
        <v>6212000000000</v>
      </c>
    </row>
    <row r="36" spans="1:18" x14ac:dyDescent="0.25">
      <c r="A36" t="s">
        <v>30</v>
      </c>
      <c r="B36" t="s">
        <v>22</v>
      </c>
      <c r="C36">
        <v>-484.536198496</v>
      </c>
      <c r="D36">
        <v>-253.112831188</v>
      </c>
      <c r="E36">
        <v>-115.72010349</v>
      </c>
      <c r="F36">
        <f t="shared" ref="F36:F39" si="4">(C36-(D36+(E36*2)))*$H$2</f>
        <v>10.567062576722037</v>
      </c>
      <c r="G36">
        <f>F36-F37</f>
        <v>-3.6028486659269277E-2</v>
      </c>
      <c r="K36" t="s">
        <v>65</v>
      </c>
      <c r="L36">
        <v>6.6261759999999997E-34</v>
      </c>
      <c r="M36" t="s">
        <v>66</v>
      </c>
      <c r="N36">
        <f>L34*L37</f>
        <v>592.42404999999997</v>
      </c>
      <c r="Q36" t="s">
        <v>67</v>
      </c>
      <c r="R36" t="s">
        <v>68</v>
      </c>
    </row>
    <row r="37" spans="1:18" x14ac:dyDescent="0.25">
      <c r="A37" t="s">
        <v>31</v>
      </c>
      <c r="B37" t="s">
        <v>18</v>
      </c>
      <c r="C37">
        <v>-484.51803617799999</v>
      </c>
      <c r="D37">
        <v>-253.104516117</v>
      </c>
      <c r="E37">
        <v>-115.715208574</v>
      </c>
      <c r="F37">
        <f t="shared" si="4"/>
        <v>10.603091063381306</v>
      </c>
      <c r="G37">
        <f>F35+G36</f>
        <v>34.959576703339451</v>
      </c>
      <c r="K37" t="s">
        <v>69</v>
      </c>
      <c r="L37">
        <v>298.14999999999998</v>
      </c>
      <c r="N37">
        <v>-460.36573199999998</v>
      </c>
      <c r="Q37">
        <f>$N$3*(EXP(1)^(-G38*$K$8/$N$4))</f>
        <v>5.9182979081193717E-15</v>
      </c>
      <c r="R37">
        <f>LN(Q37)</f>
        <v>-32.76072750287566</v>
      </c>
    </row>
    <row r="38" spans="1:18" x14ac:dyDescent="0.25">
      <c r="A38" t="s">
        <v>25</v>
      </c>
      <c r="B38" t="s">
        <v>19</v>
      </c>
      <c r="F38">
        <f t="shared" si="4"/>
        <v>0</v>
      </c>
      <c r="G38">
        <f>G37+H35</f>
        <v>36.859576703339449</v>
      </c>
      <c r="L38" t="s">
        <v>70</v>
      </c>
      <c r="N38">
        <f>N37-G38</f>
        <v>-497.22530870333941</v>
      </c>
    </row>
    <row r="39" spans="1:18" x14ac:dyDescent="0.25">
      <c r="A39" t="s">
        <v>29</v>
      </c>
      <c r="B39" t="s">
        <v>26</v>
      </c>
      <c r="C39">
        <v>-484.41055799999998</v>
      </c>
      <c r="D39">
        <v>-253.08759800000001</v>
      </c>
      <c r="E39">
        <v>-115.691067</v>
      </c>
      <c r="F39">
        <f t="shared" si="4"/>
        <v>37.132276740025951</v>
      </c>
    </row>
    <row r="40" spans="1:18" x14ac:dyDescent="0.25">
      <c r="K40">
        <v>1000</v>
      </c>
    </row>
    <row r="41" spans="1:18" x14ac:dyDescent="0.25">
      <c r="E41" t="s">
        <v>62</v>
      </c>
      <c r="F41" t="s">
        <v>61</v>
      </c>
      <c r="G41" t="s">
        <v>44</v>
      </c>
    </row>
    <row r="42" spans="1:18" x14ac:dyDescent="0.25">
      <c r="C42" t="s">
        <v>27</v>
      </c>
      <c r="D42" t="s">
        <v>35</v>
      </c>
      <c r="E42" t="s">
        <v>36</v>
      </c>
      <c r="H42">
        <v>627.51</v>
      </c>
      <c r="K42" t="s">
        <v>63</v>
      </c>
      <c r="L42">
        <v>1.9870000000000001</v>
      </c>
      <c r="N42">
        <f>6.212</f>
        <v>6.2119999999999997</v>
      </c>
    </row>
    <row r="43" spans="1:18" x14ac:dyDescent="0.25">
      <c r="A43" t="s">
        <v>29</v>
      </c>
      <c r="B43" t="s">
        <v>17</v>
      </c>
      <c r="C43">
        <v>-484.39794699999999</v>
      </c>
      <c r="D43">
        <v>-253.081806</v>
      </c>
      <c r="E43">
        <v>-115.68595500000001</v>
      </c>
      <c r="F43">
        <f>(C43-(D43+(E43*2)))*$H$2</f>
        <v>34.99560518999872</v>
      </c>
      <c r="G43" t="s">
        <v>24</v>
      </c>
      <c r="H43">
        <v>1.9</v>
      </c>
      <c r="K43" t="s">
        <v>64</v>
      </c>
      <c r="L43">
        <v>1.3806619999999999E-23</v>
      </c>
      <c r="N43">
        <f>N42*1000000000000</f>
        <v>6212000000000</v>
      </c>
    </row>
    <row r="44" spans="1:18" x14ac:dyDescent="0.25">
      <c r="A44" t="s">
        <v>30</v>
      </c>
      <c r="B44" t="s">
        <v>22</v>
      </c>
      <c r="C44">
        <v>-484.528655969</v>
      </c>
      <c r="D44">
        <v>-253.11029684299999</v>
      </c>
      <c r="E44">
        <v>-115.718662103</v>
      </c>
      <c r="F44">
        <f t="shared" ref="F44:F47" si="5">(C44-(D44+(E44*2)))*$H$2</f>
        <v>11.900777350791689</v>
      </c>
      <c r="G44">
        <f>F44-F45</f>
        <v>1.2976862874103823</v>
      </c>
      <c r="K44" t="s">
        <v>65</v>
      </c>
      <c r="L44">
        <v>6.6261759999999997E-34</v>
      </c>
      <c r="M44" t="s">
        <v>66</v>
      </c>
      <c r="N44">
        <f>L42*L45</f>
        <v>592.42404999999997</v>
      </c>
      <c r="Q44" t="s">
        <v>67</v>
      </c>
      <c r="R44" t="s">
        <v>68</v>
      </c>
    </row>
    <row r="45" spans="1:18" x14ac:dyDescent="0.25">
      <c r="A45" t="s">
        <v>31</v>
      </c>
      <c r="B45" t="s">
        <v>18</v>
      </c>
      <c r="C45">
        <v>-484.51803617799999</v>
      </c>
      <c r="D45">
        <v>-253.104516117</v>
      </c>
      <c r="E45">
        <v>-115.715208574</v>
      </c>
      <c r="F45">
        <f t="shared" si="5"/>
        <v>10.603091063381306</v>
      </c>
      <c r="G45">
        <f>F43+G44</f>
        <v>36.293291477409099</v>
      </c>
      <c r="K45" t="s">
        <v>69</v>
      </c>
      <c r="L45">
        <v>298.14999999999998</v>
      </c>
      <c r="N45">
        <v>-460.36573199999998</v>
      </c>
      <c r="Q45">
        <f>$N$3*(EXP(1)^(-G46*$K$8/$N$4))</f>
        <v>6.2298359702871266E-16</v>
      </c>
      <c r="R45">
        <f>LN(Q45)</f>
        <v>-35.012011484458867</v>
      </c>
    </row>
    <row r="46" spans="1:18" x14ac:dyDescent="0.25">
      <c r="A46" t="s">
        <v>25</v>
      </c>
      <c r="B46" t="s">
        <v>19</v>
      </c>
      <c r="F46">
        <f t="shared" si="5"/>
        <v>0</v>
      </c>
      <c r="G46">
        <f>G45+H43</f>
        <v>38.193291477409097</v>
      </c>
      <c r="L46" t="s">
        <v>70</v>
      </c>
      <c r="N46">
        <f>N45-G46</f>
        <v>-498.55902347740908</v>
      </c>
    </row>
    <row r="47" spans="1:18" x14ac:dyDescent="0.25">
      <c r="A47" t="s">
        <v>29</v>
      </c>
      <c r="B47" t="s">
        <v>26</v>
      </c>
      <c r="C47">
        <v>-484.40541300000001</v>
      </c>
      <c r="D47">
        <v>-253.08526599999999</v>
      </c>
      <c r="E47">
        <v>-115.68904000000001</v>
      </c>
      <c r="F47">
        <f t="shared" si="5"/>
        <v>36.353536829994574</v>
      </c>
    </row>
    <row r="48" spans="1:18" x14ac:dyDescent="0.25">
      <c r="K48">
        <v>1000</v>
      </c>
    </row>
    <row r="50" spans="1:18" x14ac:dyDescent="0.25">
      <c r="E50" s="6" t="s">
        <v>71</v>
      </c>
      <c r="F50" t="s">
        <v>59</v>
      </c>
      <c r="G50" t="s">
        <v>44</v>
      </c>
    </row>
    <row r="51" spans="1:18" x14ac:dyDescent="0.25">
      <c r="C51" t="s">
        <v>27</v>
      </c>
      <c r="D51" t="s">
        <v>35</v>
      </c>
      <c r="E51" t="s">
        <v>36</v>
      </c>
      <c r="H51">
        <v>627.51</v>
      </c>
      <c r="K51" t="s">
        <v>63</v>
      </c>
      <c r="L51">
        <v>1.9870000000000001</v>
      </c>
      <c r="N51">
        <f>6.212</f>
        <v>6.2119999999999997</v>
      </c>
    </row>
    <row r="52" spans="1:18" x14ac:dyDescent="0.25">
      <c r="A52" t="s">
        <v>29</v>
      </c>
      <c r="B52" t="s">
        <v>17</v>
      </c>
      <c r="C52">
        <v>-844.75859200000002</v>
      </c>
      <c r="D52">
        <v>-613.42241799999999</v>
      </c>
      <c r="E52">
        <v>-115.68595500000001</v>
      </c>
      <c r="F52">
        <f>(C52-(D52+(E52*2)))*$H$2</f>
        <v>22.424697359955406</v>
      </c>
      <c r="G52" t="s">
        <v>24</v>
      </c>
      <c r="H52">
        <v>1.9</v>
      </c>
      <c r="K52" t="s">
        <v>64</v>
      </c>
      <c r="L52">
        <v>1.3806619999999999E-23</v>
      </c>
      <c r="N52">
        <f>N51*1000000000000</f>
        <v>6212000000000</v>
      </c>
    </row>
    <row r="53" spans="1:18" x14ac:dyDescent="0.25">
      <c r="A53" t="s">
        <v>30</v>
      </c>
      <c r="B53" t="s">
        <v>22</v>
      </c>
      <c r="C53">
        <v>-844.89481179300003</v>
      </c>
      <c r="D53">
        <v>-613.44950286000005</v>
      </c>
      <c r="E53">
        <v>-115.723635556</v>
      </c>
      <c r="F53">
        <f t="shared" ref="F53:F57" si="6">(C53-(D53+(E53*2)))*$H$2</f>
        <v>1.2312869443454257</v>
      </c>
      <c r="G53">
        <f>F53-F57</f>
        <v>1.4050639161744674</v>
      </c>
      <c r="K53" t="s">
        <v>65</v>
      </c>
      <c r="L53">
        <v>6.6261759999999997E-34</v>
      </c>
      <c r="M53" t="s">
        <v>66</v>
      </c>
      <c r="N53">
        <f>L51*L54</f>
        <v>592.42404999999997</v>
      </c>
      <c r="Q53" t="s">
        <v>67</v>
      </c>
      <c r="R53" t="s">
        <v>68</v>
      </c>
    </row>
    <row r="54" spans="1:18" x14ac:dyDescent="0.25">
      <c r="A54" t="s">
        <v>31</v>
      </c>
      <c r="B54" t="s">
        <v>18</v>
      </c>
      <c r="C54">
        <v>-844.87644610500001</v>
      </c>
      <c r="D54">
        <v>-613.44276007799999</v>
      </c>
      <c r="E54">
        <v>-115.715208574</v>
      </c>
      <c r="F54">
        <f t="shared" si="6"/>
        <v>-2.0512542612655831</v>
      </c>
      <c r="G54">
        <f>F52+G53</f>
        <v>23.829761276129872</v>
      </c>
      <c r="K54" t="s">
        <v>69</v>
      </c>
      <c r="L54">
        <v>298.14999999999998</v>
      </c>
      <c r="N54">
        <v>-460.36573199999998</v>
      </c>
      <c r="Q54">
        <f>$N$3*(EXP(1)^(-G55*$K$8/$N$4))</f>
        <v>8.5358502572132486E-7</v>
      </c>
      <c r="R54">
        <f>LN(Q54)</f>
        <v>-13.97382067961353</v>
      </c>
    </row>
    <row r="55" spans="1:18" x14ac:dyDescent="0.25">
      <c r="A55" t="s">
        <v>25</v>
      </c>
      <c r="B55" t="s">
        <v>19</v>
      </c>
      <c r="F55">
        <f t="shared" si="6"/>
        <v>0</v>
      </c>
      <c r="G55">
        <f>G54+H52</f>
        <v>25.729761276129871</v>
      </c>
      <c r="L55" t="s">
        <v>70</v>
      </c>
      <c r="N55">
        <f>N54-G55</f>
        <v>-486.09549327612984</v>
      </c>
    </row>
    <row r="56" spans="1:18" x14ac:dyDescent="0.25">
      <c r="A56" t="s">
        <v>29</v>
      </c>
      <c r="B56" t="s">
        <v>26</v>
      </c>
      <c r="C56">
        <v>-844.77258400000005</v>
      </c>
      <c r="D56">
        <v>-613.42776400000002</v>
      </c>
      <c r="E56">
        <v>-115.691355</v>
      </c>
      <c r="F56">
        <f t="shared" si="6"/>
        <v>23.776353899967102</v>
      </c>
    </row>
    <row r="57" spans="1:18" x14ac:dyDescent="0.25">
      <c r="B57" t="s">
        <v>74</v>
      </c>
      <c r="C57">
        <v>-844.88905981799996</v>
      </c>
      <c r="D57">
        <v>-613.44787140699998</v>
      </c>
      <c r="E57">
        <v>-115.72045574000001</v>
      </c>
      <c r="F57">
        <f t="shared" si="6"/>
        <v>-0.1737769718290417</v>
      </c>
      <c r="K57">
        <v>1000</v>
      </c>
    </row>
    <row r="58" spans="1:18" x14ac:dyDescent="0.25">
      <c r="E58" t="s">
        <v>71</v>
      </c>
      <c r="F58" t="s">
        <v>60</v>
      </c>
      <c r="G58" t="s">
        <v>44</v>
      </c>
    </row>
    <row r="59" spans="1:18" x14ac:dyDescent="0.25">
      <c r="C59" t="s">
        <v>27</v>
      </c>
      <c r="D59" t="s">
        <v>35</v>
      </c>
      <c r="E59" t="s">
        <v>36</v>
      </c>
      <c r="H59">
        <v>627.51</v>
      </c>
      <c r="K59" t="s">
        <v>63</v>
      </c>
      <c r="L59">
        <v>1.9870000000000001</v>
      </c>
      <c r="N59">
        <f>6.212</f>
        <v>6.2119999999999997</v>
      </c>
    </row>
    <row r="60" spans="1:18" x14ac:dyDescent="0.25">
      <c r="B60" t="s">
        <v>17</v>
      </c>
      <c r="C60">
        <v>-844.75859200000002</v>
      </c>
      <c r="D60">
        <v>-613.42241799999999</v>
      </c>
      <c r="E60">
        <v>-115.68595500000001</v>
      </c>
      <c r="F60">
        <f>(C60-(D60+(E60*2)))*$H$2</f>
        <v>22.424697359955406</v>
      </c>
      <c r="G60" t="s">
        <v>24</v>
      </c>
      <c r="H60">
        <v>1.9</v>
      </c>
      <c r="K60" t="s">
        <v>64</v>
      </c>
      <c r="L60">
        <v>1.3806619999999999E-23</v>
      </c>
      <c r="N60">
        <f>N59*1000000000000</f>
        <v>6212000000000</v>
      </c>
    </row>
    <row r="61" spans="1:18" x14ac:dyDescent="0.25">
      <c r="B61" t="s">
        <v>22</v>
      </c>
      <c r="C61">
        <v>-844.89204814799996</v>
      </c>
      <c r="D61">
        <v>-613.45213613600004</v>
      </c>
      <c r="E61">
        <v>-115.72010349</v>
      </c>
      <c r="F61">
        <f t="shared" ref="F61:F64" si="7">(C61-(D61+(E61*2)))*$H$2</f>
        <v>0.18509536971034435</v>
      </c>
      <c r="G61">
        <f>F61-F62</f>
        <v>2.2363496309759272</v>
      </c>
      <c r="K61" t="s">
        <v>65</v>
      </c>
      <c r="L61">
        <v>6.6261759999999997E-34</v>
      </c>
      <c r="M61" t="s">
        <v>66</v>
      </c>
      <c r="N61">
        <f>L59*L62</f>
        <v>592.42404999999997</v>
      </c>
      <c r="Q61" t="s">
        <v>67</v>
      </c>
      <c r="R61" t="s">
        <v>68</v>
      </c>
    </row>
    <row r="62" spans="1:18" x14ac:dyDescent="0.25">
      <c r="B62" t="s">
        <v>18</v>
      </c>
      <c r="C62">
        <v>-844.87644610500001</v>
      </c>
      <c r="D62">
        <v>-613.44276007799999</v>
      </c>
      <c r="E62">
        <v>-115.715208574</v>
      </c>
      <c r="F62">
        <f t="shared" si="7"/>
        <v>-2.0512542612655831</v>
      </c>
      <c r="G62">
        <f>F60+G61</f>
        <v>24.661046990931332</v>
      </c>
      <c r="K62" t="s">
        <v>69</v>
      </c>
      <c r="L62">
        <v>298.14999999999998</v>
      </c>
      <c r="N62">
        <v>-460.36573199999998</v>
      </c>
      <c r="Q62">
        <f>$N$3*(EXP(1)^(-G63*$K$8/$N$4))</f>
        <v>2.0982029439429089E-7</v>
      </c>
      <c r="R62">
        <f>LN(Q62)</f>
        <v>-15.37701441356384</v>
      </c>
    </row>
    <row r="63" spans="1:18" x14ac:dyDescent="0.25">
      <c r="B63" t="s">
        <v>19</v>
      </c>
      <c r="F63">
        <f t="shared" si="7"/>
        <v>0</v>
      </c>
      <c r="G63">
        <f>G62+H60</f>
        <v>26.561046990931331</v>
      </c>
      <c r="L63" t="s">
        <v>70</v>
      </c>
      <c r="N63">
        <f>N62-G63</f>
        <v>-486.92677899093133</v>
      </c>
    </row>
    <row r="64" spans="1:18" x14ac:dyDescent="0.25">
      <c r="B64" t="s">
        <v>26</v>
      </c>
      <c r="C64">
        <v>-844.77094199999999</v>
      </c>
      <c r="D64">
        <v>-613.42746699999998</v>
      </c>
      <c r="E64">
        <v>-115.691067</v>
      </c>
      <c r="F64">
        <f t="shared" si="7"/>
        <v>24.258909089961541</v>
      </c>
    </row>
    <row r="65" spans="2:18" x14ac:dyDescent="0.25">
      <c r="K65">
        <v>1000</v>
      </c>
    </row>
    <row r="66" spans="2:18" x14ac:dyDescent="0.25">
      <c r="E66" t="s">
        <v>71</v>
      </c>
      <c r="F66" t="s">
        <v>61</v>
      </c>
      <c r="G66" t="s">
        <v>44</v>
      </c>
    </row>
    <row r="67" spans="2:18" x14ac:dyDescent="0.25">
      <c r="C67" t="s">
        <v>27</v>
      </c>
      <c r="D67" t="s">
        <v>35</v>
      </c>
      <c r="E67" t="s">
        <v>36</v>
      </c>
      <c r="H67">
        <v>627.51</v>
      </c>
      <c r="K67" t="s">
        <v>63</v>
      </c>
      <c r="L67">
        <v>1.9870000000000001</v>
      </c>
      <c r="N67">
        <f>6.212</f>
        <v>6.2119999999999997</v>
      </c>
    </row>
    <row r="68" spans="2:18" x14ac:dyDescent="0.25">
      <c r="B68" t="s">
        <v>17</v>
      </c>
      <c r="C68">
        <v>-844.75859200000002</v>
      </c>
      <c r="D68">
        <v>-613.42241799999999</v>
      </c>
      <c r="E68">
        <v>-115.68595500000001</v>
      </c>
      <c r="F68">
        <f>(C68-(D68+(E68*2)))*$H$2</f>
        <v>22.424697359955406</v>
      </c>
      <c r="G68" t="s">
        <v>24</v>
      </c>
      <c r="H68">
        <v>1.9</v>
      </c>
      <c r="K68" t="s">
        <v>64</v>
      </c>
      <c r="L68">
        <v>1.3806619999999999E-23</v>
      </c>
      <c r="N68">
        <f>N67*1000000000000</f>
        <v>6212000000000</v>
      </c>
    </row>
    <row r="69" spans="2:18" x14ac:dyDescent="0.25">
      <c r="B69" t="s">
        <v>22</v>
      </c>
      <c r="C69">
        <v>-844.886394774</v>
      </c>
      <c r="D69">
        <v>-613.44992764300002</v>
      </c>
      <c r="E69">
        <v>-115.718662103</v>
      </c>
      <c r="F69">
        <f t="shared" ref="F69:F72" si="8">(C69-(D69+(E69*2)))*$H$2</f>
        <v>0.53782313324936348</v>
      </c>
      <c r="G69">
        <f>F69-F70</f>
        <v>2.5890773945149466</v>
      </c>
      <c r="K69" t="s">
        <v>65</v>
      </c>
      <c r="L69">
        <v>6.6261759999999997E-34</v>
      </c>
      <c r="M69" t="s">
        <v>66</v>
      </c>
      <c r="N69">
        <f>L67*L70</f>
        <v>592.42404999999997</v>
      </c>
      <c r="Q69" t="s">
        <v>67</v>
      </c>
      <c r="R69" t="s">
        <v>68</v>
      </c>
    </row>
    <row r="70" spans="2:18" x14ac:dyDescent="0.25">
      <c r="B70" t="s">
        <v>18</v>
      </c>
      <c r="C70">
        <v>-844.87644610500001</v>
      </c>
      <c r="D70">
        <v>-613.44276007799999</v>
      </c>
      <c r="E70">
        <v>-115.715208574</v>
      </c>
      <c r="F70">
        <f t="shared" si="8"/>
        <v>-2.0512542612655831</v>
      </c>
      <c r="G70">
        <f>F68+G69</f>
        <v>25.013774754470354</v>
      </c>
      <c r="K70" t="s">
        <v>69</v>
      </c>
      <c r="L70">
        <v>298.14999999999998</v>
      </c>
      <c r="N70">
        <v>-460.36573199999998</v>
      </c>
      <c r="Q70">
        <f>$N$3*(EXP(1)^(-G71*$K$8/$N$4))</f>
        <v>1.1568303359329973E-7</v>
      </c>
      <c r="R70">
        <f>LN(Q70)</f>
        <v>-15.97241185487133</v>
      </c>
    </row>
    <row r="71" spans="2:18" x14ac:dyDescent="0.25">
      <c r="B71" t="s">
        <v>19</v>
      </c>
      <c r="F71">
        <f t="shared" si="8"/>
        <v>0</v>
      </c>
      <c r="G71">
        <f>G70+H68</f>
        <v>26.913774754470353</v>
      </c>
      <c r="L71" t="s">
        <v>70</v>
      </c>
      <c r="N71">
        <f>N70-G71</f>
        <v>-487.27950675447033</v>
      </c>
    </row>
    <row r="72" spans="2:18" x14ac:dyDescent="0.25">
      <c r="B72" t="s">
        <v>26</v>
      </c>
      <c r="C72">
        <v>-844.76500399999998</v>
      </c>
      <c r="D72">
        <v>-613.42541700000004</v>
      </c>
      <c r="E72">
        <v>-115.68904000000001</v>
      </c>
      <c r="F72">
        <f t="shared" si="8"/>
        <v>24.154742430081861</v>
      </c>
    </row>
    <row r="73" spans="2:18" x14ac:dyDescent="0.25">
      <c r="K73">
        <v>1000</v>
      </c>
    </row>
    <row r="75" spans="2:18" x14ac:dyDescent="0.25">
      <c r="E75" s="6" t="s">
        <v>72</v>
      </c>
      <c r="F75" t="s">
        <v>59</v>
      </c>
      <c r="G75" t="s">
        <v>44</v>
      </c>
    </row>
    <row r="76" spans="2:18" x14ac:dyDescent="0.25">
      <c r="C76" t="s">
        <v>27</v>
      </c>
      <c r="D76" t="s">
        <v>35</v>
      </c>
      <c r="E76" t="s">
        <v>36</v>
      </c>
      <c r="H76">
        <v>627.51</v>
      </c>
      <c r="K76" t="s">
        <v>63</v>
      </c>
      <c r="L76">
        <v>1.9870000000000001</v>
      </c>
      <c r="N76">
        <f>6.212</f>
        <v>6.2119999999999997</v>
      </c>
    </row>
    <row r="77" spans="2:18" x14ac:dyDescent="0.25">
      <c r="B77" t="s">
        <v>17</v>
      </c>
      <c r="C77">
        <v>-2958.7601110000001</v>
      </c>
      <c r="D77">
        <v>-2727.4173890000002</v>
      </c>
      <c r="E77">
        <v>-115.68595500000001</v>
      </c>
      <c r="F77">
        <f>(C77-(D77+(E77*2)))*$H$2</f>
        <v>18.315761879985224</v>
      </c>
      <c r="G77" t="s">
        <v>24</v>
      </c>
      <c r="H77">
        <v>1.9</v>
      </c>
      <c r="K77" t="s">
        <v>64</v>
      </c>
      <c r="L77">
        <v>1.3806619999999999E-23</v>
      </c>
      <c r="N77">
        <f>N76*1000000000000</f>
        <v>6212000000000</v>
      </c>
    </row>
    <row r="78" spans="2:18" x14ac:dyDescent="0.25">
      <c r="B78" t="s">
        <v>22</v>
      </c>
      <c r="C78">
        <v>-2958.8908810299999</v>
      </c>
      <c r="D78">
        <v>-2727.4431939400001</v>
      </c>
      <c r="E78">
        <v>-115.723635556</v>
      </c>
      <c r="F78">
        <f t="shared" ref="F78:F81" si="9">(C78-(D78+(E78*2)))*$H$2</f>
        <v>-0.26103035455228107</v>
      </c>
      <c r="G78">
        <f>F78-F79</f>
        <v>5.4372825338359831</v>
      </c>
      <c r="K78" t="s">
        <v>65</v>
      </c>
      <c r="L78">
        <v>6.6261759999999997E-34</v>
      </c>
      <c r="M78" t="s">
        <v>66</v>
      </c>
      <c r="N78">
        <f>L76*L79</f>
        <v>592.42404999999997</v>
      </c>
      <c r="Q78" t="s">
        <v>67</v>
      </c>
      <c r="R78" t="s">
        <v>68</v>
      </c>
    </row>
    <row r="79" spans="2:18" x14ac:dyDescent="0.25">
      <c r="B79" t="s">
        <v>18</v>
      </c>
      <c r="C79">
        <v>-2958.8756554500001</v>
      </c>
      <c r="D79">
        <v>-2727.4361574700001</v>
      </c>
      <c r="E79">
        <v>-115.715208574</v>
      </c>
      <c r="F79">
        <f t="shared" si="9"/>
        <v>-5.6983128883882639</v>
      </c>
      <c r="G79">
        <f>F77+G78</f>
        <v>23.753044413821208</v>
      </c>
      <c r="K79" t="s">
        <v>69</v>
      </c>
      <c r="L79">
        <v>298.14999999999998</v>
      </c>
      <c r="N79">
        <v>-460.36573199999998</v>
      </c>
      <c r="Q79">
        <f>$N$3*(EXP(1)^(-G80*$K$8/$N$4))</f>
        <v>9.7159756730022501E-7</v>
      </c>
      <c r="R79">
        <f>LN(Q79)</f>
        <v>-13.844324143629448</v>
      </c>
    </row>
    <row r="80" spans="2:18" x14ac:dyDescent="0.25">
      <c r="B80" t="s">
        <v>19</v>
      </c>
      <c r="F80">
        <f t="shared" si="9"/>
        <v>0</v>
      </c>
      <c r="G80">
        <f>G79+H77</f>
        <v>25.653044413821206</v>
      </c>
      <c r="L80" t="s">
        <v>70</v>
      </c>
      <c r="N80">
        <f>N79-G80</f>
        <v>-486.01877641382117</v>
      </c>
    </row>
    <row r="81" spans="2:18" x14ac:dyDescent="0.25">
      <c r="B81" t="s">
        <v>26</v>
      </c>
      <c r="C81">
        <v>-2958.7735600000001</v>
      </c>
      <c r="D81">
        <v>-2727.4227810000002</v>
      </c>
      <c r="E81">
        <v>-115.691355</v>
      </c>
      <c r="F81">
        <f t="shared" si="9"/>
        <v>20.037021809991177</v>
      </c>
    </row>
    <row r="82" spans="2:18" x14ac:dyDescent="0.25">
      <c r="K82">
        <v>1000</v>
      </c>
    </row>
    <row r="83" spans="2:18" x14ac:dyDescent="0.25">
      <c r="E83" t="s">
        <v>72</v>
      </c>
      <c r="F83" t="s">
        <v>60</v>
      </c>
      <c r="G83" t="s">
        <v>44</v>
      </c>
    </row>
    <row r="84" spans="2:18" x14ac:dyDescent="0.25">
      <c r="C84" t="s">
        <v>27</v>
      </c>
      <c r="D84" t="s">
        <v>35</v>
      </c>
      <c r="E84" t="s">
        <v>36</v>
      </c>
      <c r="H84">
        <v>627.51</v>
      </c>
      <c r="K84" t="s">
        <v>63</v>
      </c>
      <c r="L84">
        <v>1.9870000000000001</v>
      </c>
      <c r="N84">
        <f>6.212</f>
        <v>6.2119999999999997</v>
      </c>
    </row>
    <row r="85" spans="2:18" x14ac:dyDescent="0.25">
      <c r="B85" t="s">
        <v>17</v>
      </c>
      <c r="C85">
        <v>-2958.7601110000001</v>
      </c>
      <c r="D85">
        <v>-2727.4173890000002</v>
      </c>
      <c r="E85">
        <v>-115.68595500000001</v>
      </c>
      <c r="F85">
        <f>(C85-(D85+(E85*2)))*$H$2</f>
        <v>18.315761879985224</v>
      </c>
      <c r="G85" t="s">
        <v>24</v>
      </c>
      <c r="H85">
        <v>1.9</v>
      </c>
      <c r="K85" t="s">
        <v>64</v>
      </c>
      <c r="L85">
        <v>1.3806619999999999E-23</v>
      </c>
      <c r="N85">
        <f>N84*1000000000000</f>
        <v>6212000000000</v>
      </c>
    </row>
    <row r="86" spans="2:18" x14ac:dyDescent="0.25">
      <c r="B86" t="s">
        <v>22</v>
      </c>
      <c r="C86">
        <v>-2958.8919508700001</v>
      </c>
      <c r="D86">
        <v>-2727.4463910899999</v>
      </c>
      <c r="E86">
        <v>-115.72010349</v>
      </c>
      <c r="F86">
        <f t="shared" ref="F86:F89" si="10">(C86-(D86+(E86*2)))*$H$2</f>
        <v>-3.3589355281944018</v>
      </c>
      <c r="G86">
        <f>F86-F87</f>
        <v>2.3393773601938621</v>
      </c>
      <c r="K86" t="s">
        <v>65</v>
      </c>
      <c r="L86">
        <v>6.6261759999999997E-34</v>
      </c>
      <c r="M86" t="s">
        <v>66</v>
      </c>
      <c r="N86">
        <f>L84*L87</f>
        <v>592.42404999999997</v>
      </c>
      <c r="Q86" t="s">
        <v>67</v>
      </c>
      <c r="R86" t="s">
        <v>68</v>
      </c>
    </row>
    <row r="87" spans="2:18" x14ac:dyDescent="0.25">
      <c r="B87" t="s">
        <v>18</v>
      </c>
      <c r="C87">
        <v>-2958.8756554500001</v>
      </c>
      <c r="D87">
        <v>-2727.4361574700001</v>
      </c>
      <c r="E87">
        <v>-115.715208574</v>
      </c>
      <c r="F87">
        <f t="shared" si="10"/>
        <v>-5.6983128883882639</v>
      </c>
      <c r="G87">
        <f>F85+G86</f>
        <v>20.655139240179086</v>
      </c>
      <c r="K87" t="s">
        <v>69</v>
      </c>
      <c r="L87">
        <v>298.14999999999998</v>
      </c>
      <c r="N87">
        <v>-460.36573199999998</v>
      </c>
      <c r="Q87">
        <f>$N$3*(EXP(1)^(-G88*$K$8/$N$4))</f>
        <v>1.8134270914253484E-4</v>
      </c>
      <c r="R87">
        <f>LN(Q87)</f>
        <v>-8.6151218962829343</v>
      </c>
    </row>
    <row r="88" spans="2:18" x14ac:dyDescent="0.25">
      <c r="B88" t="s">
        <v>19</v>
      </c>
      <c r="F88">
        <f t="shared" si="10"/>
        <v>0</v>
      </c>
      <c r="G88">
        <f>G87+H85</f>
        <v>22.555139240179084</v>
      </c>
      <c r="L88" t="s">
        <v>70</v>
      </c>
      <c r="N88">
        <f>N87-G88</f>
        <v>-482.92087124017905</v>
      </c>
    </row>
    <row r="89" spans="2:18" x14ac:dyDescent="0.25">
      <c r="B89" t="s">
        <v>26</v>
      </c>
      <c r="C89">
        <v>-2958.7735600000001</v>
      </c>
      <c r="D89">
        <v>-2727.4224800000002</v>
      </c>
      <c r="E89">
        <v>-115.691067</v>
      </c>
      <c r="F89">
        <f t="shared" si="10"/>
        <v>19.486695540025167</v>
      </c>
    </row>
    <row r="90" spans="2:18" x14ac:dyDescent="0.25">
      <c r="K90">
        <v>1000</v>
      </c>
    </row>
    <row r="91" spans="2:18" x14ac:dyDescent="0.25">
      <c r="E91" t="s">
        <v>72</v>
      </c>
      <c r="F91" t="s">
        <v>61</v>
      </c>
      <c r="G91" t="s">
        <v>44</v>
      </c>
    </row>
    <row r="92" spans="2:18" x14ac:dyDescent="0.25">
      <c r="C92" t="s">
        <v>27</v>
      </c>
      <c r="D92" t="s">
        <v>35</v>
      </c>
      <c r="E92" t="s">
        <v>36</v>
      </c>
      <c r="H92">
        <v>627.51</v>
      </c>
      <c r="K92" t="s">
        <v>63</v>
      </c>
      <c r="L92">
        <v>1.9870000000000001</v>
      </c>
      <c r="N92">
        <f>6.212</f>
        <v>6.2119999999999997</v>
      </c>
    </row>
    <row r="93" spans="2:18" x14ac:dyDescent="0.25">
      <c r="B93" t="s">
        <v>17</v>
      </c>
      <c r="C93">
        <v>-2958.7601110000001</v>
      </c>
      <c r="D93">
        <v>-2727.4173890000002</v>
      </c>
      <c r="E93">
        <v>-115.68595500000001</v>
      </c>
      <c r="F93">
        <f>(C93-(D93+(E93*2)))*$H$2</f>
        <v>18.315761879985224</v>
      </c>
      <c r="G93" t="s">
        <v>24</v>
      </c>
      <c r="H93">
        <v>1.9</v>
      </c>
      <c r="K93" t="s">
        <v>64</v>
      </c>
      <c r="L93">
        <v>1.3806619999999999E-23</v>
      </c>
      <c r="N93">
        <f>N92*1000000000000</f>
        <v>6212000000000</v>
      </c>
    </row>
    <row r="94" spans="2:18" x14ac:dyDescent="0.25">
      <c r="B94" t="s">
        <v>22</v>
      </c>
      <c r="C94">
        <v>-2958.8879236399998</v>
      </c>
      <c r="D94">
        <v>-2727.4443586100001</v>
      </c>
      <c r="E94">
        <v>-115.718662103</v>
      </c>
      <c r="F94">
        <f t="shared" ref="F94:F97" si="11">(C94-(D94+(E94*2)))*$H$2</f>
        <v>-3.9161794680097</v>
      </c>
      <c r="G94">
        <f>F94-F95</f>
        <v>1.7821334203785639</v>
      </c>
      <c r="K94" t="s">
        <v>65</v>
      </c>
      <c r="L94">
        <v>6.6261759999999997E-34</v>
      </c>
      <c r="M94" t="s">
        <v>66</v>
      </c>
      <c r="N94">
        <f>L92*L95</f>
        <v>592.42404999999997</v>
      </c>
      <c r="Q94" t="s">
        <v>67</v>
      </c>
      <c r="R94" t="s">
        <v>68</v>
      </c>
    </row>
    <row r="95" spans="2:18" x14ac:dyDescent="0.25">
      <c r="B95" t="s">
        <v>18</v>
      </c>
      <c r="C95">
        <v>-2958.8756554500001</v>
      </c>
      <c r="D95">
        <v>-2727.4361574700001</v>
      </c>
      <c r="E95">
        <v>-115.715208574</v>
      </c>
      <c r="F95">
        <f t="shared" si="11"/>
        <v>-5.6983128883882639</v>
      </c>
      <c r="G95">
        <f>F93+G94</f>
        <v>20.097895300363788</v>
      </c>
      <c r="K95" t="s">
        <v>69</v>
      </c>
      <c r="L95">
        <v>298.14999999999998</v>
      </c>
      <c r="N95">
        <v>-460.36573199999998</v>
      </c>
      <c r="Q95">
        <f>$N$3*(EXP(1)^(-G96*$K$8/$N$4))</f>
        <v>4.6452033530062901E-4</v>
      </c>
      <c r="R95">
        <f>LN(Q95)</f>
        <v>-7.6745052217652496</v>
      </c>
    </row>
    <row r="96" spans="2:18" x14ac:dyDescent="0.25">
      <c r="B96" t="s">
        <v>19</v>
      </c>
      <c r="F96">
        <f t="shared" si="11"/>
        <v>0</v>
      </c>
      <c r="G96">
        <f>G95+H93</f>
        <v>21.997895300363787</v>
      </c>
      <c r="L96" t="s">
        <v>70</v>
      </c>
      <c r="N96">
        <f>N95-G96</f>
        <v>-482.36362730036376</v>
      </c>
    </row>
    <row r="97" spans="1:18" x14ac:dyDescent="0.25">
      <c r="B97" t="s">
        <v>26</v>
      </c>
      <c r="C97">
        <v>-2958.7678649999998</v>
      </c>
      <c r="D97">
        <v>-2727.4204070000001</v>
      </c>
      <c r="E97">
        <v>-115.68904000000001</v>
      </c>
      <c r="F97">
        <f t="shared" si="11"/>
        <v>19.215611220138872</v>
      </c>
    </row>
    <row r="98" spans="1:18" x14ac:dyDescent="0.25">
      <c r="K98">
        <v>1000</v>
      </c>
    </row>
    <row r="100" spans="1:18" x14ac:dyDescent="0.25">
      <c r="E100" t="s">
        <v>71</v>
      </c>
      <c r="F100" t="s">
        <v>73</v>
      </c>
      <c r="G100" t="s">
        <v>44</v>
      </c>
    </row>
    <row r="101" spans="1:18" x14ac:dyDescent="0.25">
      <c r="C101" t="s">
        <v>27</v>
      </c>
      <c r="D101" t="s">
        <v>35</v>
      </c>
      <c r="E101" t="s">
        <v>36</v>
      </c>
      <c r="H101">
        <v>627.51</v>
      </c>
      <c r="K101" t="s">
        <v>63</v>
      </c>
      <c r="L101">
        <v>1.9870000000000001</v>
      </c>
      <c r="N101">
        <f>6.212</f>
        <v>6.2119999999999997</v>
      </c>
    </row>
    <row r="102" spans="1:18" x14ac:dyDescent="0.25">
      <c r="A102" t="s">
        <v>29</v>
      </c>
      <c r="B102" t="s">
        <v>17</v>
      </c>
      <c r="C102">
        <v>-844.75859200000002</v>
      </c>
      <c r="D102">
        <v>-613.42241799999999</v>
      </c>
      <c r="E102">
        <v>-115.68595500000001</v>
      </c>
      <c r="F102">
        <f>(C102-(D102+(E102*2)))*$H$2</f>
        <v>22.424697359955406</v>
      </c>
      <c r="G102" t="s">
        <v>24</v>
      </c>
      <c r="H102">
        <v>1.9</v>
      </c>
      <c r="K102" t="s">
        <v>64</v>
      </c>
      <c r="L102">
        <v>1.3806619999999999E-23</v>
      </c>
      <c r="N102">
        <f>N101*1000000000000</f>
        <v>6212000000000</v>
      </c>
    </row>
    <row r="103" spans="1:18" x14ac:dyDescent="0.25">
      <c r="A103" t="s">
        <v>30</v>
      </c>
      <c r="B103" t="s">
        <v>22</v>
      </c>
      <c r="C103">
        <v>-844.88579582600005</v>
      </c>
      <c r="D103">
        <v>-613.44955493400005</v>
      </c>
      <c r="E103">
        <v>-115.71817154999999</v>
      </c>
      <c r="F103">
        <f t="shared" ref="F103:F106" si="12">(C103-(D103+(E103*2)))*$H$2</f>
        <v>6.413654210754885E-2</v>
      </c>
      <c r="G103">
        <f>F103-F104</f>
        <v>2.1153908033731321</v>
      </c>
      <c r="K103" t="s">
        <v>65</v>
      </c>
      <c r="L103">
        <v>6.6261759999999997E-34</v>
      </c>
      <c r="M103" t="s">
        <v>66</v>
      </c>
      <c r="N103">
        <f>L101*L104</f>
        <v>592.42404999999997</v>
      </c>
      <c r="Q103" t="s">
        <v>67</v>
      </c>
      <c r="R103" t="s">
        <v>68</v>
      </c>
    </row>
    <row r="104" spans="1:18" x14ac:dyDescent="0.25">
      <c r="A104" t="s">
        <v>31</v>
      </c>
      <c r="B104" t="s">
        <v>18</v>
      </c>
      <c r="C104">
        <v>-844.87644610500001</v>
      </c>
      <c r="D104">
        <v>-613.44276007799999</v>
      </c>
      <c r="E104">
        <v>-115.715208574</v>
      </c>
      <c r="F104">
        <f t="shared" si="12"/>
        <v>-2.0512542612655831</v>
      </c>
      <c r="G104">
        <f>F102+G103</f>
        <v>24.540088163328537</v>
      </c>
      <c r="K104" t="s">
        <v>69</v>
      </c>
      <c r="L104">
        <v>298.14999999999998</v>
      </c>
      <c r="N104">
        <v>-460.36573199999998</v>
      </c>
      <c r="Q104">
        <f>$N$3*(EXP(1)^(-G105*$K$8/$N$4))</f>
        <v>2.5734755254480479E-7</v>
      </c>
      <c r="R104">
        <f>LN(Q104)</f>
        <v>-15.172838321113174</v>
      </c>
    </row>
    <row r="105" spans="1:18" x14ac:dyDescent="0.25">
      <c r="A105" t="s">
        <v>25</v>
      </c>
      <c r="B105" t="s">
        <v>19</v>
      </c>
      <c r="F105">
        <f t="shared" si="12"/>
        <v>0</v>
      </c>
      <c r="G105">
        <f>G104+H102</f>
        <v>26.440088163328536</v>
      </c>
      <c r="L105" t="s">
        <v>70</v>
      </c>
      <c r="N105">
        <f>N104-G105</f>
        <v>-486.80582016332852</v>
      </c>
    </row>
    <row r="106" spans="1:18" x14ac:dyDescent="0.25">
      <c r="A106" t="s">
        <v>29</v>
      </c>
      <c r="B106" t="s">
        <v>26</v>
      </c>
      <c r="C106">
        <v>-844.76497800000004</v>
      </c>
      <c r="D106">
        <v>-613.42540799999995</v>
      </c>
      <c r="E106">
        <v>-115.689031</v>
      </c>
      <c r="F106">
        <f t="shared" si="12"/>
        <v>24.154114919940763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5"/>
  <sheetViews>
    <sheetView tabSelected="1" topLeftCell="A7" workbookViewId="0">
      <selection activeCell="K12" sqref="K12"/>
    </sheetView>
  </sheetViews>
  <sheetFormatPr defaultRowHeight="15.75" x14ac:dyDescent="0.25"/>
  <sheetData>
    <row r="2" spans="1:12" x14ac:dyDescent="0.25">
      <c r="L2">
        <v>627.51</v>
      </c>
    </row>
    <row r="3" spans="1:12" x14ac:dyDescent="0.25">
      <c r="B3">
        <v>1</v>
      </c>
      <c r="C3" t="s">
        <v>75</v>
      </c>
      <c r="H3">
        <f>2.38</f>
        <v>2.38</v>
      </c>
    </row>
    <row r="4" spans="1:12" x14ac:dyDescent="0.25">
      <c r="A4" t="s">
        <v>29</v>
      </c>
      <c r="B4" t="s">
        <v>17</v>
      </c>
      <c r="C4">
        <v>-1551.4758830000001</v>
      </c>
      <c r="D4">
        <f>C4*$L$2</f>
        <v>-973566.63134133001</v>
      </c>
    </row>
    <row r="5" spans="1:12" x14ac:dyDescent="0.25">
      <c r="A5" t="s">
        <v>30</v>
      </c>
      <c r="B5" t="s">
        <v>22</v>
      </c>
      <c r="C5">
        <v>-1551.682881</v>
      </c>
      <c r="D5">
        <f t="shared" ref="D5:D6" si="0">C5*$L$2</f>
        <v>-973696.52465630998</v>
      </c>
      <c r="E5">
        <f>D5-D6</f>
        <v>-58.474331096978858</v>
      </c>
    </row>
    <row r="6" spans="1:12" x14ac:dyDescent="0.25">
      <c r="A6" t="s">
        <v>52</v>
      </c>
      <c r="B6" t="s">
        <v>18</v>
      </c>
      <c r="C6">
        <v>-1551.5896963</v>
      </c>
      <c r="D6">
        <f t="shared" si="0"/>
        <v>-973638.050325213</v>
      </c>
      <c r="E6">
        <f>E5+D4</f>
        <v>-973625.10567242699</v>
      </c>
    </row>
    <row r="7" spans="1:12" x14ac:dyDescent="0.25">
      <c r="A7" t="s">
        <v>25</v>
      </c>
      <c r="B7" t="s">
        <v>19</v>
      </c>
      <c r="E7">
        <f>E6-H3</f>
        <v>-973627.48567242699</v>
      </c>
    </row>
    <row r="9" spans="1:12" x14ac:dyDescent="0.25">
      <c r="B9">
        <v>2</v>
      </c>
      <c r="C9" t="s">
        <v>75</v>
      </c>
    </row>
    <row r="10" spans="1:12" x14ac:dyDescent="0.25">
      <c r="A10" t="s">
        <v>29</v>
      </c>
      <c r="B10" t="s">
        <v>17</v>
      </c>
      <c r="C10">
        <v>-1995.9702649999999</v>
      </c>
      <c r="D10">
        <f>C10*$L$2</f>
        <v>-1252491.3009901498</v>
      </c>
    </row>
    <row r="11" spans="1:12" x14ac:dyDescent="0.25">
      <c r="A11" t="s">
        <v>30</v>
      </c>
      <c r="B11" t="s">
        <v>22</v>
      </c>
      <c r="C11">
        <v>-344.62875631200001</v>
      </c>
      <c r="D11">
        <f t="shared" ref="D11:D12" si="1">C11*$L$2</f>
        <v>-216257.99087334311</v>
      </c>
      <c r="E11">
        <f>D11-D12</f>
        <v>1036313.877694482</v>
      </c>
    </row>
    <row r="12" spans="1:12" x14ac:dyDescent="0.25">
      <c r="A12" t="s">
        <v>52</v>
      </c>
      <c r="B12" t="s">
        <v>18</v>
      </c>
      <c r="C12">
        <v>-1996.0986574999999</v>
      </c>
      <c r="D12">
        <f t="shared" si="1"/>
        <v>-1252571.8685678251</v>
      </c>
      <c r="E12">
        <f>E11+D10</f>
        <v>-216177.42329566786</v>
      </c>
    </row>
    <row r="13" spans="1:12" x14ac:dyDescent="0.25">
      <c r="A13" t="s">
        <v>25</v>
      </c>
      <c r="B13" t="s">
        <v>19</v>
      </c>
      <c r="E13">
        <f>E12-H3</f>
        <v>-216179.80329566787</v>
      </c>
    </row>
    <row r="15" spans="1:12" x14ac:dyDescent="0.25">
      <c r="B15">
        <v>3</v>
      </c>
      <c r="C15" t="s">
        <v>75</v>
      </c>
    </row>
    <row r="16" spans="1:12" x14ac:dyDescent="0.25">
      <c r="A16" t="s">
        <v>29</v>
      </c>
      <c r="B16" t="s">
        <v>17</v>
      </c>
      <c r="C16">
        <v>-1535.0945039999999</v>
      </c>
      <c r="D16">
        <f>C16*$L$2</f>
        <v>-963287.15220503998</v>
      </c>
    </row>
    <row r="17" spans="1:5" x14ac:dyDescent="0.25">
      <c r="A17" t="s">
        <v>30</v>
      </c>
      <c r="B17" t="s">
        <v>22</v>
      </c>
      <c r="C17">
        <v>-1535.2343466</v>
      </c>
      <c r="D17">
        <f t="shared" ref="D17:D18" si="2">C17*$L$2</f>
        <v>-963374.90483496594</v>
      </c>
      <c r="E17">
        <f>D17-D18</f>
        <v>-14.995167212910019</v>
      </c>
    </row>
    <row r="18" spans="1:5" x14ac:dyDescent="0.25">
      <c r="A18" t="s">
        <v>52</v>
      </c>
      <c r="B18" t="s">
        <v>18</v>
      </c>
      <c r="C18">
        <v>-1535.2104503</v>
      </c>
      <c r="D18">
        <f t="shared" si="2"/>
        <v>-963359.90966775303</v>
      </c>
      <c r="E18">
        <f>E17+D16</f>
        <v>-963302.14737225289</v>
      </c>
    </row>
    <row r="19" spans="1:5" x14ac:dyDescent="0.25">
      <c r="A19" t="s">
        <v>25</v>
      </c>
      <c r="B19" t="s">
        <v>19</v>
      </c>
      <c r="E19">
        <f>E18-H3</f>
        <v>-963304.52737225289</v>
      </c>
    </row>
    <row r="21" spans="1:5" x14ac:dyDescent="0.25">
      <c r="B21">
        <v>4</v>
      </c>
      <c r="C21" t="s">
        <v>75</v>
      </c>
    </row>
    <row r="22" spans="1:5" x14ac:dyDescent="0.25">
      <c r="A22" t="s">
        <v>29</v>
      </c>
      <c r="B22" t="s">
        <v>17</v>
      </c>
      <c r="C22">
        <v>-1976.939842</v>
      </c>
      <c r="D22">
        <f>C22*$L$2</f>
        <v>-1240549.5202534199</v>
      </c>
    </row>
    <row r="23" spans="1:5" x14ac:dyDescent="0.25">
      <c r="A23" t="s">
        <v>30</v>
      </c>
      <c r="B23" t="s">
        <v>22</v>
      </c>
      <c r="C23">
        <v>-1976.9798842</v>
      </c>
      <c r="D23">
        <f t="shared" ref="D23:D24" si="3">C23*$L$2</f>
        <v>-1240574.647134342</v>
      </c>
      <c r="E23">
        <f>D23-D24</f>
        <v>-44.295742647023872</v>
      </c>
    </row>
    <row r="24" spans="1:5" x14ac:dyDescent="0.25">
      <c r="A24" t="s">
        <v>52</v>
      </c>
      <c r="B24" t="s">
        <v>18</v>
      </c>
      <c r="C24">
        <v>-1976.9092945</v>
      </c>
      <c r="D24">
        <f t="shared" si="3"/>
        <v>-1240530.351391695</v>
      </c>
      <c r="E24">
        <f>E23+D22</f>
        <v>-1240593.8159960669</v>
      </c>
    </row>
    <row r="25" spans="1:5" x14ac:dyDescent="0.25">
      <c r="A25" t="s">
        <v>25</v>
      </c>
      <c r="B25" t="s">
        <v>19</v>
      </c>
      <c r="E25">
        <f>E24-H3</f>
        <v>-1240596.1959960668</v>
      </c>
    </row>
    <row r="27" spans="1:5" x14ac:dyDescent="0.25">
      <c r="B27">
        <v>5</v>
      </c>
      <c r="C27" t="s">
        <v>75</v>
      </c>
    </row>
    <row r="28" spans="1:5" x14ac:dyDescent="0.25">
      <c r="A28" t="s">
        <v>29</v>
      </c>
      <c r="B28" t="s">
        <v>17</v>
      </c>
      <c r="C28">
        <v>-1460.6282209999999</v>
      </c>
      <c r="D28">
        <f>C28*$L$2</f>
        <v>-916558.81495971</v>
      </c>
    </row>
    <row r="29" spans="1:5" x14ac:dyDescent="0.25">
      <c r="A29" t="s">
        <v>30</v>
      </c>
      <c r="B29" t="s">
        <v>22</v>
      </c>
      <c r="C29">
        <v>-344.62875631200001</v>
      </c>
      <c r="D29">
        <f t="shared" ref="D29:D30" si="4">C29*$L$2</f>
        <v>-216257.99087334311</v>
      </c>
      <c r="E29">
        <f>D29-D30</f>
        <v>700386.295968447</v>
      </c>
    </row>
    <row r="30" spans="1:5" x14ac:dyDescent="0.25">
      <c r="A30" t="s">
        <v>52</v>
      </c>
      <c r="B30" t="s">
        <v>18</v>
      </c>
      <c r="C30">
        <v>-1460.7644290000001</v>
      </c>
      <c r="D30">
        <f t="shared" si="4"/>
        <v>-916644.28684179008</v>
      </c>
      <c r="E30">
        <f>E29+D28</f>
        <v>-216172.518991263</v>
      </c>
    </row>
    <row r="31" spans="1:5" x14ac:dyDescent="0.25">
      <c r="A31" t="s">
        <v>25</v>
      </c>
      <c r="B31" t="s">
        <v>19</v>
      </c>
      <c r="E31">
        <f>E30-H3</f>
        <v>-216174.89899126301</v>
      </c>
    </row>
    <row r="33" spans="1:5" x14ac:dyDescent="0.25">
      <c r="B33">
        <v>6</v>
      </c>
      <c r="C33" t="s">
        <v>75</v>
      </c>
    </row>
    <row r="34" spans="1:5" x14ac:dyDescent="0.25">
      <c r="A34" t="s">
        <v>29</v>
      </c>
      <c r="B34" t="s">
        <v>17</v>
      </c>
      <c r="C34">
        <v>-997.18660199999999</v>
      </c>
      <c r="D34">
        <f>C34*$L$2</f>
        <v>-625744.56462101999</v>
      </c>
    </row>
    <row r="35" spans="1:5" x14ac:dyDescent="0.25">
      <c r="A35" t="s">
        <v>30</v>
      </c>
      <c r="B35" t="s">
        <v>22</v>
      </c>
      <c r="C35">
        <v>-344.62875631200001</v>
      </c>
      <c r="D35">
        <f t="shared" ref="D35:D36" si="5">C35*$L$2</f>
        <v>-216257.99087334311</v>
      </c>
      <c r="E35">
        <f>D35-D36</f>
        <v>409631.1659823989</v>
      </c>
    </row>
    <row r="36" spans="1:5" x14ac:dyDescent="0.25">
      <c r="A36" t="s">
        <v>52</v>
      </c>
      <c r="B36" t="s">
        <v>18</v>
      </c>
      <c r="C36">
        <v>-997.41702420000001</v>
      </c>
      <c r="D36">
        <f t="shared" si="5"/>
        <v>-625889.15685574198</v>
      </c>
      <c r="E36">
        <f>E35+D34</f>
        <v>-216113.39863862109</v>
      </c>
    </row>
    <row r="37" spans="1:5" x14ac:dyDescent="0.25">
      <c r="A37" t="s">
        <v>25</v>
      </c>
      <c r="B37" t="s">
        <v>19</v>
      </c>
      <c r="E37">
        <f>E36-H3</f>
        <v>-216115.77863862109</v>
      </c>
    </row>
    <row r="39" spans="1:5" x14ac:dyDescent="0.25">
      <c r="B39">
        <v>7</v>
      </c>
      <c r="C39" t="s">
        <v>75</v>
      </c>
    </row>
    <row r="40" spans="1:5" x14ac:dyDescent="0.25">
      <c r="A40" t="s">
        <v>29</v>
      </c>
      <c r="B40" t="s">
        <v>17</v>
      </c>
      <c r="C40">
        <v>-1232.0275979999999</v>
      </c>
      <c r="D40">
        <f>C40*$L$2</f>
        <v>-773109.63802097994</v>
      </c>
    </row>
    <row r="41" spans="1:5" x14ac:dyDescent="0.25">
      <c r="A41" t="s">
        <v>30</v>
      </c>
      <c r="B41" t="s">
        <v>22</v>
      </c>
      <c r="C41">
        <v>-344.62875631200001</v>
      </c>
      <c r="D41">
        <f t="shared" ref="D41:D42" si="6">C41*$L$2</f>
        <v>-216257.99087334311</v>
      </c>
      <c r="E41">
        <f>D41-D42</f>
        <v>556991.20060256089</v>
      </c>
    </row>
    <row r="42" spans="1:5" x14ac:dyDescent="0.25">
      <c r="A42" t="s">
        <v>52</v>
      </c>
      <c r="B42" t="s">
        <v>18</v>
      </c>
      <c r="C42">
        <v>-1232.2499903999999</v>
      </c>
      <c r="D42">
        <f t="shared" si="6"/>
        <v>-773249.19147590396</v>
      </c>
      <c r="E42">
        <f>E41+D40</f>
        <v>-216118.43741841905</v>
      </c>
    </row>
    <row r="43" spans="1:5" x14ac:dyDescent="0.25">
      <c r="A43" t="s">
        <v>25</v>
      </c>
      <c r="B43" t="s">
        <v>19</v>
      </c>
      <c r="E43">
        <f>E42-H3</f>
        <v>-216120.81741841906</v>
      </c>
    </row>
    <row r="45" spans="1:5" x14ac:dyDescent="0.25">
      <c r="B45">
        <v>8</v>
      </c>
      <c r="C45" t="s">
        <v>75</v>
      </c>
    </row>
    <row r="46" spans="1:5" x14ac:dyDescent="0.25">
      <c r="A46" t="s">
        <v>29</v>
      </c>
      <c r="B46" t="s">
        <v>17</v>
      </c>
      <c r="C46">
        <v>-619.87451899999996</v>
      </c>
      <c r="D46">
        <f>C46*$L$2</f>
        <v>-388977.45941769</v>
      </c>
    </row>
    <row r="47" spans="1:5" x14ac:dyDescent="0.25">
      <c r="A47" t="s">
        <v>30</v>
      </c>
      <c r="B47" t="s">
        <v>22</v>
      </c>
      <c r="C47">
        <v>-344.62875631200001</v>
      </c>
      <c r="D47">
        <f t="shared" ref="D47:D48" si="7">C47*$L$2</f>
        <v>-216257.99087334311</v>
      </c>
      <c r="E47">
        <f>D47-D48</f>
        <v>172850.3056971179</v>
      </c>
    </row>
    <row r="48" spans="1:5" x14ac:dyDescent="0.25">
      <c r="A48" t="s">
        <v>52</v>
      </c>
      <c r="B48" t="s">
        <v>18</v>
      </c>
      <c r="C48">
        <v>-620.0830211</v>
      </c>
      <c r="D48">
        <f t="shared" si="7"/>
        <v>-389108.29657046101</v>
      </c>
      <c r="E48">
        <f>E47+D46</f>
        <v>-216127.1537205721</v>
      </c>
    </row>
    <row r="49" spans="1:5" x14ac:dyDescent="0.25">
      <c r="A49" t="s">
        <v>25</v>
      </c>
      <c r="B49" t="s">
        <v>19</v>
      </c>
      <c r="E49">
        <f>E48-H3</f>
        <v>-216129.5337205721</v>
      </c>
    </row>
    <row r="51" spans="1:5" x14ac:dyDescent="0.25">
      <c r="B51">
        <v>9</v>
      </c>
      <c r="C51" t="s">
        <v>75</v>
      </c>
    </row>
    <row r="52" spans="1:5" x14ac:dyDescent="0.25">
      <c r="A52" t="s">
        <v>29</v>
      </c>
      <c r="B52" t="s">
        <v>17</v>
      </c>
      <c r="C52">
        <v>-950.30078200000003</v>
      </c>
      <c r="D52">
        <f>C52*$L$2</f>
        <v>-596323.24371282</v>
      </c>
    </row>
    <row r="53" spans="1:5" x14ac:dyDescent="0.25">
      <c r="A53" t="s">
        <v>30</v>
      </c>
      <c r="B53" t="s">
        <v>22</v>
      </c>
      <c r="C53">
        <v>-344.62875631200001</v>
      </c>
      <c r="D53">
        <f t="shared" ref="D53:D54" si="8">C53*$L$2</f>
        <v>-216257.99087334311</v>
      </c>
      <c r="E53">
        <f>D53-D54</f>
        <v>380269.04555986787</v>
      </c>
    </row>
    <row r="54" spans="1:5" x14ac:dyDescent="0.25">
      <c r="A54" t="s">
        <v>52</v>
      </c>
      <c r="B54" t="s">
        <v>18</v>
      </c>
      <c r="C54">
        <v>-950.62554609999995</v>
      </c>
      <c r="D54">
        <f t="shared" si="8"/>
        <v>-596527.03643321095</v>
      </c>
      <c r="E54">
        <f>E53+D52</f>
        <v>-216054.19815295213</v>
      </c>
    </row>
    <row r="55" spans="1:5" x14ac:dyDescent="0.25">
      <c r="A55" t="s">
        <v>25</v>
      </c>
      <c r="B55" t="s">
        <v>19</v>
      </c>
      <c r="E55">
        <f>E54-H3</f>
        <v>-216056.57815295213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 Kruger</dc:creator>
  <cp:lastModifiedBy>Monsurat Lawal (214584429)</cp:lastModifiedBy>
  <dcterms:created xsi:type="dcterms:W3CDTF">2015-05-25T11:27:14Z</dcterms:created>
  <dcterms:modified xsi:type="dcterms:W3CDTF">2016-10-28T16:13:08Z</dcterms:modified>
</cp:coreProperties>
</file>