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5600"/>
  </bookViews>
  <sheets>
    <sheet name="Sheet1" sheetId="1" r:id="rId1"/>
    <sheet name="mo62x" sheetId="2" r:id="rId2"/>
    <sheet name="fac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G100" i="1"/>
  <c r="F101" i="1"/>
  <c r="F100" i="1"/>
  <c r="F99" i="1"/>
  <c r="F120" i="1"/>
  <c r="F15" i="3"/>
  <c r="G6" i="2"/>
  <c r="G5" i="2"/>
  <c r="G9" i="2"/>
  <c r="G27" i="3"/>
  <c r="G5" i="1"/>
  <c r="F4" i="2"/>
  <c r="F5" i="2"/>
  <c r="F10" i="2"/>
  <c r="F8" i="2"/>
  <c r="G7" i="2"/>
  <c r="F4" i="1"/>
  <c r="F14" i="1"/>
  <c r="G134" i="1"/>
  <c r="Q25" i="1"/>
  <c r="F5" i="1"/>
  <c r="F10" i="1"/>
  <c r="F8" i="1"/>
  <c r="G9" i="1"/>
  <c r="G6" i="1"/>
  <c r="G7" i="1"/>
  <c r="R26" i="1"/>
  <c r="T5" i="1"/>
  <c r="T9" i="1"/>
  <c r="G130" i="1"/>
  <c r="F135" i="1"/>
  <c r="H134" i="1"/>
  <c r="I134" i="1"/>
  <c r="F133" i="1"/>
  <c r="F130" i="1"/>
  <c r="H131" i="1"/>
  <c r="H132" i="1"/>
  <c r="F129" i="1"/>
  <c r="G131" i="1"/>
  <c r="G132" i="1"/>
  <c r="F132" i="1"/>
  <c r="F131" i="1"/>
  <c r="F125" i="1"/>
  <c r="H124" i="1"/>
  <c r="I124" i="1"/>
  <c r="F123" i="1"/>
  <c r="H121" i="1"/>
  <c r="H122" i="1"/>
  <c r="F119" i="1"/>
  <c r="F122" i="1"/>
  <c r="F121" i="1"/>
  <c r="G38" i="2"/>
  <c r="N13" i="2"/>
  <c r="N14" i="2"/>
  <c r="F15" i="2"/>
  <c r="N15" i="2"/>
  <c r="F16" i="2"/>
  <c r="F19" i="2"/>
  <c r="G20" i="2"/>
  <c r="F21" i="2"/>
  <c r="G16" i="2"/>
  <c r="N2" i="2"/>
  <c r="N3" i="2"/>
  <c r="G17" i="2"/>
  <c r="G18" i="2"/>
  <c r="N4" i="2"/>
  <c r="Q16" i="2"/>
  <c r="R16" i="2"/>
  <c r="F17" i="2"/>
  <c r="H17" i="2"/>
  <c r="N17" i="2"/>
  <c r="F18" i="2"/>
  <c r="H18" i="2"/>
  <c r="H20" i="2"/>
  <c r="G112" i="1"/>
  <c r="F78" i="1"/>
  <c r="G5" i="3"/>
  <c r="F26" i="3"/>
  <c r="F32" i="3"/>
  <c r="F27" i="3"/>
  <c r="F28" i="3"/>
  <c r="F29" i="3"/>
  <c r="F30" i="3"/>
  <c r="H31" i="3"/>
  <c r="G31" i="3"/>
  <c r="K29" i="3"/>
  <c r="H28" i="3"/>
  <c r="H29" i="3"/>
  <c r="G28" i="3"/>
  <c r="G29" i="3"/>
  <c r="N28" i="3"/>
  <c r="Q27" i="3"/>
  <c r="R27" i="3"/>
  <c r="N26" i="3"/>
  <c r="N24" i="3"/>
  <c r="N25" i="3"/>
  <c r="F35" i="2"/>
  <c r="F36" i="2"/>
  <c r="F41" i="2"/>
  <c r="F39" i="2"/>
  <c r="G40" i="2"/>
  <c r="G36" i="2"/>
  <c r="G37" i="2"/>
  <c r="Q36" i="2"/>
  <c r="G111" i="1"/>
  <c r="G110" i="1"/>
  <c r="F109" i="1"/>
  <c r="F110" i="1"/>
  <c r="F115" i="1"/>
  <c r="F113" i="1"/>
  <c r="G114" i="1"/>
  <c r="F112" i="1"/>
  <c r="F111" i="1"/>
  <c r="N94" i="1"/>
  <c r="F5" i="3"/>
  <c r="F8" i="3"/>
  <c r="G9" i="3"/>
  <c r="F10" i="3"/>
  <c r="F90" i="1"/>
  <c r="F95" i="1"/>
  <c r="F105" i="1"/>
  <c r="H104" i="1"/>
  <c r="I104" i="1"/>
  <c r="F103" i="1"/>
  <c r="G104" i="1"/>
  <c r="H101" i="1"/>
  <c r="H102" i="1"/>
  <c r="G102" i="1"/>
  <c r="F102" i="1"/>
  <c r="K7" i="3"/>
  <c r="F93" i="1"/>
  <c r="G94" i="1"/>
  <c r="F89" i="1"/>
  <c r="Q36" i="1"/>
  <c r="H94" i="1"/>
  <c r="I94" i="1"/>
  <c r="H91" i="1"/>
  <c r="H92" i="1"/>
  <c r="F92" i="1"/>
  <c r="F91" i="1"/>
  <c r="S4" i="1"/>
  <c r="F21" i="3"/>
  <c r="H20" i="3"/>
  <c r="F19" i="3"/>
  <c r="F16" i="3"/>
  <c r="G20" i="3"/>
  <c r="H17" i="3"/>
  <c r="H18" i="3"/>
  <c r="G16" i="3"/>
  <c r="G17" i="3"/>
  <c r="G18" i="3"/>
  <c r="F18" i="3"/>
  <c r="N17" i="3"/>
  <c r="F17" i="3"/>
  <c r="N2" i="3"/>
  <c r="N3" i="3"/>
  <c r="N4" i="3"/>
  <c r="Q16" i="3"/>
  <c r="R16" i="3"/>
  <c r="N15" i="3"/>
  <c r="N13" i="3"/>
  <c r="N14" i="3"/>
  <c r="H9" i="3"/>
  <c r="H6" i="3"/>
  <c r="H7" i="3"/>
  <c r="F4" i="3"/>
  <c r="G6" i="3"/>
  <c r="G7" i="3"/>
  <c r="F7" i="3"/>
  <c r="N6" i="3"/>
  <c r="F6" i="3"/>
  <c r="Q5" i="3"/>
  <c r="R5" i="3"/>
  <c r="F25" i="2"/>
  <c r="F26" i="2"/>
  <c r="F27" i="2"/>
  <c r="F28" i="2"/>
  <c r="F29" i="2"/>
  <c r="F31" i="2"/>
  <c r="F37" i="2"/>
  <c r="F38" i="2"/>
  <c r="F6" i="2"/>
  <c r="F7" i="2"/>
  <c r="H40" i="2"/>
  <c r="H37" i="2"/>
  <c r="H38" i="2"/>
  <c r="N37" i="2"/>
  <c r="R36" i="2"/>
  <c r="N35" i="2"/>
  <c r="N33" i="2"/>
  <c r="N34" i="2"/>
  <c r="G30" i="2"/>
  <c r="G26" i="2"/>
  <c r="G27" i="2"/>
  <c r="G28" i="2"/>
  <c r="H30" i="2"/>
  <c r="H27" i="2"/>
  <c r="H28" i="2"/>
  <c r="N27" i="2"/>
  <c r="Q26" i="2"/>
  <c r="R26" i="2"/>
  <c r="N25" i="2"/>
  <c r="N23" i="2"/>
  <c r="N24" i="2"/>
  <c r="Q5" i="2"/>
  <c r="R5" i="2"/>
  <c r="N6" i="2"/>
  <c r="H9" i="1"/>
  <c r="H6" i="1"/>
  <c r="H48" i="1"/>
  <c r="F47" i="1"/>
  <c r="F52" i="1"/>
  <c r="F50" i="1"/>
  <c r="F56" i="1"/>
  <c r="F57" i="1"/>
  <c r="F62" i="1"/>
  <c r="F60" i="1"/>
  <c r="G61" i="1"/>
  <c r="G57" i="1"/>
  <c r="G58" i="1"/>
  <c r="G59" i="1"/>
  <c r="F46" i="1"/>
  <c r="S5" i="1"/>
  <c r="S10" i="1"/>
  <c r="S8" i="1"/>
  <c r="T6" i="1"/>
  <c r="T7" i="1"/>
  <c r="Q26" i="1"/>
  <c r="Q31" i="1"/>
  <c r="Q29" i="1"/>
  <c r="R30" i="1"/>
  <c r="R27" i="1"/>
  <c r="U9" i="1"/>
  <c r="V9" i="1"/>
  <c r="U6" i="1"/>
  <c r="H51" i="1"/>
  <c r="I51" i="1"/>
  <c r="F39" i="1"/>
  <c r="F36" i="1"/>
  <c r="G40" i="1"/>
  <c r="S6" i="1"/>
  <c r="S7" i="1"/>
  <c r="U7" i="1"/>
  <c r="F15" i="1"/>
  <c r="F18" i="1"/>
  <c r="G19" i="1"/>
  <c r="F20" i="1"/>
  <c r="G15" i="1"/>
  <c r="G16" i="1"/>
  <c r="G17" i="1"/>
  <c r="F68" i="1"/>
  <c r="Q27" i="1"/>
  <c r="F25" i="1"/>
  <c r="Q38" i="1"/>
  <c r="Q37" i="1"/>
  <c r="Q40" i="1"/>
  <c r="Q42" i="1"/>
  <c r="S41" i="1"/>
  <c r="S38" i="1"/>
  <c r="S39" i="1"/>
  <c r="R41" i="1"/>
  <c r="H9" i="2"/>
  <c r="H6" i="2"/>
  <c r="H7" i="2"/>
  <c r="S30" i="1"/>
  <c r="S27" i="1"/>
  <c r="S28" i="1"/>
  <c r="R28" i="1"/>
  <c r="R37" i="1"/>
  <c r="R38" i="1"/>
  <c r="R39" i="1"/>
  <c r="F35" i="1"/>
  <c r="F41" i="1"/>
  <c r="G36" i="1"/>
  <c r="G37" i="1"/>
  <c r="G38" i="1"/>
  <c r="F79" i="1"/>
  <c r="F82" i="1"/>
  <c r="G83" i="1"/>
  <c r="F84" i="1"/>
  <c r="G79" i="1"/>
  <c r="G80" i="1"/>
  <c r="G81" i="1"/>
  <c r="F80" i="1"/>
  <c r="F69" i="1"/>
  <c r="F70" i="1"/>
  <c r="F72" i="1"/>
  <c r="F74" i="1"/>
  <c r="H73" i="1"/>
  <c r="I73" i="1"/>
  <c r="H70" i="1"/>
  <c r="H71" i="1"/>
  <c r="G73" i="1"/>
  <c r="G69" i="1"/>
  <c r="G70" i="1"/>
  <c r="G71" i="1"/>
  <c r="F59" i="1"/>
  <c r="F58" i="1"/>
  <c r="H49" i="1"/>
  <c r="F49" i="1"/>
  <c r="F48" i="1"/>
  <c r="H80" i="1"/>
  <c r="F37" i="1"/>
  <c r="H7" i="1"/>
  <c r="F31" i="1"/>
  <c r="H30" i="1"/>
  <c r="I30" i="1"/>
  <c r="F29" i="1"/>
  <c r="H27" i="1"/>
  <c r="H28" i="1"/>
  <c r="F27" i="1"/>
  <c r="F26" i="1"/>
  <c r="H37" i="1"/>
  <c r="G30" i="1"/>
  <c r="G26" i="1"/>
  <c r="G27" i="1"/>
  <c r="G28" i="1"/>
  <c r="F16" i="1"/>
  <c r="I9" i="1"/>
  <c r="F6" i="1"/>
  <c r="H16" i="1"/>
  <c r="G124" i="1"/>
  <c r="G120" i="1"/>
  <c r="G121" i="1"/>
  <c r="G122" i="1"/>
  <c r="G90" i="1"/>
  <c r="G91" i="1"/>
  <c r="G92" i="1"/>
  <c r="G51" i="1"/>
  <c r="G47" i="1"/>
  <c r="G48" i="1"/>
  <c r="G49" i="1"/>
</calcChain>
</file>

<file path=xl/sharedStrings.xml><?xml version="1.0" encoding="utf-8"?>
<sst xmlns="http://schemas.openxmlformats.org/spreadsheetml/2006/main" count="589" uniqueCount="76">
  <si>
    <t>X3LYP</t>
  </si>
  <si>
    <t>TS</t>
  </si>
  <si>
    <t>ACID</t>
  </si>
  <si>
    <t>Meoh</t>
  </si>
  <si>
    <t>HCl</t>
  </si>
  <si>
    <t>Cl-</t>
  </si>
  <si>
    <t>Gibbsgas</t>
  </si>
  <si>
    <t>∆Gg*b</t>
  </si>
  <si>
    <t>RTln[CH3OH]</t>
  </si>
  <si>
    <t>SCRF</t>
  </si>
  <si>
    <t>∆∆Gsolv(smd-gas)</t>
  </si>
  <si>
    <t>SCFcpcm</t>
  </si>
  <si>
    <t>∆Gsol*b</t>
  </si>
  <si>
    <t>observable</t>
  </si>
  <si>
    <t>∆Gsol0c</t>
  </si>
  <si>
    <t>Gibbs</t>
  </si>
  <si>
    <t>CPCM</t>
  </si>
  <si>
    <t>Gibbs cluster</t>
  </si>
  <si>
    <t>SCFgas</t>
  </si>
  <si>
    <t>Product</t>
  </si>
  <si>
    <t>H2O</t>
  </si>
  <si>
    <t>MeOHAc</t>
  </si>
  <si>
    <t>TS611OH</t>
  </si>
  <si>
    <t>H3O</t>
  </si>
  <si>
    <t>H3O+</t>
  </si>
  <si>
    <t>correct</t>
  </si>
  <si>
    <t>cpcm</t>
  </si>
  <si>
    <t>kcal/mol</t>
  </si>
  <si>
    <t>Hartree</t>
  </si>
  <si>
    <t>correction</t>
  </si>
  <si>
    <t>TS611OH H+</t>
  </si>
  <si>
    <t>tsb-3 Silva</t>
  </si>
  <si>
    <t>MeOH+</t>
  </si>
  <si>
    <t>this was the reference staring species</t>
  </si>
  <si>
    <t>new</t>
  </si>
  <si>
    <t>their model</t>
  </si>
  <si>
    <t>mine</t>
  </si>
  <si>
    <t>mo62x</t>
  </si>
  <si>
    <t>TS41OH</t>
  </si>
  <si>
    <t>cl-</t>
  </si>
  <si>
    <t>meoh</t>
  </si>
  <si>
    <t>rxt</t>
  </si>
  <si>
    <t>pc</t>
  </si>
  <si>
    <t>diox</t>
  </si>
  <si>
    <t>TS6OH</t>
  </si>
  <si>
    <t>in methanol</t>
  </si>
  <si>
    <t>R[cal/(mol.k)]</t>
  </si>
  <si>
    <t>kB(J/K)</t>
  </si>
  <si>
    <t>h(JS)</t>
  </si>
  <si>
    <t>RT=</t>
  </si>
  <si>
    <t>k</t>
  </si>
  <si>
    <t>lnk</t>
  </si>
  <si>
    <t>T(K)</t>
  </si>
  <si>
    <t>c=1</t>
  </si>
  <si>
    <t>INT1OH</t>
  </si>
  <si>
    <t>ATS6OH</t>
  </si>
  <si>
    <t>product</t>
  </si>
  <si>
    <t>meoac</t>
  </si>
  <si>
    <t>m062x</t>
  </si>
  <si>
    <t>bad</t>
  </si>
  <si>
    <t>TS6F</t>
  </si>
  <si>
    <t>WE CAN'T USE THIS</t>
  </si>
  <si>
    <t>IMPOSSIBLE</t>
  </si>
  <si>
    <t>FAIR</t>
  </si>
  <si>
    <t>Using their model! SEEMS INCORRECT</t>
  </si>
  <si>
    <t>VERY CORRECT</t>
  </si>
  <si>
    <t>THIS SHD FLY</t>
  </si>
  <si>
    <t>NONSENSE</t>
  </si>
  <si>
    <t>LOWER THAN EXP.</t>
  </si>
  <si>
    <t>my ts, their tool</t>
  </si>
  <si>
    <t>their ts,my tool</t>
  </si>
  <si>
    <t>my ts and my tool</t>
  </si>
  <si>
    <t>their ts, their tool</t>
  </si>
  <si>
    <t xml:space="preserve"> </t>
  </si>
  <si>
    <t>my ts, their mthd</t>
  </si>
  <si>
    <t>my ts, mthd, but their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</si>
</sst>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5"/>
  <sheetViews>
    <sheetView tabSelected="1" topLeftCell="A82" workbookViewId="0">
      <selection activeCell="L103" sqref="L103"/>
    </sheetView>
  </sheetViews>
  <sheetFormatPr defaultColWidth="8.85546875" defaultRowHeight="15" x14ac:dyDescent="0.25"/>
  <cols>
    <col min="3" max="3" width="12.7109375" customWidth="1"/>
    <col min="4" max="4" width="13.28515625" customWidth="1"/>
    <col min="5" max="5" width="14" customWidth="1"/>
    <col min="6" max="6" width="12.85546875" customWidth="1"/>
    <col min="7" max="7" width="12.28515625" customWidth="1"/>
    <col min="8" max="8" width="12" customWidth="1"/>
    <col min="9" max="9" width="12.7109375" customWidth="1"/>
    <col min="10" max="10" width="12.85546875" customWidth="1"/>
    <col min="11" max="11" width="7.28515625" customWidth="1"/>
    <col min="12" max="12" width="7.7109375" customWidth="1"/>
    <col min="13" max="13" width="8" customWidth="1"/>
    <col min="14" max="14" width="11.7109375" customWidth="1"/>
    <col min="15" max="15" width="10.28515625" customWidth="1"/>
    <col min="16" max="16" width="12.140625" customWidth="1"/>
    <col min="17" max="17" width="10.85546875" customWidth="1"/>
    <col min="18" max="18" width="9.85546875" customWidth="1"/>
    <col min="19" max="19" width="10.28515625" customWidth="1"/>
    <col min="20" max="20" width="10.140625" customWidth="1"/>
    <col min="21" max="21" width="11.85546875" customWidth="1"/>
    <col min="22" max="22" width="12.42578125" customWidth="1"/>
  </cols>
  <sheetData>
    <row r="1" spans="1:23" ht="15.75" x14ac:dyDescent="0.25">
      <c r="A1" s="1"/>
      <c r="B1" s="1"/>
      <c r="C1" s="1"/>
      <c r="D1" s="1"/>
      <c r="E1" s="1" t="s">
        <v>22</v>
      </c>
      <c r="F1" s="1" t="s">
        <v>4</v>
      </c>
      <c r="G1" s="1"/>
      <c r="H1" s="1"/>
      <c r="I1" s="2"/>
      <c r="J1" s="2"/>
      <c r="K1" s="2"/>
      <c r="N1" s="4"/>
      <c r="O1" s="4"/>
      <c r="P1" s="4"/>
      <c r="Q1" s="4"/>
      <c r="R1" s="4" t="s">
        <v>22</v>
      </c>
      <c r="S1" s="4" t="s">
        <v>4</v>
      </c>
      <c r="T1" s="4" t="s">
        <v>62</v>
      </c>
      <c r="U1" s="4"/>
      <c r="V1" s="4"/>
      <c r="W1" s="4"/>
    </row>
    <row r="2" spans="1:23" ht="15.75" x14ac:dyDescent="0.25">
      <c r="A2" s="1"/>
      <c r="B2" s="1"/>
      <c r="C2" s="1"/>
      <c r="D2" s="5"/>
      <c r="E2" s="1" t="s">
        <v>74</v>
      </c>
      <c r="F2" s="1"/>
      <c r="G2" s="1" t="s">
        <v>0</v>
      </c>
      <c r="H2" s="1" t="s">
        <v>63</v>
      </c>
      <c r="I2" s="2"/>
      <c r="J2" s="2"/>
      <c r="K2" s="2"/>
      <c r="L2">
        <v>627.51</v>
      </c>
      <c r="N2" s="4"/>
      <c r="O2" s="4"/>
      <c r="P2" s="4"/>
      <c r="Q2" s="4"/>
      <c r="R2" s="4"/>
      <c r="S2" s="4"/>
      <c r="T2" s="4" t="s">
        <v>37</v>
      </c>
      <c r="U2" s="4"/>
      <c r="V2" s="4"/>
      <c r="W2" s="4"/>
    </row>
    <row r="3" spans="1:23" ht="15.75" x14ac:dyDescent="0.25">
      <c r="A3" s="1"/>
      <c r="B3" s="1"/>
      <c r="C3" s="1" t="s">
        <v>1</v>
      </c>
      <c r="D3" s="1" t="s">
        <v>2</v>
      </c>
      <c r="E3" s="1" t="s">
        <v>3</v>
      </c>
      <c r="F3" s="1"/>
      <c r="G3" s="1"/>
      <c r="H3" s="1"/>
      <c r="I3" s="1" t="s">
        <v>4</v>
      </c>
      <c r="J3" s="1" t="s">
        <v>5</v>
      </c>
      <c r="K3" s="2"/>
      <c r="N3" s="4"/>
      <c r="O3" s="4"/>
      <c r="P3" s="4" t="s">
        <v>1</v>
      </c>
      <c r="Q3" s="4" t="s">
        <v>2</v>
      </c>
      <c r="R3" s="4" t="s">
        <v>3</v>
      </c>
      <c r="S3" s="4"/>
      <c r="T3" s="4"/>
      <c r="U3" s="4"/>
      <c r="V3" s="4" t="s">
        <v>4</v>
      </c>
      <c r="W3" s="4" t="s">
        <v>39</v>
      </c>
    </row>
    <row r="4" spans="1:23" ht="15.75" x14ac:dyDescent="0.25">
      <c r="A4" s="1" t="s">
        <v>6</v>
      </c>
      <c r="B4" s="3" t="s">
        <v>7</v>
      </c>
      <c r="C4" s="1">
        <v>-460.549329</v>
      </c>
      <c r="D4" s="1">
        <v>-228.957627</v>
      </c>
      <c r="E4" s="1">
        <v>-115.64478099999999</v>
      </c>
      <c r="F4" s="1">
        <f>((C4+J4)-(D4+I4+(E4*2)))*$L$2</f>
        <v>135.74861078991194</v>
      </c>
      <c r="G4" s="1" t="s">
        <v>8</v>
      </c>
      <c r="H4" s="1">
        <v>1.9</v>
      </c>
      <c r="I4" s="2">
        <v>-460.75739600000003</v>
      </c>
      <c r="J4" s="2">
        <v>-460.23892699999999</v>
      </c>
      <c r="K4" s="2"/>
      <c r="N4" s="4" t="s">
        <v>6</v>
      </c>
      <c r="O4" s="4" t="s">
        <v>7</v>
      </c>
      <c r="P4" s="4">
        <v>-921.16365599999995</v>
      </c>
      <c r="Q4" s="4">
        <v>-229.04463200000001</v>
      </c>
      <c r="R4" s="4">
        <v>-115.68595500000001</v>
      </c>
      <c r="S4" s="4">
        <f>(P4-(Q4+V4+(R4*2)))*$L$2</f>
        <v>38.889932250047025</v>
      </c>
      <c r="T4" s="4" t="s">
        <v>8</v>
      </c>
      <c r="U4" s="4">
        <v>1.9</v>
      </c>
      <c r="V4" s="4">
        <v>-460.80908899999997</v>
      </c>
      <c r="W4" s="4"/>
    </row>
    <row r="5" spans="1:23" ht="15.75" x14ac:dyDescent="0.25">
      <c r="A5" s="1" t="s">
        <v>9</v>
      </c>
      <c r="B5" s="3" t="s">
        <v>10</v>
      </c>
      <c r="C5" s="1">
        <v>-460.79258498299998</v>
      </c>
      <c r="D5" s="1">
        <v>-229.01177524100001</v>
      </c>
      <c r="E5" s="1">
        <v>-115.68331991300001</v>
      </c>
      <c r="F5" s="1">
        <f>((C5+J5)-(D5+I5+(E5*2)))*$L$2</f>
        <v>6.6853139546501144</v>
      </c>
      <c r="G5" s="1">
        <f>F5-F10-G9</f>
        <v>-130.13080492459943</v>
      </c>
      <c r="H5" s="1">
        <v>3.0279999999999999E-3</v>
      </c>
      <c r="I5" s="2">
        <v>-460.75249773500002</v>
      </c>
      <c r="J5" s="2">
        <v>-460.327674102</v>
      </c>
      <c r="K5" s="2"/>
      <c r="N5" s="4" t="s">
        <v>9</v>
      </c>
      <c r="O5" s="4" t="s">
        <v>10</v>
      </c>
      <c r="P5" s="4">
        <v>-921.34530432899999</v>
      </c>
      <c r="Q5" s="4">
        <v>-229.09704092699999</v>
      </c>
      <c r="R5" s="4">
        <v>-115.723635556</v>
      </c>
      <c r="S5" s="4">
        <f>(P5-(Q5+V5+(R5*2)))*$L$2</f>
        <v>1.6870706751104501</v>
      </c>
      <c r="T5" s="4">
        <f>S5-S10-T9</f>
        <v>-34.946010564688478</v>
      </c>
      <c r="U5" s="4">
        <v>3.0279999999999999E-3</v>
      </c>
      <c r="V5" s="4">
        <v>-460.80368080599999</v>
      </c>
      <c r="W5" s="4"/>
    </row>
    <row r="6" spans="1:23" ht="15.75" x14ac:dyDescent="0.25">
      <c r="A6" s="1" t="s">
        <v>11</v>
      </c>
      <c r="B6" s="3" t="s">
        <v>12</v>
      </c>
      <c r="C6" s="1">
        <v>-460.77069837800002</v>
      </c>
      <c r="D6" s="1">
        <v>-229.00655818199999</v>
      </c>
      <c r="E6" s="1">
        <v>-115.679667014</v>
      </c>
      <c r="F6" s="1">
        <f>((C6+J6)-(D6+I6+(E6*2)))*$L$2</f>
        <v>8.3925402511122815</v>
      </c>
      <c r="G6" s="1">
        <f>F4+G5</f>
        <v>5.6178058653125049</v>
      </c>
      <c r="H6" s="1">
        <f>(C6-C10)+C5-(E5*2)-D8-H5</f>
        <v>-0.53600288599997681</v>
      </c>
      <c r="I6" s="2">
        <v>-460.74994780600002</v>
      </c>
      <c r="J6" s="2">
        <v>-460.33176728500001</v>
      </c>
      <c r="K6" s="2"/>
      <c r="N6" s="4" t="s">
        <v>11</v>
      </c>
      <c r="O6" s="4" t="s">
        <v>12</v>
      </c>
      <c r="P6" s="4">
        <v>-921.33550245000004</v>
      </c>
      <c r="Q6" s="4">
        <v>-229.092376548</v>
      </c>
      <c r="R6" s="4">
        <v>-115.72045574000001</v>
      </c>
      <c r="S6" s="4">
        <f t="shared" ref="S6:S10" si="0">(P6-(Q6+V6+(R6*2)))*$L$2</f>
        <v>-0.68696531741749478</v>
      </c>
      <c r="T6" s="4">
        <f>S4+T5</f>
        <v>3.9439216853585464</v>
      </c>
      <c r="U6" s="4">
        <f>(P6-P10)+P5-(R5*2)-Q8-U5-V6</f>
        <v>-7.3474852999879658E-2</v>
      </c>
      <c r="V6" s="4">
        <v>-460.80111967400001</v>
      </c>
      <c r="W6" s="4"/>
    </row>
    <row r="7" spans="1:23" ht="15.75" x14ac:dyDescent="0.25">
      <c r="A7" s="1" t="s">
        <v>13</v>
      </c>
      <c r="B7" s="3" t="s">
        <v>14</v>
      </c>
      <c r="C7" s="1"/>
      <c r="D7" s="1"/>
      <c r="E7" s="1"/>
      <c r="F7" s="1"/>
      <c r="G7" s="1">
        <f>G6+H4</f>
        <v>7.5178058653125053</v>
      </c>
      <c r="H7" s="1">
        <f>H6*627.51</f>
        <v>-336.34717099384545</v>
      </c>
      <c r="I7" s="2"/>
      <c r="J7" s="2"/>
      <c r="K7" s="2"/>
      <c r="N7" s="4" t="s">
        <v>13</v>
      </c>
      <c r="O7" s="4" t="s">
        <v>14</v>
      </c>
      <c r="P7" s="4"/>
      <c r="Q7" s="4"/>
      <c r="R7" s="4"/>
      <c r="S7" s="4">
        <f t="shared" si="0"/>
        <v>0</v>
      </c>
      <c r="T7" s="4">
        <f>T6+U4</f>
        <v>5.8439216853585467</v>
      </c>
      <c r="U7" s="4">
        <f>U6*627.51</f>
        <v>-46.106205005954486</v>
      </c>
      <c r="V7" s="4"/>
      <c r="W7" s="4"/>
    </row>
    <row r="8" spans="1:23" ht="15.75" x14ac:dyDescent="0.25">
      <c r="A8" s="1" t="s">
        <v>15</v>
      </c>
      <c r="B8" s="3" t="s">
        <v>16</v>
      </c>
      <c r="C8" s="1">
        <v>-460.62907899999999</v>
      </c>
      <c r="D8" s="1">
        <v>-228.971351</v>
      </c>
      <c r="E8" s="1">
        <v>-115.6511</v>
      </c>
      <c r="F8" s="1">
        <f>((C8+J8)-(D8+I8+(E8*2)))*$L$2</f>
        <v>36.932101049996298</v>
      </c>
      <c r="G8" s="1" t="s">
        <v>17</v>
      </c>
      <c r="H8" s="1"/>
      <c r="I8" s="1">
        <v>-460.76117299999999</v>
      </c>
      <c r="J8" s="2">
        <v>-460.34679</v>
      </c>
      <c r="K8" s="2"/>
      <c r="N8" s="4" t="s">
        <v>15</v>
      </c>
      <c r="O8" s="4" t="s">
        <v>16</v>
      </c>
      <c r="P8" s="4">
        <v>-921.19436199999996</v>
      </c>
      <c r="Q8" s="4">
        <v>-229.057084</v>
      </c>
      <c r="R8" s="4">
        <v>-115.691355</v>
      </c>
      <c r="S8" s="4">
        <f>(P8-(Q8+V8+(R8*2)))*$L$2</f>
        <v>36.140810939996605</v>
      </c>
      <c r="T8" s="4" t="s">
        <v>17</v>
      </c>
      <c r="U8" s="4"/>
      <c r="V8" s="4">
        <v>-460.812162</v>
      </c>
      <c r="W8" s="4"/>
    </row>
    <row r="9" spans="1:23" ht="15.75" x14ac:dyDescent="0.25">
      <c r="A9" s="2"/>
      <c r="B9" s="2"/>
      <c r="C9" s="2"/>
      <c r="D9" s="2"/>
      <c r="E9" s="2"/>
      <c r="F9" s="1" t="s">
        <v>16</v>
      </c>
      <c r="G9" s="1">
        <f>F8-F5</f>
        <v>30.246787095346185</v>
      </c>
      <c r="H9" s="1">
        <f>C5-C10</f>
        <v>-0.10026733399996601</v>
      </c>
      <c r="I9" s="1">
        <f>H9*627.51</f>
        <v>-62.91875475831867</v>
      </c>
      <c r="J9" s="2"/>
      <c r="K9" s="2"/>
      <c r="N9" s="4"/>
      <c r="O9" s="4"/>
      <c r="P9" s="4"/>
      <c r="Q9" s="4"/>
      <c r="R9" s="4"/>
      <c r="S9" s="4" t="s">
        <v>26</v>
      </c>
      <c r="T9" s="4">
        <f>S8-S5</f>
        <v>34.453740264886157</v>
      </c>
      <c r="U9" s="4">
        <f>P5-P10</f>
        <v>-4.0419188999976541E-2</v>
      </c>
      <c r="V9" s="4">
        <f>U9*627.51</f>
        <v>-25.363445289375278</v>
      </c>
      <c r="W9" s="4"/>
    </row>
    <row r="10" spans="1:23" ht="15.75" x14ac:dyDescent="0.25">
      <c r="A10" s="1" t="s">
        <v>18</v>
      </c>
      <c r="B10" s="2"/>
      <c r="C10" s="2">
        <v>-460.69231764900002</v>
      </c>
      <c r="D10" s="2">
        <v>-228.993020745</v>
      </c>
      <c r="E10" s="2">
        <v>-115.67342927599999</v>
      </c>
      <c r="F10" s="1">
        <f t="shared" ref="F10" si="1">((C10+J10)-(D10+I10+(E10*2)))*$L$2</f>
        <v>106.56933178390337</v>
      </c>
      <c r="G10" s="2"/>
      <c r="H10" s="2"/>
      <c r="I10" s="2">
        <v>-460.74617148599998</v>
      </c>
      <c r="J10" s="2">
        <v>-460.22390423600001</v>
      </c>
      <c r="K10" s="2"/>
      <c r="N10" s="4" t="s">
        <v>18</v>
      </c>
      <c r="O10" s="4"/>
      <c r="P10" s="4">
        <v>-921.30488514000001</v>
      </c>
      <c r="Q10" s="4">
        <v>-229.07988255199999</v>
      </c>
      <c r="R10" s="4">
        <v>-115.715208574</v>
      </c>
      <c r="S10" s="4">
        <f t="shared" si="0"/>
        <v>2.1793409749127739</v>
      </c>
      <c r="T10" s="4"/>
      <c r="U10" s="4"/>
      <c r="V10" s="4">
        <v>-460.798058438</v>
      </c>
      <c r="W10" s="4"/>
    </row>
    <row r="11" spans="1:2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23" ht="15.95" x14ac:dyDescent="0.2">
      <c r="A12" s="1"/>
      <c r="B12" s="1"/>
      <c r="C12" s="1"/>
      <c r="D12" s="1"/>
      <c r="E12" s="1" t="s">
        <v>19</v>
      </c>
      <c r="F12" s="1"/>
      <c r="G12" s="1"/>
      <c r="H12" s="1"/>
      <c r="I12" s="2"/>
      <c r="J12" s="2"/>
      <c r="K12" s="2"/>
    </row>
    <row r="13" spans="1:23" ht="15.95" x14ac:dyDescent="0.2">
      <c r="A13" s="1"/>
      <c r="B13" s="1"/>
      <c r="C13" s="1" t="s">
        <v>20</v>
      </c>
      <c r="D13" s="1" t="s">
        <v>2</v>
      </c>
      <c r="E13" s="1" t="s">
        <v>3</v>
      </c>
      <c r="F13" s="1"/>
      <c r="G13" s="1"/>
      <c r="H13" s="1"/>
      <c r="I13" s="1"/>
      <c r="J13" s="2" t="s">
        <v>21</v>
      </c>
      <c r="K13" s="2"/>
    </row>
    <row r="14" spans="1:23" ht="15.75" x14ac:dyDescent="0.25">
      <c r="A14" s="1" t="s">
        <v>6</v>
      </c>
      <c r="B14" s="3" t="s">
        <v>7</v>
      </c>
      <c r="C14" s="1">
        <v>-76.389379000000005</v>
      </c>
      <c r="D14" s="1">
        <v>-228.957627</v>
      </c>
      <c r="E14" s="1">
        <v>-115.64478099999999</v>
      </c>
      <c r="F14" s="1">
        <f>((J14+C14+E14+J4)-(D14+I4+(E14*2)))*$L$2</f>
        <v>128.6759455799338</v>
      </c>
      <c r="G14" s="1" t="s">
        <v>8</v>
      </c>
      <c r="H14" s="1">
        <v>1.9</v>
      </c>
      <c r="I14" s="2"/>
      <c r="J14" s="2">
        <v>-268.52643999999998</v>
      </c>
      <c r="K14" s="2"/>
    </row>
    <row r="15" spans="1:23" ht="15.75" x14ac:dyDescent="0.25">
      <c r="A15" s="1" t="s">
        <v>9</v>
      </c>
      <c r="B15" s="3" t="s">
        <v>10</v>
      </c>
      <c r="C15" s="1">
        <v>-76.407753069500004</v>
      </c>
      <c r="D15" s="1">
        <v>-229.01177524100001</v>
      </c>
      <c r="E15" s="1">
        <v>-115.68331991300001</v>
      </c>
      <c r="F15" s="1">
        <f>((C15+J15+E15+J5)-(D15+I5+(E15*2)))*$L$2</f>
        <v>5.2107843678351422</v>
      </c>
      <c r="G15" s="1">
        <f>F15-G19-F20</f>
        <v>-129.59764990087683</v>
      </c>
      <c r="H15" s="1">
        <v>3.0279999999999999E-3</v>
      </c>
      <c r="I15" s="2"/>
      <c r="J15" s="1">
        <v>-268.70386181100002</v>
      </c>
      <c r="K15" s="2"/>
    </row>
    <row r="16" spans="1:23" ht="15.75" x14ac:dyDescent="0.25">
      <c r="A16" s="1" t="s">
        <v>11</v>
      </c>
      <c r="B16" s="3" t="s">
        <v>12</v>
      </c>
      <c r="C16" s="1">
        <v>-76.401407660999993</v>
      </c>
      <c r="D16" s="1">
        <v>-229.00655818199999</v>
      </c>
      <c r="E16" s="1">
        <v>-115.679667014</v>
      </c>
      <c r="F16" s="1">
        <f t="shared" ref="F16:F20" si="2">((C16+J16+E16+J6)-(D16+I6+(E16*2)))*$L$2</f>
        <v>10.581852359987627</v>
      </c>
      <c r="G16" s="1">
        <f>F14+G15</f>
        <v>-0.92170432094303578</v>
      </c>
      <c r="H16" s="1">
        <f>G16+J16</f>
        <v>-269.60783913594304</v>
      </c>
      <c r="I16" s="2"/>
      <c r="J16" s="1">
        <v>-268.686134815</v>
      </c>
      <c r="K16" s="2"/>
    </row>
    <row r="17" spans="1:21" ht="15.75" x14ac:dyDescent="0.25">
      <c r="A17" s="1" t="s">
        <v>13</v>
      </c>
      <c r="B17" s="3" t="s">
        <v>14</v>
      </c>
      <c r="C17" s="1"/>
      <c r="D17" s="1"/>
      <c r="E17" s="1"/>
      <c r="F17" s="1"/>
      <c r="G17" s="1">
        <f>G16-H14</f>
        <v>-2.8217043209430357</v>
      </c>
      <c r="H17" s="1"/>
      <c r="I17" s="2"/>
      <c r="J17" s="1"/>
      <c r="K17" s="2"/>
    </row>
    <row r="18" spans="1:21" ht="15.95" x14ac:dyDescent="0.2">
      <c r="A18" s="1" t="s">
        <v>15</v>
      </c>
      <c r="B18" s="3" t="s">
        <v>16</v>
      </c>
      <c r="C18" s="1">
        <v>-76.397942999999998</v>
      </c>
      <c r="D18" s="1">
        <v>-228.971351</v>
      </c>
      <c r="E18" s="1">
        <v>-115.6511</v>
      </c>
      <c r="F18" s="1">
        <f t="shared" si="2"/>
        <v>16.052960819991078</v>
      </c>
      <c r="G18" s="1" t="s">
        <v>17</v>
      </c>
      <c r="H18" s="1"/>
      <c r="I18" s="1"/>
      <c r="J18" s="1">
        <v>-268.61330900000002</v>
      </c>
      <c r="K18" s="2"/>
    </row>
    <row r="19" spans="1:21" ht="15.95" x14ac:dyDescent="0.2">
      <c r="A19" s="2"/>
      <c r="B19" s="2"/>
      <c r="C19" s="2"/>
      <c r="D19" s="2"/>
      <c r="E19" s="2"/>
      <c r="F19" s="1" t="s">
        <v>16</v>
      </c>
      <c r="G19" s="1">
        <f>F18-F15</f>
        <v>10.842176452155936</v>
      </c>
      <c r="H19" s="1"/>
      <c r="I19" s="1"/>
      <c r="J19" s="1"/>
      <c r="K19" s="2"/>
    </row>
    <row r="20" spans="1:21" ht="15.95" x14ac:dyDescent="0.2">
      <c r="A20" s="1" t="s">
        <v>18</v>
      </c>
      <c r="B20" s="2"/>
      <c r="C20" s="2">
        <v>-76.392854451900007</v>
      </c>
      <c r="D20" s="2">
        <v>-228.993020745</v>
      </c>
      <c r="E20" s="2">
        <v>-115.67342927599999</v>
      </c>
      <c r="F20" s="1">
        <f t="shared" si="2"/>
        <v>123.96625781655604</v>
      </c>
      <c r="G20" s="2"/>
      <c r="H20" s="2"/>
      <c r="I20" s="2"/>
      <c r="J20" s="2">
        <v>-268.59831017800002</v>
      </c>
      <c r="K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21" ht="15.75" x14ac:dyDescent="0.25">
      <c r="A22" s="5"/>
      <c r="B22" s="5"/>
      <c r="C22" s="5"/>
      <c r="D22" s="5"/>
      <c r="E22" s="5" t="s">
        <v>22</v>
      </c>
      <c r="F22" s="5" t="s">
        <v>23</v>
      </c>
      <c r="G22" s="5" t="s">
        <v>35</v>
      </c>
      <c r="H22" s="5" t="s">
        <v>61</v>
      </c>
      <c r="I22" s="4"/>
      <c r="J22" s="4"/>
      <c r="K22" s="4"/>
      <c r="L22" s="5"/>
      <c r="M22" s="5"/>
      <c r="N22" s="5"/>
      <c r="O22" s="5" t="s">
        <v>36</v>
      </c>
      <c r="P22" s="5" t="s">
        <v>22</v>
      </c>
      <c r="Q22" s="5" t="s">
        <v>23</v>
      </c>
      <c r="R22" s="5" t="s">
        <v>34</v>
      </c>
      <c r="S22" s="5"/>
      <c r="T22" s="4"/>
      <c r="U22" s="4"/>
    </row>
    <row r="23" spans="1:21" ht="15.75" x14ac:dyDescent="0.25">
      <c r="A23" s="5"/>
      <c r="B23" s="5"/>
      <c r="C23" s="5"/>
      <c r="D23" s="5"/>
      <c r="E23" s="5"/>
      <c r="F23" s="5"/>
      <c r="G23" s="5" t="s">
        <v>0</v>
      </c>
      <c r="H23" s="5"/>
      <c r="I23" s="4"/>
      <c r="J23" s="4"/>
      <c r="K23" s="4"/>
      <c r="L23" s="5" t="s">
        <v>73</v>
      </c>
      <c r="M23" s="5"/>
      <c r="N23" s="5"/>
      <c r="O23" s="5"/>
      <c r="P23" s="5"/>
      <c r="Q23" s="5"/>
      <c r="R23" s="5" t="s">
        <v>0</v>
      </c>
      <c r="S23" s="5"/>
      <c r="T23" s="4"/>
      <c r="U23" s="4"/>
    </row>
    <row r="24" spans="1:21" ht="15.75" x14ac:dyDescent="0.25">
      <c r="A24" s="5"/>
      <c r="B24" s="5"/>
      <c r="C24" s="5" t="s">
        <v>1</v>
      </c>
      <c r="D24" s="5" t="s">
        <v>2</v>
      </c>
      <c r="E24" s="5" t="s">
        <v>3</v>
      </c>
      <c r="F24" s="5"/>
      <c r="G24" s="5"/>
      <c r="H24" s="5"/>
      <c r="I24" s="5" t="s">
        <v>24</v>
      </c>
      <c r="J24" s="5" t="s">
        <v>20</v>
      </c>
      <c r="K24" s="4"/>
      <c r="L24" s="5"/>
      <c r="M24" s="5"/>
      <c r="N24" s="5" t="s">
        <v>1</v>
      </c>
      <c r="O24" s="5" t="s">
        <v>2</v>
      </c>
      <c r="P24" s="5" t="s">
        <v>3</v>
      </c>
      <c r="Q24" s="5"/>
      <c r="R24" s="5"/>
      <c r="S24" s="5"/>
      <c r="T24" s="5" t="s">
        <v>24</v>
      </c>
      <c r="U24" s="5" t="s">
        <v>20</v>
      </c>
    </row>
    <row r="25" spans="1:21" ht="15.75" x14ac:dyDescent="0.25">
      <c r="A25" s="5" t="s">
        <v>6</v>
      </c>
      <c r="B25" s="7" t="s">
        <v>7</v>
      </c>
      <c r="C25" s="5">
        <v>-460.51062000000002</v>
      </c>
      <c r="D25" s="5">
        <v>-228.957627</v>
      </c>
      <c r="E25" s="5">
        <v>-115.64478099999999</v>
      </c>
      <c r="F25" s="5">
        <f>((C25+J25)-(D25+I25+(E25*2)))*$L$2</f>
        <v>-6.0171933900033876</v>
      </c>
      <c r="G25" s="5" t="s">
        <v>8</v>
      </c>
      <c r="H25" s="5">
        <v>1.9</v>
      </c>
      <c r="I25" s="4">
        <v>-76.643220999999997</v>
      </c>
      <c r="J25" s="5">
        <v>-76.389379000000005</v>
      </c>
      <c r="K25" s="4"/>
      <c r="L25" s="5" t="s">
        <v>6</v>
      </c>
      <c r="M25" s="7" t="s">
        <v>7</v>
      </c>
      <c r="N25" s="5">
        <v>-460.549329</v>
      </c>
      <c r="O25" s="5">
        <v>-228.957627</v>
      </c>
      <c r="P25" s="5">
        <v>-115.64478099999999</v>
      </c>
      <c r="Q25" s="5">
        <f>((N25+U25)-(O25+T25+(P25*2)))*$L$2</f>
        <v>-30.307477980028395</v>
      </c>
      <c r="R25" s="5" t="s">
        <v>8</v>
      </c>
      <c r="S25" s="5">
        <v>1.9</v>
      </c>
      <c r="T25" s="4">
        <v>-76.643220999999997</v>
      </c>
      <c r="U25" s="5">
        <v>-76.389379000000005</v>
      </c>
    </row>
    <row r="26" spans="1:21" ht="15.75" x14ac:dyDescent="0.25">
      <c r="A26" s="5" t="s">
        <v>9</v>
      </c>
      <c r="B26" s="7" t="s">
        <v>10</v>
      </c>
      <c r="C26" s="5">
        <v>-460.76008806900001</v>
      </c>
      <c r="D26" s="5">
        <v>-229.01177524100001</v>
      </c>
      <c r="E26" s="5">
        <v>-115.68331991300001</v>
      </c>
      <c r="F26" s="5">
        <f>((C26+J26)-(D26+I26+(E26*2)))*$L$2</f>
        <v>12.050644120891457</v>
      </c>
      <c r="G26" s="5">
        <f>F26-G30-F31</f>
        <v>24.04372310994394</v>
      </c>
      <c r="H26" s="5">
        <v>3.0279999999999999E-3</v>
      </c>
      <c r="I26" s="4">
        <v>-76.808629979200006</v>
      </c>
      <c r="J26" s="5">
        <v>-76.407753069500004</v>
      </c>
      <c r="K26" s="4"/>
      <c r="L26" s="5" t="s">
        <v>9</v>
      </c>
      <c r="M26" s="7" t="s">
        <v>10</v>
      </c>
      <c r="N26" s="5">
        <v>-460.79258498299998</v>
      </c>
      <c r="O26" s="5">
        <v>-229.01177524100001</v>
      </c>
      <c r="P26" s="5">
        <v>-115.68331991300001</v>
      </c>
      <c r="Q26" s="5">
        <f>((N26+U26)-(O26+T26+(P26*2)))*$L$2</f>
        <v>-8.3414943832704118</v>
      </c>
      <c r="R26" s="5">
        <f>Q26-Q31</f>
        <v>46.330936982196633</v>
      </c>
      <c r="S26" s="5">
        <v>3.0279999999999999E-3</v>
      </c>
      <c r="T26" s="4">
        <v>-76.808629979200006</v>
      </c>
      <c r="U26" s="5">
        <v>-76.407753069500004</v>
      </c>
    </row>
    <row r="27" spans="1:21" ht="15.75" x14ac:dyDescent="0.25">
      <c r="A27" s="5" t="s">
        <v>11</v>
      </c>
      <c r="B27" s="7" t="s">
        <v>12</v>
      </c>
      <c r="C27" s="5">
        <v>-460.732506161</v>
      </c>
      <c r="D27" s="5">
        <v>-229.00655818199999</v>
      </c>
      <c r="E27" s="5">
        <v>-115.679667014</v>
      </c>
      <c r="F27" s="5">
        <f>((C27+J27)-(D27+I27+(E27*2)))*$L$2</f>
        <v>6.0246152018051484</v>
      </c>
      <c r="G27" s="5">
        <f>F25+G26</f>
        <v>18.026529719940552</v>
      </c>
      <c r="H27" s="5">
        <f>(C27-C31)+C26-(E26*2)-D29-H26</f>
        <v>-0.50291348300001415</v>
      </c>
      <c r="I27" s="4">
        <v>-76.777622439400005</v>
      </c>
      <c r="J27" s="5">
        <v>-76.401407660999993</v>
      </c>
      <c r="K27" s="4"/>
      <c r="L27" s="5" t="s">
        <v>11</v>
      </c>
      <c r="M27" s="7" t="s">
        <v>12</v>
      </c>
      <c r="N27" s="5">
        <v>-460.77069837800002</v>
      </c>
      <c r="O27" s="5">
        <v>-229.00655818199999</v>
      </c>
      <c r="P27" s="5">
        <v>-115.679667014</v>
      </c>
      <c r="Q27" s="5">
        <f>((N27+U27)-(O27+T27+(P27*2)))*$L$2</f>
        <v>-17.941382887910954</v>
      </c>
      <c r="R27" s="5">
        <f>Q25+R26</f>
        <v>16.023459002168238</v>
      </c>
      <c r="S27" s="5">
        <f>(N27-N31)+N26-(P26*2)-O29-S26</f>
        <v>-0.53600288599997681</v>
      </c>
      <c r="T27" s="4">
        <v>-76.777622439400005</v>
      </c>
      <c r="U27" s="5">
        <v>-76.401407660999993</v>
      </c>
    </row>
    <row r="28" spans="1:21" ht="15.75" x14ac:dyDescent="0.25">
      <c r="A28" s="5" t="s">
        <v>13</v>
      </c>
      <c r="B28" s="7" t="s">
        <v>14</v>
      </c>
      <c r="C28" s="5"/>
      <c r="D28" s="5"/>
      <c r="E28" s="5"/>
      <c r="F28" s="5"/>
      <c r="G28" s="5">
        <f>G27+H25</f>
        <v>19.92652971994055</v>
      </c>
      <c r="H28" s="5">
        <f>H27*627.51</f>
        <v>-315.58323971733887</v>
      </c>
      <c r="I28" s="4"/>
      <c r="J28" s="5"/>
      <c r="K28" s="4"/>
      <c r="L28" s="5" t="s">
        <v>13</v>
      </c>
      <c r="M28" s="7" t="s">
        <v>14</v>
      </c>
      <c r="N28" s="5"/>
      <c r="O28" s="5"/>
      <c r="P28" s="5"/>
      <c r="Q28" s="5"/>
      <c r="R28" s="5">
        <f>R27+S25</f>
        <v>17.923459002168237</v>
      </c>
      <c r="S28" s="5">
        <f>S27*627.51</f>
        <v>-336.34717099384545</v>
      </c>
      <c r="T28" s="4"/>
      <c r="U28" s="5"/>
    </row>
    <row r="29" spans="1:21" ht="15.75" x14ac:dyDescent="0.25">
      <c r="A29" s="5" t="s">
        <v>15</v>
      </c>
      <c r="B29" s="7" t="s">
        <v>16</v>
      </c>
      <c r="C29" s="5">
        <v>-460.588796</v>
      </c>
      <c r="D29" s="5">
        <v>-228.971351</v>
      </c>
      <c r="E29" s="5">
        <v>-115.6511</v>
      </c>
      <c r="F29" s="5">
        <f t="shared" ref="F29" si="3">((C29+J29)-(D29+I29+(E29*2)))*$L$2</f>
        <v>31.135791180005953</v>
      </c>
      <c r="G29" s="5" t="s">
        <v>17</v>
      </c>
      <c r="H29" s="5"/>
      <c r="I29" s="5">
        <v>-76.762805999999998</v>
      </c>
      <c r="J29" s="5">
        <v>-76.397942999999998</v>
      </c>
      <c r="K29" s="4"/>
      <c r="L29" s="5" t="s">
        <v>15</v>
      </c>
      <c r="M29" s="7" t="s">
        <v>16</v>
      </c>
      <c r="N29" s="5">
        <v>-460.62907899999999</v>
      </c>
      <c r="O29" s="5">
        <v>-228.971351</v>
      </c>
      <c r="P29" s="5">
        <v>-115.6511</v>
      </c>
      <c r="Q29" s="5">
        <f t="shared" ref="Q29" si="4">((N29+U29)-(O29+T29+(P29*2)))*$L$2</f>
        <v>5.8578058499777645</v>
      </c>
      <c r="R29" s="5" t="s">
        <v>17</v>
      </c>
      <c r="S29" s="5"/>
      <c r="T29" s="5">
        <v>-76.762805999999998</v>
      </c>
      <c r="U29" s="5">
        <v>-76.397942999999998</v>
      </c>
    </row>
    <row r="30" spans="1:21" ht="15.75" x14ac:dyDescent="0.25">
      <c r="A30" s="4"/>
      <c r="B30" s="4"/>
      <c r="C30" s="4"/>
      <c r="D30" s="4"/>
      <c r="E30" s="4"/>
      <c r="F30" s="5" t="s">
        <v>16</v>
      </c>
      <c r="G30" s="5">
        <f>F29-F26</f>
        <v>19.085147059114497</v>
      </c>
      <c r="H30" s="5">
        <f>C26-C31</f>
        <v>-0.10537014800001998</v>
      </c>
      <c r="I30" s="5">
        <f>H30*627.51</f>
        <v>-66.120821571492542</v>
      </c>
      <c r="J30" s="4"/>
      <c r="K30" s="4"/>
      <c r="L30" s="4"/>
      <c r="M30" s="4"/>
      <c r="N30" s="4"/>
      <c r="O30" s="4"/>
      <c r="P30" s="4"/>
      <c r="Q30" s="5" t="s">
        <v>16</v>
      </c>
      <c r="R30" s="5">
        <f>Q29-Q26</f>
        <v>14.199300233248177</v>
      </c>
      <c r="S30" s="5">
        <f>N26-N31</f>
        <v>-0.10026733399996601</v>
      </c>
      <c r="T30" s="5"/>
      <c r="U30" s="4"/>
    </row>
    <row r="31" spans="1:21" ht="15.75" x14ac:dyDescent="0.25">
      <c r="A31" s="5" t="s">
        <v>18</v>
      </c>
      <c r="B31" s="4"/>
      <c r="C31" s="4">
        <v>-460.65471792099999</v>
      </c>
      <c r="D31" s="4">
        <v>-228.993020745</v>
      </c>
      <c r="E31" s="4">
        <v>-115.67342927599999</v>
      </c>
      <c r="F31" s="5">
        <f t="shared" ref="F31" si="5">((C31+J31)-(D31+I31+(E31*2)))*$L$2</f>
        <v>-31.078226048166979</v>
      </c>
      <c r="G31" s="4"/>
      <c r="H31" s="4"/>
      <c r="I31" s="4">
        <v>-76.658166811699999</v>
      </c>
      <c r="J31" s="4">
        <v>-76.392854451900007</v>
      </c>
      <c r="K31" s="4"/>
      <c r="L31" s="5" t="s">
        <v>18</v>
      </c>
      <c r="M31" s="4"/>
      <c r="N31" s="4">
        <v>-460.69231764900002</v>
      </c>
      <c r="O31" s="4">
        <v>-228.993020745</v>
      </c>
      <c r="P31" s="4">
        <v>-115.67342927599999</v>
      </c>
      <c r="Q31" s="5">
        <f t="shared" ref="Q31" si="6">((N31+U31)-(O31+T31+(P31*2)))*$L$2</f>
        <v>-54.672431365467041</v>
      </c>
      <c r="R31" s="4"/>
      <c r="S31" s="4"/>
      <c r="T31" s="4">
        <v>-76.658166811699999</v>
      </c>
      <c r="U31" s="4">
        <v>-76.392854451900007</v>
      </c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95" x14ac:dyDescent="0.2">
      <c r="A33" s="1"/>
      <c r="B33" s="1"/>
      <c r="C33" s="1"/>
      <c r="D33" s="1"/>
      <c r="E33" s="1" t="s">
        <v>19</v>
      </c>
      <c r="F33" s="1"/>
      <c r="G33" s="1"/>
      <c r="H33" s="1"/>
      <c r="I33" s="2"/>
      <c r="J33" s="2"/>
      <c r="K33" s="2"/>
      <c r="L33" s="1"/>
      <c r="M33" s="1"/>
      <c r="N33" s="1"/>
      <c r="O33" s="1" t="s">
        <v>36</v>
      </c>
      <c r="P33" s="1" t="s">
        <v>38</v>
      </c>
      <c r="Q33" s="1" t="s">
        <v>23</v>
      </c>
      <c r="R33" s="1" t="s">
        <v>34</v>
      </c>
      <c r="S33" s="1"/>
      <c r="T33" s="2"/>
      <c r="U33" s="2"/>
    </row>
    <row r="34" spans="1:21" ht="15.95" x14ac:dyDescent="0.2">
      <c r="A34" s="1"/>
      <c r="B34" s="1"/>
      <c r="C34" s="1" t="s">
        <v>20</v>
      </c>
      <c r="D34" s="1" t="s">
        <v>2</v>
      </c>
      <c r="E34" s="1" t="s">
        <v>3</v>
      </c>
      <c r="F34" s="1"/>
      <c r="G34" s="1"/>
      <c r="H34" s="4" t="s">
        <v>29</v>
      </c>
      <c r="I34" s="4"/>
      <c r="J34" s="2" t="s">
        <v>21</v>
      </c>
      <c r="K34" s="2"/>
      <c r="L34" s="1"/>
      <c r="M34" s="1"/>
      <c r="N34" s="1"/>
      <c r="O34" s="1"/>
      <c r="P34" s="1"/>
      <c r="Q34" s="1"/>
      <c r="R34" s="1" t="s">
        <v>37</v>
      </c>
      <c r="S34" s="1"/>
      <c r="T34" s="2"/>
      <c r="U34" s="2"/>
    </row>
    <row r="35" spans="1:21" ht="15.75" x14ac:dyDescent="0.25">
      <c r="A35" s="1" t="s">
        <v>6</v>
      </c>
      <c r="B35" s="3" t="s">
        <v>7</v>
      </c>
      <c r="C35" s="1">
        <v>-76.389379000000005</v>
      </c>
      <c r="D35" s="1">
        <v>-228.957627</v>
      </c>
      <c r="E35" s="1">
        <v>-115.64478099999999</v>
      </c>
      <c r="F35" s="1">
        <f>((J35+C35+E35+J25)-(D35+I25+(E35*2)))*$L$2</f>
        <v>-37.380143190006535</v>
      </c>
      <c r="G35" s="1" t="s">
        <v>8</v>
      </c>
      <c r="H35" s="4">
        <v>1.9</v>
      </c>
      <c r="I35" s="4" t="s">
        <v>27</v>
      </c>
      <c r="J35" s="2">
        <v>-268.52643999999998</v>
      </c>
      <c r="K35" s="2"/>
      <c r="L35" s="1"/>
      <c r="M35" s="1"/>
      <c r="N35" s="1" t="s">
        <v>1</v>
      </c>
      <c r="O35" s="1" t="s">
        <v>2</v>
      </c>
      <c r="P35" s="1" t="s">
        <v>3</v>
      </c>
      <c r="Q35" s="1"/>
      <c r="R35" s="1"/>
      <c r="S35" s="1"/>
      <c r="T35" s="1" t="s">
        <v>24</v>
      </c>
      <c r="U35" s="1" t="s">
        <v>20</v>
      </c>
    </row>
    <row r="36" spans="1:21" ht="15.75" x14ac:dyDescent="0.25">
      <c r="A36" s="1" t="s">
        <v>9</v>
      </c>
      <c r="B36" s="3" t="s">
        <v>10</v>
      </c>
      <c r="C36" s="1">
        <v>-76.407753069500004</v>
      </c>
      <c r="D36" s="1">
        <v>-229.01177524100001</v>
      </c>
      <c r="E36" s="1">
        <v>-115.68331991300001</v>
      </c>
      <c r="F36" s="1">
        <f>((C36+J36+E36+J26)-(D36+I26+(E36*2)))*$L$2</f>
        <v>-9.8160239701567225</v>
      </c>
      <c r="G36" s="1">
        <f>F36-G40-F41</f>
        <v>32.66479177245705</v>
      </c>
      <c r="H36" s="4">
        <v>3.0279999999999999E-3</v>
      </c>
      <c r="I36" s="4" t="s">
        <v>28</v>
      </c>
      <c r="J36" s="1">
        <v>-268.70386181100002</v>
      </c>
      <c r="K36" s="2"/>
      <c r="L36" s="1" t="s">
        <v>6</v>
      </c>
      <c r="M36" s="3" t="s">
        <v>7</v>
      </c>
      <c r="N36" s="1">
        <v>-421.432681</v>
      </c>
      <c r="O36" s="1">
        <v>-229.04463200000001</v>
      </c>
      <c r="P36" s="1">
        <v>-115.68595500000001</v>
      </c>
      <c r="Q36" s="1">
        <f>(N36-(O36+T36+P36))*$L$2</f>
        <v>-11.595757289972774</v>
      </c>
      <c r="R36" s="1" t="s">
        <v>8</v>
      </c>
      <c r="S36" s="1">
        <v>1.9</v>
      </c>
      <c r="T36" s="2">
        <v>-76.683615000000003</v>
      </c>
      <c r="U36" s="1">
        <v>-76.389379000000005</v>
      </c>
    </row>
    <row r="37" spans="1:21" ht="15.75" x14ac:dyDescent="0.25">
      <c r="A37" s="1" t="s">
        <v>11</v>
      </c>
      <c r="B37" s="3" t="s">
        <v>12</v>
      </c>
      <c r="C37" s="1">
        <v>-76.401407660999993</v>
      </c>
      <c r="D37" s="1">
        <v>-229.00655818199999</v>
      </c>
      <c r="E37" s="1">
        <v>-115.679667014</v>
      </c>
      <c r="F37" s="1">
        <f>((C37+J37+E37+J27)-(D37+I27+(E37*2)))*$L$2</f>
        <v>-15.752070779035607</v>
      </c>
      <c r="G37" s="1">
        <f>F35+G36</f>
        <v>-4.7153514175494848</v>
      </c>
      <c r="H37" s="1">
        <f>G37+J37</f>
        <v>-273.40148623254947</v>
      </c>
      <c r="I37" s="2"/>
      <c r="J37" s="1">
        <v>-268.686134815</v>
      </c>
      <c r="K37" s="2"/>
      <c r="L37" s="1" t="s">
        <v>9</v>
      </c>
      <c r="M37" s="3" t="s">
        <v>10</v>
      </c>
      <c r="N37" s="1">
        <v>-421.62684443500001</v>
      </c>
      <c r="O37" s="1">
        <v>-229.09704092699999</v>
      </c>
      <c r="P37" s="1">
        <v>-115.723635556</v>
      </c>
      <c r="Q37" s="1">
        <f>(N37-(O37+T37+P37))*$L$2</f>
        <v>26.843944567126886</v>
      </c>
      <c r="R37" s="1">
        <f>Q37-R41-Q42</f>
        <v>62.157438102728051</v>
      </c>
      <c r="S37" s="1">
        <v>3.0279999999999999E-3</v>
      </c>
      <c r="T37" s="2">
        <v>-76.848946464799994</v>
      </c>
      <c r="U37" s="1">
        <v>-76.407753069500004</v>
      </c>
    </row>
    <row r="38" spans="1:21" ht="15.75" x14ac:dyDescent="0.25">
      <c r="A38" s="1" t="s">
        <v>13</v>
      </c>
      <c r="B38" s="3" t="s">
        <v>14</v>
      </c>
      <c r="C38" s="1"/>
      <c r="D38" s="1"/>
      <c r="E38" s="1"/>
      <c r="F38" s="1"/>
      <c r="G38" s="1">
        <f>G37-H35</f>
        <v>-6.6153514175494852</v>
      </c>
      <c r="H38" s="1"/>
      <c r="I38" s="2"/>
      <c r="J38" s="1"/>
      <c r="K38" s="2"/>
      <c r="L38" s="1" t="s">
        <v>11</v>
      </c>
      <c r="M38" s="3" t="s">
        <v>12</v>
      </c>
      <c r="N38" s="1">
        <v>-421.62684443500001</v>
      </c>
      <c r="O38" s="1">
        <v>-229.092376548</v>
      </c>
      <c r="P38" s="1">
        <v>-115.72045574000001</v>
      </c>
      <c r="Q38" s="1">
        <f>(N38-(O38+T38+P38))*$L$2</f>
        <v>2.6998049853356254</v>
      </c>
      <c r="R38" s="1">
        <f>Q36+R37</f>
        <v>50.561680812755277</v>
      </c>
      <c r="S38" s="1">
        <f>(N38-N42)+N37-(P37*2)-O40-S37</f>
        <v>38.793395309999994</v>
      </c>
      <c r="T38" s="2">
        <v>-76.818314556499999</v>
      </c>
      <c r="U38" s="1">
        <v>-76.401407660999993</v>
      </c>
    </row>
    <row r="39" spans="1:21" ht="15.75" x14ac:dyDescent="0.25">
      <c r="A39" s="1" t="s">
        <v>15</v>
      </c>
      <c r="B39" s="3" t="s">
        <v>16</v>
      </c>
      <c r="C39" s="1">
        <v>-76.397942999999998</v>
      </c>
      <c r="D39" s="1">
        <v>-228.971351</v>
      </c>
      <c r="E39" s="1">
        <v>-115.6511</v>
      </c>
      <c r="F39" s="1">
        <f t="shared" ref="F39" si="7">((C39+J39+E39+J29)-(D39+I29+(E39*2)))*$L$2</f>
        <v>-15.021334380027458</v>
      </c>
      <c r="G39" s="1" t="s">
        <v>17</v>
      </c>
      <c r="H39" s="1"/>
      <c r="I39" s="1"/>
      <c r="J39" s="1">
        <v>-268.61330900000002</v>
      </c>
      <c r="K39" s="2"/>
      <c r="L39" s="1" t="s">
        <v>13</v>
      </c>
      <c r="M39" s="3" t="s">
        <v>14</v>
      </c>
      <c r="N39" s="1"/>
      <c r="O39" s="1"/>
      <c r="P39" s="1"/>
      <c r="Q39" s="1"/>
      <c r="R39" s="1">
        <f>R38+S36</f>
        <v>52.461680812755276</v>
      </c>
      <c r="S39" s="1">
        <f>S38*627.51</f>
        <v>24343.243490978097</v>
      </c>
      <c r="T39" s="2"/>
      <c r="U39" s="1"/>
    </row>
    <row r="40" spans="1:21" ht="15.95" x14ac:dyDescent="0.2">
      <c r="A40" s="2"/>
      <c r="B40" s="2"/>
      <c r="C40" s="2"/>
      <c r="D40" s="2"/>
      <c r="E40" s="2"/>
      <c r="F40" s="1" t="s">
        <v>16</v>
      </c>
      <c r="G40" s="1">
        <f>F39-F36</f>
        <v>-5.2053104098707355</v>
      </c>
      <c r="H40" s="1"/>
      <c r="I40" s="1"/>
      <c r="J40" s="1"/>
      <c r="K40" s="2"/>
      <c r="L40" s="1" t="s">
        <v>15</v>
      </c>
      <c r="M40" s="3" t="s">
        <v>16</v>
      </c>
      <c r="N40" s="1">
        <v>-421.51277099999999</v>
      </c>
      <c r="O40" s="1">
        <v>-229.057084</v>
      </c>
      <c r="P40" s="1">
        <v>-115.691355</v>
      </c>
      <c r="Q40" s="1">
        <f t="shared" ref="Q40:Q42" si="8">(N40-(O40+T40+P40))*$L$2</f>
        <v>24.763427130007539</v>
      </c>
      <c r="R40" s="1" t="s">
        <v>17</v>
      </c>
      <c r="S40" s="1"/>
      <c r="T40" s="1">
        <v>-76.803794999999994</v>
      </c>
      <c r="U40" s="1">
        <v>-76.397942999999998</v>
      </c>
    </row>
    <row r="41" spans="1:21" ht="15.95" x14ac:dyDescent="0.2">
      <c r="A41" s="1" t="s">
        <v>18</v>
      </c>
      <c r="B41" s="2"/>
      <c r="C41" s="2">
        <v>-76.392854451900007</v>
      </c>
      <c r="D41" s="2">
        <v>-228.993020745</v>
      </c>
      <c r="E41" s="2">
        <v>-115.67342927599999</v>
      </c>
      <c r="F41" s="1">
        <f t="shared" ref="F41" si="9">((C41+J41+E41+J31)-(D41+I31+(E41*2)))*$L$2</f>
        <v>-37.275505332743037</v>
      </c>
      <c r="G41" s="2"/>
      <c r="H41" s="2"/>
      <c r="I41" s="2"/>
      <c r="J41" s="2">
        <v>-268.59831017800002</v>
      </c>
      <c r="K41" s="2"/>
      <c r="L41" s="2"/>
      <c r="M41" s="2"/>
      <c r="N41" s="2"/>
      <c r="O41" s="2"/>
      <c r="P41" s="2"/>
      <c r="Q41" s="1" t="s">
        <v>26</v>
      </c>
      <c r="R41" s="1">
        <f>Q40-Q37</f>
        <v>-2.0805174371193473</v>
      </c>
      <c r="S41" s="1">
        <f>N37-N42</f>
        <v>-8.1087367000009181E-2</v>
      </c>
      <c r="U41" s="2"/>
    </row>
    <row r="42" spans="1:21" ht="15.9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 t="s">
        <v>18</v>
      </c>
      <c r="M42" s="2"/>
      <c r="N42" s="2">
        <v>-421.545757068</v>
      </c>
      <c r="O42" s="2">
        <v>-229.07988255199999</v>
      </c>
      <c r="P42" s="2">
        <v>-115.71402052400001</v>
      </c>
      <c r="Q42" s="1">
        <f t="shared" si="8"/>
        <v>-33.232976098481821</v>
      </c>
      <c r="R42" s="2"/>
      <c r="S42" s="2"/>
      <c r="T42" s="2">
        <v>-76.698893917899994</v>
      </c>
      <c r="U42" s="2">
        <v>-76.392854451900007</v>
      </c>
    </row>
    <row r="43" spans="1:2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21" x14ac:dyDescent="0.2">
      <c r="A44" s="6"/>
      <c r="B44" s="6"/>
      <c r="C44" s="6"/>
      <c r="D44" s="6" t="s">
        <v>72</v>
      </c>
      <c r="E44" s="6" t="s">
        <v>30</v>
      </c>
      <c r="F44" s="6" t="s">
        <v>65</v>
      </c>
      <c r="G44" s="6" t="s">
        <v>0</v>
      </c>
      <c r="H44" s="6" t="s">
        <v>33</v>
      </c>
      <c r="I44" s="6"/>
      <c r="J44" s="6"/>
      <c r="K44" s="2"/>
    </row>
    <row r="45" spans="1:21" x14ac:dyDescent="0.2">
      <c r="A45" s="6"/>
      <c r="B45" s="6"/>
      <c r="C45" s="6" t="s">
        <v>1</v>
      </c>
      <c r="D45" s="6" t="s">
        <v>2</v>
      </c>
      <c r="E45" s="6" t="s">
        <v>3</v>
      </c>
      <c r="F45" s="6"/>
      <c r="G45" s="6"/>
      <c r="H45" s="6" t="s">
        <v>29</v>
      </c>
      <c r="I45" s="6"/>
      <c r="J45" s="6"/>
      <c r="K45" s="2"/>
    </row>
    <row r="46" spans="1:21" x14ac:dyDescent="0.25">
      <c r="A46" s="6" t="s">
        <v>6</v>
      </c>
      <c r="B46" s="6" t="s">
        <v>7</v>
      </c>
      <c r="C46" s="6">
        <v>-460.51062000000002</v>
      </c>
      <c r="D46" s="6">
        <v>-229.25320300000001</v>
      </c>
      <c r="E46" s="6">
        <v>-115.64478099999999</v>
      </c>
      <c r="F46" s="6">
        <f>(C46-(D46+(E46*2)))*$L$2</f>
        <v>20.171308950008836</v>
      </c>
      <c r="G46" s="6" t="s">
        <v>8</v>
      </c>
      <c r="H46" s="6">
        <v>1.9</v>
      </c>
      <c r="I46" s="6" t="s">
        <v>27</v>
      </c>
      <c r="J46" s="6"/>
      <c r="K46" s="2"/>
    </row>
    <row r="47" spans="1:21" x14ac:dyDescent="0.25">
      <c r="A47" s="6" t="s">
        <v>9</v>
      </c>
      <c r="B47" s="6" t="s">
        <v>10</v>
      </c>
      <c r="C47" s="6">
        <v>-460.76008806900001</v>
      </c>
      <c r="D47" s="6">
        <v>-229.42407285199999</v>
      </c>
      <c r="E47" s="6">
        <v>-115.68331991300001</v>
      </c>
      <c r="F47" s="6">
        <f>(C47-(D47+(E47*2)))*$L$2</f>
        <v>19.217248393572284</v>
      </c>
      <c r="G47" s="6">
        <f>F47-F52-G51</f>
        <v>0.71098702776436795</v>
      </c>
      <c r="H47" s="6">
        <v>3.0279999999999999E-3</v>
      </c>
      <c r="I47" s="6" t="s">
        <v>28</v>
      </c>
      <c r="J47" s="6"/>
      <c r="K47" s="2"/>
    </row>
    <row r="48" spans="1:21" x14ac:dyDescent="0.25">
      <c r="A48" s="6" t="s">
        <v>11</v>
      </c>
      <c r="B48" s="6" t="s">
        <v>12</v>
      </c>
      <c r="C48" s="6">
        <v>-460.732506161</v>
      </c>
      <c r="D48" s="6">
        <v>-229.40085523499999</v>
      </c>
      <c r="E48" s="6">
        <v>-115.679667014</v>
      </c>
      <c r="F48" s="6">
        <f>(C48-(D48+(E48*2)))*$L$2</f>
        <v>17.371423336036241</v>
      </c>
      <c r="G48" s="6">
        <f>F46+G47</f>
        <v>20.882295977773204</v>
      </c>
      <c r="H48" s="6">
        <f>(C48-C52)+C47-(E47*2)-D50-H47</f>
        <v>-0.12101448300000991</v>
      </c>
      <c r="I48" s="6"/>
      <c r="J48" s="6"/>
      <c r="K48" s="2"/>
    </row>
    <row r="49" spans="1:30" x14ac:dyDescent="0.25">
      <c r="A49" s="6" t="s">
        <v>13</v>
      </c>
      <c r="B49" s="6" t="s">
        <v>14</v>
      </c>
      <c r="C49" s="6"/>
      <c r="D49" s="6"/>
      <c r="E49" s="6"/>
      <c r="F49" s="6">
        <f>(C49-(D49+(E49*2)))*$L$2</f>
        <v>0</v>
      </c>
      <c r="G49" s="6">
        <f>G48+H46</f>
        <v>22.782295977773202</v>
      </c>
      <c r="H49" s="6">
        <f>H48*627.51</f>
        <v>-75.937798227336216</v>
      </c>
      <c r="I49" s="6"/>
      <c r="J49" s="6"/>
      <c r="K49" s="2"/>
    </row>
    <row r="50" spans="1:30" x14ac:dyDescent="0.25">
      <c r="A50" s="6" t="s">
        <v>15</v>
      </c>
      <c r="B50" s="6" t="s">
        <v>16</v>
      </c>
      <c r="C50" s="6">
        <v>-460.588796</v>
      </c>
      <c r="D50" s="6">
        <v>-229.35325</v>
      </c>
      <c r="E50" s="6">
        <v>-115.6511</v>
      </c>
      <c r="F50" s="6">
        <f>(C50-(D50+(E50*2)))*$L$2</f>
        <v>41.826051539982018</v>
      </c>
      <c r="G50" s="6" t="s">
        <v>17</v>
      </c>
      <c r="H50" s="6"/>
      <c r="I50" s="6" t="s">
        <v>25</v>
      </c>
      <c r="J50" s="6"/>
      <c r="K50" s="2"/>
    </row>
    <row r="51" spans="1:30" x14ac:dyDescent="0.25">
      <c r="A51" s="6"/>
      <c r="B51" s="6"/>
      <c r="C51" s="6"/>
      <c r="D51" s="6"/>
      <c r="E51" s="6"/>
      <c r="F51" s="6" t="s">
        <v>16</v>
      </c>
      <c r="G51" s="6">
        <f>F50-F47</f>
        <v>22.608803146409734</v>
      </c>
      <c r="H51" s="6">
        <f>C47-C52</f>
        <v>-0.10537014800001998</v>
      </c>
      <c r="I51" s="6">
        <f>H51*627.51</f>
        <v>-66.120821571492542</v>
      </c>
      <c r="J51" s="6"/>
      <c r="K51" s="2"/>
    </row>
    <row r="52" spans="1:30" x14ac:dyDescent="0.25">
      <c r="A52" s="6" t="s">
        <v>18</v>
      </c>
      <c r="B52" s="6"/>
      <c r="C52" s="6">
        <v>-460.65471792099999</v>
      </c>
      <c r="D52" s="6">
        <v>-229.30132155800001</v>
      </c>
      <c r="E52" s="6">
        <v>-115.67342927599999</v>
      </c>
      <c r="F52" s="6">
        <f>(C52-(D52+(E52*2)))*$L$2</f>
        <v>-4.1025417806018165</v>
      </c>
      <c r="G52" s="6"/>
      <c r="H52" s="6"/>
      <c r="I52" s="6"/>
      <c r="J52" s="6"/>
      <c r="K52" s="2"/>
    </row>
    <row r="53" spans="1:3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2"/>
    </row>
    <row r="54" spans="1:30" x14ac:dyDescent="0.25">
      <c r="A54" s="6"/>
      <c r="B54" s="6"/>
      <c r="C54" s="6"/>
      <c r="D54" s="6"/>
      <c r="E54" s="6" t="s">
        <v>19</v>
      </c>
      <c r="F54" s="6"/>
      <c r="G54" s="6"/>
      <c r="H54" s="6"/>
      <c r="I54" s="6"/>
      <c r="J54" s="6"/>
      <c r="K54" s="2"/>
      <c r="O54" t="s">
        <v>41</v>
      </c>
      <c r="P54" t="s">
        <v>42</v>
      </c>
    </row>
    <row r="55" spans="1:30" x14ac:dyDescent="0.25">
      <c r="A55" s="6"/>
      <c r="B55" s="6"/>
      <c r="C55" s="6" t="s">
        <v>20</v>
      </c>
      <c r="D55" s="6" t="s">
        <v>2</v>
      </c>
      <c r="E55" s="6" t="s">
        <v>3</v>
      </c>
      <c r="F55" s="6"/>
      <c r="G55" s="6"/>
      <c r="H55" s="6" t="s">
        <v>29</v>
      </c>
      <c r="I55" s="6"/>
      <c r="J55" s="6" t="s">
        <v>21</v>
      </c>
      <c r="K55" s="2"/>
      <c r="N55" t="s">
        <v>40</v>
      </c>
      <c r="O55">
        <v>0</v>
      </c>
      <c r="P55">
        <v>2</v>
      </c>
      <c r="Q55">
        <v>7</v>
      </c>
      <c r="R55">
        <v>3</v>
      </c>
      <c r="S55">
        <v>2</v>
      </c>
      <c r="T55">
        <v>-3</v>
      </c>
    </row>
    <row r="56" spans="1:30" x14ac:dyDescent="0.25">
      <c r="A56" s="6" t="s">
        <v>6</v>
      </c>
      <c r="B56" s="6" t="s">
        <v>7</v>
      </c>
      <c r="C56" s="6">
        <v>-76.389379000000005</v>
      </c>
      <c r="D56" s="6">
        <v>-229.25320300000001</v>
      </c>
      <c r="E56" s="6">
        <v>-115.64478099999999</v>
      </c>
      <c r="F56" s="6">
        <f>((C56+J56+E56)-(D56+(E56*2)))*$L$2</f>
        <v>-11.191640849994316</v>
      </c>
      <c r="G56" s="6" t="s">
        <v>8</v>
      </c>
      <c r="H56" s="6">
        <v>1.9</v>
      </c>
      <c r="I56" s="6" t="s">
        <v>27</v>
      </c>
      <c r="J56" s="6">
        <v>-268.52643999999998</v>
      </c>
      <c r="K56" s="2"/>
      <c r="N56">
        <v>1.4</v>
      </c>
      <c r="O56">
        <v>0</v>
      </c>
      <c r="P56">
        <v>1.5</v>
      </c>
      <c r="Q56">
        <v>6</v>
      </c>
      <c r="R56">
        <v>2.5</v>
      </c>
      <c r="S56">
        <v>3</v>
      </c>
      <c r="T56">
        <v>-4</v>
      </c>
    </row>
    <row r="57" spans="1:30" x14ac:dyDescent="0.25">
      <c r="A57" s="6" t="s">
        <v>9</v>
      </c>
      <c r="B57" s="6" t="s">
        <v>10</v>
      </c>
      <c r="C57" s="6">
        <v>-76.407753069500004</v>
      </c>
      <c r="D57" s="6">
        <v>-229.42407285199999</v>
      </c>
      <c r="E57" s="6">
        <v>-115.68331991300001</v>
      </c>
      <c r="F57" s="6">
        <f t="shared" ref="F57:F62" si="10">((C57+J57+E57)-(D57+(E57*2)))*$L$2</f>
        <v>-2.6494196974402247</v>
      </c>
      <c r="G57" s="6">
        <f>F57-F62-G61</f>
        <v>9.3320556903488185</v>
      </c>
      <c r="H57" s="6">
        <v>3.0279999999999999E-3</v>
      </c>
      <c r="I57" s="6" t="s">
        <v>28</v>
      </c>
      <c r="J57" s="6">
        <v>-268.70386181100002</v>
      </c>
      <c r="K57" s="2"/>
    </row>
    <row r="58" spans="1:30" x14ac:dyDescent="0.25">
      <c r="A58" s="6" t="s">
        <v>11</v>
      </c>
      <c r="B58" s="6" t="s">
        <v>12</v>
      </c>
      <c r="C58" s="6">
        <v>-76.401407660999993</v>
      </c>
      <c r="D58" s="6">
        <v>-229.40085523499999</v>
      </c>
      <c r="E58" s="6">
        <v>-115.679667014</v>
      </c>
      <c r="F58" s="6">
        <f t="shared" si="10"/>
        <v>-4.4052626447688441</v>
      </c>
      <c r="G58" s="6">
        <f>F56+G57</f>
        <v>-1.8595851596454978</v>
      </c>
      <c r="H58" s="6"/>
      <c r="I58" s="6"/>
      <c r="J58" s="6">
        <v>-268.686134815</v>
      </c>
      <c r="K58" s="2"/>
    </row>
    <row r="59" spans="1:30" x14ac:dyDescent="0.25">
      <c r="A59" s="6" t="s">
        <v>13</v>
      </c>
      <c r="B59" s="6" t="s">
        <v>14</v>
      </c>
      <c r="C59" s="6"/>
      <c r="D59" s="6"/>
      <c r="E59" s="6"/>
      <c r="F59" s="6">
        <f t="shared" si="10"/>
        <v>0</v>
      </c>
      <c r="G59" s="6">
        <f>G58-H56</f>
        <v>-3.7595851596454977</v>
      </c>
      <c r="H59" s="6"/>
      <c r="I59" s="6"/>
      <c r="J59" s="6"/>
      <c r="K59" s="2"/>
      <c r="M59" t="s">
        <v>40</v>
      </c>
      <c r="N59">
        <v>0</v>
      </c>
      <c r="O59">
        <v>0</v>
      </c>
      <c r="P59">
        <v>2</v>
      </c>
      <c r="Q59">
        <v>2</v>
      </c>
      <c r="R59">
        <v>2</v>
      </c>
      <c r="S59">
        <v>7</v>
      </c>
      <c r="T59">
        <v>7</v>
      </c>
      <c r="U59">
        <v>7</v>
      </c>
      <c r="V59">
        <v>3</v>
      </c>
      <c r="W59">
        <v>3</v>
      </c>
      <c r="X59">
        <v>3</v>
      </c>
      <c r="Y59">
        <v>2</v>
      </c>
      <c r="Z59">
        <v>2</v>
      </c>
      <c r="AA59">
        <v>2</v>
      </c>
      <c r="AB59">
        <v>-3</v>
      </c>
      <c r="AC59">
        <v>-3</v>
      </c>
      <c r="AD59">
        <v>-3</v>
      </c>
    </row>
    <row r="60" spans="1:30" x14ac:dyDescent="0.25">
      <c r="A60" s="6" t="s">
        <v>15</v>
      </c>
      <c r="B60" s="6" t="s">
        <v>16</v>
      </c>
      <c r="C60" s="6">
        <v>-76.397942999999998</v>
      </c>
      <c r="D60" s="6">
        <v>-229.35325</v>
      </c>
      <c r="E60" s="6">
        <v>-115.6511</v>
      </c>
      <c r="F60" s="6">
        <f t="shared" si="10"/>
        <v>-4.3310740200157216</v>
      </c>
      <c r="G60" s="6" t="s">
        <v>17</v>
      </c>
      <c r="H60" s="6"/>
      <c r="I60" s="6"/>
      <c r="J60" s="6">
        <v>-268.61330900000002</v>
      </c>
      <c r="K60" s="2"/>
      <c r="M60" t="s">
        <v>43</v>
      </c>
      <c r="N60">
        <v>0</v>
      </c>
      <c r="O60">
        <v>0</v>
      </c>
      <c r="P60">
        <v>1.5</v>
      </c>
      <c r="Q60">
        <v>1.5</v>
      </c>
      <c r="R60">
        <v>1.5</v>
      </c>
      <c r="S60">
        <v>6</v>
      </c>
      <c r="T60">
        <v>6</v>
      </c>
      <c r="U60">
        <v>6</v>
      </c>
      <c r="V60">
        <v>2.5</v>
      </c>
      <c r="W60">
        <v>2.5</v>
      </c>
      <c r="X60">
        <v>2.5</v>
      </c>
      <c r="Y60">
        <v>3</v>
      </c>
      <c r="Z60">
        <v>3</v>
      </c>
      <c r="AA60">
        <v>3</v>
      </c>
      <c r="AB60">
        <v>-4</v>
      </c>
      <c r="AC60">
        <v>-4</v>
      </c>
      <c r="AD60">
        <v>-4</v>
      </c>
    </row>
    <row r="61" spans="1:30" x14ac:dyDescent="0.25">
      <c r="A61" s="6"/>
      <c r="B61" s="6"/>
      <c r="C61" s="6"/>
      <c r="D61" s="6"/>
      <c r="E61" s="6"/>
      <c r="F61" s="6" t="s">
        <v>26</v>
      </c>
      <c r="G61" s="6">
        <f>F60-F57</f>
        <v>-1.681654322575497</v>
      </c>
      <c r="H61" s="6"/>
      <c r="I61" s="6"/>
      <c r="J61" s="6"/>
      <c r="K61" s="2"/>
    </row>
    <row r="62" spans="1:30" x14ac:dyDescent="0.25">
      <c r="A62" s="6" t="s">
        <v>18</v>
      </c>
      <c r="B62" s="6"/>
      <c r="C62" s="6">
        <v>-76.392854451900007</v>
      </c>
      <c r="D62" s="6">
        <v>-229.30132155800001</v>
      </c>
      <c r="E62" s="6">
        <v>-115.67342927599999</v>
      </c>
      <c r="F62" s="6">
        <f t="shared" si="10"/>
        <v>-10.299821065213546</v>
      </c>
      <c r="G62" s="6"/>
      <c r="H62" s="6"/>
      <c r="I62" s="6"/>
      <c r="J62" s="6">
        <v>-268.59831017800002</v>
      </c>
      <c r="K62" s="2"/>
    </row>
    <row r="65" spans="1:10" x14ac:dyDescent="0.25">
      <c r="A65" s="4"/>
      <c r="B65" s="4"/>
      <c r="C65" s="4"/>
      <c r="D65" s="4"/>
      <c r="E65" s="4" t="s">
        <v>31</v>
      </c>
      <c r="F65" s="4"/>
      <c r="G65" s="4"/>
      <c r="H65" s="4"/>
      <c r="I65" s="4"/>
      <c r="J65" s="4"/>
    </row>
    <row r="66" spans="1:10" x14ac:dyDescent="0.25">
      <c r="A66" s="4"/>
      <c r="B66" s="4"/>
      <c r="C66" s="4"/>
      <c r="D66" s="4" t="s">
        <v>64</v>
      </c>
      <c r="E66" s="4"/>
      <c r="F66" s="4"/>
      <c r="G66" s="4" t="s">
        <v>0</v>
      </c>
      <c r="H66" s="4"/>
      <c r="I66" s="4"/>
      <c r="J66" s="4"/>
    </row>
    <row r="67" spans="1:10" x14ac:dyDescent="0.25">
      <c r="A67" s="4"/>
      <c r="B67" s="4"/>
      <c r="C67" s="4" t="s">
        <v>1</v>
      </c>
      <c r="D67" s="4" t="s">
        <v>2</v>
      </c>
      <c r="E67" s="4" t="s">
        <v>3</v>
      </c>
      <c r="F67" s="4"/>
      <c r="G67" s="4"/>
      <c r="H67" s="4"/>
      <c r="I67" s="4" t="s">
        <v>32</v>
      </c>
      <c r="J67" s="4"/>
    </row>
    <row r="68" spans="1:10" ht="15.75" x14ac:dyDescent="0.25">
      <c r="A68" s="4" t="s">
        <v>6</v>
      </c>
      <c r="B68" s="4" t="s">
        <v>7</v>
      </c>
      <c r="C68" s="4">
        <v>-460.51062000000002</v>
      </c>
      <c r="D68" s="5">
        <v>-228.957627</v>
      </c>
      <c r="E68" s="4">
        <v>-115.64478099999999</v>
      </c>
      <c r="F68" s="4">
        <f>(C68-(I68+D68+E68))*$L$2</f>
        <v>10.636922009968053</v>
      </c>
      <c r="G68" s="4" t="s">
        <v>8</v>
      </c>
      <c r="H68" s="4">
        <v>1.9</v>
      </c>
      <c r="I68" s="4">
        <v>-115.925163</v>
      </c>
      <c r="J68" s="4"/>
    </row>
    <row r="69" spans="1:10" ht="15.75" x14ac:dyDescent="0.25">
      <c r="A69" s="4" t="s">
        <v>9</v>
      </c>
      <c r="B69" s="4" t="s">
        <v>10</v>
      </c>
      <c r="C69" s="4">
        <v>-460.76008806900001</v>
      </c>
      <c r="D69" s="5">
        <v>-229.01177524100001</v>
      </c>
      <c r="E69" s="4">
        <v>-115.68331991300001</v>
      </c>
      <c r="F69" s="4">
        <f t="shared" ref="F69:F74" si="11">(C69-(I69+D69+E69))*$L$2</f>
        <v>19.368259302590321</v>
      </c>
      <c r="G69" s="4">
        <f>F69-G73-F74</f>
        <v>12.23486179227992</v>
      </c>
      <c r="H69" s="4">
        <v>3.0279999999999999E-3</v>
      </c>
      <c r="I69" s="4">
        <v>-116.095858175</v>
      </c>
      <c r="J69" s="4"/>
    </row>
    <row r="70" spans="1:10" ht="15.75" x14ac:dyDescent="0.25">
      <c r="A70" s="4" t="s">
        <v>11</v>
      </c>
      <c r="B70" s="4" t="s">
        <v>12</v>
      </c>
      <c r="C70" s="4">
        <v>-460.732506161</v>
      </c>
      <c r="D70" s="5">
        <v>-229.00655818199999</v>
      </c>
      <c r="E70" s="4">
        <v>-115.679667014</v>
      </c>
      <c r="F70" s="4">
        <f t="shared" si="11"/>
        <v>15.999574151724673</v>
      </c>
      <c r="G70" s="4">
        <f>F68+G69</f>
        <v>22.871783802247975</v>
      </c>
      <c r="H70" s="4">
        <f>(C70-C74)+C69-(E69*2)-D72-H69</f>
        <v>-0.50291348300001415</v>
      </c>
      <c r="I70" s="4">
        <v>-116.071777888</v>
      </c>
      <c r="J70" s="4"/>
    </row>
    <row r="71" spans="1:10" ht="15.75" x14ac:dyDescent="0.25">
      <c r="A71" s="4" t="s">
        <v>13</v>
      </c>
      <c r="B71" s="4" t="s">
        <v>14</v>
      </c>
      <c r="C71" s="4"/>
      <c r="D71" s="5"/>
      <c r="E71" s="4"/>
      <c r="F71" s="4"/>
      <c r="G71" s="4">
        <f>G70+H68</f>
        <v>24.771783802247974</v>
      </c>
      <c r="H71" s="4">
        <f>H70*627.51</f>
        <v>-315.58323971733887</v>
      </c>
      <c r="I71" s="4"/>
      <c r="J71" s="4"/>
    </row>
    <row r="72" spans="1:10" ht="15.75" x14ac:dyDescent="0.25">
      <c r="A72" s="4" t="s">
        <v>15</v>
      </c>
      <c r="B72" s="4" t="s">
        <v>16</v>
      </c>
      <c r="C72" s="4">
        <v>-460.588796</v>
      </c>
      <c r="D72" s="5">
        <v>-228.971351</v>
      </c>
      <c r="E72" s="4">
        <v>-115.6511</v>
      </c>
      <c r="F72" s="4">
        <f t="shared" si="11"/>
        <v>40.254766499989785</v>
      </c>
      <c r="G72" s="4" t="s">
        <v>17</v>
      </c>
      <c r="H72" s="4"/>
      <c r="I72" s="4">
        <v>-116.030495</v>
      </c>
      <c r="J72" s="4"/>
    </row>
    <row r="73" spans="1:10" x14ac:dyDescent="0.25">
      <c r="A73" s="4"/>
      <c r="B73" s="4"/>
      <c r="C73" s="4"/>
      <c r="D73" s="4"/>
      <c r="E73" s="4"/>
      <c r="F73" s="4" t="s">
        <v>26</v>
      </c>
      <c r="G73" s="4">
        <f>F72-F69</f>
        <v>20.886507197399464</v>
      </c>
      <c r="H73" s="4">
        <f>C69-C74</f>
        <v>-0.10537014800001998</v>
      </c>
      <c r="I73" s="4">
        <f>H73*627.51</f>
        <v>-66.120821571492542</v>
      </c>
      <c r="J73" s="4"/>
    </row>
    <row r="74" spans="1:10" x14ac:dyDescent="0.25">
      <c r="A74" s="4" t="s">
        <v>18</v>
      </c>
      <c r="B74" s="4"/>
      <c r="C74" s="4">
        <v>-460.65471792099999</v>
      </c>
      <c r="D74" s="4">
        <v>-228.993020745</v>
      </c>
      <c r="E74" s="4">
        <v>-115.67342927599999</v>
      </c>
      <c r="F74" s="4">
        <f t="shared" si="11"/>
        <v>-13.753109687089063</v>
      </c>
      <c r="G74" s="4"/>
      <c r="H74" s="4"/>
      <c r="I74" s="4">
        <v>-115.96635094299999</v>
      </c>
      <c r="J74" s="4"/>
    </row>
    <row r="75" spans="1:1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/>
      <c r="B76" s="4"/>
      <c r="C76" s="4"/>
      <c r="D76" s="4"/>
      <c r="E76" s="4" t="s">
        <v>19</v>
      </c>
      <c r="F76" s="4"/>
      <c r="G76" s="4"/>
      <c r="H76" s="4"/>
      <c r="I76" s="4"/>
      <c r="J76" s="4"/>
    </row>
    <row r="77" spans="1:10" x14ac:dyDescent="0.25">
      <c r="A77" s="4"/>
      <c r="B77" s="4"/>
      <c r="C77" s="4" t="s">
        <v>20</v>
      </c>
      <c r="D77" s="4" t="s">
        <v>2</v>
      </c>
      <c r="E77" s="4" t="s">
        <v>3</v>
      </c>
      <c r="F77" s="4"/>
      <c r="G77" s="4"/>
      <c r="H77" s="4" t="s">
        <v>29</v>
      </c>
      <c r="I77" s="4"/>
      <c r="J77" s="4" t="s">
        <v>21</v>
      </c>
    </row>
    <row r="78" spans="1:10" x14ac:dyDescent="0.25">
      <c r="A78" s="4" t="s">
        <v>6</v>
      </c>
      <c r="B78" s="4" t="s">
        <v>7</v>
      </c>
      <c r="C78" s="4">
        <v>-76.389379000000005</v>
      </c>
      <c r="D78" s="4">
        <v>-228.957627</v>
      </c>
      <c r="E78" s="4">
        <v>-115.64478099999999</v>
      </c>
      <c r="F78" s="4">
        <f>((J78+E78+C78)-(D78+I68+E78))*$L$2</f>
        <v>-20.726027789999428</v>
      </c>
      <c r="G78" s="4" t="s">
        <v>8</v>
      </c>
      <c r="H78" s="4">
        <v>1.9</v>
      </c>
      <c r="I78" s="4" t="s">
        <v>27</v>
      </c>
      <c r="J78" s="4">
        <v>-268.52643999999998</v>
      </c>
    </row>
    <row r="79" spans="1:10" x14ac:dyDescent="0.25">
      <c r="A79" s="4" t="s">
        <v>9</v>
      </c>
      <c r="B79" s="4" t="s">
        <v>10</v>
      </c>
      <c r="C79" s="4">
        <v>-76.407753069500004</v>
      </c>
      <c r="D79" s="4">
        <v>-229.01177524100001</v>
      </c>
      <c r="E79" s="4">
        <v>-115.68331991300001</v>
      </c>
      <c r="F79" s="4">
        <f t="shared" ref="F79:F84" si="12">((J79+E79+C79)-(D79+I69+E79))*$L$2</f>
        <v>-2.4984087884221902</v>
      </c>
      <c r="G79" s="4">
        <f>F79-G83-F84</f>
        <v>20.855930454864371</v>
      </c>
      <c r="H79" s="4">
        <v>3.0279999999999999E-3</v>
      </c>
      <c r="I79" s="4" t="s">
        <v>28</v>
      </c>
      <c r="J79" s="4">
        <v>-268.70386181100002</v>
      </c>
    </row>
    <row r="80" spans="1:10" x14ac:dyDescent="0.25">
      <c r="A80" s="4" t="s">
        <v>11</v>
      </c>
      <c r="B80" s="4" t="s">
        <v>12</v>
      </c>
      <c r="C80" s="4">
        <v>-76.401407660999993</v>
      </c>
      <c r="D80" s="4">
        <v>-229.00655818199999</v>
      </c>
      <c r="E80" s="4">
        <v>-115.679667014</v>
      </c>
      <c r="F80" s="4">
        <f t="shared" si="12"/>
        <v>-5.7771118290804129</v>
      </c>
      <c r="G80" s="4">
        <f>F78+G79</f>
        <v>0.12990266486494306</v>
      </c>
      <c r="H80" s="4">
        <f>G80+J80</f>
        <v>-268.55623215013509</v>
      </c>
      <c r="I80" s="4"/>
      <c r="J80" s="4">
        <v>-268.686134815</v>
      </c>
    </row>
    <row r="81" spans="1:14" x14ac:dyDescent="0.25">
      <c r="A81" s="4" t="s">
        <v>13</v>
      </c>
      <c r="B81" s="4" t="s">
        <v>14</v>
      </c>
      <c r="C81" s="4"/>
      <c r="D81" s="4"/>
      <c r="E81" s="4"/>
      <c r="F81" s="4"/>
      <c r="G81" s="4">
        <f>G80-H78</f>
        <v>-1.7700973351350568</v>
      </c>
      <c r="H81" s="4"/>
      <c r="I81" s="4"/>
      <c r="J81" s="4"/>
    </row>
    <row r="82" spans="1:14" x14ac:dyDescent="0.25">
      <c r="A82" s="4" t="s">
        <v>15</v>
      </c>
      <c r="B82" s="4" t="s">
        <v>16</v>
      </c>
      <c r="C82" s="4">
        <v>-76.397942999999998</v>
      </c>
      <c r="D82" s="4">
        <v>-228.971351</v>
      </c>
      <c r="E82" s="4">
        <v>-115.6511</v>
      </c>
      <c r="F82" s="4">
        <f t="shared" si="12"/>
        <v>-5.9023590600079583</v>
      </c>
      <c r="G82" s="4" t="s">
        <v>17</v>
      </c>
      <c r="H82" s="4"/>
      <c r="I82" s="4"/>
      <c r="J82" s="4">
        <v>-268.61330900000002</v>
      </c>
    </row>
    <row r="83" spans="1:14" x14ac:dyDescent="0.25">
      <c r="A83" s="4"/>
      <c r="B83" s="4"/>
      <c r="C83" s="4"/>
      <c r="D83" s="4"/>
      <c r="E83" s="4"/>
      <c r="F83" s="4" t="s">
        <v>26</v>
      </c>
      <c r="G83" s="4">
        <f>F82-F79</f>
        <v>-3.4039502715857681</v>
      </c>
      <c r="H83" s="4"/>
      <c r="I83" s="4"/>
      <c r="J83" s="4"/>
    </row>
    <row r="84" spans="1:14" x14ac:dyDescent="0.25">
      <c r="A84" s="4" t="s">
        <v>18</v>
      </c>
      <c r="B84" s="4"/>
      <c r="C84" s="4">
        <v>-76.392854451900007</v>
      </c>
      <c r="D84" s="4">
        <v>-228.993020745</v>
      </c>
      <c r="E84" s="4">
        <v>-115.67342927599999</v>
      </c>
      <c r="F84" s="4">
        <f t="shared" si="12"/>
        <v>-19.950388971700793</v>
      </c>
      <c r="G84" s="4"/>
      <c r="H84" s="4"/>
      <c r="I84" s="4"/>
      <c r="J84" s="4">
        <v>-268.59831017800002</v>
      </c>
    </row>
    <row r="87" spans="1:14" x14ac:dyDescent="0.25">
      <c r="E87" t="s">
        <v>30</v>
      </c>
      <c r="F87" t="s">
        <v>71</v>
      </c>
      <c r="G87" t="s">
        <v>58</v>
      </c>
    </row>
    <row r="88" spans="1:14" x14ac:dyDescent="0.25">
      <c r="C88" t="s">
        <v>1</v>
      </c>
      <c r="D88" t="s">
        <v>2</v>
      </c>
      <c r="E88" t="s">
        <v>3</v>
      </c>
      <c r="H88" t="s">
        <v>29</v>
      </c>
    </row>
    <row r="89" spans="1:14" x14ac:dyDescent="0.25">
      <c r="A89" t="s">
        <v>6</v>
      </c>
      <c r="B89" t="s">
        <v>7</v>
      </c>
      <c r="C89">
        <v>-460.729827</v>
      </c>
      <c r="D89">
        <v>-229.35169200000001</v>
      </c>
      <c r="E89">
        <v>-115.68595500000001</v>
      </c>
      <c r="F89">
        <f>(C89-(D89+(E89*2)))*$L$2</f>
        <v>-3.9062497499825359</v>
      </c>
      <c r="G89" t="s">
        <v>8</v>
      </c>
      <c r="H89">
        <v>1.9</v>
      </c>
      <c r="I89" t="s">
        <v>27</v>
      </c>
    </row>
    <row r="90" spans="1:14" x14ac:dyDescent="0.25">
      <c r="A90" t="s">
        <v>9</v>
      </c>
      <c r="B90" t="s">
        <v>10</v>
      </c>
      <c r="C90">
        <v>-460.97397067600002</v>
      </c>
      <c r="D90">
        <v>-229.515029666</v>
      </c>
      <c r="E90">
        <v>-115.723635556</v>
      </c>
      <c r="F90">
        <f>(C90-(D90+(E90*2)))*$L$2</f>
        <v>-7.3229776940028932</v>
      </c>
      <c r="G90">
        <f>F90-F95</f>
        <v>21.77428136244664</v>
      </c>
      <c r="H90">
        <v>3.0279999999999999E-3</v>
      </c>
      <c r="I90" t="s">
        <v>28</v>
      </c>
    </row>
    <row r="91" spans="1:14" x14ac:dyDescent="0.25">
      <c r="A91" t="s">
        <v>11</v>
      </c>
      <c r="B91" t="s">
        <v>12</v>
      </c>
      <c r="C91">
        <v>-460.953339658</v>
      </c>
      <c r="D91">
        <v>-229.494226776</v>
      </c>
      <c r="E91">
        <v>-115.72045574000001</v>
      </c>
      <c r="F91">
        <f>(C91-(D91+(E91*2)))*$L$2</f>
        <v>-11.421561769012671</v>
      </c>
      <c r="G91">
        <f>F89+G90</f>
        <v>17.868031612464105</v>
      </c>
      <c r="H91">
        <f>(C91-C95)+C90-(E90*2)-D93-H90</f>
        <v>-0.16109439800001676</v>
      </c>
    </row>
    <row r="92" spans="1:14" x14ac:dyDescent="0.25">
      <c r="A92" t="s">
        <v>13</v>
      </c>
      <c r="B92" t="s">
        <v>14</v>
      </c>
      <c r="F92">
        <f>(C92-(D92+(E92*2)))*$L$2</f>
        <v>0</v>
      </c>
      <c r="G92">
        <f>G91+H89</f>
        <v>19.768031612464103</v>
      </c>
      <c r="H92">
        <f>H91*627.51</f>
        <v>-101.08834568899051</v>
      </c>
      <c r="M92">
        <v>61.6</v>
      </c>
    </row>
    <row r="93" spans="1:14" x14ac:dyDescent="0.25">
      <c r="A93" t="s">
        <v>15</v>
      </c>
      <c r="B93" t="s">
        <v>16</v>
      </c>
      <c r="C93">
        <v>-460.808424</v>
      </c>
      <c r="D93">
        <v>-229.44606099999999</v>
      </c>
      <c r="E93">
        <v>-115.691355</v>
      </c>
      <c r="F93">
        <f>(C93-(D93+(E93*2)))*$L$2</f>
        <v>12.767945969973876</v>
      </c>
      <c r="G93" t="s">
        <v>17</v>
      </c>
      <c r="I93" t="s">
        <v>25</v>
      </c>
    </row>
    <row r="94" spans="1:14" x14ac:dyDescent="0.25">
      <c r="F94" t="s">
        <v>16</v>
      </c>
      <c r="G94">
        <f>F93-F90</f>
        <v>20.090923663976771</v>
      </c>
      <c r="H94">
        <f>C90-C95</f>
        <v>-9.8058852000008301E-2</v>
      </c>
      <c r="I94">
        <f>H94*627.51</f>
        <v>-61.53291021852521</v>
      </c>
      <c r="M94">
        <v>4.1840000000000002</v>
      </c>
      <c r="N94">
        <f>M92/M94</f>
        <v>14.722753346080305</v>
      </c>
    </row>
    <row r="95" spans="1:14" x14ac:dyDescent="0.25">
      <c r="A95" t="s">
        <v>18</v>
      </c>
      <c r="C95">
        <v>-460.87591182400001</v>
      </c>
      <c r="D95">
        <v>-229.39912528100001</v>
      </c>
      <c r="E95">
        <v>-115.715208574</v>
      </c>
      <c r="F95">
        <f>(C95-(D95+(E95*2)))*$L$2</f>
        <v>-29.097259056449534</v>
      </c>
    </row>
    <row r="97" spans="1:10" x14ac:dyDescent="0.25">
      <c r="A97" s="6"/>
      <c r="B97" s="6"/>
      <c r="C97" s="6"/>
      <c r="D97" s="6" t="s">
        <v>75</v>
      </c>
      <c r="E97" s="6" t="s">
        <v>30</v>
      </c>
      <c r="F97" s="6" t="s">
        <v>67</v>
      </c>
      <c r="G97" s="6" t="s">
        <v>58</v>
      </c>
      <c r="H97" s="6"/>
      <c r="I97" s="6"/>
    </row>
    <row r="98" spans="1:10" x14ac:dyDescent="0.25">
      <c r="A98" s="6"/>
      <c r="B98" s="6"/>
      <c r="C98" s="6" t="s">
        <v>1</v>
      </c>
      <c r="D98" s="6" t="s">
        <v>2</v>
      </c>
      <c r="E98" s="6" t="s">
        <v>3</v>
      </c>
      <c r="F98" s="6"/>
      <c r="G98" s="6"/>
      <c r="H98" s="6" t="s">
        <v>29</v>
      </c>
      <c r="I98" s="6"/>
    </row>
    <row r="99" spans="1:10" x14ac:dyDescent="0.25">
      <c r="A99" s="6" t="s">
        <v>6</v>
      </c>
      <c r="B99" s="6" t="s">
        <v>7</v>
      </c>
      <c r="C99" s="6">
        <v>-460.729827</v>
      </c>
      <c r="D99" s="6">
        <v>-229.35169200000001</v>
      </c>
      <c r="E99" s="6">
        <v>-115.68595500000001</v>
      </c>
      <c r="F99" s="6">
        <f>(C99-(D99+(E99*2)))*$L$2</f>
        <v>-3.9062497499825359</v>
      </c>
      <c r="G99" s="6" t="s">
        <v>8</v>
      </c>
      <c r="H99" s="6">
        <v>1.9</v>
      </c>
      <c r="I99" s="6" t="s">
        <v>27</v>
      </c>
      <c r="J99" t="s">
        <v>59</v>
      </c>
    </row>
    <row r="100" spans="1:10" x14ac:dyDescent="0.25">
      <c r="A100" s="6" t="s">
        <v>9</v>
      </c>
      <c r="B100" s="6" t="s">
        <v>10</v>
      </c>
      <c r="C100" s="6">
        <v>-460.97397067600002</v>
      </c>
      <c r="D100" s="6">
        <v>-229.515029666</v>
      </c>
      <c r="E100" s="6">
        <v>-115.723635556</v>
      </c>
      <c r="F100" s="6">
        <f>(C100-(D100+(E100*2)))*$L$2</f>
        <v>-7.3229776940028932</v>
      </c>
      <c r="G100" s="6">
        <f>F100-F105</f>
        <v>21.77428136244664</v>
      </c>
      <c r="H100" s="6">
        <v>3.0279999999999999E-3</v>
      </c>
      <c r="I100" s="6" t="s">
        <v>28</v>
      </c>
    </row>
    <row r="101" spans="1:10" x14ac:dyDescent="0.25">
      <c r="A101" s="6" t="s">
        <v>11</v>
      </c>
      <c r="B101" s="6" t="s">
        <v>12</v>
      </c>
      <c r="C101" s="6">
        <v>-460.953339658</v>
      </c>
      <c r="D101" s="6">
        <v>-229.494226776</v>
      </c>
      <c r="E101" s="6">
        <v>-115.72045574000001</v>
      </c>
      <c r="F101" s="6">
        <f>(C101-(D101+(E101*2)))*$L$2</f>
        <v>-11.421561769012671</v>
      </c>
      <c r="G101" s="6">
        <f>F99+G100</f>
        <v>17.868031612464105</v>
      </c>
      <c r="H101" s="6">
        <f>(C101-C105)+C100-(E100*2)-D103-H100</f>
        <v>-0.16109439800001676</v>
      </c>
      <c r="I101" s="6"/>
    </row>
    <row r="102" spans="1:10" x14ac:dyDescent="0.25">
      <c r="A102" s="6" t="s">
        <v>13</v>
      </c>
      <c r="B102" s="6" t="s">
        <v>14</v>
      </c>
      <c r="C102" s="6"/>
      <c r="D102" s="6"/>
      <c r="E102" s="6"/>
      <c r="F102" s="6">
        <f>(C102-(D102+(E102*2)))*$L$2</f>
        <v>0</v>
      </c>
      <c r="G102" s="6">
        <f>G101+H99</f>
        <v>19.768031612464103</v>
      </c>
      <c r="H102" s="6">
        <f>H101*627.51</f>
        <v>-101.08834568899051</v>
      </c>
      <c r="I102" s="6"/>
    </row>
    <row r="103" spans="1:10" x14ac:dyDescent="0.25">
      <c r="A103" s="6" t="s">
        <v>15</v>
      </c>
      <c r="B103" s="6" t="s">
        <v>16</v>
      </c>
      <c r="C103" s="6">
        <v>-460.808424</v>
      </c>
      <c r="D103" s="6">
        <v>-229.44606099999999</v>
      </c>
      <c r="E103" s="6">
        <v>-115.691355</v>
      </c>
      <c r="F103" s="6">
        <f>(C103-(D103+(E103*2)))*$L$2</f>
        <v>12.767945969973876</v>
      </c>
      <c r="G103" s="6" t="s">
        <v>17</v>
      </c>
      <c r="H103" s="6"/>
      <c r="I103" s="6" t="s">
        <v>25</v>
      </c>
    </row>
    <row r="104" spans="1:10" x14ac:dyDescent="0.25">
      <c r="A104" s="6"/>
      <c r="B104" s="6"/>
      <c r="C104" s="6"/>
      <c r="D104" s="6"/>
      <c r="E104" s="6"/>
      <c r="F104" s="6" t="s">
        <v>16</v>
      </c>
      <c r="G104" s="6">
        <f>F103-F100</f>
        <v>20.090923663976771</v>
      </c>
      <c r="H104" s="6">
        <f>C100-C105</f>
        <v>-9.8058852000008301E-2</v>
      </c>
      <c r="I104" s="6">
        <f>H104*627.51</f>
        <v>-61.53291021852521</v>
      </c>
    </row>
    <row r="105" spans="1:10" x14ac:dyDescent="0.25">
      <c r="A105" s="6" t="s">
        <v>18</v>
      </c>
      <c r="B105" s="6"/>
      <c r="C105" s="6">
        <v>-460.87591182400001</v>
      </c>
      <c r="D105" s="6">
        <v>-229.39912528100001</v>
      </c>
      <c r="E105" s="6">
        <v>-115.715208574</v>
      </c>
      <c r="F105" s="6">
        <f>(C105-(D105+(E105*2)))*$L$2</f>
        <v>-29.097259056449534</v>
      </c>
      <c r="G105" s="6"/>
      <c r="H105" s="6"/>
      <c r="I105" s="6"/>
    </row>
    <row r="107" spans="1:10" x14ac:dyDescent="0.25">
      <c r="E107" t="s">
        <v>19</v>
      </c>
      <c r="F107" t="s">
        <v>66</v>
      </c>
    </row>
    <row r="108" spans="1:10" x14ac:dyDescent="0.25">
      <c r="C108" t="s">
        <v>20</v>
      </c>
      <c r="D108" t="s">
        <v>2</v>
      </c>
      <c r="E108" t="s">
        <v>3</v>
      </c>
      <c r="H108" t="s">
        <v>29</v>
      </c>
      <c r="J108" t="s">
        <v>21</v>
      </c>
    </row>
    <row r="109" spans="1:10" x14ac:dyDescent="0.25">
      <c r="A109" t="s">
        <v>6</v>
      </c>
      <c r="B109" t="s">
        <v>7</v>
      </c>
      <c r="C109">
        <v>-76.422173000000001</v>
      </c>
      <c r="D109">
        <v>-229.35169200000001</v>
      </c>
      <c r="E109">
        <v>-115.68595500000001</v>
      </c>
      <c r="F109">
        <f>((C109+E109+J109)-(D109+(E109*2)))*$L$2</f>
        <v>-7.1316511500075679</v>
      </c>
      <c r="G109" t="s">
        <v>8</v>
      </c>
      <c r="H109">
        <v>1.9</v>
      </c>
      <c r="I109" t="s">
        <v>27</v>
      </c>
      <c r="J109">
        <v>-268.62683900000002</v>
      </c>
    </row>
    <row r="110" spans="1:10" x14ac:dyDescent="0.25">
      <c r="A110" t="s">
        <v>9</v>
      </c>
      <c r="B110" t="s">
        <v>10</v>
      </c>
      <c r="C110">
        <v>-76.439357365999996</v>
      </c>
      <c r="D110">
        <v>-229.515029666</v>
      </c>
      <c r="E110">
        <v>-115.723635556</v>
      </c>
      <c r="F110">
        <f>((C110+J110+E110)-(D110+(E110*2)))*$L$2</f>
        <v>-2.3518089609563173</v>
      </c>
      <c r="G110">
        <f>F110-F115</f>
        <v>4.5124456826067503</v>
      </c>
      <c r="H110">
        <v>3.0279999999999999E-3</v>
      </c>
      <c r="I110" t="s">
        <v>28</v>
      </c>
      <c r="J110">
        <v>-268.80305569900003</v>
      </c>
    </row>
    <row r="111" spans="1:10" x14ac:dyDescent="0.25">
      <c r="A111" t="s">
        <v>11</v>
      </c>
      <c r="B111" t="s">
        <v>12</v>
      </c>
      <c r="C111">
        <v>-76.433568007800005</v>
      </c>
      <c r="D111">
        <v>-229.494226776</v>
      </c>
      <c r="E111">
        <v>-115.72045574000001</v>
      </c>
      <c r="F111">
        <f t="shared" ref="F111:F113" si="13">((C111+J111+E111)-(D111+(E111*2)))*$L$2</f>
        <v>-3.2731077222876732</v>
      </c>
      <c r="G111">
        <f>F109+G110</f>
        <v>-2.6192054674008176</v>
      </c>
      <c r="J111">
        <v>-268.78633053300001</v>
      </c>
    </row>
    <row r="112" spans="1:10" x14ac:dyDescent="0.25">
      <c r="A112" t="s">
        <v>13</v>
      </c>
      <c r="B112" t="s">
        <v>14</v>
      </c>
      <c r="F112">
        <f t="shared" si="13"/>
        <v>0</v>
      </c>
      <c r="G112">
        <f>G111-H109</f>
        <v>-4.519205467400818</v>
      </c>
    </row>
    <row r="113" spans="1:10" x14ac:dyDescent="0.25">
      <c r="A113" t="s">
        <v>15</v>
      </c>
      <c r="B113" t="s">
        <v>16</v>
      </c>
      <c r="C113">
        <v>-76.429713000000007</v>
      </c>
      <c r="D113">
        <v>-229.44606099999999</v>
      </c>
      <c r="E113">
        <v>-115.691355</v>
      </c>
      <c r="F113">
        <f t="shared" si="13"/>
        <v>-3.169553010023356</v>
      </c>
      <c r="G113" t="s">
        <v>17</v>
      </c>
      <c r="J113">
        <v>-268.71275400000002</v>
      </c>
    </row>
    <row r="114" spans="1:10" x14ac:dyDescent="0.25">
      <c r="F114" t="s">
        <v>26</v>
      </c>
      <c r="G114">
        <f>F113-F110</f>
        <v>-0.81774404906703868</v>
      </c>
    </row>
    <row r="115" spans="1:10" x14ac:dyDescent="0.25">
      <c r="A115" t="s">
        <v>18</v>
      </c>
      <c r="C115">
        <v>-76.426065190900005</v>
      </c>
      <c r="D115">
        <v>-229.39912528100001</v>
      </c>
      <c r="E115">
        <v>-115.715208574</v>
      </c>
      <c r="F115">
        <f t="shared" ref="F115" si="14">((C115+J115+E115)-(D115+(E115*2)))*$L$2</f>
        <v>-6.8642546435630676</v>
      </c>
      <c r="J115">
        <v>-268.69920754100002</v>
      </c>
    </row>
    <row r="117" spans="1:10" x14ac:dyDescent="0.25">
      <c r="E117" t="s">
        <v>30</v>
      </c>
      <c r="F117" t="s">
        <v>69</v>
      </c>
      <c r="G117" t="s">
        <v>0</v>
      </c>
      <c r="H117" t="s">
        <v>33</v>
      </c>
    </row>
    <row r="118" spans="1:10" x14ac:dyDescent="0.25">
      <c r="C118" t="s">
        <v>1</v>
      </c>
      <c r="D118" t="s">
        <v>2</v>
      </c>
      <c r="E118" t="s">
        <v>3</v>
      </c>
      <c r="H118" t="s">
        <v>29</v>
      </c>
    </row>
    <row r="119" spans="1:10" x14ac:dyDescent="0.25">
      <c r="A119" t="s">
        <v>6</v>
      </c>
      <c r="B119" t="s">
        <v>7</v>
      </c>
      <c r="C119">
        <v>-460.549329</v>
      </c>
      <c r="D119">
        <v>-229.25320300000001</v>
      </c>
      <c r="E119">
        <v>-115.64478099999999</v>
      </c>
      <c r="F119">
        <f>(C119-(D119+(E119*2)))*$L$2</f>
        <v>-4.1189756399805022</v>
      </c>
      <c r="G119" t="s">
        <v>8</v>
      </c>
      <c r="H119">
        <v>1.9</v>
      </c>
      <c r="I119" t="s">
        <v>27</v>
      </c>
    </row>
    <row r="120" spans="1:10" x14ac:dyDescent="0.25">
      <c r="A120" t="s">
        <v>9</v>
      </c>
      <c r="B120" t="s">
        <v>10</v>
      </c>
      <c r="C120">
        <v>-460.79258498299998</v>
      </c>
      <c r="D120">
        <v>-229.42407285199999</v>
      </c>
      <c r="E120">
        <v>-115.68331991300001</v>
      </c>
      <c r="F120">
        <f>(C120-(D120+(E120*2)))*$L$2</f>
        <v>-1.1748901105539129</v>
      </c>
      <c r="G120">
        <f>F120-F125-G124</f>
        <v>8.7989006668045526</v>
      </c>
      <c r="H120">
        <v>3.0279999999999999E-3</v>
      </c>
      <c r="I120" t="s">
        <v>28</v>
      </c>
    </row>
    <row r="121" spans="1:10" x14ac:dyDescent="0.25">
      <c r="A121" t="s">
        <v>11</v>
      </c>
      <c r="B121" t="s">
        <v>12</v>
      </c>
      <c r="C121">
        <v>-460.77069837800002</v>
      </c>
      <c r="D121">
        <v>-229.40085523499999</v>
      </c>
      <c r="E121">
        <v>-115.679667014</v>
      </c>
      <c r="F121">
        <f>(C121-(D121+(E121*2)))*$L$2</f>
        <v>-6.5945747536441912</v>
      </c>
      <c r="G121">
        <f>F119+G120</f>
        <v>4.6799250268240504</v>
      </c>
      <c r="H121">
        <f>(C121-C125)+C120-(E120*2)-D123-H120</f>
        <v>-0.15410388599997257</v>
      </c>
    </row>
    <row r="122" spans="1:10" x14ac:dyDescent="0.25">
      <c r="A122" t="s">
        <v>13</v>
      </c>
      <c r="B122" t="s">
        <v>14</v>
      </c>
      <c r="F122">
        <f>(C122-(D122+(E122*2)))*$L$2</f>
        <v>0</v>
      </c>
      <c r="G122">
        <f>G121+H119</f>
        <v>6.5799250268240499</v>
      </c>
      <c r="H122">
        <f>H121*627.51</f>
        <v>-96.701729503842785</v>
      </c>
    </row>
    <row r="123" spans="1:10" x14ac:dyDescent="0.25">
      <c r="A123" t="s">
        <v>15</v>
      </c>
      <c r="B123" t="s">
        <v>16</v>
      </c>
      <c r="C123">
        <v>-460.62907899999999</v>
      </c>
      <c r="D123">
        <v>-229.35325</v>
      </c>
      <c r="E123">
        <v>-115.6511</v>
      </c>
      <c r="F123">
        <f>(C123-(D123+(E123*2)))*$L$2</f>
        <v>16.5480662099895</v>
      </c>
      <c r="G123" t="s">
        <v>17</v>
      </c>
      <c r="I123" t="s">
        <v>25</v>
      </c>
    </row>
    <row r="124" spans="1:10" x14ac:dyDescent="0.25">
      <c r="F124" t="s">
        <v>16</v>
      </c>
      <c r="G124">
        <f>F123-F120</f>
        <v>17.722956320543414</v>
      </c>
      <c r="H124">
        <f>C120-C125</f>
        <v>-0.10026733399996601</v>
      </c>
      <c r="I124">
        <f>H124*627.51</f>
        <v>-62.91875475831867</v>
      </c>
    </row>
    <row r="125" spans="1:10" x14ac:dyDescent="0.25">
      <c r="A125" t="s">
        <v>18</v>
      </c>
      <c r="C125">
        <v>-460.69231764900002</v>
      </c>
      <c r="D125">
        <v>-229.30132155800001</v>
      </c>
      <c r="E125">
        <v>-115.67342927599999</v>
      </c>
      <c r="F125">
        <f>(C125-(D125+(E125*2)))*$L$2</f>
        <v>-27.696747097901881</v>
      </c>
    </row>
    <row r="127" spans="1:10" x14ac:dyDescent="0.25">
      <c r="E127" t="s">
        <v>30</v>
      </c>
      <c r="F127" t="s">
        <v>70</v>
      </c>
      <c r="G127" t="s">
        <v>58</v>
      </c>
      <c r="H127" t="s">
        <v>33</v>
      </c>
    </row>
    <row r="128" spans="1:10" x14ac:dyDescent="0.25">
      <c r="C128" t="s">
        <v>1</v>
      </c>
      <c r="D128" t="s">
        <v>2</v>
      </c>
      <c r="E128" t="s">
        <v>3</v>
      </c>
      <c r="H128" t="s">
        <v>29</v>
      </c>
    </row>
    <row r="129" spans="1:9" x14ac:dyDescent="0.25">
      <c r="A129" t="s">
        <v>6</v>
      </c>
      <c r="B129" t="s">
        <v>7</v>
      </c>
      <c r="C129">
        <v>-460.68625300000002</v>
      </c>
      <c r="D129">
        <v>-229.35169200000001</v>
      </c>
      <c r="E129">
        <v>-115.68595500000001</v>
      </c>
      <c r="F129">
        <f>(C129-(D129+(E129*2)))*$L$2</f>
        <v>23.436870990003811</v>
      </c>
      <c r="G129" t="s">
        <v>8</v>
      </c>
      <c r="H129">
        <v>1.9</v>
      </c>
      <c r="I129" t="s">
        <v>27</v>
      </c>
    </row>
    <row r="130" spans="1:9" x14ac:dyDescent="0.25">
      <c r="A130" t="s">
        <v>9</v>
      </c>
      <c r="B130" t="s">
        <v>10</v>
      </c>
      <c r="C130">
        <v>-460.93026194499998</v>
      </c>
      <c r="D130">
        <v>-229.515029666</v>
      </c>
      <c r="E130">
        <v>-115.723635556</v>
      </c>
      <c r="F130">
        <f>(C130-(D130+(E130*2)))*$L$2</f>
        <v>20.104688095830898</v>
      </c>
      <c r="G130">
        <f>F130-F135-G134</f>
        <v>1.2043353897957587</v>
      </c>
      <c r="H130">
        <v>3.0279999999999999E-3</v>
      </c>
      <c r="I130" t="s">
        <v>28</v>
      </c>
    </row>
    <row r="131" spans="1:9" x14ac:dyDescent="0.25">
      <c r="A131" t="s">
        <v>11</v>
      </c>
      <c r="B131" t="s">
        <v>12</v>
      </c>
      <c r="C131">
        <v>-460.90929790000001</v>
      </c>
      <c r="D131">
        <v>-229.494226776</v>
      </c>
      <c r="E131">
        <v>-115.72045574000001</v>
      </c>
      <c r="F131">
        <f>(C131-(D131+(E131*2)))*$L$2</f>
        <v>16.215081793562096</v>
      </c>
      <c r="G131">
        <f>F129+G130</f>
        <v>24.64120637979957</v>
      </c>
      <c r="H131">
        <f>(C131-C135)+C130-(E130*2)-D133-H130</f>
        <v>-0.11665574100001616</v>
      </c>
    </row>
    <row r="132" spans="1:9" x14ac:dyDescent="0.25">
      <c r="A132" t="s">
        <v>13</v>
      </c>
      <c r="B132" t="s">
        <v>14</v>
      </c>
      <c r="F132">
        <f>(C132-(D132+(E132*2)))*$L$2</f>
        <v>0</v>
      </c>
      <c r="G132">
        <f>G131+H129</f>
        <v>26.541206379799569</v>
      </c>
      <c r="H132">
        <f>H131*627.51</f>
        <v>-73.202644034920141</v>
      </c>
    </row>
    <row r="133" spans="1:9" x14ac:dyDescent="0.25">
      <c r="A133" t="s">
        <v>15</v>
      </c>
      <c r="B133" t="s">
        <v>16</v>
      </c>
      <c r="C133">
        <v>-460.763555</v>
      </c>
      <c r="D133">
        <v>-229.44606099999999</v>
      </c>
      <c r="E133">
        <v>-115.691355</v>
      </c>
      <c r="F133">
        <f>(C133-(D133+(E133*2)))*$L$2</f>
        <v>40.923692159977392</v>
      </c>
      <c r="G133" t="s">
        <v>17</v>
      </c>
      <c r="I133" t="s">
        <v>25</v>
      </c>
    </row>
    <row r="134" spans="1:9" x14ac:dyDescent="0.25">
      <c r="F134" t="s">
        <v>16</v>
      </c>
      <c r="G134">
        <f>F133-F130</f>
        <v>20.819004064146494</v>
      </c>
      <c r="H134">
        <f>C130-C135</f>
        <v>-9.7661952999999357E-2</v>
      </c>
      <c r="I134">
        <f>H134*627.51</f>
        <v>-61.283852127029597</v>
      </c>
    </row>
    <row r="135" spans="1:9" x14ac:dyDescent="0.25">
      <c r="A135" t="s">
        <v>18</v>
      </c>
      <c r="C135">
        <v>-460.83259999199998</v>
      </c>
      <c r="D135">
        <v>-229.39912528100001</v>
      </c>
      <c r="E135">
        <v>-115.715208574</v>
      </c>
      <c r="F135">
        <f>(C135-(D135+(E135*2)))*$L$2</f>
        <v>-1.9186513581113547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Normal="100" zoomScalePageLayoutView="163" workbookViewId="0">
      <selection activeCell="U11" sqref="U11"/>
    </sheetView>
  </sheetViews>
  <sheetFormatPr defaultColWidth="8.85546875" defaultRowHeight="15" x14ac:dyDescent="0.25"/>
  <cols>
    <col min="9" max="9" width="9.42578125" customWidth="1"/>
    <col min="17" max="17" width="12" bestFit="1" customWidth="1"/>
  </cols>
  <sheetData>
    <row r="1" spans="1:18" x14ac:dyDescent="0.2">
      <c r="E1" t="s">
        <v>44</v>
      </c>
      <c r="G1" t="s">
        <v>34</v>
      </c>
      <c r="H1" t="s">
        <v>45</v>
      </c>
    </row>
    <row r="2" spans="1:18" x14ac:dyDescent="0.25">
      <c r="G2" t="s">
        <v>37</v>
      </c>
      <c r="H2" s="4" t="s">
        <v>68</v>
      </c>
      <c r="K2" t="s">
        <v>46</v>
      </c>
      <c r="L2">
        <v>1.9870000000000001</v>
      </c>
      <c r="N2">
        <f>6.212</f>
        <v>6.2119999999999997</v>
      </c>
    </row>
    <row r="3" spans="1:18" x14ac:dyDescent="0.2">
      <c r="C3" t="s">
        <v>1</v>
      </c>
      <c r="D3" t="s">
        <v>2</v>
      </c>
      <c r="E3" t="s">
        <v>3</v>
      </c>
      <c r="I3" t="s">
        <v>4</v>
      </c>
      <c r="J3" t="s">
        <v>5</v>
      </c>
      <c r="K3" t="s">
        <v>47</v>
      </c>
      <c r="L3">
        <v>1.3806619999999999E-23</v>
      </c>
      <c r="N3">
        <f>N2*1000000000000</f>
        <v>6212000000000</v>
      </c>
    </row>
    <row r="4" spans="1:18" x14ac:dyDescent="0.25">
      <c r="A4" t="s">
        <v>6</v>
      </c>
      <c r="B4" t="s">
        <v>7</v>
      </c>
      <c r="C4">
        <v>-460.729827</v>
      </c>
      <c r="D4">
        <v>-229.04463200000001</v>
      </c>
      <c r="E4">
        <v>-115.68595500000001</v>
      </c>
      <c r="F4">
        <f>((C4+J4)-(D4+I4+E4*2))*$L$9</f>
        <v>141.13264659001575</v>
      </c>
      <c r="G4" t="s">
        <v>8</v>
      </c>
      <c r="H4">
        <v>1.9</v>
      </c>
      <c r="I4" s="2">
        <v>-460.80908899999997</v>
      </c>
      <c r="J4">
        <v>-460.270895</v>
      </c>
      <c r="K4" t="s">
        <v>48</v>
      </c>
      <c r="L4">
        <v>6.6261759999999997E-34</v>
      </c>
      <c r="M4" t="s">
        <v>49</v>
      </c>
      <c r="N4">
        <f>L2*L5</f>
        <v>592.42404999999997</v>
      </c>
      <c r="Q4" t="s">
        <v>50</v>
      </c>
      <c r="R4" t="s">
        <v>51</v>
      </c>
    </row>
    <row r="5" spans="1:18" x14ac:dyDescent="0.25">
      <c r="A5" t="s">
        <v>9</v>
      </c>
      <c r="B5" t="s">
        <v>10</v>
      </c>
      <c r="C5">
        <v>-460.97397067600002</v>
      </c>
      <c r="D5">
        <v>-229.09704092699999</v>
      </c>
      <c r="E5">
        <v>-115.723635556</v>
      </c>
      <c r="F5">
        <f t="shared" ref="F5:F10" si="0">((C5+J5)-(D5+I5+E5*2))*$L$9</f>
        <v>6.3002110676307845</v>
      </c>
      <c r="G5">
        <f>F5-F10-G9</f>
        <v>-134.98349098449853</v>
      </c>
      <c r="H5">
        <v>3.0279999999999999E-3</v>
      </c>
      <c r="I5" s="2">
        <v>-460.80368080599999</v>
      </c>
      <c r="J5">
        <v>-460.36398215200001</v>
      </c>
      <c r="K5" t="s">
        <v>52</v>
      </c>
      <c r="L5">
        <v>298.14999999999998</v>
      </c>
      <c r="N5">
        <v>-460.36573199999998</v>
      </c>
      <c r="Q5">
        <f>$N$3*(EXP(1)^(-G7*$K$8/$N$4))</f>
        <v>7808236.020075147</v>
      </c>
      <c r="R5">
        <f>LN(Q5)</f>
        <v>15.870689634599145</v>
      </c>
    </row>
    <row r="6" spans="1:18" x14ac:dyDescent="0.25">
      <c r="A6" t="s">
        <v>11</v>
      </c>
      <c r="B6" t="s">
        <v>12</v>
      </c>
      <c r="C6">
        <v>-460.953339658</v>
      </c>
      <c r="D6">
        <v>-229.092376548</v>
      </c>
      <c r="E6">
        <v>-115.72045574000001</v>
      </c>
      <c r="F6">
        <f t="shared" si="0"/>
        <v>7.0121989739970747</v>
      </c>
      <c r="G6">
        <f>F4+G5</f>
        <v>6.1491556055172225</v>
      </c>
      <c r="H6">
        <f>(C6-C10)+C5-(E5*2)-D8-H5</f>
        <v>-0.5500713979999996</v>
      </c>
      <c r="I6" s="2">
        <v>-460.80111967400001</v>
      </c>
      <c r="J6">
        <v>-460.36989340299999</v>
      </c>
      <c r="L6" t="s">
        <v>53</v>
      </c>
      <c r="N6">
        <f>N5-G6</f>
        <v>-466.51488760551717</v>
      </c>
    </row>
    <row r="7" spans="1:18" x14ac:dyDescent="0.25">
      <c r="A7" t="s">
        <v>13</v>
      </c>
      <c r="B7" t="s">
        <v>14</v>
      </c>
      <c r="F7">
        <f t="shared" si="0"/>
        <v>0</v>
      </c>
      <c r="G7" s="4">
        <f>G6+H4</f>
        <v>8.0491556055172229</v>
      </c>
      <c r="H7">
        <f>H6*627.51</f>
        <v>-345.17530295897973</v>
      </c>
      <c r="I7" s="2"/>
    </row>
    <row r="8" spans="1:18" ht="15.95" x14ac:dyDescent="0.2">
      <c r="A8" t="s">
        <v>15</v>
      </c>
      <c r="B8" t="s">
        <v>16</v>
      </c>
      <c r="C8">
        <v>-460.808424</v>
      </c>
      <c r="D8">
        <v>-229.057084</v>
      </c>
      <c r="E8">
        <v>-115.691355</v>
      </c>
      <c r="F8">
        <f t="shared" si="0"/>
        <v>36.782126159946912</v>
      </c>
      <c r="G8" t="s">
        <v>17</v>
      </c>
      <c r="I8" s="1">
        <v>-460.812162</v>
      </c>
      <c r="J8">
        <v>-460.38491599999998</v>
      </c>
      <c r="K8">
        <v>1000</v>
      </c>
    </row>
    <row r="9" spans="1:18" x14ac:dyDescent="0.2">
      <c r="F9" t="s">
        <v>26</v>
      </c>
      <c r="G9">
        <f>F8-F5</f>
        <v>30.481915092316129</v>
      </c>
      <c r="H9">
        <f>C5-C10</f>
        <v>-9.8058852000008301E-2</v>
      </c>
      <c r="I9">
        <v>-25.363445289375278</v>
      </c>
      <c r="L9">
        <v>627.51</v>
      </c>
    </row>
    <row r="10" spans="1:18" x14ac:dyDescent="0.2">
      <c r="A10" t="s">
        <v>18</v>
      </c>
      <c r="C10">
        <v>-460.87591182400001</v>
      </c>
      <c r="D10">
        <v>-229.07988255199999</v>
      </c>
      <c r="E10">
        <v>-115.715208574</v>
      </c>
      <c r="F10">
        <f t="shared" si="0"/>
        <v>110.8017869598132</v>
      </c>
      <c r="I10" s="2">
        <v>-460.798058438</v>
      </c>
      <c r="J10">
        <v>-460.25587257500001</v>
      </c>
    </row>
    <row r="13" spans="1:18" x14ac:dyDescent="0.25">
      <c r="E13" t="s">
        <v>54</v>
      </c>
      <c r="G13" t="s">
        <v>37</v>
      </c>
      <c r="K13" t="s">
        <v>46</v>
      </c>
      <c r="L13">
        <v>1.9870000000000001</v>
      </c>
      <c r="N13">
        <f>6.212</f>
        <v>6.2119999999999997</v>
      </c>
    </row>
    <row r="14" spans="1:18" x14ac:dyDescent="0.25">
      <c r="C14" t="s">
        <v>1</v>
      </c>
      <c r="D14" t="s">
        <v>2</v>
      </c>
      <c r="E14" t="s">
        <v>3</v>
      </c>
      <c r="I14" t="s">
        <v>4</v>
      </c>
      <c r="J14" t="s">
        <v>5</v>
      </c>
      <c r="K14" t="s">
        <v>47</v>
      </c>
      <c r="L14">
        <v>1.3806619999999999E-23</v>
      </c>
      <c r="N14">
        <f>N13*1000000000000</f>
        <v>6212000000000</v>
      </c>
      <c r="O14" t="s">
        <v>20</v>
      </c>
    </row>
    <row r="15" spans="1:18" x14ac:dyDescent="0.25">
      <c r="A15" t="s">
        <v>6</v>
      </c>
      <c r="B15" t="s">
        <v>7</v>
      </c>
      <c r="C15">
        <v>-268.62683900000002</v>
      </c>
      <c r="D15">
        <v>-229.04463200000001</v>
      </c>
      <c r="E15">
        <v>-115.68595500000001</v>
      </c>
      <c r="F15">
        <f>((C15+E15+J15+O15)-(D15+I15+E15*2))*$L$9</f>
        <v>137.90724518995506</v>
      </c>
      <c r="G15" t="s">
        <v>8</v>
      </c>
      <c r="H15">
        <v>1.9</v>
      </c>
      <c r="I15">
        <v>-460.80908899999997</v>
      </c>
      <c r="J15">
        <v>-460.270895</v>
      </c>
      <c r="K15" t="s">
        <v>48</v>
      </c>
      <c r="L15">
        <v>6.6261759999999997E-34</v>
      </c>
      <c r="M15" t="s">
        <v>49</v>
      </c>
      <c r="N15">
        <f>L13*L16</f>
        <v>592.42404999999997</v>
      </c>
      <c r="O15">
        <v>-76.422173000000001</v>
      </c>
      <c r="Q15" t="s">
        <v>50</v>
      </c>
      <c r="R15" t="s">
        <v>51</v>
      </c>
    </row>
    <row r="16" spans="1:18" x14ac:dyDescent="0.25">
      <c r="A16" t="s">
        <v>9</v>
      </c>
      <c r="B16" t="s">
        <v>10</v>
      </c>
      <c r="C16">
        <v>-268.80305569900003</v>
      </c>
      <c r="D16">
        <v>-229.09704092699999</v>
      </c>
      <c r="E16">
        <v>-115.723635556</v>
      </c>
      <c r="F16">
        <f t="shared" ref="F16:F21" si="1">((C16+E16+J16+O16)-(D16+I16+E16*2))*$L$9</f>
        <v>11.27137980060602</v>
      </c>
      <c r="G16">
        <f>F16-G20-F21</f>
        <v>-131.33665895150864</v>
      </c>
      <c r="H16">
        <v>3.0279999999999999E-3</v>
      </c>
      <c r="I16">
        <v>-460.80368080599999</v>
      </c>
      <c r="J16">
        <v>-460.36398215200001</v>
      </c>
      <c r="K16" t="s">
        <v>52</v>
      </c>
      <c r="L16">
        <v>298.14999999999998</v>
      </c>
      <c r="N16">
        <v>-460.36573199999998</v>
      </c>
      <c r="O16">
        <v>-76.439357365999996</v>
      </c>
      <c r="Q16">
        <f>$N$3*(EXP(1)^(-G18*$K$8/$N$4))</f>
        <v>3833631.6285396768</v>
      </c>
      <c r="R16">
        <f>LN(Q16)</f>
        <v>15.159323117778635</v>
      </c>
    </row>
    <row r="17" spans="1:18" x14ac:dyDescent="0.25">
      <c r="A17" t="s">
        <v>11</v>
      </c>
      <c r="B17" t="s">
        <v>12</v>
      </c>
      <c r="C17">
        <v>-268.78633053300001</v>
      </c>
      <c r="D17">
        <v>-229.092376548</v>
      </c>
      <c r="E17">
        <v>-115.72045574000001</v>
      </c>
      <c r="F17">
        <f t="shared" si="1"/>
        <v>15.160653020793411</v>
      </c>
      <c r="G17">
        <f>F15+G16</f>
        <v>6.570586238446424</v>
      </c>
      <c r="H17">
        <f>(C17-C21)+C16-(E16*2)-D19-H16</f>
        <v>191.611148421</v>
      </c>
      <c r="I17">
        <v>-460.80111967400001</v>
      </c>
      <c r="J17">
        <v>-460.36989340299999</v>
      </c>
      <c r="L17" t="s">
        <v>53</v>
      </c>
      <c r="N17">
        <f>N16-G17</f>
        <v>-466.9363182384464</v>
      </c>
      <c r="O17">
        <v>-76.433568007800005</v>
      </c>
    </row>
    <row r="18" spans="1:18" x14ac:dyDescent="0.25">
      <c r="A18" t="s">
        <v>13</v>
      </c>
      <c r="B18" t="s">
        <v>14</v>
      </c>
      <c r="F18">
        <f t="shared" si="1"/>
        <v>0</v>
      </c>
      <c r="G18">
        <f>G17+H15</f>
        <v>8.4705862384464243</v>
      </c>
      <c r="H18">
        <f>H17*627.51</f>
        <v>120237.91174566171</v>
      </c>
    </row>
    <row r="19" spans="1:18" x14ac:dyDescent="0.25">
      <c r="A19" t="s">
        <v>15</v>
      </c>
      <c r="B19" t="s">
        <v>16</v>
      </c>
      <c r="C19">
        <v>-268.71275400000002</v>
      </c>
      <c r="D19">
        <v>-229.057084</v>
      </c>
      <c r="E19">
        <v>-115.691355</v>
      </c>
      <c r="F19">
        <f t="shared" si="1"/>
        <v>20.844627179949679</v>
      </c>
      <c r="G19" t="s">
        <v>17</v>
      </c>
      <c r="I19">
        <v>-460.812162</v>
      </c>
      <c r="J19">
        <v>-460.38491599999998</v>
      </c>
      <c r="K19">
        <v>1000</v>
      </c>
      <c r="O19">
        <v>-76.429713000000007</v>
      </c>
    </row>
    <row r="20" spans="1:18" x14ac:dyDescent="0.25">
      <c r="F20" t="s">
        <v>26</v>
      </c>
      <c r="G20">
        <f>F19-F16</f>
        <v>9.573247379343659</v>
      </c>
      <c r="H20">
        <f>C16-C21</f>
        <v>-0.10384815800000524</v>
      </c>
      <c r="I20">
        <v>-25.363445289375278</v>
      </c>
      <c r="L20">
        <v>627.51</v>
      </c>
    </row>
    <row r="21" spans="1:18" x14ac:dyDescent="0.25">
      <c r="A21" t="s">
        <v>18</v>
      </c>
      <c r="C21">
        <v>-268.69920754100002</v>
      </c>
      <c r="D21">
        <v>-229.07988255199999</v>
      </c>
      <c r="E21">
        <v>-115.715208574</v>
      </c>
      <c r="F21">
        <f t="shared" si="1"/>
        <v>133.034791372771</v>
      </c>
      <c r="I21">
        <v>-460.798058438</v>
      </c>
      <c r="J21">
        <v>-460.25587257500001</v>
      </c>
      <c r="O21">
        <v>-76.426065190900005</v>
      </c>
    </row>
    <row r="23" spans="1:18" x14ac:dyDescent="0.25">
      <c r="E23" t="s">
        <v>55</v>
      </c>
      <c r="G23" t="s">
        <v>37</v>
      </c>
      <c r="K23" t="s">
        <v>46</v>
      </c>
      <c r="L23">
        <v>1.9870000000000001</v>
      </c>
      <c r="N23">
        <f>6.212</f>
        <v>6.2119999999999997</v>
      </c>
    </row>
    <row r="24" spans="1:18" x14ac:dyDescent="0.25">
      <c r="C24" t="s">
        <v>1</v>
      </c>
      <c r="D24" t="s">
        <v>2</v>
      </c>
      <c r="E24" t="s">
        <v>3</v>
      </c>
      <c r="I24" t="s">
        <v>4</v>
      </c>
      <c r="J24" t="s">
        <v>5</v>
      </c>
      <c r="K24" t="s">
        <v>47</v>
      </c>
      <c r="L24">
        <v>1.3806619999999999E-23</v>
      </c>
      <c r="N24">
        <f>N23*1000000000000</f>
        <v>6212000000000</v>
      </c>
    </row>
    <row r="25" spans="1:18" x14ac:dyDescent="0.25">
      <c r="A25" t="s">
        <v>6</v>
      </c>
      <c r="B25" t="s">
        <v>7</v>
      </c>
      <c r="C25">
        <v>-729.081096</v>
      </c>
      <c r="D25">
        <v>-229.04463200000001</v>
      </c>
      <c r="E25">
        <v>-115.68595500000001</v>
      </c>
      <c r="F25">
        <f>((C25+O15+E25)-(D25+I25+E25*2))*$L$9</f>
        <v>22.845756569962429</v>
      </c>
      <c r="G25" t="s">
        <v>8</v>
      </c>
      <c r="H25">
        <v>1.9</v>
      </c>
      <c r="I25">
        <v>-460.80908899999997</v>
      </c>
      <c r="J25">
        <v>-460.270895</v>
      </c>
      <c r="K25" t="s">
        <v>48</v>
      </c>
      <c r="L25">
        <v>6.6261759999999997E-34</v>
      </c>
      <c r="M25" t="s">
        <v>49</v>
      </c>
      <c r="N25">
        <f>L23*L26</f>
        <v>592.42404999999997</v>
      </c>
      <c r="Q25" t="s">
        <v>50</v>
      </c>
      <c r="R25" t="s">
        <v>51</v>
      </c>
    </row>
    <row r="26" spans="1:18" x14ac:dyDescent="0.25">
      <c r="A26" t="s">
        <v>9</v>
      </c>
      <c r="B26" t="s">
        <v>10</v>
      </c>
      <c r="C26">
        <v>-729.17107558999999</v>
      </c>
      <c r="D26">
        <v>-229.09704092699999</v>
      </c>
      <c r="E26">
        <v>-115.723635556</v>
      </c>
      <c r="F26">
        <f>((C26+O16+E26)-(D26+I26+E26*2))*$L$9</f>
        <v>8.7376582008156909</v>
      </c>
      <c r="G26">
        <f>F26-G30-F31</f>
        <v>-13.330993185421194</v>
      </c>
      <c r="H26">
        <v>3.0279999999999999E-3</v>
      </c>
      <c r="I26">
        <v>-460.80368080599999</v>
      </c>
      <c r="J26">
        <v>-460.36398215200001</v>
      </c>
      <c r="K26" t="s">
        <v>52</v>
      </c>
      <c r="L26">
        <v>298.14999999999998</v>
      </c>
      <c r="N26">
        <v>-460.36573199999998</v>
      </c>
      <c r="Q26">
        <f>$N$3*(EXP(1)^(-G28*$K$8/$N$4))</f>
        <v>26625.128249584421</v>
      </c>
      <c r="R26">
        <f>LN(Q26)</f>
        <v>10.189610719885925</v>
      </c>
    </row>
    <row r="27" spans="1:18" x14ac:dyDescent="0.25">
      <c r="A27" t="s">
        <v>11</v>
      </c>
      <c r="B27" t="s">
        <v>12</v>
      </c>
      <c r="C27">
        <v>-729.16783508399999</v>
      </c>
      <c r="D27">
        <v>-229.092376548</v>
      </c>
      <c r="E27">
        <v>-115.72045574000001</v>
      </c>
      <c r="F27">
        <f>((C27+O17+E27)-(D27+I27+E27*2))*$L$9</f>
        <v>7.8745415392866152</v>
      </c>
      <c r="G27">
        <f>F25+G26</f>
        <v>9.5147633845412347</v>
      </c>
      <c r="H27">
        <f>(C27-C31)+C26-(E26*2)-D29-H26</f>
        <v>-268.68724112699999</v>
      </c>
      <c r="I27">
        <v>-460.80111967400001</v>
      </c>
      <c r="J27">
        <v>-460.36989340299999</v>
      </c>
      <c r="L27" t="s">
        <v>53</v>
      </c>
      <c r="N27">
        <f>N26-G27</f>
        <v>-469.88049538454123</v>
      </c>
    </row>
    <row r="28" spans="1:18" x14ac:dyDescent="0.25">
      <c r="A28" t="s">
        <v>13</v>
      </c>
      <c r="B28" t="s">
        <v>14</v>
      </c>
      <c r="F28">
        <f>((C28+O18+E28)-(D28+I28+E28*2))*$L$9</f>
        <v>0</v>
      </c>
      <c r="G28">
        <f>G27+H25</f>
        <v>11.414763384541235</v>
      </c>
      <c r="H28">
        <f>H27*627.51</f>
        <v>-168603.93067960377</v>
      </c>
    </row>
    <row r="29" spans="1:18" x14ac:dyDescent="0.25">
      <c r="A29" t="s">
        <v>15</v>
      </c>
      <c r="B29" t="s">
        <v>16</v>
      </c>
      <c r="C29">
        <v>-729.09853699999996</v>
      </c>
      <c r="D29">
        <v>-229.057084</v>
      </c>
      <c r="E29">
        <v>-115.691355</v>
      </c>
      <c r="F29">
        <f>((C29+O19+E29)-(D29+I29+E29*2))*$L$9</f>
        <v>20.300576009967823</v>
      </c>
      <c r="G29" t="s">
        <v>17</v>
      </c>
      <c r="I29">
        <v>-460.812162</v>
      </c>
      <c r="J29">
        <v>-460.38491599999998</v>
      </c>
      <c r="K29">
        <v>1000</v>
      </c>
    </row>
    <row r="30" spans="1:18" x14ac:dyDescent="0.25">
      <c r="F30" t="s">
        <v>16</v>
      </c>
      <c r="G30">
        <f>F29-F26</f>
        <v>11.562917809152133</v>
      </c>
      <c r="H30">
        <f>C26-C31</f>
        <v>-2.0733155000016268E-2</v>
      </c>
      <c r="I30">
        <v>-25.363445289375278</v>
      </c>
      <c r="L30">
        <v>627.51</v>
      </c>
    </row>
    <row r="31" spans="1:18" x14ac:dyDescent="0.25">
      <c r="A31" t="s">
        <v>18</v>
      </c>
      <c r="C31">
        <v>-729.15034243499997</v>
      </c>
      <c r="D31">
        <v>-229.07988255199999</v>
      </c>
      <c r="E31">
        <v>-115.715208574</v>
      </c>
      <c r="F31">
        <f>((C31+O21+E31)-(D31+I31+E31*2))*$L$9</f>
        <v>10.505733577084753</v>
      </c>
      <c r="I31">
        <v>-460.798058438</v>
      </c>
      <c r="J31">
        <v>-460.25587257500001</v>
      </c>
    </row>
    <row r="33" spans="1:18" x14ac:dyDescent="0.25">
      <c r="E33" t="s">
        <v>56</v>
      </c>
      <c r="G33" t="s">
        <v>37</v>
      </c>
      <c r="K33" t="s">
        <v>46</v>
      </c>
      <c r="L33">
        <v>1.9870000000000001</v>
      </c>
      <c r="N33">
        <f>6.212</f>
        <v>6.2119999999999997</v>
      </c>
    </row>
    <row r="34" spans="1:18" x14ac:dyDescent="0.25">
      <c r="C34" t="s">
        <v>57</v>
      </c>
      <c r="D34" t="s">
        <v>2</v>
      </c>
      <c r="E34" t="s">
        <v>3</v>
      </c>
      <c r="I34" t="s">
        <v>4</v>
      </c>
      <c r="J34" t="s">
        <v>5</v>
      </c>
      <c r="K34" t="s">
        <v>47</v>
      </c>
      <c r="L34">
        <v>1.3806619999999999E-23</v>
      </c>
      <c r="N34">
        <f>N33*1000000000000</f>
        <v>6212000000000</v>
      </c>
    </row>
    <row r="35" spans="1:18" x14ac:dyDescent="0.25">
      <c r="A35" t="s">
        <v>6</v>
      </c>
      <c r="B35" t="s">
        <v>7</v>
      </c>
      <c r="C35">
        <v>-268.32083799999998</v>
      </c>
      <c r="D35">
        <v>-229.04463200000001</v>
      </c>
      <c r="E35">
        <v>-115.68595500000001</v>
      </c>
      <c r="F35">
        <f>((C35+E35+O15+I4)-(D35+I35+E35*2))*$L$9</f>
        <v>-7.796184240006264</v>
      </c>
      <c r="G35" t="s">
        <v>8</v>
      </c>
      <c r="H35">
        <v>1.9</v>
      </c>
      <c r="I35">
        <v>-460.80908899999997</v>
      </c>
      <c r="J35">
        <v>-460.270895</v>
      </c>
      <c r="K35" t="s">
        <v>48</v>
      </c>
      <c r="L35">
        <v>6.6261759999999997E-34</v>
      </c>
      <c r="M35" t="s">
        <v>49</v>
      </c>
      <c r="N35">
        <f>L33*L36</f>
        <v>592.42404999999997</v>
      </c>
      <c r="Q35" t="s">
        <v>50</v>
      </c>
      <c r="R35" t="s">
        <v>51</v>
      </c>
    </row>
    <row r="36" spans="1:18" x14ac:dyDescent="0.25">
      <c r="A36" t="s">
        <v>9</v>
      </c>
      <c r="B36" t="s">
        <v>10</v>
      </c>
      <c r="C36">
        <v>-268.39006411100002</v>
      </c>
      <c r="D36">
        <v>-229.09704092699999</v>
      </c>
      <c r="E36">
        <v>-115.723635556</v>
      </c>
      <c r="F36">
        <f>((C36+E36+O16+I5)-(D36+I36+E36*2))*$L$9</f>
        <v>-5.48757118496491</v>
      </c>
      <c r="G36">
        <f>F36-F41-G40</f>
        <v>2.4988162934298419</v>
      </c>
      <c r="H36">
        <v>3.0279999999999999E-3</v>
      </c>
      <c r="I36">
        <v>-460.80368080599999</v>
      </c>
      <c r="J36">
        <v>-460.36398215200001</v>
      </c>
      <c r="K36" t="s">
        <v>52</v>
      </c>
      <c r="L36">
        <v>298.14999999999998</v>
      </c>
      <c r="N36">
        <v>-460.36573199999998</v>
      </c>
      <c r="Q36">
        <f>$N$3*(EXP(1)^(-G38*$K$8/$N$4))</f>
        <v>1.1734945904216525E+18</v>
      </c>
      <c r="R36">
        <f>LN(Q36)</f>
        <v>41.606517800409847</v>
      </c>
    </row>
    <row r="37" spans="1:18" x14ac:dyDescent="0.25">
      <c r="A37" t="s">
        <v>11</v>
      </c>
      <c r="B37" t="s">
        <v>12</v>
      </c>
      <c r="C37">
        <v>-268.38836620799998</v>
      </c>
      <c r="D37">
        <v>-229.092376548</v>
      </c>
      <c r="E37">
        <v>-115.72045574000001</v>
      </c>
      <c r="F37">
        <f>((C37+E37+O17+I6)-(D37+I37+E37*2))*$L$9</f>
        <v>-5.711550713690893</v>
      </c>
      <c r="G37">
        <f>F35+G36</f>
        <v>-5.2973679465764221</v>
      </c>
      <c r="H37">
        <f>(C37-C41)+C36-(E36*2)-D39-H36</f>
        <v>192.10530683000002</v>
      </c>
      <c r="I37">
        <v>-460.80111967400001</v>
      </c>
      <c r="J37">
        <v>-460.36989340299999</v>
      </c>
      <c r="L37" t="s">
        <v>53</v>
      </c>
      <c r="N37">
        <f>N36-G37</f>
        <v>-455.06836405342358</v>
      </c>
    </row>
    <row r="38" spans="1:18" x14ac:dyDescent="0.25">
      <c r="A38" t="s">
        <v>13</v>
      </c>
      <c r="B38" t="s">
        <v>14</v>
      </c>
      <c r="F38">
        <f>((C38+E38+O18+I7)-(D38+I38+E38*2))*$L$9</f>
        <v>0</v>
      </c>
      <c r="G38">
        <f>G37-H35</f>
        <v>-7.1973679465764224</v>
      </c>
      <c r="H38">
        <f>H37*627.51</f>
        <v>120548.0010888933</v>
      </c>
    </row>
    <row r="39" spans="1:18" x14ac:dyDescent="0.25">
      <c r="A39" t="s">
        <v>15</v>
      </c>
      <c r="B39" t="s">
        <v>16</v>
      </c>
      <c r="C39">
        <v>-268.32681400000001</v>
      </c>
      <c r="D39">
        <v>-229.057084</v>
      </c>
      <c r="E39">
        <v>-115.691355</v>
      </c>
      <c r="F39">
        <f>((C39+E39+O19+I8)-(D39+I39+E39*2))*$L$9</f>
        <v>-5.0753008800272301</v>
      </c>
      <c r="G39" t="s">
        <v>17</v>
      </c>
      <c r="I39">
        <v>-460.812162</v>
      </c>
      <c r="J39">
        <v>-460.38491599999998</v>
      </c>
      <c r="K39">
        <v>1000</v>
      </c>
    </row>
    <row r="40" spans="1:18" x14ac:dyDescent="0.25">
      <c r="F40" t="s">
        <v>26</v>
      </c>
      <c r="G40">
        <f>F39-F36</f>
        <v>0.41227030493767991</v>
      </c>
      <c r="H40">
        <f>C36-C41</f>
        <v>-7.6540740000154983E-3</v>
      </c>
      <c r="I40">
        <v>-25.363445289375278</v>
      </c>
      <c r="L40">
        <v>627.51</v>
      </c>
    </row>
    <row r="41" spans="1:18" x14ac:dyDescent="0.25">
      <c r="A41" t="s">
        <v>18</v>
      </c>
      <c r="C41">
        <v>-268.382410037</v>
      </c>
      <c r="D41">
        <v>-229.07988255199999</v>
      </c>
      <c r="E41">
        <v>-115.715208574</v>
      </c>
      <c r="F41">
        <f>((C41+E41+O21+I10)-(D41+I41+E41*2))*$L$9</f>
        <v>-8.3986577833324318</v>
      </c>
      <c r="I41">
        <v>-460.798058438</v>
      </c>
      <c r="J41">
        <v>-460.25587257500001</v>
      </c>
    </row>
    <row r="59" spans="19:22" x14ac:dyDescent="0.25">
      <c r="S59">
        <v>11.41</v>
      </c>
      <c r="T59">
        <v>-3.4</v>
      </c>
      <c r="U59">
        <v>-3.4</v>
      </c>
      <c r="V59">
        <v>-3.4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workbookViewId="0">
      <selection activeCell="F16" sqref="F16"/>
    </sheetView>
  </sheetViews>
  <sheetFormatPr defaultColWidth="8.85546875" defaultRowHeight="15" x14ac:dyDescent="0.25"/>
  <sheetData>
    <row r="1" spans="1:18" x14ac:dyDescent="0.25">
      <c r="E1" t="s">
        <v>60</v>
      </c>
      <c r="G1" t="s">
        <v>34</v>
      </c>
      <c r="H1" t="s">
        <v>45</v>
      </c>
    </row>
    <row r="2" spans="1:18" x14ac:dyDescent="0.25">
      <c r="G2" t="s">
        <v>37</v>
      </c>
      <c r="K2" t="s">
        <v>46</v>
      </c>
      <c r="L2">
        <v>1.9870000000000001</v>
      </c>
      <c r="N2">
        <f>6.212</f>
        <v>6.2119999999999997</v>
      </c>
    </row>
    <row r="3" spans="1:18" x14ac:dyDescent="0.25">
      <c r="C3" t="s">
        <v>1</v>
      </c>
      <c r="D3" t="s">
        <v>2</v>
      </c>
      <c r="E3" t="s">
        <v>3</v>
      </c>
      <c r="I3" t="s">
        <v>4</v>
      </c>
      <c r="J3" t="s">
        <v>5</v>
      </c>
      <c r="K3" t="s">
        <v>47</v>
      </c>
      <c r="L3">
        <v>1.3806619999999999E-23</v>
      </c>
      <c r="N3">
        <f>N2*1000000000000</f>
        <v>6212000000000</v>
      </c>
    </row>
    <row r="4" spans="1:18" x14ac:dyDescent="0.25">
      <c r="A4" t="s">
        <v>6</v>
      </c>
      <c r="B4" t="s">
        <v>7</v>
      </c>
      <c r="C4">
        <v>-484.75752999999997</v>
      </c>
      <c r="D4">
        <v>-253.081806</v>
      </c>
      <c r="E4">
        <v>-115.68595500000001</v>
      </c>
      <c r="F4">
        <f>((C4+J4)-(D4+I4+E4*2))*$L$9</f>
        <v>147.07579380006342</v>
      </c>
      <c r="G4" t="s">
        <v>8</v>
      </c>
      <c r="H4">
        <v>1.9</v>
      </c>
      <c r="I4">
        <v>-460.80908899999997</v>
      </c>
      <c r="J4">
        <v>-460.270895</v>
      </c>
      <c r="K4" t="s">
        <v>48</v>
      </c>
      <c r="L4">
        <v>6.6261759999999997E-34</v>
      </c>
      <c r="M4" t="s">
        <v>49</v>
      </c>
      <c r="N4">
        <f>L2*L5</f>
        <v>592.42404999999997</v>
      </c>
      <c r="Q4" t="s">
        <v>50</v>
      </c>
      <c r="R4" t="s">
        <v>51</v>
      </c>
    </row>
    <row r="5" spans="1:18" x14ac:dyDescent="0.25">
      <c r="A5" t="s">
        <v>9</v>
      </c>
      <c r="B5" t="s">
        <v>10</v>
      </c>
      <c r="C5">
        <v>-485.00211257199999</v>
      </c>
      <c r="D5">
        <v>-253.11088940600001</v>
      </c>
      <c r="E5">
        <v>-115.723635556</v>
      </c>
      <c r="F5">
        <f t="shared" ref="F5:F10" si="0">((C5+J5)-(D5+I5+E5*2))*$L$9</f>
        <v>24.747449470318443</v>
      </c>
      <c r="G5">
        <f>F5-G9-F10</f>
        <v>-133.15197629262866</v>
      </c>
      <c r="H5">
        <v>3.0279999999999999E-3</v>
      </c>
      <c r="I5">
        <v>-460.80088843800002</v>
      </c>
      <c r="J5">
        <v>-460.31749884599998</v>
      </c>
      <c r="K5" t="s">
        <v>52</v>
      </c>
      <c r="L5">
        <v>298.14999999999998</v>
      </c>
      <c r="N5">
        <v>-460.36573199999998</v>
      </c>
      <c r="Q5">
        <f>$N$3*(EXP(1)^(-G7*$K$8/$N$4))</f>
        <v>15.599130162966345</v>
      </c>
      <c r="R5">
        <f>LN(Q5)</f>
        <v>2.747215153916704</v>
      </c>
    </row>
    <row r="6" spans="1:18" x14ac:dyDescent="0.25">
      <c r="A6" t="s">
        <v>11</v>
      </c>
      <c r="B6" t="s">
        <v>12</v>
      </c>
      <c r="C6">
        <v>-484.97343259199999</v>
      </c>
      <c r="D6">
        <v>-253.110446964</v>
      </c>
      <c r="E6">
        <v>-115.72045574000001</v>
      </c>
      <c r="F6">
        <f t="shared" si="0"/>
        <v>35.999254096747535</v>
      </c>
      <c r="G6">
        <f>F4+G5</f>
        <v>13.923817507434762</v>
      </c>
      <c r="H6">
        <f>(C6-C10)+C5-(E5*2)-D8-H5</f>
        <v>-0.55128600299997244</v>
      </c>
      <c r="I6">
        <v>-460.79970852899999</v>
      </c>
      <c r="J6">
        <v>-460.32026596600002</v>
      </c>
      <c r="L6" t="s">
        <v>53</v>
      </c>
      <c r="N6">
        <f>N5-G6</f>
        <v>-474.28954950743474</v>
      </c>
    </row>
    <row r="7" spans="1:18" x14ac:dyDescent="0.25">
      <c r="A7" t="s">
        <v>13</v>
      </c>
      <c r="B7" t="s">
        <v>14</v>
      </c>
      <c r="F7">
        <f t="shared" si="0"/>
        <v>0</v>
      </c>
      <c r="G7">
        <f>G6+H4</f>
        <v>15.823817507434763</v>
      </c>
      <c r="H7">
        <f>H6*627.51</f>
        <v>-345.93747974251272</v>
      </c>
      <c r="K7">
        <f>C6-C5</f>
        <v>2.8679979999992611E-2</v>
      </c>
    </row>
    <row r="8" spans="1:18" x14ac:dyDescent="0.25">
      <c r="A8" t="s">
        <v>15</v>
      </c>
      <c r="B8" t="s">
        <v>16</v>
      </c>
      <c r="C8">
        <v>-484.84007000000003</v>
      </c>
      <c r="D8">
        <v>-253.08793399999999</v>
      </c>
      <c r="E8">
        <v>-115.691355</v>
      </c>
      <c r="F8">
        <f t="shared" si="0"/>
        <v>66.53425778995063</v>
      </c>
      <c r="G8" t="s">
        <v>17</v>
      </c>
      <c r="I8">
        <v>-460.810744</v>
      </c>
      <c r="J8">
        <v>-460.33528899999999</v>
      </c>
      <c r="K8">
        <v>1000</v>
      </c>
    </row>
    <row r="9" spans="1:18" x14ac:dyDescent="0.25">
      <c r="F9" t="s">
        <v>26</v>
      </c>
      <c r="G9">
        <f>F8-F5</f>
        <v>41.786808319632186</v>
      </c>
      <c r="H9">
        <f>C5-C10</f>
        <v>-0.11003052299997762</v>
      </c>
      <c r="I9">
        <v>-25.363445289375278</v>
      </c>
      <c r="L9">
        <v>627.51</v>
      </c>
    </row>
    <row r="10" spans="1:18" x14ac:dyDescent="0.25">
      <c r="A10" t="s">
        <v>18</v>
      </c>
      <c r="C10">
        <v>-484.89208204900001</v>
      </c>
      <c r="D10">
        <v>-253.104516117</v>
      </c>
      <c r="E10">
        <v>-115.715208574</v>
      </c>
      <c r="F10">
        <f t="shared" si="0"/>
        <v>116.11261744331493</v>
      </c>
      <c r="I10">
        <v>-460.798058438</v>
      </c>
      <c r="J10">
        <v>-460.25587257500001</v>
      </c>
    </row>
    <row r="13" spans="1:18" x14ac:dyDescent="0.25">
      <c r="E13" t="s">
        <v>56</v>
      </c>
      <c r="G13" t="s">
        <v>37</v>
      </c>
      <c r="K13" t="s">
        <v>46</v>
      </c>
      <c r="L13">
        <v>1.9870000000000001</v>
      </c>
      <c r="N13">
        <f>6.212</f>
        <v>6.2119999999999997</v>
      </c>
    </row>
    <row r="14" spans="1:18" x14ac:dyDescent="0.25">
      <c r="C14" t="s">
        <v>57</v>
      </c>
      <c r="D14" t="s">
        <v>2</v>
      </c>
      <c r="E14" t="s">
        <v>3</v>
      </c>
      <c r="I14" t="s">
        <v>4</v>
      </c>
      <c r="J14" t="s">
        <v>5</v>
      </c>
      <c r="K14" t="s">
        <v>47</v>
      </c>
      <c r="L14">
        <v>1.3806619999999999E-23</v>
      </c>
      <c r="N14">
        <f>N13*1000000000000</f>
        <v>6212000000000</v>
      </c>
    </row>
    <row r="15" spans="1:18" x14ac:dyDescent="0.25">
      <c r="A15" t="s">
        <v>6</v>
      </c>
      <c r="B15" t="s">
        <v>7</v>
      </c>
      <c r="C15">
        <v>-268.32083799999998</v>
      </c>
      <c r="D15">
        <v>-229.04463200000001</v>
      </c>
      <c r="E15">
        <v>-115.68595500000001</v>
      </c>
      <c r="F15" t="e">
        <f>((C15+E15+#REF!+I4)-(D15+I15+E15*2))*$L$9</f>
        <v>#REF!</v>
      </c>
      <c r="G15" t="s">
        <v>8</v>
      </c>
      <c r="H15">
        <v>1.9</v>
      </c>
      <c r="I15">
        <v>-460.80908899999997</v>
      </c>
      <c r="J15">
        <v>-460.270895</v>
      </c>
      <c r="K15" t="s">
        <v>48</v>
      </c>
      <c r="L15">
        <v>6.6261759999999997E-34</v>
      </c>
      <c r="M15" t="s">
        <v>49</v>
      </c>
      <c r="N15">
        <f>L13*L16</f>
        <v>592.42404999999997</v>
      </c>
      <c r="Q15" t="s">
        <v>50</v>
      </c>
      <c r="R15" t="s">
        <v>51</v>
      </c>
    </row>
    <row r="16" spans="1:18" x14ac:dyDescent="0.25">
      <c r="A16" t="s">
        <v>9</v>
      </c>
      <c r="B16" t="s">
        <v>10</v>
      </c>
      <c r="C16">
        <v>-268.39006411100002</v>
      </c>
      <c r="D16">
        <v>-229.08816071800001</v>
      </c>
      <c r="E16">
        <v>-115.717555187</v>
      </c>
      <c r="F16" t="e">
        <f>((C16+E16+#REF!+I5)-(D16+I16+E16*2))*$L$9</f>
        <v>#REF!</v>
      </c>
      <c r="G16" t="e">
        <f>F16-F21-G20</f>
        <v>#REF!</v>
      </c>
      <c r="H16">
        <v>3.0279999999999999E-3</v>
      </c>
      <c r="I16">
        <v>-460.80088843800002</v>
      </c>
      <c r="J16">
        <v>-460.31749884599998</v>
      </c>
      <c r="K16" t="s">
        <v>52</v>
      </c>
      <c r="L16">
        <v>298.14999999999998</v>
      </c>
      <c r="N16">
        <v>-460.36573199999998</v>
      </c>
      <c r="Q16" t="e">
        <f>$N$3*(EXP(1)^(-G18*$K$8/$N$4))</f>
        <v>#REF!</v>
      </c>
      <c r="R16" t="e">
        <f>LN(Q16)</f>
        <v>#REF!</v>
      </c>
    </row>
    <row r="17" spans="1:18" x14ac:dyDescent="0.25">
      <c r="A17" t="s">
        <v>11</v>
      </c>
      <c r="B17" t="s">
        <v>12</v>
      </c>
      <c r="C17">
        <v>-268.38836620799998</v>
      </c>
      <c r="D17">
        <v>-229.08638783399999</v>
      </c>
      <c r="E17">
        <v>-115.718032947</v>
      </c>
      <c r="F17" t="e">
        <f>((C17+E17+#REF!+I6)-(D17+I17+E17*2))*$L$9</f>
        <v>#REF!</v>
      </c>
      <c r="G17" t="e">
        <f>F15+G16</f>
        <v>#REF!</v>
      </c>
      <c r="H17">
        <f>(C17-C21)+C16-(E16*2)-D19-H16</f>
        <v>192.08716809200001</v>
      </c>
      <c r="I17">
        <v>-460.79970852899999</v>
      </c>
      <c r="J17">
        <v>-460.32026596600002</v>
      </c>
      <c r="L17" t="s">
        <v>53</v>
      </c>
      <c r="N17" t="e">
        <f>N16-G17</f>
        <v>#REF!</v>
      </c>
    </row>
    <row r="18" spans="1:18" x14ac:dyDescent="0.25">
      <c r="A18" t="s">
        <v>13</v>
      </c>
      <c r="B18" t="s">
        <v>14</v>
      </c>
      <c r="F18" t="e">
        <f>((C18+E18+#REF!+I7)-(D18+I18+E18*2))*$L$9</f>
        <v>#REF!</v>
      </c>
      <c r="G18" t="e">
        <f>G17+H15</f>
        <v>#REF!</v>
      </c>
      <c r="H18">
        <f>H17*627.51</f>
        <v>120536.61884941092</v>
      </c>
    </row>
    <row r="19" spans="1:18" x14ac:dyDescent="0.25">
      <c r="A19" t="s">
        <v>15</v>
      </c>
      <c r="B19" t="s">
        <v>16</v>
      </c>
      <c r="C19">
        <v>-268.32681400000001</v>
      </c>
      <c r="D19">
        <v>-229.051106</v>
      </c>
      <c r="E19">
        <v>-115.68885400000001</v>
      </c>
      <c r="F19" t="e">
        <f>((C19+E19+#REF!+I8)-(D19+I19+E19*2))*$L$9</f>
        <v>#REF!</v>
      </c>
      <c r="G19" t="s">
        <v>17</v>
      </c>
      <c r="I19">
        <v>-460.810744</v>
      </c>
      <c r="J19">
        <v>-460.33528899999999</v>
      </c>
      <c r="K19">
        <v>1000</v>
      </c>
    </row>
    <row r="20" spans="1:18" x14ac:dyDescent="0.25">
      <c r="F20" t="s">
        <v>26</v>
      </c>
      <c r="G20" t="e">
        <f>F19-F16</f>
        <v>#REF!</v>
      </c>
      <c r="H20">
        <f>C16-C21</f>
        <v>-7.6540740000154983E-3</v>
      </c>
      <c r="I20">
        <v>-25.363445289375278</v>
      </c>
      <c r="L20">
        <v>627.51</v>
      </c>
    </row>
    <row r="21" spans="1:18" x14ac:dyDescent="0.25">
      <c r="A21" t="s">
        <v>18</v>
      </c>
      <c r="C21">
        <v>-268.382410037</v>
      </c>
      <c r="D21">
        <v>-229.07988255199999</v>
      </c>
      <c r="E21">
        <v>-115.715208574</v>
      </c>
      <c r="F21" t="e">
        <f>((C21+E21+#REF!+I10)-(D21+I21+E21*2))*$L$9</f>
        <v>#REF!</v>
      </c>
      <c r="I21">
        <v>-460.798058438</v>
      </c>
      <c r="J21">
        <v>-460.25587257500001</v>
      </c>
    </row>
    <row r="23" spans="1:18" x14ac:dyDescent="0.25">
      <c r="E23" t="s">
        <v>60</v>
      </c>
      <c r="G23" t="s">
        <v>34</v>
      </c>
      <c r="H23" t="s">
        <v>45</v>
      </c>
    </row>
    <row r="24" spans="1:18" x14ac:dyDescent="0.25">
      <c r="G24" t="s">
        <v>37</v>
      </c>
      <c r="K24" t="s">
        <v>46</v>
      </c>
      <c r="L24">
        <v>1.9870000000000001</v>
      </c>
      <c r="N24">
        <f>6.212</f>
        <v>6.2119999999999997</v>
      </c>
    </row>
    <row r="25" spans="1:18" x14ac:dyDescent="0.25">
      <c r="C25" t="s">
        <v>1</v>
      </c>
      <c r="D25" t="s">
        <v>2</v>
      </c>
      <c r="E25" t="s">
        <v>3</v>
      </c>
      <c r="K25" t="s">
        <v>47</v>
      </c>
      <c r="L25">
        <v>1.3806619999999999E-23</v>
      </c>
      <c r="N25">
        <f>N24*1000000000000</f>
        <v>6212000000000</v>
      </c>
    </row>
    <row r="26" spans="1:18" x14ac:dyDescent="0.25">
      <c r="A26" t="s">
        <v>6</v>
      </c>
      <c r="B26" t="s">
        <v>7</v>
      </c>
      <c r="C26">
        <v>-484.75752999999997</v>
      </c>
      <c r="D26">
        <v>-253.35534999999999</v>
      </c>
      <c r="E26">
        <v>-115.68595500000001</v>
      </c>
      <c r="F26">
        <f>((C26)-(D26+E26*2))*$L$9</f>
        <v>-18.994727699983152</v>
      </c>
      <c r="G26" t="s">
        <v>8</v>
      </c>
      <c r="H26">
        <v>1.9</v>
      </c>
      <c r="K26" t="s">
        <v>48</v>
      </c>
      <c r="L26">
        <v>6.6261759999999997E-34</v>
      </c>
      <c r="M26" t="s">
        <v>49</v>
      </c>
      <c r="N26">
        <f>L24*L27</f>
        <v>592.42404999999997</v>
      </c>
      <c r="Q26" t="s">
        <v>50</v>
      </c>
      <c r="R26" t="s">
        <v>51</v>
      </c>
    </row>
    <row r="27" spans="1:18" x14ac:dyDescent="0.25">
      <c r="A27" t="s">
        <v>9</v>
      </c>
      <c r="B27" t="s">
        <v>10</v>
      </c>
      <c r="C27">
        <v>-485.00211257199999</v>
      </c>
      <c r="D27">
        <v>-253.50410878400001</v>
      </c>
      <c r="E27">
        <v>-115.723635556</v>
      </c>
      <c r="F27">
        <f t="shared" ref="F27:F32" si="1">((C27)-(D27+E27*2))*$L$9</f>
        <v>-31.835261516721527</v>
      </c>
      <c r="G27">
        <f>F27-F32</f>
        <v>13.160780407729842</v>
      </c>
      <c r="H27">
        <v>3.0279999999999999E-3</v>
      </c>
      <c r="K27" t="s">
        <v>52</v>
      </c>
      <c r="L27">
        <v>298.14999999999998</v>
      </c>
      <c r="N27">
        <v>-460.36573199999998</v>
      </c>
      <c r="Q27">
        <f>$N$3*(EXP(1)^(-G29*$K$8/$N$4))</f>
        <v>4754789008805959</v>
      </c>
      <c r="R27">
        <f>LN(Q27)</f>
        <v>36.097928717432687</v>
      </c>
    </row>
    <row r="28" spans="1:18" x14ac:dyDescent="0.25">
      <c r="A28" t="s">
        <v>11</v>
      </c>
      <c r="B28" t="s">
        <v>12</v>
      </c>
      <c r="C28">
        <v>-484.97343259199999</v>
      </c>
      <c r="D28">
        <v>-253.486159464</v>
      </c>
      <c r="E28">
        <v>-115.72045574000001</v>
      </c>
      <c r="F28">
        <f t="shared" si="1"/>
        <v>-29.09239773648974</v>
      </c>
      <c r="G28">
        <f>F26+G27</f>
        <v>-5.8339472922533098</v>
      </c>
      <c r="H28">
        <f>(C28-C32)+C27-(E27*2)-D30-H27</f>
        <v>-0.18777300299996066</v>
      </c>
      <c r="L28" t="s">
        <v>53</v>
      </c>
      <c r="N28">
        <f>N27-G28</f>
        <v>-454.53178470774668</v>
      </c>
    </row>
    <row r="29" spans="1:18" x14ac:dyDescent="0.25">
      <c r="A29" t="s">
        <v>13</v>
      </c>
      <c r="B29" t="s">
        <v>14</v>
      </c>
      <c r="F29">
        <f t="shared" si="1"/>
        <v>0</v>
      </c>
      <c r="G29">
        <f>G28+H26</f>
        <v>-3.9339472922533099</v>
      </c>
      <c r="H29">
        <f>H28*627.51</f>
        <v>-117.82943711250532</v>
      </c>
      <c r="K29">
        <f>C28-C27</f>
        <v>2.8679979999992611E-2</v>
      </c>
    </row>
    <row r="30" spans="1:18" x14ac:dyDescent="0.25">
      <c r="A30" t="s">
        <v>15</v>
      </c>
      <c r="B30" t="s">
        <v>16</v>
      </c>
      <c r="C30">
        <v>-484.84007000000003</v>
      </c>
      <c r="D30">
        <v>-253.451447</v>
      </c>
      <c r="E30">
        <v>-115.691355</v>
      </c>
      <c r="F30">
        <f t="shared" si="1"/>
        <v>-3.7104666300131335</v>
      </c>
      <c r="G30" t="s">
        <v>17</v>
      </c>
      <c r="K30">
        <v>1000</v>
      </c>
    </row>
    <row r="31" spans="1:18" x14ac:dyDescent="0.25">
      <c r="F31" t="s">
        <v>26</v>
      </c>
      <c r="G31">
        <f>F30-F27</f>
        <v>28.124794886708393</v>
      </c>
      <c r="H31">
        <f>C27-C32</f>
        <v>-0.11003052299997762</v>
      </c>
      <c r="I31">
        <v>-25.363445289375278</v>
      </c>
      <c r="L31">
        <v>627.51</v>
      </c>
    </row>
    <row r="32" spans="1:18" x14ac:dyDescent="0.25">
      <c r="A32" t="s">
        <v>18</v>
      </c>
      <c r="C32">
        <v>-484.89208204900001</v>
      </c>
      <c r="D32">
        <v>-253.38995920400001</v>
      </c>
      <c r="E32">
        <v>-115.715208574</v>
      </c>
      <c r="F32">
        <f t="shared" si="1"/>
        <v>-44.996041924451369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mo62x</vt:lpstr>
      <vt:lpstr>fac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Monsurat Lawal (214584429)</dc:creator>
  <cp:lastModifiedBy>Monsurat Lawal (214584429)</cp:lastModifiedBy>
  <dcterms:created xsi:type="dcterms:W3CDTF">2015-09-28T15:55:24Z</dcterms:created>
  <dcterms:modified xsi:type="dcterms:W3CDTF">2016-11-09T15:40:39Z</dcterms:modified>
</cp:coreProperties>
</file>