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980" yWindow="0" windowWidth="19440" windowHeight="15600" activeTab="3"/>
  </bookViews>
  <sheets>
    <sheet name="Sheet1" sheetId="1" r:id="rId1"/>
    <sheet name="mo62x" sheetId="2" r:id="rId2"/>
    <sheet name="fac" sheetId="3" r:id="rId3"/>
    <sheet name="ClAc" sheetId="4" r:id="rId4"/>
    <sheet name="enthalpy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6" i="4" l="1"/>
  <c r="R11" i="4"/>
  <c r="I64" i="5"/>
  <c r="L64" i="5"/>
  <c r="I63" i="5"/>
  <c r="L63" i="5"/>
  <c r="I62" i="5"/>
  <c r="L62" i="5"/>
  <c r="I61" i="5"/>
  <c r="L61" i="5"/>
  <c r="I60" i="5"/>
  <c r="L60" i="5"/>
  <c r="I57" i="5"/>
  <c r="L57" i="5"/>
  <c r="I56" i="5"/>
  <c r="L56" i="5"/>
  <c r="I55" i="5"/>
  <c r="L55" i="5"/>
  <c r="I54" i="5"/>
  <c r="L54" i="5"/>
  <c r="I53" i="5"/>
  <c r="L53" i="5"/>
  <c r="I43" i="5"/>
  <c r="L43" i="5"/>
  <c r="I36" i="5"/>
  <c r="L36" i="5"/>
  <c r="I44" i="5"/>
  <c r="I45" i="5"/>
  <c r="I46" i="5"/>
  <c r="I47" i="5"/>
  <c r="I37" i="5"/>
  <c r="I38" i="5"/>
  <c r="I39" i="5"/>
  <c r="I40" i="5"/>
  <c r="L47" i="5"/>
  <c r="L46" i="5"/>
  <c r="L45" i="5"/>
  <c r="L44" i="5"/>
  <c r="L40" i="5"/>
  <c r="L39" i="5"/>
  <c r="L38" i="5"/>
  <c r="L37" i="5"/>
  <c r="L31" i="5"/>
  <c r="E31" i="5"/>
  <c r="L30" i="5"/>
  <c r="E30" i="5"/>
  <c r="L29" i="5"/>
  <c r="E29" i="5"/>
  <c r="L28" i="5"/>
  <c r="E28" i="5"/>
  <c r="L27" i="5"/>
  <c r="E27" i="5"/>
  <c r="L24" i="5"/>
  <c r="L23" i="5"/>
  <c r="E23" i="5"/>
  <c r="L22" i="5"/>
  <c r="E22" i="5"/>
  <c r="L21" i="5"/>
  <c r="E21" i="5"/>
  <c r="L20" i="5"/>
  <c r="E20" i="5"/>
  <c r="E19" i="5"/>
  <c r="F54" i="4"/>
  <c r="F48" i="4"/>
  <c r="F74" i="4"/>
  <c r="F72" i="4"/>
  <c r="F71" i="4"/>
  <c r="F70" i="4"/>
  <c r="F69" i="4"/>
  <c r="F68" i="4"/>
  <c r="F64" i="4"/>
  <c r="F62" i="4"/>
  <c r="F61" i="4"/>
  <c r="F60" i="4"/>
  <c r="F59" i="4"/>
  <c r="F58" i="4"/>
  <c r="F51" i="4"/>
  <c r="F52" i="4"/>
  <c r="F49" i="4"/>
  <c r="F50" i="4"/>
  <c r="F15" i="3"/>
  <c r="F16" i="3"/>
  <c r="F21" i="3"/>
  <c r="G16" i="3"/>
  <c r="G17" i="3"/>
  <c r="G18" i="3"/>
  <c r="F17" i="3"/>
  <c r="F19" i="3"/>
  <c r="F115" i="1"/>
  <c r="F110" i="1"/>
  <c r="G110" i="1"/>
  <c r="F109" i="1"/>
  <c r="F111" i="1"/>
  <c r="F113" i="1"/>
  <c r="F4" i="2"/>
  <c r="F5" i="2"/>
  <c r="F10" i="2"/>
  <c r="F8" i="2"/>
  <c r="G9" i="2"/>
  <c r="G5" i="2"/>
  <c r="G6" i="2"/>
  <c r="G7" i="2"/>
  <c r="L5" i="5"/>
  <c r="L11" i="5"/>
  <c r="L12" i="5"/>
  <c r="L13" i="5"/>
  <c r="L14" i="5"/>
  <c r="L15" i="5"/>
  <c r="L6" i="5"/>
  <c r="L7" i="5"/>
  <c r="L8" i="5"/>
  <c r="L4" i="5"/>
  <c r="E12" i="5"/>
  <c r="E13" i="5"/>
  <c r="E14" i="5"/>
  <c r="E15" i="5"/>
  <c r="E11" i="5"/>
  <c r="E4" i="5"/>
  <c r="E5" i="5"/>
  <c r="E6" i="5"/>
  <c r="E7" i="5"/>
  <c r="E3" i="5"/>
  <c r="N2" i="2"/>
  <c r="N3" i="2"/>
  <c r="N4" i="2"/>
  <c r="Q5" i="2"/>
  <c r="P100" i="1"/>
  <c r="P105" i="1"/>
  <c r="Q100" i="1"/>
  <c r="P103" i="1"/>
  <c r="F99" i="1"/>
  <c r="F100" i="1"/>
  <c r="F105" i="1"/>
  <c r="G100" i="1"/>
  <c r="G101" i="1"/>
  <c r="G102" i="1"/>
  <c r="F27" i="3"/>
  <c r="F32" i="3"/>
  <c r="G27" i="3"/>
  <c r="F26" i="3"/>
  <c r="G28" i="3"/>
  <c r="G29" i="3"/>
  <c r="Q101" i="1"/>
  <c r="Q102" i="1"/>
  <c r="P101" i="1"/>
  <c r="P102" i="1"/>
  <c r="Q104" i="1"/>
  <c r="F103" i="1"/>
  <c r="G104" i="1"/>
  <c r="F101" i="1"/>
  <c r="G53" i="4"/>
  <c r="F169" i="1"/>
  <c r="F170" i="1"/>
  <c r="F175" i="1"/>
  <c r="G170" i="1"/>
  <c r="G171" i="1"/>
  <c r="G172" i="1"/>
  <c r="F159" i="1"/>
  <c r="F160" i="1"/>
  <c r="F165" i="1"/>
  <c r="G160" i="1"/>
  <c r="G161" i="1"/>
  <c r="G162" i="1"/>
  <c r="F149" i="1"/>
  <c r="F150" i="1"/>
  <c r="F155" i="1"/>
  <c r="G150" i="1"/>
  <c r="G151" i="1"/>
  <c r="G152" i="1"/>
  <c r="F139" i="1"/>
  <c r="F140" i="1"/>
  <c r="F145" i="1"/>
  <c r="G140" i="1"/>
  <c r="G141" i="1"/>
  <c r="G142" i="1"/>
  <c r="F119" i="1"/>
  <c r="F120" i="1"/>
  <c r="F125" i="1"/>
  <c r="F123" i="1"/>
  <c r="G124" i="1"/>
  <c r="G120" i="1"/>
  <c r="G121" i="1"/>
  <c r="G122" i="1"/>
  <c r="F143" i="1"/>
  <c r="G144" i="1"/>
  <c r="P149" i="1"/>
  <c r="P150" i="1"/>
  <c r="P139" i="1"/>
  <c r="P175" i="1"/>
  <c r="P173" i="1"/>
  <c r="P172" i="1"/>
  <c r="P171" i="1"/>
  <c r="P170" i="1"/>
  <c r="P169" i="1"/>
  <c r="P165" i="1"/>
  <c r="P163" i="1"/>
  <c r="P162" i="1"/>
  <c r="P161" i="1"/>
  <c r="P160" i="1"/>
  <c r="Q160" i="1"/>
  <c r="P159" i="1"/>
  <c r="P155" i="1"/>
  <c r="P153" i="1"/>
  <c r="P152" i="1"/>
  <c r="P151" i="1"/>
  <c r="Q150" i="1"/>
  <c r="P145" i="1"/>
  <c r="P143" i="1"/>
  <c r="P142" i="1"/>
  <c r="P141" i="1"/>
  <c r="P140" i="1"/>
  <c r="H174" i="1"/>
  <c r="I174" i="1"/>
  <c r="F173" i="1"/>
  <c r="F172" i="1"/>
  <c r="H171" i="1"/>
  <c r="H172" i="1"/>
  <c r="F171" i="1"/>
  <c r="H164" i="1"/>
  <c r="I164" i="1"/>
  <c r="F163" i="1"/>
  <c r="H161" i="1"/>
  <c r="H162" i="1"/>
  <c r="F162" i="1"/>
  <c r="F161" i="1"/>
  <c r="H154" i="1"/>
  <c r="I154" i="1"/>
  <c r="F153" i="1"/>
  <c r="F152" i="1"/>
  <c r="H151" i="1"/>
  <c r="H152" i="1"/>
  <c r="F151" i="1"/>
  <c r="H144" i="1"/>
  <c r="I144" i="1"/>
  <c r="F142" i="1"/>
  <c r="H141" i="1"/>
  <c r="H142" i="1"/>
  <c r="F141" i="1"/>
  <c r="F15" i="4"/>
  <c r="F16" i="4"/>
  <c r="F21" i="4"/>
  <c r="G16" i="4"/>
  <c r="G17" i="4"/>
  <c r="G18" i="4"/>
  <c r="Q170" i="1"/>
  <c r="Q171" i="1"/>
  <c r="Q172" i="1"/>
  <c r="Q174" i="1"/>
  <c r="Q140" i="1"/>
  <c r="Q141" i="1"/>
  <c r="Q142" i="1"/>
  <c r="Q164" i="1"/>
  <c r="Q161" i="1"/>
  <c r="Q162" i="1"/>
  <c r="Q151" i="1"/>
  <c r="Q152" i="1"/>
  <c r="Q154" i="1"/>
  <c r="Q144" i="1"/>
  <c r="G174" i="1"/>
  <c r="G164" i="1"/>
  <c r="G154" i="1"/>
  <c r="G69" i="4"/>
  <c r="G70" i="4"/>
  <c r="F37" i="4"/>
  <c r="F38" i="4"/>
  <c r="F43" i="4"/>
  <c r="G38" i="4"/>
  <c r="G39" i="4"/>
  <c r="G40" i="4"/>
  <c r="G73" i="4"/>
  <c r="G71" i="4"/>
  <c r="N70" i="4"/>
  <c r="N68" i="4"/>
  <c r="N66" i="4"/>
  <c r="N67" i="4"/>
  <c r="G59" i="4"/>
  <c r="G60" i="4"/>
  <c r="G63" i="4"/>
  <c r="G61" i="4"/>
  <c r="N60" i="4"/>
  <c r="N58" i="4"/>
  <c r="N56" i="4"/>
  <c r="N57" i="4"/>
  <c r="F48" i="3"/>
  <c r="F49" i="3"/>
  <c r="F54" i="3"/>
  <c r="G49" i="3"/>
  <c r="G50" i="3"/>
  <c r="G49" i="4"/>
  <c r="F30" i="3"/>
  <c r="G31" i="3"/>
  <c r="G50" i="4"/>
  <c r="G51" i="4"/>
  <c r="N50" i="4"/>
  <c r="N48" i="4"/>
  <c r="N46" i="4"/>
  <c r="N47" i="4"/>
  <c r="G111" i="1"/>
  <c r="G112" i="1"/>
  <c r="G20" i="3"/>
  <c r="F133" i="1"/>
  <c r="F130" i="1"/>
  <c r="G134" i="1"/>
  <c r="F135" i="1"/>
  <c r="H134" i="1"/>
  <c r="I134" i="1"/>
  <c r="H131" i="1"/>
  <c r="H132" i="1"/>
  <c r="F129" i="1"/>
  <c r="G130" i="1"/>
  <c r="G131" i="1"/>
  <c r="G132" i="1"/>
  <c r="F132" i="1"/>
  <c r="F131" i="1"/>
  <c r="F47" i="1"/>
  <c r="F52" i="1"/>
  <c r="F50" i="1"/>
  <c r="G51" i="1"/>
  <c r="G47" i="1"/>
  <c r="F4" i="3"/>
  <c r="F46" i="1"/>
  <c r="G48" i="1"/>
  <c r="F78" i="1"/>
  <c r="F56" i="1"/>
  <c r="F57" i="1"/>
  <c r="F62" i="1"/>
  <c r="F60" i="1"/>
  <c r="G61" i="1"/>
  <c r="G57" i="1"/>
  <c r="G58" i="1"/>
  <c r="F52" i="3"/>
  <c r="G53" i="3"/>
  <c r="F37" i="3"/>
  <c r="F38" i="3"/>
  <c r="F41" i="3"/>
  <c r="G42" i="3"/>
  <c r="F43" i="3"/>
  <c r="G38" i="3"/>
  <c r="G39" i="3"/>
  <c r="F16" i="2"/>
  <c r="F90" i="1"/>
  <c r="F95" i="1"/>
  <c r="F93" i="1"/>
  <c r="G94" i="1"/>
  <c r="G90" i="1"/>
  <c r="F89" i="1"/>
  <c r="G91" i="1"/>
  <c r="N2" i="4"/>
  <c r="N3" i="4"/>
  <c r="F4" i="4"/>
  <c r="F5" i="4"/>
  <c r="F8" i="4"/>
  <c r="G9" i="4"/>
  <c r="F10" i="4"/>
  <c r="G5" i="4"/>
  <c r="G6" i="4"/>
  <c r="G7" i="4"/>
  <c r="N4" i="4"/>
  <c r="Q5" i="4"/>
  <c r="F5" i="3"/>
  <c r="F8" i="3"/>
  <c r="G9" i="3"/>
  <c r="F10" i="3"/>
  <c r="G5" i="3"/>
  <c r="G6" i="3"/>
  <c r="G7" i="3"/>
  <c r="N2" i="3"/>
  <c r="N3" i="3"/>
  <c r="N4" i="3"/>
  <c r="Q5" i="3"/>
  <c r="Q62" i="1"/>
  <c r="S61" i="1"/>
  <c r="T61" i="1"/>
  <c r="Q60" i="1"/>
  <c r="Q57" i="1"/>
  <c r="R61" i="1"/>
  <c r="S58" i="1"/>
  <c r="S59" i="1"/>
  <c r="Q56" i="1"/>
  <c r="R57" i="1"/>
  <c r="R58" i="1"/>
  <c r="R59" i="1"/>
  <c r="Q59" i="1"/>
  <c r="Q58" i="1"/>
  <c r="F33" i="2"/>
  <c r="H32" i="2"/>
  <c r="F31" i="2"/>
  <c r="F28" i="2"/>
  <c r="G32" i="2"/>
  <c r="H29" i="2"/>
  <c r="H30" i="2"/>
  <c r="F27" i="2"/>
  <c r="G28" i="2"/>
  <c r="G29" i="2"/>
  <c r="G30" i="2"/>
  <c r="F30" i="2"/>
  <c r="N29" i="2"/>
  <c r="F29" i="2"/>
  <c r="Q28" i="2"/>
  <c r="R28" i="2"/>
  <c r="N27" i="2"/>
  <c r="N25" i="2"/>
  <c r="N26" i="2"/>
  <c r="F26" i="2"/>
  <c r="Q46" i="1"/>
  <c r="Q47" i="1"/>
  <c r="Q52" i="1"/>
  <c r="Q50" i="1"/>
  <c r="R51" i="1"/>
  <c r="R47" i="1"/>
  <c r="F17" i="2"/>
  <c r="F20" i="2"/>
  <c r="G21" i="2"/>
  <c r="F22" i="2"/>
  <c r="G17" i="2"/>
  <c r="G18" i="2"/>
  <c r="G19" i="2"/>
  <c r="S51" i="1"/>
  <c r="T51" i="1"/>
  <c r="S48" i="1"/>
  <c r="S49" i="1"/>
  <c r="R48" i="1"/>
  <c r="R49" i="1"/>
  <c r="Q49" i="1"/>
  <c r="Q48" i="1"/>
  <c r="H21" i="2"/>
  <c r="H18" i="2"/>
  <c r="H19" i="2"/>
  <c r="F19" i="2"/>
  <c r="N18" i="2"/>
  <c r="F18" i="2"/>
  <c r="Q17" i="2"/>
  <c r="R17" i="2"/>
  <c r="N16" i="2"/>
  <c r="N14" i="2"/>
  <c r="N15" i="2"/>
  <c r="F15" i="2"/>
  <c r="F26" i="4"/>
  <c r="F27" i="4"/>
  <c r="F30" i="4"/>
  <c r="G31" i="4"/>
  <c r="F32" i="4"/>
  <c r="G27" i="4"/>
  <c r="G28" i="4"/>
  <c r="G29" i="4"/>
  <c r="G40" i="3"/>
  <c r="F7" i="2"/>
  <c r="G92" i="1"/>
  <c r="F28" i="3"/>
  <c r="F6" i="2"/>
  <c r="F3" i="2"/>
  <c r="F8" i="1"/>
  <c r="F5" i="1"/>
  <c r="G9" i="1"/>
  <c r="F10" i="1"/>
  <c r="G5" i="1"/>
  <c r="H9" i="1"/>
  <c r="F4" i="1"/>
  <c r="F71" i="3"/>
  <c r="F74" i="3"/>
  <c r="G75" i="3"/>
  <c r="F76" i="3"/>
  <c r="G71" i="3"/>
  <c r="F70" i="3"/>
  <c r="G72" i="3"/>
  <c r="F19" i="4"/>
  <c r="G20" i="4"/>
  <c r="F41" i="4"/>
  <c r="G42" i="4"/>
  <c r="F60" i="3"/>
  <c r="F63" i="3"/>
  <c r="G64" i="3"/>
  <c r="F65" i="3"/>
  <c r="G60" i="3"/>
  <c r="H42" i="4"/>
  <c r="K40" i="4"/>
  <c r="H39" i="4"/>
  <c r="H40" i="4"/>
  <c r="F40" i="4"/>
  <c r="N39" i="4"/>
  <c r="F39" i="4"/>
  <c r="Q38" i="4"/>
  <c r="R38" i="4"/>
  <c r="N37" i="4"/>
  <c r="N35" i="4"/>
  <c r="N36" i="4"/>
  <c r="H31" i="4"/>
  <c r="K29" i="4"/>
  <c r="H28" i="4"/>
  <c r="H29" i="4"/>
  <c r="F29" i="4"/>
  <c r="N28" i="4"/>
  <c r="F28" i="4"/>
  <c r="Q27" i="4"/>
  <c r="R27" i="4"/>
  <c r="N26" i="4"/>
  <c r="N24" i="4"/>
  <c r="N25" i="4"/>
  <c r="H75" i="3"/>
  <c r="K73" i="3"/>
  <c r="H72" i="3"/>
  <c r="H73" i="3"/>
  <c r="G73" i="3"/>
  <c r="F73" i="3"/>
  <c r="N72" i="3"/>
  <c r="F72" i="3"/>
  <c r="Q71" i="3"/>
  <c r="R71" i="3"/>
  <c r="N70" i="3"/>
  <c r="N68" i="3"/>
  <c r="N69" i="3"/>
  <c r="H64" i="3"/>
  <c r="K62" i="3"/>
  <c r="H61" i="3"/>
  <c r="H62" i="3"/>
  <c r="F59" i="3"/>
  <c r="G61" i="3"/>
  <c r="G62" i="3"/>
  <c r="F62" i="3"/>
  <c r="N61" i="3"/>
  <c r="F61" i="3"/>
  <c r="Q60" i="3"/>
  <c r="R60" i="3"/>
  <c r="N59" i="3"/>
  <c r="N57" i="3"/>
  <c r="N58" i="3"/>
  <c r="H20" i="4"/>
  <c r="K18" i="4"/>
  <c r="H17" i="4"/>
  <c r="H18" i="4"/>
  <c r="F18" i="4"/>
  <c r="N17" i="4"/>
  <c r="F17" i="4"/>
  <c r="N15" i="4"/>
  <c r="N13" i="4"/>
  <c r="N14" i="4"/>
  <c r="H9" i="4"/>
  <c r="K7" i="4"/>
  <c r="H6" i="4"/>
  <c r="H7" i="4"/>
  <c r="F7" i="4"/>
  <c r="N6" i="4"/>
  <c r="F6" i="4"/>
  <c r="R5" i="4"/>
  <c r="F50" i="3"/>
  <c r="F51" i="3"/>
  <c r="H53" i="3"/>
  <c r="K51" i="3"/>
  <c r="H50" i="3"/>
  <c r="H51" i="3"/>
  <c r="G51" i="3"/>
  <c r="N50" i="3"/>
  <c r="Q49" i="3"/>
  <c r="R49" i="3"/>
  <c r="N48" i="3"/>
  <c r="N46" i="3"/>
  <c r="N47" i="3"/>
  <c r="Q38" i="3"/>
  <c r="H42" i="3"/>
  <c r="K40" i="3"/>
  <c r="H39" i="3"/>
  <c r="H40" i="3"/>
  <c r="F40" i="3"/>
  <c r="N39" i="3"/>
  <c r="F39" i="3"/>
  <c r="R38" i="3"/>
  <c r="N37" i="3"/>
  <c r="N35" i="3"/>
  <c r="N36" i="3"/>
  <c r="F25" i="1"/>
  <c r="H124" i="1"/>
  <c r="I124" i="1"/>
  <c r="H121" i="1"/>
  <c r="H122" i="1"/>
  <c r="F122" i="1"/>
  <c r="F121" i="1"/>
  <c r="Q16" i="3"/>
  <c r="F29" i="3"/>
  <c r="H31" i="3"/>
  <c r="K29" i="3"/>
  <c r="H28" i="3"/>
  <c r="H29" i="3"/>
  <c r="N28" i="3"/>
  <c r="Q27" i="3"/>
  <c r="R27" i="3"/>
  <c r="N26" i="3"/>
  <c r="N24" i="3"/>
  <c r="N25" i="3"/>
  <c r="G114" i="1"/>
  <c r="N94" i="1"/>
  <c r="H104" i="1"/>
  <c r="I104" i="1"/>
  <c r="H101" i="1"/>
  <c r="H102" i="1"/>
  <c r="F102" i="1"/>
  <c r="K7" i="3"/>
  <c r="Q36" i="1"/>
  <c r="H94" i="1"/>
  <c r="I94" i="1"/>
  <c r="H91" i="1"/>
  <c r="H92" i="1"/>
  <c r="F92" i="1"/>
  <c r="F91" i="1"/>
  <c r="S5" i="1"/>
  <c r="S10" i="1"/>
  <c r="S8" i="1"/>
  <c r="T9" i="1"/>
  <c r="T5" i="1"/>
  <c r="S4" i="1"/>
  <c r="N17" i="3"/>
  <c r="R16" i="3"/>
  <c r="N15" i="3"/>
  <c r="N13" i="3"/>
  <c r="N14" i="3"/>
  <c r="H9" i="3"/>
  <c r="H6" i="3"/>
  <c r="H7" i="3"/>
  <c r="F7" i="3"/>
  <c r="N6" i="3"/>
  <c r="F6" i="3"/>
  <c r="R5" i="3"/>
  <c r="R5" i="2"/>
  <c r="N6" i="2"/>
  <c r="F14" i="1"/>
  <c r="H6" i="1"/>
  <c r="H48" i="1"/>
  <c r="G59" i="1"/>
  <c r="T6" i="1"/>
  <c r="T7" i="1"/>
  <c r="G6" i="1"/>
  <c r="Q26" i="1"/>
  <c r="Q31" i="1"/>
  <c r="R26" i="1"/>
  <c r="Q25" i="1"/>
  <c r="Q29" i="1"/>
  <c r="R30" i="1"/>
  <c r="R27" i="1"/>
  <c r="U9" i="1"/>
  <c r="V9" i="1"/>
  <c r="U6" i="1"/>
  <c r="G7" i="1"/>
  <c r="H51" i="1"/>
  <c r="I51" i="1"/>
  <c r="F39" i="1"/>
  <c r="F36" i="1"/>
  <c r="G40" i="1"/>
  <c r="S6" i="1"/>
  <c r="S7" i="1"/>
  <c r="U7" i="1"/>
  <c r="F15" i="1"/>
  <c r="F18" i="1"/>
  <c r="G19" i="1"/>
  <c r="F20" i="1"/>
  <c r="G15" i="1"/>
  <c r="G16" i="1"/>
  <c r="G17" i="1"/>
  <c r="F68" i="1"/>
  <c r="Q27" i="1"/>
  <c r="Q38" i="1"/>
  <c r="Q37" i="1"/>
  <c r="Q40" i="1"/>
  <c r="Q42" i="1"/>
  <c r="S41" i="1"/>
  <c r="S38" i="1"/>
  <c r="S39" i="1"/>
  <c r="R41" i="1"/>
  <c r="H9" i="2"/>
  <c r="H6" i="2"/>
  <c r="H7" i="2"/>
  <c r="S30" i="1"/>
  <c r="S27" i="1"/>
  <c r="S28" i="1"/>
  <c r="R28" i="1"/>
  <c r="R37" i="1"/>
  <c r="R38" i="1"/>
  <c r="R39" i="1"/>
  <c r="F35" i="1"/>
  <c r="F41" i="1"/>
  <c r="G36" i="1"/>
  <c r="G37" i="1"/>
  <c r="G38" i="1"/>
  <c r="F79" i="1"/>
  <c r="F82" i="1"/>
  <c r="G83" i="1"/>
  <c r="F84" i="1"/>
  <c r="G79" i="1"/>
  <c r="G80" i="1"/>
  <c r="G81" i="1"/>
  <c r="F80" i="1"/>
  <c r="F69" i="1"/>
  <c r="F70" i="1"/>
  <c r="F72" i="1"/>
  <c r="F74" i="1"/>
  <c r="H73" i="1"/>
  <c r="I73" i="1"/>
  <c r="H70" i="1"/>
  <c r="H71" i="1"/>
  <c r="G73" i="1"/>
  <c r="G69" i="1"/>
  <c r="G70" i="1"/>
  <c r="G71" i="1"/>
  <c r="F59" i="1"/>
  <c r="F58" i="1"/>
  <c r="H49" i="1"/>
  <c r="F49" i="1"/>
  <c r="F48" i="1"/>
  <c r="H80" i="1"/>
  <c r="G49" i="1"/>
  <c r="F37" i="1"/>
  <c r="H7" i="1"/>
  <c r="F31" i="1"/>
  <c r="H30" i="1"/>
  <c r="I30" i="1"/>
  <c r="F29" i="1"/>
  <c r="H27" i="1"/>
  <c r="H28" i="1"/>
  <c r="F27" i="1"/>
  <c r="F26" i="1"/>
  <c r="H37" i="1"/>
  <c r="G30" i="1"/>
  <c r="G26" i="1"/>
  <c r="G27" i="1"/>
  <c r="G28" i="1"/>
  <c r="F16" i="1"/>
  <c r="I9" i="1"/>
  <c r="F6" i="1"/>
  <c r="H16" i="1"/>
</calcChain>
</file>

<file path=xl/sharedStrings.xml><?xml version="1.0" encoding="utf-8"?>
<sst xmlns="http://schemas.openxmlformats.org/spreadsheetml/2006/main" count="1253" uniqueCount="109">
  <si>
    <t>X3LYP</t>
  </si>
  <si>
    <t>TS</t>
  </si>
  <si>
    <t>ACID</t>
  </si>
  <si>
    <t>Meoh</t>
  </si>
  <si>
    <t>HCl</t>
  </si>
  <si>
    <t>Cl-</t>
  </si>
  <si>
    <t>Gibbsgas</t>
  </si>
  <si>
    <t>∆Gg*b</t>
  </si>
  <si>
    <t>RTln[CH3OH]</t>
  </si>
  <si>
    <t>SCRF</t>
  </si>
  <si>
    <t>∆∆Gsolv(smd-gas)</t>
  </si>
  <si>
    <t>SCFcpcm</t>
  </si>
  <si>
    <t>∆Gsol*b</t>
  </si>
  <si>
    <t>observable</t>
  </si>
  <si>
    <t>∆Gsol0c</t>
  </si>
  <si>
    <t>Gibbs</t>
  </si>
  <si>
    <t>CPCM</t>
  </si>
  <si>
    <t>Gibbs cluster</t>
  </si>
  <si>
    <t>SCFgas</t>
  </si>
  <si>
    <t>Product</t>
  </si>
  <si>
    <t>H2O</t>
  </si>
  <si>
    <t>MeOHAc</t>
  </si>
  <si>
    <t>TS611OH</t>
  </si>
  <si>
    <t>H3O</t>
  </si>
  <si>
    <t>H3O+</t>
  </si>
  <si>
    <t>correct</t>
  </si>
  <si>
    <t>cpcm</t>
  </si>
  <si>
    <t>kcal/mol</t>
  </si>
  <si>
    <t>Hartree</t>
  </si>
  <si>
    <t>correction</t>
  </si>
  <si>
    <t>TS611OH H+</t>
  </si>
  <si>
    <t>tsb-3 Silva</t>
  </si>
  <si>
    <t>MeOH+</t>
  </si>
  <si>
    <t>this was the reference staring species</t>
  </si>
  <si>
    <t>new</t>
  </si>
  <si>
    <t>their model</t>
  </si>
  <si>
    <t>mine</t>
  </si>
  <si>
    <t>mo62x</t>
  </si>
  <si>
    <t>TS41OH</t>
  </si>
  <si>
    <t>cl-</t>
  </si>
  <si>
    <t>TS6OH</t>
  </si>
  <si>
    <t>in methanol</t>
  </si>
  <si>
    <t>R[cal/(mol.k)]</t>
  </si>
  <si>
    <t>kB(J/K)</t>
  </si>
  <si>
    <t>h(JS)</t>
  </si>
  <si>
    <t>RT=</t>
  </si>
  <si>
    <t>k</t>
  </si>
  <si>
    <t>lnk</t>
  </si>
  <si>
    <t>T(K)</t>
  </si>
  <si>
    <t>c=1</t>
  </si>
  <si>
    <t>m062x</t>
  </si>
  <si>
    <t>TS6F</t>
  </si>
  <si>
    <t>WE CAN'T USE THIS</t>
  </si>
  <si>
    <t>IMPOSSIBLE</t>
  </si>
  <si>
    <t>FAIR</t>
  </si>
  <si>
    <t>Using their model! SEEMS INCORRECT</t>
  </si>
  <si>
    <t>VERY CORRECT</t>
  </si>
  <si>
    <t>THIS SHD FLY</t>
  </si>
  <si>
    <t>BETTER</t>
  </si>
  <si>
    <t>LOWER THAN EXP.</t>
  </si>
  <si>
    <t>SEEMS GOOD</t>
  </si>
  <si>
    <t>HF</t>
  </si>
  <si>
    <t>TSb-3OH H+</t>
  </si>
  <si>
    <t>confused</t>
  </si>
  <si>
    <t>TS6Br</t>
  </si>
  <si>
    <t>not good</t>
  </si>
  <si>
    <t>SEEMS Bad</t>
  </si>
  <si>
    <t>Good</t>
  </si>
  <si>
    <t>TS6Cl</t>
  </si>
  <si>
    <t>TS6I</t>
  </si>
  <si>
    <t>F</t>
  </si>
  <si>
    <t>HBr</t>
  </si>
  <si>
    <t>Br</t>
  </si>
  <si>
    <t>HI</t>
  </si>
  <si>
    <t>I-</t>
  </si>
  <si>
    <t>tsb-1</t>
  </si>
  <si>
    <t>tsb4</t>
  </si>
  <si>
    <t>x3lyp</t>
  </si>
  <si>
    <t>tsb1</t>
  </si>
  <si>
    <t>SENSE</t>
  </si>
  <si>
    <t>ClAcH</t>
  </si>
  <si>
    <t>BrAcH</t>
  </si>
  <si>
    <t>IAcH</t>
  </si>
  <si>
    <t>NEW THINGS</t>
  </si>
  <si>
    <t>Formic</t>
  </si>
  <si>
    <t>propanoic</t>
  </si>
  <si>
    <t>butanoic</t>
  </si>
  <si>
    <t>pentenoic</t>
  </si>
  <si>
    <t>p</t>
  </si>
  <si>
    <t>B</t>
  </si>
  <si>
    <t>Pen</t>
  </si>
  <si>
    <t>prod</t>
  </si>
  <si>
    <t>PC</t>
  </si>
  <si>
    <t>HAC</t>
  </si>
  <si>
    <t>FAC</t>
  </si>
  <si>
    <t>CLAC</t>
  </si>
  <si>
    <t>BRAC</t>
  </si>
  <si>
    <t>IAC</t>
  </si>
  <si>
    <t>enthalpy</t>
  </si>
  <si>
    <t>entropy</t>
  </si>
  <si>
    <t>SMD</t>
  </si>
  <si>
    <t>rxt</t>
  </si>
  <si>
    <t>acid</t>
  </si>
  <si>
    <t>gas</t>
  </si>
  <si>
    <t>product</t>
  </si>
  <si>
    <t>tprd</t>
  </si>
  <si>
    <t>prot-ester</t>
  </si>
  <si>
    <t>HX</t>
  </si>
  <si>
    <t>smd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</si>
</sst>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sz val="12"/>
      <color rgb="FFFF0000"/>
      <name val="Calibri"/>
      <family val="2"/>
      <scheme val="minor"/>
    </font>
    <font>
      <sz val="11"/>
      <color rgb="FF3333FF"/>
      <name val="Calibri"/>
      <family val="2"/>
      <scheme val="minor"/>
    </font>
    <font>
      <sz val="12"/>
      <color rgb="FFFF0000"/>
      <name val="Calibri"/>
      <family val="2"/>
    </font>
    <font>
      <sz val="11"/>
      <color rgb="FFC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11" fontId="6" fillId="0" borderId="0" xfId="0" applyNumberFormat="1" applyFon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2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5"/>
  <sheetViews>
    <sheetView topLeftCell="A95" workbookViewId="0">
      <selection activeCell="K116" sqref="K116"/>
    </sheetView>
  </sheetViews>
  <sheetFormatPr baseColWidth="10" defaultColWidth="8.83203125" defaultRowHeight="14" x14ac:dyDescent="0"/>
  <cols>
    <col min="3" max="3" width="12.6640625" customWidth="1"/>
    <col min="4" max="4" width="13.33203125" customWidth="1"/>
    <col min="5" max="5" width="14" customWidth="1"/>
    <col min="6" max="6" width="12.83203125" customWidth="1"/>
    <col min="7" max="7" width="12.33203125" customWidth="1"/>
    <col min="8" max="8" width="12" customWidth="1"/>
    <col min="9" max="9" width="12.6640625" customWidth="1"/>
    <col min="10" max="10" width="12.83203125" customWidth="1"/>
    <col min="11" max="11" width="7.33203125" customWidth="1"/>
    <col min="12" max="12" width="7.6640625" customWidth="1"/>
    <col min="13" max="13" width="8" customWidth="1"/>
    <col min="14" max="14" width="11.6640625" customWidth="1"/>
    <col min="15" max="15" width="10.33203125" customWidth="1"/>
    <col min="16" max="16" width="12.1640625" customWidth="1"/>
    <col min="17" max="17" width="10.83203125" customWidth="1"/>
    <col min="18" max="18" width="9.83203125" customWidth="1"/>
    <col min="19" max="19" width="10.33203125" customWidth="1"/>
    <col min="20" max="20" width="10.1640625" customWidth="1"/>
    <col min="21" max="21" width="11.83203125" customWidth="1"/>
    <col min="22" max="22" width="12.5" customWidth="1"/>
  </cols>
  <sheetData>
    <row r="1" spans="1:23" ht="15">
      <c r="A1" s="1"/>
      <c r="B1" s="1"/>
      <c r="C1" s="1"/>
      <c r="D1" s="1"/>
      <c r="E1" s="1" t="s">
        <v>22</v>
      </c>
      <c r="F1" s="1" t="s">
        <v>4</v>
      </c>
      <c r="G1" s="1"/>
      <c r="H1" s="1"/>
      <c r="I1" s="2"/>
      <c r="J1" s="2"/>
      <c r="K1" s="2"/>
      <c r="N1" s="4"/>
      <c r="O1" s="4"/>
      <c r="P1" s="4"/>
      <c r="Q1" s="4"/>
      <c r="R1" s="4" t="s">
        <v>22</v>
      </c>
      <c r="S1" s="4" t="s">
        <v>4</v>
      </c>
      <c r="T1" s="4" t="s">
        <v>53</v>
      </c>
      <c r="U1" s="4"/>
      <c r="V1" s="4"/>
      <c r="W1" s="4"/>
    </row>
    <row r="2" spans="1:23" ht="15">
      <c r="A2" s="1"/>
      <c r="B2" s="1"/>
      <c r="C2" s="1"/>
      <c r="D2" s="1"/>
      <c r="E2" s="1"/>
      <c r="F2" s="1"/>
      <c r="G2" s="1" t="s">
        <v>0</v>
      </c>
      <c r="H2" s="1" t="s">
        <v>54</v>
      </c>
      <c r="I2" s="2"/>
      <c r="J2" s="2"/>
      <c r="K2" s="2"/>
      <c r="L2">
        <v>627.51</v>
      </c>
      <c r="N2" s="4"/>
      <c r="O2" s="4"/>
      <c r="P2" s="4"/>
      <c r="Q2" s="4"/>
      <c r="R2" s="4"/>
      <c r="S2" s="4"/>
      <c r="T2" s="4" t="s">
        <v>37</v>
      </c>
      <c r="U2" s="4"/>
      <c r="V2" s="4"/>
      <c r="W2" s="4"/>
    </row>
    <row r="3" spans="1:23" ht="15">
      <c r="A3" s="1"/>
      <c r="B3" s="1"/>
      <c r="C3" s="1" t="s">
        <v>1</v>
      </c>
      <c r="D3" s="1" t="s">
        <v>2</v>
      </c>
      <c r="E3" s="1" t="s">
        <v>3</v>
      </c>
      <c r="F3" s="1"/>
      <c r="G3" s="1"/>
      <c r="H3" s="1"/>
      <c r="I3" s="1" t="s">
        <v>4</v>
      </c>
      <c r="J3" s="1" t="s">
        <v>5</v>
      </c>
      <c r="K3" s="2"/>
      <c r="N3" s="4"/>
      <c r="O3" s="4"/>
      <c r="P3" s="4" t="s">
        <v>1</v>
      </c>
      <c r="Q3" s="4" t="s">
        <v>2</v>
      </c>
      <c r="R3" s="4" t="s">
        <v>3</v>
      </c>
      <c r="S3" s="4"/>
      <c r="T3" s="4"/>
      <c r="U3" s="4"/>
      <c r="V3" s="4" t="s">
        <v>4</v>
      </c>
      <c r="W3" s="4" t="s">
        <v>39</v>
      </c>
    </row>
    <row r="4" spans="1:23" ht="15">
      <c r="A4" s="1" t="s">
        <v>6</v>
      </c>
      <c r="B4" s="3" t="s">
        <v>7</v>
      </c>
      <c r="C4" s="1">
        <v>-460.51062000000002</v>
      </c>
      <c r="D4" s="1">
        <v>-228.957627</v>
      </c>
      <c r="E4" s="1">
        <v>-115.64478099999999</v>
      </c>
      <c r="F4" s="1">
        <f>((C4+J4)-(D4+I4+(E4*2)))*$L$2</f>
        <v>160.03889537993695</v>
      </c>
      <c r="G4" s="1" t="s">
        <v>8</v>
      </c>
      <c r="H4" s="1">
        <v>1.9</v>
      </c>
      <c r="I4" s="2">
        <v>-460.75739600000003</v>
      </c>
      <c r="J4" s="2">
        <v>-460.23892699999999</v>
      </c>
      <c r="K4" s="2"/>
      <c r="N4" s="4" t="s">
        <v>6</v>
      </c>
      <c r="O4" s="4" t="s">
        <v>7</v>
      </c>
      <c r="P4" s="4">
        <v>-921.16365599999995</v>
      </c>
      <c r="Q4" s="4">
        <v>-229.04463200000001</v>
      </c>
      <c r="R4" s="4">
        <v>-115.68595500000001</v>
      </c>
      <c r="S4" s="4">
        <f>(P4-(Q4+V4+(R4*2)))*$L$2</f>
        <v>38.889932250047025</v>
      </c>
      <c r="T4" s="4" t="s">
        <v>8</v>
      </c>
      <c r="U4" s="4">
        <v>1.9</v>
      </c>
      <c r="V4" s="4">
        <v>-460.80908899999997</v>
      </c>
      <c r="W4" s="4"/>
    </row>
    <row r="5" spans="1:23" ht="15">
      <c r="A5" s="1" t="s">
        <v>9</v>
      </c>
      <c r="B5" s="3" t="s">
        <v>10</v>
      </c>
      <c r="C5" s="1">
        <v>-460.76008806900001</v>
      </c>
      <c r="D5" s="1">
        <v>-229.01177524100001</v>
      </c>
      <c r="E5" s="1">
        <v>-115.68331991300001</v>
      </c>
      <c r="F5" s="1">
        <f>((C5+J5)-(D5+I5+(E5*2)))*$L$2</f>
        <v>27.077452458811983</v>
      </c>
      <c r="G5" s="1">
        <f>F5-G9-F10</f>
        <v>-138.2187185635326</v>
      </c>
      <c r="H5" s="1">
        <v>3.0279999999999999E-3</v>
      </c>
      <c r="I5" s="2">
        <v>-460.75249773500002</v>
      </c>
      <c r="J5" s="2">
        <v>-460.327674102</v>
      </c>
      <c r="K5" s="2"/>
      <c r="N5" s="4" t="s">
        <v>9</v>
      </c>
      <c r="O5" s="4" t="s">
        <v>10</v>
      </c>
      <c r="P5" s="4">
        <v>-921.34530432899999</v>
      </c>
      <c r="Q5" s="4">
        <v>-229.09704092699999</v>
      </c>
      <c r="R5" s="4">
        <v>-115.723635556</v>
      </c>
      <c r="S5" s="4">
        <f>(P5-(Q5+V5+(R5*2)))*$L$2</f>
        <v>1.6870706751104501</v>
      </c>
      <c r="T5" s="4">
        <f>S5-S10-T9</f>
        <v>-34.946010564688478</v>
      </c>
      <c r="U5" s="4">
        <v>3.0279999999999999E-3</v>
      </c>
      <c r="V5" s="4">
        <v>-460.80368080599999</v>
      </c>
      <c r="W5" s="4"/>
    </row>
    <row r="6" spans="1:23" ht="15">
      <c r="A6" s="1" t="s">
        <v>11</v>
      </c>
      <c r="B6" s="3" t="s">
        <v>12</v>
      </c>
      <c r="C6" s="1">
        <v>-460.732506161</v>
      </c>
      <c r="D6" s="1">
        <v>-229.00655818199999</v>
      </c>
      <c r="E6" s="1">
        <v>-115.679667014</v>
      </c>
      <c r="F6" s="1">
        <f>((C6+J6)-(D6+I6+(E6*2)))*$L$2</f>
        <v>32.358538340757043</v>
      </c>
      <c r="G6" s="1">
        <f>F4+G5</f>
        <v>21.820176816404341</v>
      </c>
      <c r="H6" s="1">
        <f>(C6-C10)+C5-(E5*2)-D8-H5</f>
        <v>-0.50291348300001415</v>
      </c>
      <c r="I6" s="2">
        <v>-460.74994780600002</v>
      </c>
      <c r="J6" s="2">
        <v>-460.33176728500001</v>
      </c>
      <c r="K6" s="2"/>
      <c r="N6" s="4" t="s">
        <v>11</v>
      </c>
      <c r="O6" s="4" t="s">
        <v>12</v>
      </c>
      <c r="P6" s="4">
        <v>-921.33550245000004</v>
      </c>
      <c r="Q6" s="4">
        <v>-229.092376548</v>
      </c>
      <c r="R6" s="4">
        <v>-115.72045574000001</v>
      </c>
      <c r="S6" s="4">
        <f t="shared" ref="S6:S10" si="0">(P6-(Q6+V6+(R6*2)))*$L$2</f>
        <v>-0.68696531741749478</v>
      </c>
      <c r="T6" s="4">
        <f>S4+T5</f>
        <v>3.9439216853585464</v>
      </c>
      <c r="U6" s="4">
        <f>(P6-P10)+P5-(R5*2)-Q8-U5-V6</f>
        <v>-7.3474852999879658E-2</v>
      </c>
      <c r="V6" s="4">
        <v>-460.80111967400001</v>
      </c>
      <c r="W6" s="4"/>
    </row>
    <row r="7" spans="1:23" ht="15">
      <c r="A7" s="1" t="s">
        <v>13</v>
      </c>
      <c r="B7" s="3" t="s">
        <v>14</v>
      </c>
      <c r="C7" s="1"/>
      <c r="D7" s="1"/>
      <c r="E7" s="1"/>
      <c r="F7" s="1"/>
      <c r="G7" s="1">
        <f>G6+H4</f>
        <v>23.72017681640434</v>
      </c>
      <c r="H7" s="1">
        <f>H6*627.51</f>
        <v>-315.58323971733887</v>
      </c>
      <c r="I7" s="2"/>
      <c r="J7" s="2"/>
      <c r="K7" s="2"/>
      <c r="N7" s="4" t="s">
        <v>13</v>
      </c>
      <c r="O7" s="4" t="s">
        <v>14</v>
      </c>
      <c r="P7" s="4"/>
      <c r="Q7" s="4"/>
      <c r="R7" s="4"/>
      <c r="S7" s="4">
        <f t="shared" si="0"/>
        <v>0</v>
      </c>
      <c r="T7" s="4">
        <f>T6+U4</f>
        <v>5.8439216853585467</v>
      </c>
      <c r="U7" s="4">
        <f>U6*627.51</f>
        <v>-46.106205005954486</v>
      </c>
      <c r="V7" s="4"/>
      <c r="W7" s="4"/>
    </row>
    <row r="8" spans="1:23" ht="15">
      <c r="A8" s="1" t="s">
        <v>15</v>
      </c>
      <c r="B8" s="3" t="s">
        <v>16</v>
      </c>
      <c r="C8" s="1">
        <v>-460.588796</v>
      </c>
      <c r="D8" s="1">
        <v>-228.971351</v>
      </c>
      <c r="E8" s="1">
        <v>-115.6511</v>
      </c>
      <c r="F8" s="1">
        <f>((C8+J8)-(D8+I8+(E8*2)))*$L$2</f>
        <v>62.210086379953147</v>
      </c>
      <c r="G8" s="1" t="s">
        <v>17</v>
      </c>
      <c r="H8" s="1"/>
      <c r="I8" s="1">
        <v>-460.76117299999999</v>
      </c>
      <c r="J8" s="2">
        <v>-460.34679</v>
      </c>
      <c r="K8" s="2"/>
      <c r="N8" s="4" t="s">
        <v>15</v>
      </c>
      <c r="O8" s="4" t="s">
        <v>16</v>
      </c>
      <c r="P8" s="4">
        <v>-921.19436199999996</v>
      </c>
      <c r="Q8" s="4">
        <v>-229.057084</v>
      </c>
      <c r="R8" s="4">
        <v>-115.691355</v>
      </c>
      <c r="S8" s="4">
        <f>(P8-(Q8+V8+(R8*2)))*$L$2</f>
        <v>36.140810939996605</v>
      </c>
      <c r="T8" s="4" t="s">
        <v>17</v>
      </c>
      <c r="U8" s="4"/>
      <c r="V8" s="4">
        <v>-460.812162</v>
      </c>
      <c r="W8" s="4"/>
    </row>
    <row r="9" spans="1:23" ht="15">
      <c r="A9" s="2"/>
      <c r="B9" s="2"/>
      <c r="C9" s="2"/>
      <c r="D9" s="2"/>
      <c r="E9" s="2"/>
      <c r="F9" s="1" t="s">
        <v>16</v>
      </c>
      <c r="G9" s="1">
        <f>F8-F5</f>
        <v>35.132633921141164</v>
      </c>
      <c r="H9" s="1">
        <f>C5-C10</f>
        <v>-0.10537014800001998</v>
      </c>
      <c r="I9" s="1">
        <f>H9*627.51</f>
        <v>-66.120821571492542</v>
      </c>
      <c r="J9" s="2"/>
      <c r="K9" s="2"/>
      <c r="N9" s="4"/>
      <c r="O9" s="4"/>
      <c r="P9" s="4"/>
      <c r="Q9" s="4"/>
      <c r="R9" s="4"/>
      <c r="S9" s="4" t="s">
        <v>26</v>
      </c>
      <c r="T9" s="4">
        <f>S8-S5</f>
        <v>34.453740264886157</v>
      </c>
      <c r="U9" s="4">
        <f>P5-P10</f>
        <v>-4.0419188999976541E-2</v>
      </c>
      <c r="V9" s="4">
        <f>U9*627.51</f>
        <v>-25.363445289375278</v>
      </c>
      <c r="W9" s="4"/>
    </row>
    <row r="10" spans="1:23" ht="15">
      <c r="A10" s="1" t="s">
        <v>18</v>
      </c>
      <c r="B10" s="2"/>
      <c r="C10" s="2">
        <v>-460.65471792099999</v>
      </c>
      <c r="D10" s="2">
        <v>-228.993020745</v>
      </c>
      <c r="E10" s="2">
        <v>-115.67342927599999</v>
      </c>
      <c r="F10" s="1">
        <f t="shared" ref="F10" si="1">((C10+J10)-(D10+I10+(E10*2)))*$L$2</f>
        <v>130.16353710120342</v>
      </c>
      <c r="G10" s="2"/>
      <c r="H10" s="2"/>
      <c r="I10" s="2">
        <v>-460.74617148599998</v>
      </c>
      <c r="J10" s="2">
        <v>-460.22390423600001</v>
      </c>
      <c r="K10" s="2"/>
      <c r="N10" s="4" t="s">
        <v>18</v>
      </c>
      <c r="O10" s="4"/>
      <c r="P10" s="4">
        <v>-921.30488514000001</v>
      </c>
      <c r="Q10" s="4">
        <v>-229.07988255199999</v>
      </c>
      <c r="R10" s="4">
        <v>-115.715208574</v>
      </c>
      <c r="S10" s="4">
        <f t="shared" si="0"/>
        <v>2.1793409749127739</v>
      </c>
      <c r="T10" s="4"/>
      <c r="U10" s="4"/>
      <c r="V10" s="4">
        <v>-460.798058438</v>
      </c>
      <c r="W10" s="4"/>
    </row>
    <row r="11" spans="1:2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23" ht="15">
      <c r="A12" s="1"/>
      <c r="B12" s="1"/>
      <c r="C12" s="1"/>
      <c r="D12" s="1"/>
      <c r="E12" s="1" t="s">
        <v>19</v>
      </c>
      <c r="F12" s="1"/>
      <c r="G12" s="1"/>
      <c r="H12" s="1"/>
      <c r="I12" s="2"/>
      <c r="J12" s="2"/>
      <c r="K12" s="2"/>
    </row>
    <row r="13" spans="1:23" ht="15">
      <c r="A13" s="1"/>
      <c r="B13" s="1"/>
      <c r="C13" s="1" t="s">
        <v>20</v>
      </c>
      <c r="D13" s="1" t="s">
        <v>2</v>
      </c>
      <c r="E13" s="1" t="s">
        <v>3</v>
      </c>
      <c r="F13" s="1"/>
      <c r="G13" s="1"/>
      <c r="H13" s="1"/>
      <c r="I13" s="1"/>
      <c r="J13" s="2" t="s">
        <v>21</v>
      </c>
      <c r="K13" s="2"/>
    </row>
    <row r="14" spans="1:23" ht="15">
      <c r="A14" s="1" t="s">
        <v>6</v>
      </c>
      <c r="B14" s="3" t="s">
        <v>7</v>
      </c>
      <c r="C14" s="1">
        <v>-76.389379000000005</v>
      </c>
      <c r="D14" s="1">
        <v>-228.957627</v>
      </c>
      <c r="E14" s="1">
        <v>-115.64478099999999</v>
      </c>
      <c r="F14" s="1">
        <f>((J14+C14+E14+J4)-(D14+I4+(E14*2)))*$L$2</f>
        <v>128.6759455799338</v>
      </c>
      <c r="G14" s="1" t="s">
        <v>8</v>
      </c>
      <c r="H14" s="1">
        <v>1.9</v>
      </c>
      <c r="I14" s="2"/>
      <c r="J14" s="2">
        <v>-268.52643999999998</v>
      </c>
      <c r="K14" s="2"/>
    </row>
    <row r="15" spans="1:23" ht="15">
      <c r="A15" s="1" t="s">
        <v>9</v>
      </c>
      <c r="B15" s="3" t="s">
        <v>10</v>
      </c>
      <c r="C15" s="1">
        <v>-76.407753069500004</v>
      </c>
      <c r="D15" s="1">
        <v>-229.01177524100001</v>
      </c>
      <c r="E15" s="1">
        <v>-115.68331991300001</v>
      </c>
      <c r="F15" s="1">
        <f>((C15+J15+E15+J5)-(D15+I5+(E15*2)))*$L$2</f>
        <v>5.2107843678351422</v>
      </c>
      <c r="G15" s="1">
        <f>F15-G19-F20</f>
        <v>-129.59764990087683</v>
      </c>
      <c r="H15" s="1">
        <v>3.0279999999999999E-3</v>
      </c>
      <c r="I15" s="2"/>
      <c r="J15" s="1">
        <v>-268.70386181100002</v>
      </c>
      <c r="K15" s="2"/>
    </row>
    <row r="16" spans="1:23" ht="15">
      <c r="A16" s="1" t="s">
        <v>11</v>
      </c>
      <c r="B16" s="3" t="s">
        <v>12</v>
      </c>
      <c r="C16" s="1">
        <v>-76.401407660999993</v>
      </c>
      <c r="D16" s="1">
        <v>-229.00655818199999</v>
      </c>
      <c r="E16" s="1">
        <v>-115.679667014</v>
      </c>
      <c r="F16" s="1">
        <f t="shared" ref="F16:F20" si="2">((C16+J16+E16+J6)-(D16+I6+(E16*2)))*$L$2</f>
        <v>10.581852359987627</v>
      </c>
      <c r="G16" s="1">
        <f>F14+G15</f>
        <v>-0.92170432094303578</v>
      </c>
      <c r="H16" s="1">
        <f>G16+J16</f>
        <v>-269.60783913594304</v>
      </c>
      <c r="I16" s="2"/>
      <c r="J16" s="1">
        <v>-268.686134815</v>
      </c>
      <c r="K16" s="2"/>
    </row>
    <row r="17" spans="1:21" ht="15">
      <c r="A17" s="1" t="s">
        <v>13</v>
      </c>
      <c r="B17" s="3" t="s">
        <v>14</v>
      </c>
      <c r="C17" s="1"/>
      <c r="D17" s="1"/>
      <c r="E17" s="1"/>
      <c r="F17" s="1"/>
      <c r="G17" s="1">
        <f>G16-H14</f>
        <v>-2.8217043209430357</v>
      </c>
      <c r="H17" s="1"/>
      <c r="I17" s="2"/>
      <c r="J17" s="1"/>
      <c r="K17" s="2"/>
    </row>
    <row r="18" spans="1:21" ht="15">
      <c r="A18" s="1" t="s">
        <v>15</v>
      </c>
      <c r="B18" s="3" t="s">
        <v>16</v>
      </c>
      <c r="C18" s="1">
        <v>-76.397942999999998</v>
      </c>
      <c r="D18" s="1">
        <v>-228.971351</v>
      </c>
      <c r="E18" s="1">
        <v>-115.6511</v>
      </c>
      <c r="F18" s="1">
        <f t="shared" si="2"/>
        <v>16.052960819991078</v>
      </c>
      <c r="G18" s="1" t="s">
        <v>17</v>
      </c>
      <c r="H18" s="1"/>
      <c r="I18" s="1"/>
      <c r="J18" s="1">
        <v>-268.61330900000002</v>
      </c>
      <c r="K18" s="2"/>
    </row>
    <row r="19" spans="1:21" ht="15">
      <c r="A19" s="2"/>
      <c r="B19" s="2"/>
      <c r="C19" s="2"/>
      <c r="D19" s="2"/>
      <c r="E19" s="2"/>
      <c r="F19" s="1" t="s">
        <v>16</v>
      </c>
      <c r="G19" s="1">
        <f>F18-F15</f>
        <v>10.842176452155936</v>
      </c>
      <c r="H19" s="1"/>
      <c r="I19" s="1"/>
      <c r="J19" s="1"/>
      <c r="K19" s="2"/>
    </row>
    <row r="20" spans="1:21" ht="15">
      <c r="A20" s="1" t="s">
        <v>18</v>
      </c>
      <c r="B20" s="2"/>
      <c r="C20" s="2">
        <v>-76.392854451900007</v>
      </c>
      <c r="D20" s="2">
        <v>-228.993020745</v>
      </c>
      <c r="E20" s="2">
        <v>-115.67342927599999</v>
      </c>
      <c r="F20" s="1">
        <f t="shared" si="2"/>
        <v>123.96625781655604</v>
      </c>
      <c r="G20" s="2"/>
      <c r="H20" s="2"/>
      <c r="I20" s="2"/>
      <c r="J20" s="2">
        <v>-268.59831017800002</v>
      </c>
      <c r="K20" s="2"/>
    </row>
    <row r="21" spans="1: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21" ht="15">
      <c r="A22" s="5"/>
      <c r="B22" s="5"/>
      <c r="C22" s="5"/>
      <c r="D22" s="5"/>
      <c r="E22" s="5" t="s">
        <v>22</v>
      </c>
      <c r="F22" s="5" t="s">
        <v>23</v>
      </c>
      <c r="G22" s="5" t="s">
        <v>35</v>
      </c>
      <c r="H22" s="5" t="s">
        <v>52</v>
      </c>
      <c r="I22" s="4"/>
      <c r="J22" s="4"/>
      <c r="K22" s="4"/>
      <c r="L22" s="5"/>
      <c r="M22" s="5"/>
      <c r="N22" s="5"/>
      <c r="O22" s="5" t="s">
        <v>36</v>
      </c>
      <c r="P22" s="5" t="s">
        <v>22</v>
      </c>
      <c r="Q22" s="5" t="s">
        <v>23</v>
      </c>
      <c r="R22" s="5" t="s">
        <v>34</v>
      </c>
      <c r="S22" s="5"/>
      <c r="T22" s="4"/>
      <c r="U22" s="4"/>
    </row>
    <row r="23" spans="1:21" ht="15">
      <c r="A23" s="5"/>
      <c r="B23" s="5"/>
      <c r="C23" s="5"/>
      <c r="D23" s="5"/>
      <c r="E23" s="5"/>
      <c r="F23" s="5"/>
      <c r="G23" s="5" t="s">
        <v>0</v>
      </c>
      <c r="H23" s="5"/>
      <c r="I23" s="4"/>
      <c r="J23" s="4"/>
      <c r="K23" s="4"/>
      <c r="L23" s="5"/>
      <c r="M23" s="5"/>
      <c r="N23" s="5"/>
      <c r="O23" s="5"/>
      <c r="P23" s="5"/>
      <c r="Q23" s="5"/>
      <c r="R23" s="5" t="s">
        <v>0</v>
      </c>
      <c r="S23" s="5"/>
      <c r="T23" s="4"/>
      <c r="U23" s="4"/>
    </row>
    <row r="24" spans="1:21" ht="15">
      <c r="A24" s="5"/>
      <c r="B24" s="5"/>
      <c r="C24" s="5" t="s">
        <v>1</v>
      </c>
      <c r="D24" s="5" t="s">
        <v>2</v>
      </c>
      <c r="E24" s="5" t="s">
        <v>3</v>
      </c>
      <c r="F24" s="5"/>
      <c r="G24" s="5"/>
      <c r="H24" s="5"/>
      <c r="I24" s="5" t="s">
        <v>24</v>
      </c>
      <c r="J24" s="5" t="s">
        <v>20</v>
      </c>
      <c r="K24" s="4"/>
      <c r="L24" s="5"/>
      <c r="M24" s="5"/>
      <c r="N24" s="5" t="s">
        <v>1</v>
      </c>
      <c r="O24" s="5" t="s">
        <v>2</v>
      </c>
      <c r="P24" s="5" t="s">
        <v>3</v>
      </c>
      <c r="Q24" s="5"/>
      <c r="R24" s="5"/>
      <c r="S24" s="5"/>
      <c r="T24" s="5" t="s">
        <v>24</v>
      </c>
      <c r="U24" s="5" t="s">
        <v>20</v>
      </c>
    </row>
    <row r="25" spans="1:21" ht="15">
      <c r="A25" s="5" t="s">
        <v>6</v>
      </c>
      <c r="B25" s="7" t="s">
        <v>7</v>
      </c>
      <c r="C25" s="5">
        <v>-460.51062000000002</v>
      </c>
      <c r="D25" s="5">
        <v>-228.957627</v>
      </c>
      <c r="E25" s="5">
        <v>-115.64478099999999</v>
      </c>
      <c r="F25" s="5">
        <f>((C25+J25)-(D25+I25+(E25*2)))*$L$2</f>
        <v>-6.0171933900033876</v>
      </c>
      <c r="G25" s="5" t="s">
        <v>8</v>
      </c>
      <c r="H25" s="5">
        <v>1.9</v>
      </c>
      <c r="I25" s="4">
        <v>-76.643220999999997</v>
      </c>
      <c r="J25" s="5">
        <v>-76.389379000000005</v>
      </c>
      <c r="K25" s="4"/>
      <c r="L25" s="5" t="s">
        <v>6</v>
      </c>
      <c r="M25" s="7" t="s">
        <v>7</v>
      </c>
      <c r="N25" s="5">
        <v>-460.549329</v>
      </c>
      <c r="O25" s="5">
        <v>-228.957627</v>
      </c>
      <c r="P25" s="5">
        <v>-115.64478099999999</v>
      </c>
      <c r="Q25" s="5">
        <f>((N25+U25)-(O25+T25+(P25*2)))*$L$2</f>
        <v>-30.307477980028395</v>
      </c>
      <c r="R25" s="5" t="s">
        <v>8</v>
      </c>
      <c r="S25" s="5">
        <v>1.9</v>
      </c>
      <c r="T25" s="4">
        <v>-76.643220999999997</v>
      </c>
      <c r="U25" s="5">
        <v>-76.389379000000005</v>
      </c>
    </row>
    <row r="26" spans="1:21" ht="15">
      <c r="A26" s="5" t="s">
        <v>9</v>
      </c>
      <c r="B26" s="7" t="s">
        <v>10</v>
      </c>
      <c r="C26" s="5">
        <v>-460.76008806900001</v>
      </c>
      <c r="D26" s="5">
        <v>-229.01177524100001</v>
      </c>
      <c r="E26" s="5">
        <v>-115.68331991300001</v>
      </c>
      <c r="F26" s="5">
        <f>((C26+J26)-(D26+I26+(E26*2)))*$L$2</f>
        <v>12.050644120891457</v>
      </c>
      <c r="G26" s="5">
        <f>F26-G30-F31</f>
        <v>24.04372310994394</v>
      </c>
      <c r="H26" s="5">
        <v>3.0279999999999999E-3</v>
      </c>
      <c r="I26" s="4">
        <v>-76.808629979200006</v>
      </c>
      <c r="J26" s="5">
        <v>-76.407753069500004</v>
      </c>
      <c r="K26" s="4"/>
      <c r="L26" s="5" t="s">
        <v>9</v>
      </c>
      <c r="M26" s="7" t="s">
        <v>10</v>
      </c>
      <c r="N26" s="5">
        <v>-460.79258498299998</v>
      </c>
      <c r="O26" s="5">
        <v>-229.01177524100001</v>
      </c>
      <c r="P26" s="5">
        <v>-115.68331991300001</v>
      </c>
      <c r="Q26" s="5">
        <f>((N26+U26)-(O26+T26+(P26*2)))*$L$2</f>
        <v>-8.3414943832704118</v>
      </c>
      <c r="R26" s="5">
        <f>Q26-Q31</f>
        <v>46.330936982196633</v>
      </c>
      <c r="S26" s="5">
        <v>3.0279999999999999E-3</v>
      </c>
      <c r="T26" s="4">
        <v>-76.808629979200006</v>
      </c>
      <c r="U26" s="5">
        <v>-76.407753069500004</v>
      </c>
    </row>
    <row r="27" spans="1:21" ht="15">
      <c r="A27" s="5" t="s">
        <v>11</v>
      </c>
      <c r="B27" s="7" t="s">
        <v>12</v>
      </c>
      <c r="C27" s="5">
        <v>-460.732506161</v>
      </c>
      <c r="D27" s="5">
        <v>-229.00655818199999</v>
      </c>
      <c r="E27" s="5">
        <v>-115.679667014</v>
      </c>
      <c r="F27" s="5">
        <f>((C27+J27)-(D27+I27+(E27*2)))*$L$2</f>
        <v>6.0246152018051484</v>
      </c>
      <c r="G27" s="5">
        <f>F25+G26</f>
        <v>18.026529719940552</v>
      </c>
      <c r="H27" s="5">
        <f>(C27-C31)+C26-(E26*2)-D29-H26</f>
        <v>-0.50291348300001415</v>
      </c>
      <c r="I27" s="4">
        <v>-76.777622439400005</v>
      </c>
      <c r="J27" s="5">
        <v>-76.401407660999993</v>
      </c>
      <c r="K27" s="4"/>
      <c r="L27" s="5" t="s">
        <v>11</v>
      </c>
      <c r="M27" s="7" t="s">
        <v>12</v>
      </c>
      <c r="N27" s="5">
        <v>-460.77069837800002</v>
      </c>
      <c r="O27" s="5">
        <v>-229.00655818199999</v>
      </c>
      <c r="P27" s="5">
        <v>-115.679667014</v>
      </c>
      <c r="Q27" s="5">
        <f>((N27+U27)-(O27+T27+(P27*2)))*$L$2</f>
        <v>-17.941382887910954</v>
      </c>
      <c r="R27" s="5">
        <f>Q25+R26</f>
        <v>16.023459002168238</v>
      </c>
      <c r="S27" s="5">
        <f>(N27-N31)+N26-(P26*2)-O29-S26</f>
        <v>-0.53600288599997681</v>
      </c>
      <c r="T27" s="4">
        <v>-76.777622439400005</v>
      </c>
      <c r="U27" s="5">
        <v>-76.401407660999993</v>
      </c>
    </row>
    <row r="28" spans="1:21" ht="15">
      <c r="A28" s="5" t="s">
        <v>13</v>
      </c>
      <c r="B28" s="7" t="s">
        <v>14</v>
      </c>
      <c r="C28" s="5"/>
      <c r="D28" s="5"/>
      <c r="E28" s="5"/>
      <c r="F28" s="5"/>
      <c r="G28" s="5">
        <f>G27+H25</f>
        <v>19.92652971994055</v>
      </c>
      <c r="H28" s="5">
        <f>H27*627.51</f>
        <v>-315.58323971733887</v>
      </c>
      <c r="I28" s="4"/>
      <c r="J28" s="5"/>
      <c r="K28" s="4"/>
      <c r="L28" s="5" t="s">
        <v>13</v>
      </c>
      <c r="M28" s="7" t="s">
        <v>14</v>
      </c>
      <c r="N28" s="5"/>
      <c r="O28" s="5"/>
      <c r="P28" s="5"/>
      <c r="Q28" s="5"/>
      <c r="R28" s="5">
        <f>R27+S25</f>
        <v>17.923459002168237</v>
      </c>
      <c r="S28" s="5">
        <f>S27*627.51</f>
        <v>-336.34717099384545</v>
      </c>
      <c r="T28" s="4"/>
      <c r="U28" s="5"/>
    </row>
    <row r="29" spans="1:21" ht="15">
      <c r="A29" s="5" t="s">
        <v>15</v>
      </c>
      <c r="B29" s="7" t="s">
        <v>16</v>
      </c>
      <c r="C29" s="5">
        <v>-460.588796</v>
      </c>
      <c r="D29" s="5">
        <v>-228.971351</v>
      </c>
      <c r="E29" s="5">
        <v>-115.6511</v>
      </c>
      <c r="F29" s="5">
        <f t="shared" ref="F29" si="3">((C29+J29)-(D29+I29+(E29*2)))*$L$2</f>
        <v>31.135791180005953</v>
      </c>
      <c r="G29" s="5" t="s">
        <v>17</v>
      </c>
      <c r="H29" s="5"/>
      <c r="I29" s="5">
        <v>-76.762805999999998</v>
      </c>
      <c r="J29" s="5">
        <v>-76.397942999999998</v>
      </c>
      <c r="K29" s="4"/>
      <c r="L29" s="5" t="s">
        <v>15</v>
      </c>
      <c r="M29" s="7" t="s">
        <v>16</v>
      </c>
      <c r="N29" s="5">
        <v>-460.62907899999999</v>
      </c>
      <c r="O29" s="5">
        <v>-228.971351</v>
      </c>
      <c r="P29" s="5">
        <v>-115.6511</v>
      </c>
      <c r="Q29" s="5">
        <f t="shared" ref="Q29" si="4">((N29+U29)-(O29+T29+(P29*2)))*$L$2</f>
        <v>5.8578058499777645</v>
      </c>
      <c r="R29" s="5" t="s">
        <v>17</v>
      </c>
      <c r="S29" s="5"/>
      <c r="T29" s="5">
        <v>-76.762805999999998</v>
      </c>
      <c r="U29" s="5">
        <v>-76.397942999999998</v>
      </c>
    </row>
    <row r="30" spans="1:21" ht="15">
      <c r="A30" s="4"/>
      <c r="B30" s="4"/>
      <c r="C30" s="4"/>
      <c r="D30" s="4"/>
      <c r="E30" s="4"/>
      <c r="F30" s="5" t="s">
        <v>16</v>
      </c>
      <c r="G30" s="5">
        <f>F29-F26</f>
        <v>19.085147059114497</v>
      </c>
      <c r="H30" s="5">
        <f>C26-C31</f>
        <v>-0.10537014800001998</v>
      </c>
      <c r="I30" s="5">
        <f>H30*627.51</f>
        <v>-66.120821571492542</v>
      </c>
      <c r="J30" s="4"/>
      <c r="K30" s="4"/>
      <c r="L30" s="4"/>
      <c r="M30" s="4"/>
      <c r="N30" s="4"/>
      <c r="O30" s="4"/>
      <c r="P30" s="4"/>
      <c r="Q30" s="5" t="s">
        <v>16</v>
      </c>
      <c r="R30" s="5">
        <f>Q29-Q26</f>
        <v>14.199300233248177</v>
      </c>
      <c r="S30" s="5">
        <f>N26-N31</f>
        <v>-0.10026733399996601</v>
      </c>
      <c r="T30" s="5"/>
      <c r="U30" s="4"/>
    </row>
    <row r="31" spans="1:21" ht="15">
      <c r="A31" s="5" t="s">
        <v>18</v>
      </c>
      <c r="B31" s="4"/>
      <c r="C31" s="4">
        <v>-460.65471792099999</v>
      </c>
      <c r="D31" s="4">
        <v>-228.993020745</v>
      </c>
      <c r="E31" s="4">
        <v>-115.67342927599999</v>
      </c>
      <c r="F31" s="5">
        <f t="shared" ref="F31" si="5">((C31+J31)-(D31+I31+(E31*2)))*$L$2</f>
        <v>-31.078226048166979</v>
      </c>
      <c r="G31" s="4"/>
      <c r="H31" s="4"/>
      <c r="I31" s="4">
        <v>-76.658166811699999</v>
      </c>
      <c r="J31" s="4">
        <v>-76.392854451900007</v>
      </c>
      <c r="K31" s="4"/>
      <c r="L31" s="5" t="s">
        <v>18</v>
      </c>
      <c r="M31" s="4"/>
      <c r="N31" s="4">
        <v>-460.69231764900002</v>
      </c>
      <c r="O31" s="4">
        <v>-228.993020745</v>
      </c>
      <c r="P31" s="4">
        <v>-115.67342927599999</v>
      </c>
      <c r="Q31" s="5">
        <f t="shared" ref="Q31" si="6">((N31+U31)-(O31+T31+(P31*2)))*$L$2</f>
        <v>-54.672431365467041</v>
      </c>
      <c r="R31" s="4"/>
      <c r="S31" s="4"/>
      <c r="T31" s="4">
        <v>-76.658166811699999</v>
      </c>
      <c r="U31" s="4">
        <v>-76.392854451900007</v>
      </c>
    </row>
    <row r="32" spans="1:2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 ht="15">
      <c r="A33" s="1"/>
      <c r="B33" s="1"/>
      <c r="C33" s="1"/>
      <c r="D33" s="1"/>
      <c r="E33" s="1" t="s">
        <v>19</v>
      </c>
      <c r="F33" s="1"/>
      <c r="G33" s="1"/>
      <c r="H33" s="1"/>
      <c r="I33" s="2"/>
      <c r="J33" s="2"/>
      <c r="K33" s="2"/>
      <c r="L33" s="1"/>
      <c r="M33" s="1"/>
      <c r="N33" s="1"/>
      <c r="O33" s="1" t="s">
        <v>36</v>
      </c>
      <c r="P33" s="1" t="s">
        <v>38</v>
      </c>
      <c r="Q33" s="1" t="s">
        <v>23</v>
      </c>
      <c r="R33" s="1" t="s">
        <v>34</v>
      </c>
      <c r="S33" s="1"/>
      <c r="T33" s="2"/>
      <c r="U33" s="2"/>
    </row>
    <row r="34" spans="1:21" ht="15">
      <c r="A34" s="1"/>
      <c r="B34" s="1"/>
      <c r="C34" s="1" t="s">
        <v>20</v>
      </c>
      <c r="D34" s="1" t="s">
        <v>2</v>
      </c>
      <c r="E34" s="1" t="s">
        <v>3</v>
      </c>
      <c r="F34" s="1"/>
      <c r="G34" s="1"/>
      <c r="H34" s="4" t="s">
        <v>29</v>
      </c>
      <c r="I34" s="4"/>
      <c r="J34" s="2" t="s">
        <v>21</v>
      </c>
      <c r="K34" s="2"/>
      <c r="L34" s="1"/>
      <c r="M34" s="1"/>
      <c r="N34" s="1"/>
      <c r="O34" s="1"/>
      <c r="P34" s="1"/>
      <c r="Q34" s="1"/>
      <c r="R34" s="1" t="s">
        <v>37</v>
      </c>
      <c r="S34" s="1"/>
      <c r="T34" s="2"/>
      <c r="U34" s="2"/>
    </row>
    <row r="35" spans="1:21" ht="15">
      <c r="A35" s="1" t="s">
        <v>6</v>
      </c>
      <c r="B35" s="3" t="s">
        <v>7</v>
      </c>
      <c r="C35" s="1">
        <v>-76.389379000000005</v>
      </c>
      <c r="D35" s="1">
        <v>-228.957627</v>
      </c>
      <c r="E35" s="1">
        <v>-115.64478099999999</v>
      </c>
      <c r="F35" s="1">
        <f>((J35+C35+E35+J25)-(D35+I25+(E35*2)))*$L$2</f>
        <v>-37.380143190006535</v>
      </c>
      <c r="G35" s="1" t="s">
        <v>8</v>
      </c>
      <c r="H35" s="4">
        <v>1.9</v>
      </c>
      <c r="I35" s="4" t="s">
        <v>27</v>
      </c>
      <c r="J35" s="2">
        <v>-268.52643999999998</v>
      </c>
      <c r="K35" s="2"/>
      <c r="L35" s="1"/>
      <c r="M35" s="1"/>
      <c r="N35" s="1" t="s">
        <v>1</v>
      </c>
      <c r="O35" s="1" t="s">
        <v>2</v>
      </c>
      <c r="P35" s="1" t="s">
        <v>3</v>
      </c>
      <c r="Q35" s="1"/>
      <c r="R35" s="1"/>
      <c r="S35" s="1"/>
      <c r="T35" s="1" t="s">
        <v>24</v>
      </c>
      <c r="U35" s="1" t="s">
        <v>20</v>
      </c>
    </row>
    <row r="36" spans="1:21" ht="15">
      <c r="A36" s="1" t="s">
        <v>9</v>
      </c>
      <c r="B36" s="3" t="s">
        <v>10</v>
      </c>
      <c r="C36" s="1">
        <v>-76.407753069500004</v>
      </c>
      <c r="D36" s="1">
        <v>-229.01177524100001</v>
      </c>
      <c r="E36" s="1">
        <v>-115.68331991300001</v>
      </c>
      <c r="F36" s="1">
        <f>((C36+J36+E36+J26)-(D36+I26+(E36*2)))*$L$2</f>
        <v>-9.8160239701567225</v>
      </c>
      <c r="G36" s="1">
        <f>F36-G40-F41</f>
        <v>32.66479177245705</v>
      </c>
      <c r="H36" s="4">
        <v>3.0279999999999999E-3</v>
      </c>
      <c r="I36" s="4" t="s">
        <v>28</v>
      </c>
      <c r="J36" s="1">
        <v>-268.70386181100002</v>
      </c>
      <c r="K36" s="2"/>
      <c r="L36" s="1" t="s">
        <v>6</v>
      </c>
      <c r="M36" s="3" t="s">
        <v>7</v>
      </c>
      <c r="N36" s="1">
        <v>-421.432681</v>
      </c>
      <c r="O36" s="1">
        <v>-229.04463200000001</v>
      </c>
      <c r="P36" s="1">
        <v>-115.68595500000001</v>
      </c>
      <c r="Q36" s="1">
        <f>(N36-(O36+T36+P36))*$L$2</f>
        <v>-11.595757289972774</v>
      </c>
      <c r="R36" s="1" t="s">
        <v>8</v>
      </c>
      <c r="S36" s="1">
        <v>1.9</v>
      </c>
      <c r="T36" s="2">
        <v>-76.683615000000003</v>
      </c>
      <c r="U36" s="1">
        <v>-76.389379000000005</v>
      </c>
    </row>
    <row r="37" spans="1:21" ht="15">
      <c r="A37" s="1" t="s">
        <v>11</v>
      </c>
      <c r="B37" s="3" t="s">
        <v>12</v>
      </c>
      <c r="C37" s="1">
        <v>-76.401407660999993</v>
      </c>
      <c r="D37" s="1">
        <v>-229.00655818199999</v>
      </c>
      <c r="E37" s="1">
        <v>-115.679667014</v>
      </c>
      <c r="F37" s="1">
        <f>((C37+J37+E37+J27)-(D37+I27+(E37*2)))*$L$2</f>
        <v>-15.752070779035607</v>
      </c>
      <c r="G37" s="1">
        <f>F35+G36</f>
        <v>-4.7153514175494848</v>
      </c>
      <c r="H37" s="1">
        <f>G37+J37</f>
        <v>-273.40148623254947</v>
      </c>
      <c r="I37" s="2"/>
      <c r="J37" s="1">
        <v>-268.686134815</v>
      </c>
      <c r="K37" s="2"/>
      <c r="L37" s="1" t="s">
        <v>9</v>
      </c>
      <c r="M37" s="3" t="s">
        <v>10</v>
      </c>
      <c r="N37" s="1">
        <v>-421.62684443500001</v>
      </c>
      <c r="O37" s="1">
        <v>-229.09704092699999</v>
      </c>
      <c r="P37" s="1">
        <v>-115.723635556</v>
      </c>
      <c r="Q37" s="1">
        <f>(N37-(O37+T37+P37))*$L$2</f>
        <v>26.843944567126886</v>
      </c>
      <c r="R37" s="1">
        <f>Q37-R41-Q42</f>
        <v>62.157438102728051</v>
      </c>
      <c r="S37" s="1">
        <v>3.0279999999999999E-3</v>
      </c>
      <c r="T37" s="2">
        <v>-76.848946464799994</v>
      </c>
      <c r="U37" s="1">
        <v>-76.407753069500004</v>
      </c>
    </row>
    <row r="38" spans="1:21" ht="15">
      <c r="A38" s="1" t="s">
        <v>13</v>
      </c>
      <c r="B38" s="3" t="s">
        <v>14</v>
      </c>
      <c r="C38" s="1"/>
      <c r="D38" s="1"/>
      <c r="E38" s="1"/>
      <c r="F38" s="1"/>
      <c r="G38" s="1">
        <f>G37-H35</f>
        <v>-6.6153514175494852</v>
      </c>
      <c r="H38" s="1"/>
      <c r="I38" s="2"/>
      <c r="J38" s="1"/>
      <c r="K38" s="2"/>
      <c r="L38" s="1" t="s">
        <v>11</v>
      </c>
      <c r="M38" s="3" t="s">
        <v>12</v>
      </c>
      <c r="N38" s="1">
        <v>-421.62684443500001</v>
      </c>
      <c r="O38" s="1">
        <v>-229.092376548</v>
      </c>
      <c r="P38" s="1">
        <v>-115.72045574000001</v>
      </c>
      <c r="Q38" s="1">
        <f>(N38-(O38+T38+P38))*$L$2</f>
        <v>2.6998049853356254</v>
      </c>
      <c r="R38" s="1">
        <f>Q36+R37</f>
        <v>50.561680812755277</v>
      </c>
      <c r="S38" s="1">
        <f>(N38-N42)+N37-(P37*2)-O40-S37</f>
        <v>38.793395309999994</v>
      </c>
      <c r="T38" s="2">
        <v>-76.818314556499999</v>
      </c>
      <c r="U38" s="1">
        <v>-76.401407660999993</v>
      </c>
    </row>
    <row r="39" spans="1:21" ht="15">
      <c r="A39" s="1" t="s">
        <v>15</v>
      </c>
      <c r="B39" s="3" t="s">
        <v>16</v>
      </c>
      <c r="C39" s="1">
        <v>-76.397942999999998</v>
      </c>
      <c r="D39" s="1">
        <v>-228.971351</v>
      </c>
      <c r="E39" s="1">
        <v>-115.6511</v>
      </c>
      <c r="F39" s="1">
        <f t="shared" ref="F39" si="7">((C39+J39+E39+J29)-(D39+I29+(E39*2)))*$L$2</f>
        <v>-15.021334380027458</v>
      </c>
      <c r="G39" s="1" t="s">
        <v>17</v>
      </c>
      <c r="H39" s="1"/>
      <c r="I39" s="1"/>
      <c r="J39" s="1">
        <v>-268.61330900000002</v>
      </c>
      <c r="K39" s="2"/>
      <c r="L39" s="1" t="s">
        <v>13</v>
      </c>
      <c r="M39" s="3" t="s">
        <v>14</v>
      </c>
      <c r="N39" s="1"/>
      <c r="O39" s="1"/>
      <c r="P39" s="1"/>
      <c r="Q39" s="1"/>
      <c r="R39" s="1">
        <f>R38+S36</f>
        <v>52.461680812755276</v>
      </c>
      <c r="S39" s="1">
        <f>S38*627.51</f>
        <v>24343.243490978097</v>
      </c>
      <c r="T39" s="2"/>
      <c r="U39" s="1"/>
    </row>
    <row r="40" spans="1:21" ht="15">
      <c r="A40" s="2"/>
      <c r="B40" s="2"/>
      <c r="C40" s="2"/>
      <c r="D40" s="2"/>
      <c r="E40" s="2"/>
      <c r="F40" s="1" t="s">
        <v>16</v>
      </c>
      <c r="G40" s="1">
        <f>F39-F36</f>
        <v>-5.2053104098707355</v>
      </c>
      <c r="H40" s="1"/>
      <c r="I40" s="1"/>
      <c r="J40" s="1"/>
      <c r="K40" s="2"/>
      <c r="L40" s="1" t="s">
        <v>15</v>
      </c>
      <c r="M40" s="3" t="s">
        <v>16</v>
      </c>
      <c r="N40" s="1">
        <v>-421.51277099999999</v>
      </c>
      <c r="O40" s="1">
        <v>-229.057084</v>
      </c>
      <c r="P40" s="1">
        <v>-115.691355</v>
      </c>
      <c r="Q40" s="1">
        <f t="shared" ref="Q40:Q42" si="8">(N40-(O40+T40+P40))*$L$2</f>
        <v>24.763427130007539</v>
      </c>
      <c r="R40" s="1" t="s">
        <v>17</v>
      </c>
      <c r="S40" s="1"/>
      <c r="T40" s="1">
        <v>-76.803794999999994</v>
      </c>
      <c r="U40" s="1">
        <v>-76.397942999999998</v>
      </c>
    </row>
    <row r="41" spans="1:21" ht="15">
      <c r="A41" s="1" t="s">
        <v>18</v>
      </c>
      <c r="B41" s="2"/>
      <c r="C41" s="2">
        <v>-76.392854451900007</v>
      </c>
      <c r="D41" s="2">
        <v>-228.993020745</v>
      </c>
      <c r="E41" s="2">
        <v>-115.67342927599999</v>
      </c>
      <c r="F41" s="1">
        <f t="shared" ref="F41" si="9">((C41+J41+E41+J31)-(D41+I31+(E41*2)))*$L$2</f>
        <v>-37.275505332743037</v>
      </c>
      <c r="G41" s="2"/>
      <c r="H41" s="2"/>
      <c r="I41" s="2"/>
      <c r="J41" s="2">
        <v>-268.59831017800002</v>
      </c>
      <c r="K41" s="2"/>
      <c r="L41" s="2"/>
      <c r="M41" s="2"/>
      <c r="N41" s="2"/>
      <c r="O41" s="2"/>
      <c r="P41" s="2"/>
      <c r="Q41" s="1" t="s">
        <v>26</v>
      </c>
      <c r="R41" s="1">
        <f>Q40-Q37</f>
        <v>-2.0805174371193473</v>
      </c>
      <c r="S41" s="1">
        <f>N37-N42</f>
        <v>-8.1087367000009181E-2</v>
      </c>
      <c r="U41" s="2"/>
    </row>
    <row r="42" spans="1:21" ht="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1" t="s">
        <v>18</v>
      </c>
      <c r="M42" s="2"/>
      <c r="N42" s="2">
        <v>-421.545757068</v>
      </c>
      <c r="O42" s="2">
        <v>-229.07988255199999</v>
      </c>
      <c r="P42" s="2">
        <v>-115.71402052400001</v>
      </c>
      <c r="Q42" s="1">
        <f t="shared" si="8"/>
        <v>-33.232976098481821</v>
      </c>
      <c r="R42" s="2"/>
      <c r="S42" s="2"/>
      <c r="T42" s="2">
        <v>-76.698893917899994</v>
      </c>
      <c r="U42" s="2">
        <v>-76.392854451900007</v>
      </c>
    </row>
    <row r="43" spans="1:2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1:21">
      <c r="A44" s="6"/>
      <c r="B44" s="6"/>
      <c r="C44" s="6"/>
      <c r="D44" s="6"/>
      <c r="E44" s="6" t="s">
        <v>30</v>
      </c>
      <c r="F44" s="6" t="s">
        <v>56</v>
      </c>
      <c r="G44" s="6" t="s">
        <v>0</v>
      </c>
      <c r="H44" s="6" t="s">
        <v>33</v>
      </c>
      <c r="I44" s="6"/>
      <c r="J44" s="6"/>
      <c r="K44" s="2"/>
      <c r="P44" t="s">
        <v>76</v>
      </c>
      <c r="R44" t="s">
        <v>0</v>
      </c>
    </row>
    <row r="45" spans="1:21">
      <c r="A45" s="6"/>
      <c r="B45" s="6"/>
      <c r="C45" s="6" t="s">
        <v>1</v>
      </c>
      <c r="D45" s="6" t="s">
        <v>2</v>
      </c>
      <c r="E45" s="6" t="s">
        <v>3</v>
      </c>
      <c r="F45" s="6"/>
      <c r="G45" s="6"/>
      <c r="H45" s="6" t="s">
        <v>29</v>
      </c>
      <c r="I45" s="6"/>
      <c r="J45" s="6"/>
      <c r="K45" s="2"/>
      <c r="N45" t="s">
        <v>1</v>
      </c>
      <c r="O45" t="s">
        <v>2</v>
      </c>
      <c r="P45" t="s">
        <v>3</v>
      </c>
      <c r="S45" t="s">
        <v>29</v>
      </c>
    </row>
    <row r="46" spans="1:21">
      <c r="A46" s="6" t="s">
        <v>6</v>
      </c>
      <c r="B46" s="6" t="s">
        <v>7</v>
      </c>
      <c r="C46" s="6">
        <v>-460.51062000000002</v>
      </c>
      <c r="D46" s="6">
        <v>-229.25320300000001</v>
      </c>
      <c r="E46" s="6">
        <v>-115.64478099999999</v>
      </c>
      <c r="F46" s="6">
        <f>(C46-(D46+(E46*2)))*$L$2</f>
        <v>20.171308950008836</v>
      </c>
      <c r="G46" s="6" t="s">
        <v>8</v>
      </c>
      <c r="H46" s="6">
        <v>1.9</v>
      </c>
      <c r="I46" s="6" t="s">
        <v>27</v>
      </c>
      <c r="J46" s="6"/>
      <c r="K46" s="2"/>
      <c r="L46" t="s">
        <v>6</v>
      </c>
      <c r="M46" t="s">
        <v>7</v>
      </c>
      <c r="N46">
        <v>-460.54438699999997</v>
      </c>
      <c r="O46">
        <v>-229.25320300000001</v>
      </c>
      <c r="P46">
        <v>-115.64478099999999</v>
      </c>
      <c r="Q46">
        <f>(N46-(O46+(P46*2)))*$L$2</f>
        <v>-1.0178212199628052</v>
      </c>
      <c r="R46" t="s">
        <v>8</v>
      </c>
      <c r="S46">
        <v>1.9</v>
      </c>
      <c r="T46" t="s">
        <v>27</v>
      </c>
    </row>
    <row r="47" spans="1:21">
      <c r="A47" s="6" t="s">
        <v>9</v>
      </c>
      <c r="B47" s="6" t="s">
        <v>10</v>
      </c>
      <c r="C47" s="6">
        <v>-460.76008806900001</v>
      </c>
      <c r="D47" s="6">
        <v>-229.42407285199999</v>
      </c>
      <c r="E47" s="6">
        <v>-115.68331991300001</v>
      </c>
      <c r="F47" s="6">
        <f>(C47-(D47+(E47*2)))*$L$2</f>
        <v>19.217248393572284</v>
      </c>
      <c r="G47" s="6">
        <f>F47-F52-G51</f>
        <v>0.71098702776436795</v>
      </c>
      <c r="H47" s="6">
        <v>3.0279999999999999E-3</v>
      </c>
      <c r="I47" s="6" t="s">
        <v>28</v>
      </c>
      <c r="J47" s="6"/>
      <c r="K47" s="2"/>
      <c r="L47" t="s">
        <v>9</v>
      </c>
      <c r="M47" t="s">
        <v>10</v>
      </c>
      <c r="N47">
        <v>-460.76008806900001</v>
      </c>
      <c r="O47">
        <v>-229.42407285199999</v>
      </c>
      <c r="P47">
        <v>-115.68331991300001</v>
      </c>
      <c r="Q47">
        <f>(N47-(O47+(P47*2)))*$L$2</f>
        <v>19.217248393572284</v>
      </c>
      <c r="R47">
        <f>Q47-Q52-R51</f>
        <v>49.656071746708946</v>
      </c>
      <c r="S47">
        <v>3.0279999999999999E-3</v>
      </c>
      <c r="T47" t="s">
        <v>28</v>
      </c>
    </row>
    <row r="48" spans="1:21">
      <c r="A48" s="6" t="s">
        <v>11</v>
      </c>
      <c r="B48" s="6" t="s">
        <v>12</v>
      </c>
      <c r="C48" s="6">
        <v>-460.732506161</v>
      </c>
      <c r="D48" s="6">
        <v>-229.40085523499999</v>
      </c>
      <c r="E48" s="6">
        <v>-115.679667014</v>
      </c>
      <c r="F48" s="6">
        <f>(C48-(D48+(E48*2)))*$L$2</f>
        <v>17.371423336036241</v>
      </c>
      <c r="G48" s="6">
        <f>F46+G47</f>
        <v>20.882295977773204</v>
      </c>
      <c r="H48" s="6">
        <f>(C48-C52)+C47-(E47*2)-D50-H47</f>
        <v>-0.12101448300000991</v>
      </c>
      <c r="I48" s="6"/>
      <c r="J48" s="6"/>
      <c r="K48" s="2"/>
      <c r="L48" t="s">
        <v>11</v>
      </c>
      <c r="M48" t="s">
        <v>12</v>
      </c>
      <c r="N48">
        <v>-460.771122929</v>
      </c>
      <c r="O48">
        <v>-229.40085523499999</v>
      </c>
      <c r="P48">
        <v>-115.679667014</v>
      </c>
      <c r="Q48">
        <f>(N48-(O48+(P48*2)))*$L$2</f>
        <v>-6.8609847516419613</v>
      </c>
      <c r="R48">
        <f>Q46+R47</f>
        <v>48.638250526746141</v>
      </c>
      <c r="S48">
        <f>(N48-N52)+N47-(P47*2)-O50-S47</f>
        <v>-0.11947935899996717</v>
      </c>
    </row>
    <row r="49" spans="1:20">
      <c r="A49" s="6" t="s">
        <v>13</v>
      </c>
      <c r="B49" s="6" t="s">
        <v>14</v>
      </c>
      <c r="C49" s="6"/>
      <c r="D49" s="6"/>
      <c r="E49" s="6"/>
      <c r="F49" s="6">
        <f>(C49-(D49+(E49*2)))*$L$2</f>
        <v>0</v>
      </c>
      <c r="G49" s="6">
        <f>G48+H46</f>
        <v>22.782295977773202</v>
      </c>
      <c r="H49" s="6">
        <f>H48*627.51</f>
        <v>-75.937798227336216</v>
      </c>
      <c r="I49" s="6"/>
      <c r="J49" s="6"/>
      <c r="K49" s="2"/>
      <c r="L49" t="s">
        <v>13</v>
      </c>
      <c r="M49" t="s">
        <v>14</v>
      </c>
      <c r="Q49">
        <f>(N49-(O49+(P49*2)))*$L$2</f>
        <v>0</v>
      </c>
      <c r="R49">
        <f>R48+S46</f>
        <v>50.53825052674614</v>
      </c>
      <c r="S49">
        <f>S48*627.51</f>
        <v>-74.974492566069401</v>
      </c>
    </row>
    <row r="50" spans="1:20">
      <c r="A50" s="6" t="s">
        <v>15</v>
      </c>
      <c r="B50" s="6" t="s">
        <v>16</v>
      </c>
      <c r="C50" s="6">
        <v>-460.588796</v>
      </c>
      <c r="D50" s="6">
        <v>-229.35325</v>
      </c>
      <c r="E50" s="6">
        <v>-115.6511</v>
      </c>
      <c r="F50" s="6">
        <f>(C50-(D50+(E50*2)))*$L$2</f>
        <v>41.826051539982018</v>
      </c>
      <c r="G50" s="6" t="s">
        <v>17</v>
      </c>
      <c r="H50" s="6"/>
      <c r="I50" s="6" t="s">
        <v>25</v>
      </c>
      <c r="J50" s="6"/>
      <c r="K50" s="2"/>
      <c r="L50" t="s">
        <v>15</v>
      </c>
      <c r="M50" t="s">
        <v>16</v>
      </c>
      <c r="N50">
        <v>-460.626643</v>
      </c>
      <c r="O50">
        <v>-229.35325</v>
      </c>
      <c r="P50">
        <v>-115.6511</v>
      </c>
      <c r="Q50">
        <f>(N50-(O50+(P50*2)))*$L$2</f>
        <v>18.076680569982461</v>
      </c>
      <c r="R50" t="s">
        <v>17</v>
      </c>
      <c r="T50" t="s">
        <v>25</v>
      </c>
    </row>
    <row r="51" spans="1:20">
      <c r="A51" s="6"/>
      <c r="B51" s="6"/>
      <c r="C51" s="6"/>
      <c r="D51" s="6"/>
      <c r="E51" s="6"/>
      <c r="F51" s="6" t="s">
        <v>16</v>
      </c>
      <c r="G51" s="6">
        <f>F50-F47</f>
        <v>22.608803146409734</v>
      </c>
      <c r="H51" s="6">
        <f>C47-C52</f>
        <v>-0.10537014800001998</v>
      </c>
      <c r="I51" s="6">
        <f>H51*627.51</f>
        <v>-66.120821571492542</v>
      </c>
      <c r="J51" s="6"/>
      <c r="K51" s="2"/>
      <c r="Q51" t="s">
        <v>16</v>
      </c>
      <c r="R51">
        <f>Q50-Q47</f>
        <v>-1.1405678235898229</v>
      </c>
      <c r="S51">
        <f>N47-N52</f>
        <v>-6.5218255999980101E-2</v>
      </c>
      <c r="T51">
        <f>S51*627.51</f>
        <v>-40.92510782254751</v>
      </c>
    </row>
    <row r="52" spans="1:20">
      <c r="A52" s="6" t="s">
        <v>18</v>
      </c>
      <c r="B52" s="6"/>
      <c r="C52" s="6">
        <v>-460.65471792099999</v>
      </c>
      <c r="D52" s="6">
        <v>-229.30132155800001</v>
      </c>
      <c r="E52" s="6">
        <v>-115.67342927599999</v>
      </c>
      <c r="F52" s="6">
        <f>(C52-(D52+(E52*2)))*$L$2</f>
        <v>-4.1025417806018165</v>
      </c>
      <c r="G52" s="6"/>
      <c r="H52" s="6"/>
      <c r="I52" s="6"/>
      <c r="J52" s="6"/>
      <c r="K52" s="2"/>
      <c r="L52" t="s">
        <v>18</v>
      </c>
      <c r="N52">
        <v>-460.69486981300003</v>
      </c>
      <c r="O52">
        <v>-229.30132155800001</v>
      </c>
      <c r="P52">
        <v>-115.67342927599999</v>
      </c>
      <c r="Q52">
        <f>(N52-(O52+(P52*2)))*$L$2</f>
        <v>-29.298255529546839</v>
      </c>
    </row>
    <row r="53" spans="1:20">
      <c r="A53" s="6"/>
      <c r="B53" s="6"/>
      <c r="C53" s="6"/>
      <c r="D53" s="6"/>
      <c r="E53" s="6"/>
      <c r="F53" s="6"/>
      <c r="G53" s="6"/>
      <c r="H53" s="6"/>
      <c r="I53" s="6"/>
      <c r="J53" s="6"/>
      <c r="K53" s="2"/>
    </row>
    <row r="54" spans="1:20">
      <c r="A54" s="6"/>
      <c r="B54" s="6"/>
      <c r="C54" s="6"/>
      <c r="D54" s="6"/>
      <c r="E54" s="6" t="s">
        <v>19</v>
      </c>
      <c r="F54" s="6"/>
      <c r="G54" s="6"/>
      <c r="H54" s="6"/>
      <c r="I54" s="6"/>
      <c r="J54" s="6"/>
      <c r="K54" s="2"/>
      <c r="P54" t="s">
        <v>78</v>
      </c>
      <c r="R54" t="s">
        <v>0</v>
      </c>
    </row>
    <row r="55" spans="1:20">
      <c r="A55" s="6"/>
      <c r="B55" s="6"/>
      <c r="C55" s="6" t="s">
        <v>20</v>
      </c>
      <c r="D55" s="6" t="s">
        <v>2</v>
      </c>
      <c r="E55" s="6" t="s">
        <v>3</v>
      </c>
      <c r="F55" s="6"/>
      <c r="G55" s="6"/>
      <c r="H55" s="6" t="s">
        <v>29</v>
      </c>
      <c r="I55" s="6"/>
      <c r="J55" s="6" t="s">
        <v>21</v>
      </c>
      <c r="K55" s="2"/>
      <c r="N55" t="s">
        <v>1</v>
      </c>
      <c r="O55" t="s">
        <v>2</v>
      </c>
      <c r="P55" t="s">
        <v>3</v>
      </c>
      <c r="S55" t="s">
        <v>29</v>
      </c>
    </row>
    <row r="56" spans="1:20">
      <c r="A56" s="6" t="s">
        <v>6</v>
      </c>
      <c r="B56" s="6" t="s">
        <v>7</v>
      </c>
      <c r="C56" s="6">
        <v>-76.389379000000005</v>
      </c>
      <c r="D56" s="6">
        <v>-229.25320300000001</v>
      </c>
      <c r="E56" s="6">
        <v>-115.64478099999999</v>
      </c>
      <c r="F56" s="6">
        <f>((C56+J56+E56)-(D56+(E56*2)))*$L$2</f>
        <v>-11.191640849994316</v>
      </c>
      <c r="G56" s="6" t="s">
        <v>8</v>
      </c>
      <c r="H56" s="6">
        <v>1.9</v>
      </c>
      <c r="I56" s="6" t="s">
        <v>27</v>
      </c>
      <c r="J56" s="6">
        <v>-268.52643999999998</v>
      </c>
      <c r="K56" s="2"/>
      <c r="L56" t="s">
        <v>6</v>
      </c>
      <c r="M56" t="s">
        <v>7</v>
      </c>
      <c r="N56">
        <v>-460.54438699999997</v>
      </c>
      <c r="O56">
        <v>-229.25320300000001</v>
      </c>
      <c r="P56">
        <v>-115.64478099999999</v>
      </c>
      <c r="Q56">
        <f>(N56-(O56+(P56*2)))*$L$2</f>
        <v>-1.0178212199628052</v>
      </c>
      <c r="R56" t="s">
        <v>8</v>
      </c>
      <c r="S56">
        <v>1.9</v>
      </c>
      <c r="T56" t="s">
        <v>27</v>
      </c>
    </row>
    <row r="57" spans="1:20">
      <c r="A57" s="6" t="s">
        <v>9</v>
      </c>
      <c r="B57" s="6" t="s">
        <v>10</v>
      </c>
      <c r="C57" s="6">
        <v>-76.407753069500004</v>
      </c>
      <c r="D57" s="6">
        <v>-229.42407285199999</v>
      </c>
      <c r="E57" s="6">
        <v>-115.68331991300001</v>
      </c>
      <c r="F57" s="6">
        <f t="shared" ref="F57:F62" si="10">((C57+J57+E57)-(D57+(E57*2)))*$L$2</f>
        <v>-2.6494196974402247</v>
      </c>
      <c r="G57" s="6">
        <f>F57-F62-G61</f>
        <v>9.3320556903488185</v>
      </c>
      <c r="H57" s="6">
        <v>3.0279999999999999E-3</v>
      </c>
      <c r="I57" s="6" t="s">
        <v>28</v>
      </c>
      <c r="J57" s="6">
        <v>-268.70386181100002</v>
      </c>
      <c r="K57" s="2"/>
      <c r="L57" t="s">
        <v>9</v>
      </c>
      <c r="M57" t="s">
        <v>10</v>
      </c>
      <c r="N57">
        <v>-460.76008806900001</v>
      </c>
      <c r="O57">
        <v>-229.42407285199999</v>
      </c>
      <c r="P57">
        <v>-115.68331991300001</v>
      </c>
      <c r="Q57">
        <f>(N57-(O57+(P57*2)))*$L$2</f>
        <v>19.217248393572284</v>
      </c>
      <c r="R57">
        <f>Q57-Q62-R61</f>
        <v>53.979615646708012</v>
      </c>
      <c r="S57">
        <v>3.0279999999999999E-3</v>
      </c>
      <c r="T57" t="s">
        <v>28</v>
      </c>
    </row>
    <row r="58" spans="1:20">
      <c r="A58" s="6" t="s">
        <v>11</v>
      </c>
      <c r="B58" s="6" t="s">
        <v>12</v>
      </c>
      <c r="C58" s="6">
        <v>-76.401407660999993</v>
      </c>
      <c r="D58" s="6">
        <v>-229.40085523499999</v>
      </c>
      <c r="E58" s="6">
        <v>-115.679667014</v>
      </c>
      <c r="F58" s="6">
        <f t="shared" si="10"/>
        <v>-4.4052626447688441</v>
      </c>
      <c r="G58" s="6">
        <f>F56+G57</f>
        <v>-1.8595851596454978</v>
      </c>
      <c r="H58" s="6"/>
      <c r="I58" s="6"/>
      <c r="J58" s="6">
        <v>-268.686134815</v>
      </c>
      <c r="K58" s="2"/>
      <c r="L58" t="s">
        <v>11</v>
      </c>
      <c r="M58" t="s">
        <v>12</v>
      </c>
      <c r="N58">
        <v>-460.77673895300001</v>
      </c>
      <c r="O58">
        <v>-229.40085523499999</v>
      </c>
      <c r="P58">
        <v>-115.679667014</v>
      </c>
      <c r="Q58">
        <f>(N58-(O58+(P58*2)))*$L$2</f>
        <v>-10.385095971885338</v>
      </c>
      <c r="R58">
        <f>Q56+R57</f>
        <v>52.961794426745207</v>
      </c>
      <c r="S58">
        <f>(N58-N62)+N57-(P57*2)-O60-S57</f>
        <v>-0.12509538299997255</v>
      </c>
    </row>
    <row r="59" spans="1:20">
      <c r="A59" s="6" t="s">
        <v>13</v>
      </c>
      <c r="B59" s="6" t="s">
        <v>14</v>
      </c>
      <c r="C59" s="6"/>
      <c r="D59" s="6"/>
      <c r="E59" s="6"/>
      <c r="F59" s="6">
        <f t="shared" si="10"/>
        <v>0</v>
      </c>
      <c r="G59" s="6">
        <f>G58-H56</f>
        <v>-3.7595851596454977</v>
      </c>
      <c r="H59" s="6"/>
      <c r="I59" s="6"/>
      <c r="J59" s="6"/>
      <c r="K59" s="2"/>
      <c r="L59" t="s">
        <v>13</v>
      </c>
      <c r="M59" t="s">
        <v>14</v>
      </c>
      <c r="Q59">
        <f>(N59-(O59+(P59*2)))*$L$2</f>
        <v>0</v>
      </c>
      <c r="R59">
        <f>R58+S56</f>
        <v>54.861794426745206</v>
      </c>
      <c r="S59">
        <f>S58*627.51</f>
        <v>-78.498603786312771</v>
      </c>
    </row>
    <row r="60" spans="1:20">
      <c r="A60" s="6" t="s">
        <v>15</v>
      </c>
      <c r="B60" s="6" t="s">
        <v>16</v>
      </c>
      <c r="C60" s="6">
        <v>-76.397942999999998</v>
      </c>
      <c r="D60" s="6">
        <v>-229.35325</v>
      </c>
      <c r="E60" s="6">
        <v>-115.6511</v>
      </c>
      <c r="F60" s="6">
        <f t="shared" si="10"/>
        <v>-4.3310740200157216</v>
      </c>
      <c r="G60" s="6" t="s">
        <v>17</v>
      </c>
      <c r="H60" s="6"/>
      <c r="I60" s="6"/>
      <c r="J60" s="6">
        <v>-268.61330900000002</v>
      </c>
      <c r="K60" s="2"/>
      <c r="L60" t="s">
        <v>15</v>
      </c>
      <c r="M60" t="s">
        <v>16</v>
      </c>
      <c r="N60">
        <v>-460.633533</v>
      </c>
      <c r="O60">
        <v>-229.35325</v>
      </c>
      <c r="P60">
        <v>-115.6511</v>
      </c>
      <c r="Q60">
        <f>(N60-(O60+(P60*2)))*$L$2</f>
        <v>13.753136669983396</v>
      </c>
      <c r="R60" t="s">
        <v>17</v>
      </c>
      <c r="T60" t="s">
        <v>25</v>
      </c>
    </row>
    <row r="61" spans="1:20">
      <c r="A61" s="6"/>
      <c r="B61" s="6"/>
      <c r="C61" s="6"/>
      <c r="D61" s="6"/>
      <c r="E61" s="6"/>
      <c r="F61" s="6" t="s">
        <v>26</v>
      </c>
      <c r="G61" s="6">
        <f>F60-F57</f>
        <v>-1.681654322575497</v>
      </c>
      <c r="H61" s="6"/>
      <c r="I61" s="6"/>
      <c r="J61" s="6"/>
      <c r="K61" s="2"/>
      <c r="Q61" t="s">
        <v>16</v>
      </c>
      <c r="R61">
        <f>Q60-Q57</f>
        <v>-5.4641117235888874</v>
      </c>
      <c r="S61">
        <f>N57-N62</f>
        <v>-6.5218255999980101E-2</v>
      </c>
      <c r="T61">
        <f>S61*627.51</f>
        <v>-40.92510782254751</v>
      </c>
    </row>
    <row r="62" spans="1:20">
      <c r="A62" s="6" t="s">
        <v>18</v>
      </c>
      <c r="B62" s="6"/>
      <c r="C62" s="6">
        <v>-76.392854451900007</v>
      </c>
      <c r="D62" s="6">
        <v>-229.30132155800001</v>
      </c>
      <c r="E62" s="6">
        <v>-115.67342927599999</v>
      </c>
      <c r="F62" s="6">
        <f t="shared" si="10"/>
        <v>-10.299821065213546</v>
      </c>
      <c r="G62" s="6"/>
      <c r="H62" s="6"/>
      <c r="I62" s="6"/>
      <c r="J62" s="6">
        <v>-268.59831017800002</v>
      </c>
      <c r="K62" s="2"/>
      <c r="L62" t="s">
        <v>18</v>
      </c>
      <c r="N62">
        <v>-460.69486981300003</v>
      </c>
      <c r="O62">
        <v>-229.30132155800001</v>
      </c>
      <c r="P62">
        <v>-115.67342927599999</v>
      </c>
      <c r="Q62">
        <f>(N62-(O62+(P62*2)))*$L$2</f>
        <v>-29.298255529546839</v>
      </c>
    </row>
    <row r="65" spans="1:10">
      <c r="A65" s="4"/>
      <c r="B65" s="4"/>
      <c r="C65" s="4"/>
      <c r="D65" s="4"/>
      <c r="E65" s="4" t="s">
        <v>31</v>
      </c>
      <c r="F65" s="4"/>
      <c r="G65" s="4"/>
      <c r="H65" s="4"/>
      <c r="I65" s="4"/>
      <c r="J65" s="4"/>
    </row>
    <row r="66" spans="1:10">
      <c r="A66" s="4"/>
      <c r="B66" s="4"/>
      <c r="C66" s="4"/>
      <c r="D66" s="4" t="s">
        <v>55</v>
      </c>
      <c r="E66" s="4"/>
      <c r="F66" s="4"/>
      <c r="G66" s="4" t="s">
        <v>0</v>
      </c>
      <c r="H66" s="4"/>
      <c r="I66" s="4"/>
      <c r="J66" s="4"/>
    </row>
    <row r="67" spans="1:10">
      <c r="A67" s="4"/>
      <c r="B67" s="4"/>
      <c r="C67" s="4" t="s">
        <v>1</v>
      </c>
      <c r="D67" s="4" t="s">
        <v>2</v>
      </c>
      <c r="E67" s="4" t="s">
        <v>3</v>
      </c>
      <c r="F67" s="4"/>
      <c r="G67" s="4"/>
      <c r="H67" s="4"/>
      <c r="I67" s="4" t="s">
        <v>32</v>
      </c>
      <c r="J67" s="4"/>
    </row>
    <row r="68" spans="1:10" ht="15">
      <c r="A68" s="4" t="s">
        <v>6</v>
      </c>
      <c r="B68" s="4" t="s">
        <v>7</v>
      </c>
      <c r="C68" s="4">
        <v>-460.51062000000002</v>
      </c>
      <c r="D68" s="5">
        <v>-228.957627</v>
      </c>
      <c r="E68" s="4">
        <v>-115.64478099999999</v>
      </c>
      <c r="F68" s="4">
        <f>(C68-(I68+D68+E68))*$L$2</f>
        <v>10.636922009968053</v>
      </c>
      <c r="G68" s="4" t="s">
        <v>8</v>
      </c>
      <c r="H68" s="4">
        <v>1.9</v>
      </c>
      <c r="I68" s="4">
        <v>-115.925163</v>
      </c>
      <c r="J68" s="4"/>
    </row>
    <row r="69" spans="1:10" ht="15">
      <c r="A69" s="4" t="s">
        <v>9</v>
      </c>
      <c r="B69" s="4" t="s">
        <v>10</v>
      </c>
      <c r="C69" s="4">
        <v>-460.76008806900001</v>
      </c>
      <c r="D69" s="5">
        <v>-229.01177524100001</v>
      </c>
      <c r="E69" s="4">
        <v>-115.68331991300001</v>
      </c>
      <c r="F69" s="4">
        <f t="shared" ref="F69:F74" si="11">(C69-(I69+D69+E69))*$L$2</f>
        <v>19.368259302590321</v>
      </c>
      <c r="G69" s="4">
        <f>F69-G73-F74</f>
        <v>12.23486179227992</v>
      </c>
      <c r="H69" s="4">
        <v>3.0279999999999999E-3</v>
      </c>
      <c r="I69" s="4">
        <v>-116.095858175</v>
      </c>
      <c r="J69" s="4"/>
    </row>
    <row r="70" spans="1:10" ht="15">
      <c r="A70" s="4" t="s">
        <v>11</v>
      </c>
      <c r="B70" s="4" t="s">
        <v>12</v>
      </c>
      <c r="C70" s="4">
        <v>-460.732506161</v>
      </c>
      <c r="D70" s="5">
        <v>-229.00655818199999</v>
      </c>
      <c r="E70" s="4">
        <v>-115.679667014</v>
      </c>
      <c r="F70" s="4">
        <f t="shared" si="11"/>
        <v>15.999574151724673</v>
      </c>
      <c r="G70" s="4">
        <f>F68+G69</f>
        <v>22.871783802247975</v>
      </c>
      <c r="H70" s="4">
        <f>(C70-C74)+C69-(E69*2)-D72-H69</f>
        <v>-0.50291348300001415</v>
      </c>
      <c r="I70" s="4">
        <v>-116.071777888</v>
      </c>
      <c r="J70" s="4"/>
    </row>
    <row r="71" spans="1:10" ht="15">
      <c r="A71" s="4" t="s">
        <v>13</v>
      </c>
      <c r="B71" s="4" t="s">
        <v>14</v>
      </c>
      <c r="C71" s="4"/>
      <c r="D71" s="5"/>
      <c r="E71" s="4"/>
      <c r="F71" s="4"/>
      <c r="G71" s="4">
        <f>G70+H68</f>
        <v>24.771783802247974</v>
      </c>
      <c r="H71" s="4">
        <f>H70*627.51</f>
        <v>-315.58323971733887</v>
      </c>
      <c r="I71" s="4"/>
      <c r="J71" s="4"/>
    </row>
    <row r="72" spans="1:10" ht="15">
      <c r="A72" s="4" t="s">
        <v>15</v>
      </c>
      <c r="B72" s="4" t="s">
        <v>16</v>
      </c>
      <c r="C72" s="4">
        <v>-460.588796</v>
      </c>
      <c r="D72" s="5">
        <v>-228.971351</v>
      </c>
      <c r="E72" s="4">
        <v>-115.6511</v>
      </c>
      <c r="F72" s="4">
        <f t="shared" si="11"/>
        <v>40.254766499989785</v>
      </c>
      <c r="G72" s="4" t="s">
        <v>17</v>
      </c>
      <c r="H72" s="4"/>
      <c r="I72" s="4">
        <v>-116.030495</v>
      </c>
      <c r="J72" s="4"/>
    </row>
    <row r="73" spans="1:10">
      <c r="A73" s="4"/>
      <c r="B73" s="4"/>
      <c r="C73" s="4"/>
      <c r="D73" s="4"/>
      <c r="E73" s="4"/>
      <c r="F73" s="4" t="s">
        <v>26</v>
      </c>
      <c r="G73" s="4">
        <f>F72-F69</f>
        <v>20.886507197399464</v>
      </c>
      <c r="H73" s="4">
        <f>C69-C74</f>
        <v>-0.10537014800001998</v>
      </c>
      <c r="I73" s="4">
        <f>H73*627.51</f>
        <v>-66.120821571492542</v>
      </c>
      <c r="J73" s="4"/>
    </row>
    <row r="74" spans="1:10">
      <c r="A74" s="4" t="s">
        <v>18</v>
      </c>
      <c r="B74" s="4"/>
      <c r="C74" s="4">
        <v>-460.65471792099999</v>
      </c>
      <c r="D74" s="4">
        <v>-228.993020745</v>
      </c>
      <c r="E74" s="4">
        <v>-115.67342927599999</v>
      </c>
      <c r="F74" s="4">
        <f t="shared" si="11"/>
        <v>-13.753109687089063</v>
      </c>
      <c r="G74" s="4"/>
      <c r="H74" s="4"/>
      <c r="I74" s="4">
        <v>-115.96635094299999</v>
      </c>
      <c r="J74" s="4"/>
    </row>
    <row r="75" spans="1:10">
      <c r="A75" s="4"/>
      <c r="B75" s="4"/>
      <c r="C75" s="4"/>
      <c r="D75" s="4"/>
      <c r="E75" s="4"/>
      <c r="F75" s="4"/>
      <c r="G75" s="4"/>
      <c r="H75" s="4"/>
      <c r="I75" s="4"/>
      <c r="J75" s="4"/>
    </row>
    <row r="76" spans="1:10">
      <c r="A76" s="4"/>
      <c r="B76" s="4"/>
      <c r="C76" s="4"/>
      <c r="D76" s="4"/>
      <c r="E76" s="4" t="s">
        <v>19</v>
      </c>
      <c r="F76" s="4"/>
      <c r="G76" s="4"/>
      <c r="H76" s="4"/>
      <c r="I76" s="4"/>
      <c r="J76" s="4"/>
    </row>
    <row r="77" spans="1:10">
      <c r="A77" s="4"/>
      <c r="B77" s="4"/>
      <c r="C77" s="4" t="s">
        <v>20</v>
      </c>
      <c r="D77" s="4" t="s">
        <v>2</v>
      </c>
      <c r="E77" s="4" t="s">
        <v>3</v>
      </c>
      <c r="F77" s="4"/>
      <c r="G77" s="4"/>
      <c r="H77" s="4" t="s">
        <v>29</v>
      </c>
      <c r="I77" s="4"/>
      <c r="J77" s="4" t="s">
        <v>21</v>
      </c>
    </row>
    <row r="78" spans="1:10">
      <c r="A78" s="4" t="s">
        <v>6</v>
      </c>
      <c r="B78" s="4" t="s">
        <v>7</v>
      </c>
      <c r="C78" s="4">
        <v>-76.389379000000005</v>
      </c>
      <c r="D78" s="4">
        <v>-228.957627</v>
      </c>
      <c r="E78" s="4">
        <v>-115.64478099999999</v>
      </c>
      <c r="F78" s="4">
        <f>((J78+E78+C78)-(D78+I68+E78))*$L$2</f>
        <v>-20.726027789999428</v>
      </c>
      <c r="G78" s="4" t="s">
        <v>8</v>
      </c>
      <c r="H78" s="4">
        <v>1.9</v>
      </c>
      <c r="I78" s="4" t="s">
        <v>27</v>
      </c>
      <c r="J78" s="4">
        <v>-268.52643999999998</v>
      </c>
    </row>
    <row r="79" spans="1:10">
      <c r="A79" s="4" t="s">
        <v>9</v>
      </c>
      <c r="B79" s="4" t="s">
        <v>10</v>
      </c>
      <c r="C79" s="4">
        <v>-76.407753069500004</v>
      </c>
      <c r="D79" s="4">
        <v>-229.01177524100001</v>
      </c>
      <c r="E79" s="4">
        <v>-115.68331991300001</v>
      </c>
      <c r="F79" s="4">
        <f t="shared" ref="F79:F84" si="12">((J79+E79+C79)-(D79+I69+E79))*$L$2</f>
        <v>-2.4984087884221902</v>
      </c>
      <c r="G79" s="4">
        <f>F79-G83-F84</f>
        <v>20.855930454864371</v>
      </c>
      <c r="H79" s="4">
        <v>3.0279999999999999E-3</v>
      </c>
      <c r="I79" s="4" t="s">
        <v>28</v>
      </c>
      <c r="J79" s="4">
        <v>-268.70386181100002</v>
      </c>
    </row>
    <row r="80" spans="1:10">
      <c r="A80" s="4" t="s">
        <v>11</v>
      </c>
      <c r="B80" s="4" t="s">
        <v>12</v>
      </c>
      <c r="C80" s="4">
        <v>-76.401407660999993</v>
      </c>
      <c r="D80" s="4">
        <v>-229.00655818199999</v>
      </c>
      <c r="E80" s="4">
        <v>-115.679667014</v>
      </c>
      <c r="F80" s="4">
        <f t="shared" si="12"/>
        <v>-5.7771118290804129</v>
      </c>
      <c r="G80" s="4">
        <f>F78+G79</f>
        <v>0.12990266486494306</v>
      </c>
      <c r="H80" s="4">
        <f>G80+J80</f>
        <v>-268.55623215013509</v>
      </c>
      <c r="I80" s="4"/>
      <c r="J80" s="4">
        <v>-268.686134815</v>
      </c>
    </row>
    <row r="81" spans="1:14">
      <c r="A81" s="4" t="s">
        <v>13</v>
      </c>
      <c r="B81" s="4" t="s">
        <v>14</v>
      </c>
      <c r="C81" s="4"/>
      <c r="D81" s="4"/>
      <c r="E81" s="4"/>
      <c r="F81" s="4"/>
      <c r="G81" s="4">
        <f>G80-H78</f>
        <v>-1.7700973351350568</v>
      </c>
      <c r="H81" s="4"/>
      <c r="I81" s="4"/>
      <c r="J81" s="4"/>
    </row>
    <row r="82" spans="1:14">
      <c r="A82" s="4" t="s">
        <v>15</v>
      </c>
      <c r="B82" s="4" t="s">
        <v>16</v>
      </c>
      <c r="C82" s="4">
        <v>-76.397942999999998</v>
      </c>
      <c r="D82" s="4">
        <v>-228.971351</v>
      </c>
      <c r="E82" s="4">
        <v>-115.6511</v>
      </c>
      <c r="F82" s="4">
        <f t="shared" si="12"/>
        <v>-5.9023590600079583</v>
      </c>
      <c r="G82" s="4" t="s">
        <v>17</v>
      </c>
      <c r="H82" s="4"/>
      <c r="I82" s="4"/>
      <c r="J82" s="4">
        <v>-268.61330900000002</v>
      </c>
    </row>
    <row r="83" spans="1:14">
      <c r="A83" s="4"/>
      <c r="B83" s="4"/>
      <c r="C83" s="4"/>
      <c r="D83" s="4"/>
      <c r="E83" s="4"/>
      <c r="F83" s="4" t="s">
        <v>26</v>
      </c>
      <c r="G83" s="4">
        <f>F82-F79</f>
        <v>-3.4039502715857681</v>
      </c>
      <c r="H83" s="4"/>
      <c r="I83" s="4"/>
      <c r="J83" s="4"/>
    </row>
    <row r="84" spans="1:14">
      <c r="A84" s="4" t="s">
        <v>18</v>
      </c>
      <c r="B84" s="4"/>
      <c r="C84" s="4">
        <v>-76.392854451900007</v>
      </c>
      <c r="D84" s="4">
        <v>-228.993020745</v>
      </c>
      <c r="E84" s="4">
        <v>-115.67342927599999</v>
      </c>
      <c r="F84" s="4">
        <f t="shared" si="12"/>
        <v>-19.950388971700793</v>
      </c>
      <c r="G84" s="4"/>
      <c r="H84" s="4"/>
      <c r="I84" s="4"/>
      <c r="J84" s="4">
        <v>-268.59831017800002</v>
      </c>
    </row>
    <row r="87" spans="1:14">
      <c r="E87" t="s">
        <v>30</v>
      </c>
      <c r="F87" t="s">
        <v>58</v>
      </c>
      <c r="G87" t="s">
        <v>50</v>
      </c>
    </row>
    <row r="88" spans="1:14">
      <c r="C88" t="s">
        <v>1</v>
      </c>
      <c r="D88" t="s">
        <v>2</v>
      </c>
      <c r="E88" t="s">
        <v>3</v>
      </c>
      <c r="H88" t="s">
        <v>29</v>
      </c>
    </row>
    <row r="89" spans="1:14">
      <c r="A89" t="s">
        <v>6</v>
      </c>
      <c r="B89" t="s">
        <v>7</v>
      </c>
      <c r="C89">
        <v>-460.729827</v>
      </c>
      <c r="D89">
        <v>-229.35169200000001</v>
      </c>
      <c r="E89">
        <v>-115.68595500000001</v>
      </c>
      <c r="F89">
        <f>(C89-(D89+(E89*2)))*$L$2</f>
        <v>-3.9062497499825359</v>
      </c>
      <c r="G89" t="s">
        <v>8</v>
      </c>
      <c r="H89">
        <v>1.9</v>
      </c>
      <c r="I89" t="s">
        <v>27</v>
      </c>
    </row>
    <row r="90" spans="1:14">
      <c r="A90" t="s">
        <v>9</v>
      </c>
      <c r="B90" t="s">
        <v>10</v>
      </c>
      <c r="C90">
        <v>-460.97397067600002</v>
      </c>
      <c r="D90">
        <v>-229.515029666</v>
      </c>
      <c r="E90">
        <v>-115.723635556</v>
      </c>
      <c r="F90">
        <f>(C90-(D90+(E90*2)))*$L$2</f>
        <v>-7.3229776940028932</v>
      </c>
      <c r="G90">
        <f>F90-F95-G94</f>
        <v>1.6833576984698695</v>
      </c>
      <c r="H90">
        <v>3.0279999999999999E-3</v>
      </c>
      <c r="I90" t="s">
        <v>28</v>
      </c>
    </row>
    <row r="91" spans="1:14">
      <c r="A91" t="s">
        <v>11</v>
      </c>
      <c r="B91" t="s">
        <v>12</v>
      </c>
      <c r="C91">
        <v>-460.953339658</v>
      </c>
      <c r="D91">
        <v>-229.494226776</v>
      </c>
      <c r="E91">
        <v>-115.72045574000001</v>
      </c>
      <c r="F91">
        <f>(C91-(D91+(E91*2)))*$L$2</f>
        <v>-11.421561769012671</v>
      </c>
      <c r="G91">
        <f>G90+F89</f>
        <v>-2.2228920515126664</v>
      </c>
      <c r="H91">
        <f>(C91-C95)+C90-(E90*2)-D93-H90</f>
        <v>-0.16109439800001676</v>
      </c>
    </row>
    <row r="92" spans="1:14">
      <c r="A92" t="s">
        <v>13</v>
      </c>
      <c r="B92" t="s">
        <v>14</v>
      </c>
      <c r="F92">
        <f>(C92-(D92+(E92*2)))*$L$2</f>
        <v>0</v>
      </c>
      <c r="G92">
        <f>G91-H89</f>
        <v>-4.1228920515126664</v>
      </c>
      <c r="H92">
        <f>H91*627.51</f>
        <v>-101.08834568899051</v>
      </c>
      <c r="M92">
        <v>61.6</v>
      </c>
    </row>
    <row r="93" spans="1:14">
      <c r="A93" t="s">
        <v>15</v>
      </c>
      <c r="B93" t="s">
        <v>16</v>
      </c>
      <c r="C93">
        <v>-460.808424</v>
      </c>
      <c r="D93">
        <v>-229.44606099999999</v>
      </c>
      <c r="E93">
        <v>-115.691355</v>
      </c>
      <c r="F93">
        <f>(C93-(D93+(E93*2)))*$L$2</f>
        <v>12.767945969973876</v>
      </c>
      <c r="G93" t="s">
        <v>17</v>
      </c>
      <c r="I93" t="s">
        <v>25</v>
      </c>
    </row>
    <row r="94" spans="1:14">
      <c r="F94" t="s">
        <v>16</v>
      </c>
      <c r="G94">
        <f>F93-F90</f>
        <v>20.090923663976771</v>
      </c>
      <c r="H94">
        <f>C90-C95</f>
        <v>-9.8058852000008301E-2</v>
      </c>
      <c r="I94">
        <f>H94*627.51</f>
        <v>-61.53291021852521</v>
      </c>
      <c r="M94">
        <v>4.1840000000000002</v>
      </c>
      <c r="N94">
        <f>M92/M94</f>
        <v>14.722753346080305</v>
      </c>
    </row>
    <row r="95" spans="1:14">
      <c r="A95" t="s">
        <v>18</v>
      </c>
      <c r="C95">
        <v>-460.87591182400001</v>
      </c>
      <c r="D95">
        <v>-229.39912528100001</v>
      </c>
      <c r="E95">
        <v>-115.715208574</v>
      </c>
      <c r="F95">
        <f>(C95-(D95+(E95*2)))*$L$2</f>
        <v>-29.097259056449534</v>
      </c>
    </row>
    <row r="97" spans="1:18">
      <c r="A97" s="6"/>
      <c r="B97" s="6"/>
      <c r="C97" s="6"/>
      <c r="D97" s="6"/>
      <c r="E97" s="6" t="s">
        <v>30</v>
      </c>
      <c r="F97" s="6" t="s">
        <v>79</v>
      </c>
      <c r="G97" s="6" t="s">
        <v>50</v>
      </c>
      <c r="H97" s="6"/>
      <c r="I97" s="6"/>
    </row>
    <row r="98" spans="1:18">
      <c r="A98" s="6"/>
      <c r="B98" s="6"/>
      <c r="C98" s="6" t="s">
        <v>1</v>
      </c>
      <c r="D98" s="6" t="s">
        <v>2</v>
      </c>
      <c r="E98" s="6" t="s">
        <v>3</v>
      </c>
      <c r="F98" s="6"/>
      <c r="G98" s="6"/>
      <c r="H98" s="6" t="s">
        <v>29</v>
      </c>
      <c r="I98" s="6"/>
      <c r="N98" t="s">
        <v>1</v>
      </c>
      <c r="O98" t="s">
        <v>92</v>
      </c>
    </row>
    <row r="99" spans="1:18">
      <c r="A99" s="6" t="s">
        <v>6</v>
      </c>
      <c r="B99" s="6" t="s">
        <v>7</v>
      </c>
      <c r="C99" s="6">
        <v>-460.729827</v>
      </c>
      <c r="D99" s="6">
        <v>-229.35169200000001</v>
      </c>
      <c r="E99" s="6">
        <v>-115.68595500000001</v>
      </c>
      <c r="F99" s="6">
        <f>(C99-(D99+(E99*2)))*$L$2</f>
        <v>-3.9062497499825359</v>
      </c>
      <c r="G99" s="6" t="s">
        <v>8</v>
      </c>
      <c r="H99" s="6">
        <v>1.9</v>
      </c>
      <c r="I99" s="6" t="s">
        <v>27</v>
      </c>
      <c r="L99" t="s">
        <v>6</v>
      </c>
      <c r="M99" t="s">
        <v>7</v>
      </c>
      <c r="N99" s="6">
        <v>-460.729827</v>
      </c>
      <c r="O99">
        <v>-460.71620200000001</v>
      </c>
      <c r="P99">
        <v>-8.197163129992644</v>
      </c>
      <c r="Q99" t="s">
        <v>8</v>
      </c>
      <c r="R99">
        <v>1.9</v>
      </c>
    </row>
    <row r="100" spans="1:18">
      <c r="A100" s="6" t="s">
        <v>9</v>
      </c>
      <c r="B100" s="6" t="s">
        <v>10</v>
      </c>
      <c r="C100" s="6">
        <v>-460.97397067600002</v>
      </c>
      <c r="D100" s="6">
        <v>-229.515029666</v>
      </c>
      <c r="E100" s="6">
        <v>-115.723635556</v>
      </c>
      <c r="F100" s="6">
        <f>(C100-(D100+(E100*2)))*$L$2</f>
        <v>-7.3229776940028932</v>
      </c>
      <c r="G100" s="6">
        <f>F100-F105</f>
        <v>21.77428136244664</v>
      </c>
      <c r="H100" s="6">
        <v>3.0279999999999999E-3</v>
      </c>
      <c r="I100" s="6" t="s">
        <v>28</v>
      </c>
      <c r="L100" t="s">
        <v>9</v>
      </c>
      <c r="M100" t="s">
        <v>10</v>
      </c>
      <c r="N100" s="6">
        <v>-460.97397067600002</v>
      </c>
      <c r="O100">
        <v>-460.97714359999998</v>
      </c>
      <c r="P100">
        <f t="shared" ref="P100:P105" si="13">(N100-O100)*$L$2</f>
        <v>1.9910415392117284</v>
      </c>
      <c r="Q100">
        <f>P100-P105</f>
        <v>13.014587520475793</v>
      </c>
    </row>
    <row r="101" spans="1:18">
      <c r="A101" s="6" t="s">
        <v>11</v>
      </c>
      <c r="B101" s="6" t="s">
        <v>12</v>
      </c>
      <c r="C101" s="6">
        <v>-460.953339658</v>
      </c>
      <c r="D101" s="6">
        <v>-229.494226776</v>
      </c>
      <c r="E101" s="6">
        <v>-115.72045574000001</v>
      </c>
      <c r="F101" s="6">
        <f>(C101-(D101+(E101*2)))*$L$2</f>
        <v>-11.421561769012671</v>
      </c>
      <c r="G101" s="6">
        <f>F99+G100</f>
        <v>17.868031612464105</v>
      </c>
      <c r="H101" s="6">
        <f>(C101-C105)+C100-(E100*2)-D103-H100</f>
        <v>-0.16109439800001676</v>
      </c>
      <c r="I101" s="6"/>
      <c r="L101" t="s">
        <v>11</v>
      </c>
      <c r="M101" t="s">
        <v>12</v>
      </c>
      <c r="N101" s="6">
        <v>-460.953339658</v>
      </c>
      <c r="O101">
        <v>-484.97675450000003</v>
      </c>
      <c r="P101">
        <f t="shared" si="13"/>
        <v>15074.933047503433</v>
      </c>
      <c r="Q101">
        <f>P99+Q100</f>
        <v>4.8174243904831489</v>
      </c>
    </row>
    <row r="102" spans="1:18">
      <c r="A102" s="6" t="s">
        <v>13</v>
      </c>
      <c r="B102" s="6" t="s">
        <v>14</v>
      </c>
      <c r="C102" s="6"/>
      <c r="D102" s="6"/>
      <c r="E102" s="6"/>
      <c r="F102" s="6">
        <f>(C102-(D102+(E102*2)))*$L$2</f>
        <v>0</v>
      </c>
      <c r="G102" s="6">
        <f>G101+H99</f>
        <v>19.768031612464103</v>
      </c>
      <c r="H102" s="6">
        <f>H101*627.51</f>
        <v>-101.08834568899051</v>
      </c>
      <c r="I102" s="6"/>
      <c r="L102" t="s">
        <v>13</v>
      </c>
      <c r="M102" t="s">
        <v>14</v>
      </c>
      <c r="N102" s="6"/>
      <c r="P102">
        <f t="shared" si="13"/>
        <v>0</v>
      </c>
      <c r="Q102">
        <f>Q101+R99</f>
        <v>6.7174243904831492</v>
      </c>
    </row>
    <row r="103" spans="1:18">
      <c r="A103" s="6" t="s">
        <v>15</v>
      </c>
      <c r="B103" s="6" t="s">
        <v>16</v>
      </c>
      <c r="C103" s="6">
        <v>-460.808424</v>
      </c>
      <c r="D103" s="6">
        <v>-229.44606099999999</v>
      </c>
      <c r="E103" s="6">
        <v>-115.691355</v>
      </c>
      <c r="F103" s="6">
        <f>(C103-(D103+(E103*2)))*$L$2</f>
        <v>12.767945969973876</v>
      </c>
      <c r="G103" s="6" t="s">
        <v>17</v>
      </c>
      <c r="H103" s="4"/>
      <c r="I103" s="6" t="s">
        <v>25</v>
      </c>
      <c r="L103" t="s">
        <v>15</v>
      </c>
      <c r="M103" t="s">
        <v>16</v>
      </c>
      <c r="N103" s="6">
        <v>-460.808424</v>
      </c>
      <c r="O103">
        <v>-484.84560399999998</v>
      </c>
      <c r="P103">
        <f>(N103-O103)*$L$2</f>
        <v>15083.570821799985</v>
      </c>
      <c r="Q103" t="s">
        <v>17</v>
      </c>
    </row>
    <row r="104" spans="1:18">
      <c r="A104" s="6"/>
      <c r="B104" s="6"/>
      <c r="C104" s="6"/>
      <c r="D104" s="6"/>
      <c r="E104" s="6"/>
      <c r="F104" s="6" t="s">
        <v>16</v>
      </c>
      <c r="G104" s="6">
        <f>F103-F100</f>
        <v>20.090923663976771</v>
      </c>
      <c r="H104" s="6">
        <f>C100-C105</f>
        <v>-9.8058852000008301E-2</v>
      </c>
      <c r="I104" s="6">
        <f>H104*627.51</f>
        <v>-61.53291021852521</v>
      </c>
      <c r="N104" s="6"/>
      <c r="P104" t="s">
        <v>16</v>
      </c>
      <c r="Q104">
        <f>P103-P100</f>
        <v>15081.579780260774</v>
      </c>
    </row>
    <row r="105" spans="1:18">
      <c r="A105" s="6" t="s">
        <v>18</v>
      </c>
      <c r="B105" s="6"/>
      <c r="C105" s="6">
        <v>-460.87591182400001</v>
      </c>
      <c r="D105" s="6">
        <v>-229.39912528100001</v>
      </c>
      <c r="E105" s="6">
        <v>-115.715208574</v>
      </c>
      <c r="F105" s="6">
        <f>(C105-(D105+(E105*2)))*$L$2</f>
        <v>-29.097259056449534</v>
      </c>
      <c r="G105" s="6"/>
      <c r="H105" s="6"/>
      <c r="I105" s="6"/>
      <c r="L105" t="s">
        <v>18</v>
      </c>
      <c r="N105" s="6">
        <v>-460.87591182400001</v>
      </c>
      <c r="O105">
        <v>-460.85834469999998</v>
      </c>
      <c r="P105">
        <f t="shared" si="13"/>
        <v>-11.023545981264064</v>
      </c>
    </row>
    <row r="106" spans="1:18">
      <c r="J106" s="4"/>
    </row>
    <row r="107" spans="1:18">
      <c r="E107" t="s">
        <v>19</v>
      </c>
    </row>
    <row r="108" spans="1:18">
      <c r="C108" t="s">
        <v>20</v>
      </c>
      <c r="D108" t="s">
        <v>2</v>
      </c>
      <c r="E108" t="s">
        <v>3</v>
      </c>
      <c r="H108" t="s">
        <v>29</v>
      </c>
      <c r="J108" t="s">
        <v>21</v>
      </c>
    </row>
    <row r="109" spans="1:18">
      <c r="A109" t="s">
        <v>6</v>
      </c>
      <c r="B109" t="s">
        <v>7</v>
      </c>
      <c r="C109">
        <v>-76.422173000000001</v>
      </c>
      <c r="D109">
        <v>-229.35169200000001</v>
      </c>
      <c r="E109">
        <v>-115.68595500000001</v>
      </c>
      <c r="F109">
        <f>((C109+E109+J109)-(K109))*$L$2</f>
        <v>-8.477660100033523</v>
      </c>
      <c r="G109" t="s">
        <v>8</v>
      </c>
      <c r="H109">
        <v>1.9</v>
      </c>
      <c r="I109" t="s">
        <v>27</v>
      </c>
      <c r="J109">
        <v>-268.62683900000002</v>
      </c>
      <c r="K109">
        <v>-460.72145699999999</v>
      </c>
    </row>
    <row r="110" spans="1:18">
      <c r="A110" t="s">
        <v>9</v>
      </c>
      <c r="B110" t="s">
        <v>10</v>
      </c>
      <c r="C110">
        <v>-76.439357365999996</v>
      </c>
      <c r="D110">
        <v>-229.515029666</v>
      </c>
      <c r="E110">
        <v>-115.723635556</v>
      </c>
      <c r="F110">
        <f>((C110+E110+J110)-(K110))*$L$2</f>
        <v>6.9622102722583046</v>
      </c>
      <c r="G110">
        <f>F110-F115</f>
        <v>-5.8829784764005106</v>
      </c>
      <c r="H110">
        <v>3.0279999999999999E-3</v>
      </c>
      <c r="I110" t="s">
        <v>28</v>
      </c>
      <c r="J110">
        <v>-268.80305569900003</v>
      </c>
      <c r="K110">
        <v>-460.97714359999998</v>
      </c>
    </row>
    <row r="111" spans="1:18">
      <c r="A111" t="s">
        <v>11</v>
      </c>
      <c r="B111" t="s">
        <v>12</v>
      </c>
      <c r="C111">
        <v>-76.433568007800005</v>
      </c>
      <c r="D111">
        <v>-229.494226776</v>
      </c>
      <c r="E111">
        <v>-115.72045574000001</v>
      </c>
      <c r="F111">
        <f t="shared" ref="F111:F115" si="14">((C111+E111+J111)-(K111))*$L$2</f>
        <v>6.6528103171825101</v>
      </c>
      <c r="G111">
        <f>F109+G110</f>
        <v>-14.360638576434035</v>
      </c>
      <c r="J111">
        <v>-268.78633053300001</v>
      </c>
      <c r="K111">
        <v>-460.95095620000001</v>
      </c>
    </row>
    <row r="112" spans="1:18">
      <c r="A112" t="s">
        <v>13</v>
      </c>
      <c r="B112" t="s">
        <v>14</v>
      </c>
      <c r="G112">
        <f>G111+H109</f>
        <v>-12.460638576434034</v>
      </c>
    </row>
    <row r="113" spans="1:11">
      <c r="A113" t="s">
        <v>15</v>
      </c>
      <c r="B113" t="s">
        <v>16</v>
      </c>
      <c r="C113">
        <v>-76.429713000000007</v>
      </c>
      <c r="D113">
        <v>-229.44606099999999</v>
      </c>
      <c r="E113">
        <v>-115.691355</v>
      </c>
      <c r="F113">
        <f t="shared" si="14"/>
        <v>-15.63566667004589</v>
      </c>
      <c r="G113" t="s">
        <v>17</v>
      </c>
      <c r="J113">
        <v>-268.71275400000002</v>
      </c>
      <c r="K113">
        <v>-460.80890499999998</v>
      </c>
    </row>
    <row r="114" spans="1:11">
      <c r="F114" t="s">
        <v>26</v>
      </c>
      <c r="G114">
        <f>F113-F110</f>
        <v>-22.597876942304193</v>
      </c>
    </row>
    <row r="115" spans="1:11">
      <c r="A115" t="s">
        <v>18</v>
      </c>
      <c r="C115">
        <v>-76.426065190900005</v>
      </c>
      <c r="D115">
        <v>-229.39912528100001</v>
      </c>
      <c r="E115">
        <v>-115.715208574</v>
      </c>
      <c r="F115">
        <f t="shared" si="14"/>
        <v>12.845188748658815</v>
      </c>
      <c r="J115">
        <v>-268.69920754100002</v>
      </c>
      <c r="K115">
        <v>-460.86095139999998</v>
      </c>
    </row>
    <row r="117" spans="1:11">
      <c r="A117" s="8"/>
      <c r="B117" s="8"/>
      <c r="C117" s="8"/>
      <c r="D117" s="8"/>
      <c r="E117" s="8" t="s">
        <v>62</v>
      </c>
      <c r="F117" s="8" t="s">
        <v>63</v>
      </c>
      <c r="G117" s="8" t="s">
        <v>50</v>
      </c>
      <c r="H117" s="8"/>
      <c r="I117" s="8"/>
    </row>
    <row r="118" spans="1:11">
      <c r="A118" s="8"/>
      <c r="B118" s="8"/>
      <c r="C118" s="8" t="s">
        <v>1</v>
      </c>
      <c r="D118" s="8" t="s">
        <v>2</v>
      </c>
      <c r="E118" s="8" t="s">
        <v>3</v>
      </c>
      <c r="F118" s="8"/>
      <c r="G118" s="8"/>
      <c r="H118" s="8" t="s">
        <v>29</v>
      </c>
      <c r="I118" s="8"/>
    </row>
    <row r="119" spans="1:11">
      <c r="A119" s="8" t="s">
        <v>6</v>
      </c>
      <c r="B119" s="8" t="s">
        <v>7</v>
      </c>
      <c r="C119" s="8">
        <v>-460.68625300000002</v>
      </c>
      <c r="D119" s="8">
        <v>-229.35169200000001</v>
      </c>
      <c r="E119" s="8">
        <v>-115.68595500000001</v>
      </c>
      <c r="F119" s="8">
        <f>(C119-(D119+(E119*2)))*$L$2</f>
        <v>23.436870990003811</v>
      </c>
      <c r="G119" s="8" t="s">
        <v>8</v>
      </c>
      <c r="H119" s="8">
        <v>1.9</v>
      </c>
      <c r="I119" s="8" t="s">
        <v>27</v>
      </c>
    </row>
    <row r="120" spans="1:11">
      <c r="A120" s="8" t="s">
        <v>9</v>
      </c>
      <c r="B120" s="8" t="s">
        <v>10</v>
      </c>
      <c r="C120" s="8">
        <v>-460.93026194499998</v>
      </c>
      <c r="D120" s="8">
        <v>-229.515029666</v>
      </c>
      <c r="E120" s="8">
        <v>-115.723635556</v>
      </c>
      <c r="F120" s="8">
        <f>(C120-(D120+(E120*2)))*$L$2</f>
        <v>20.104688095830898</v>
      </c>
      <c r="G120" s="8">
        <f>F120-F125-G124</f>
        <v>1.2043353897957587</v>
      </c>
      <c r="H120" s="8">
        <v>3.0279999999999999E-3</v>
      </c>
      <c r="I120" s="8" t="s">
        <v>28</v>
      </c>
    </row>
    <row r="121" spans="1:11">
      <c r="A121" s="8" t="s">
        <v>11</v>
      </c>
      <c r="B121" s="8" t="s">
        <v>12</v>
      </c>
      <c r="C121" s="8">
        <v>-460.90929790000001</v>
      </c>
      <c r="D121" s="8">
        <v>-229.494226776</v>
      </c>
      <c r="E121" s="8">
        <v>-115.72045574000001</v>
      </c>
      <c r="F121" s="8">
        <f>(C121-(D121+(E121*2)))*$L$2</f>
        <v>16.215081793562096</v>
      </c>
      <c r="G121" s="8">
        <f>F119+G120</f>
        <v>24.64120637979957</v>
      </c>
      <c r="H121" s="8">
        <f>(C121-C125)+C120-(E120*2)-D123-H120</f>
        <v>-0.11665574100001616</v>
      </c>
      <c r="I121" s="8"/>
    </row>
    <row r="122" spans="1:11">
      <c r="A122" s="8" t="s">
        <v>13</v>
      </c>
      <c r="B122" s="8" t="s">
        <v>14</v>
      </c>
      <c r="C122" s="8"/>
      <c r="D122" s="8"/>
      <c r="E122" s="8"/>
      <c r="F122" s="8">
        <f>(C122-(D122+(E122*2)))*$L$2</f>
        <v>0</v>
      </c>
      <c r="G122" s="8">
        <f>G121-H119</f>
        <v>22.741206379799571</v>
      </c>
      <c r="H122" s="8">
        <f>H121*627.51</f>
        <v>-73.202644034920141</v>
      </c>
      <c r="I122" s="8"/>
    </row>
    <row r="123" spans="1:11">
      <c r="A123" s="8" t="s">
        <v>15</v>
      </c>
      <c r="B123" s="8" t="s">
        <v>16</v>
      </c>
      <c r="C123" s="8">
        <v>-460.763555</v>
      </c>
      <c r="D123" s="8">
        <v>-229.44606099999999</v>
      </c>
      <c r="E123" s="8">
        <v>-115.691355</v>
      </c>
      <c r="F123" s="8">
        <f>(C123-(D123+(E123*2)))*$L$2</f>
        <v>40.923692159977392</v>
      </c>
      <c r="G123" s="8" t="s">
        <v>17</v>
      </c>
      <c r="H123" s="8"/>
      <c r="I123" s="8" t="s">
        <v>25</v>
      </c>
    </row>
    <row r="124" spans="1:11">
      <c r="A124" s="8"/>
      <c r="B124" s="8"/>
      <c r="C124" s="8"/>
      <c r="D124" s="8"/>
      <c r="E124" s="8"/>
      <c r="F124" s="8" t="s">
        <v>16</v>
      </c>
      <c r="G124" s="8">
        <f>F123-F120</f>
        <v>20.819004064146494</v>
      </c>
      <c r="H124" s="8">
        <f>C120-C125</f>
        <v>-9.7661952999999357E-2</v>
      </c>
      <c r="I124" s="8">
        <f>H124*627.51</f>
        <v>-61.283852127029597</v>
      </c>
    </row>
    <row r="125" spans="1:11">
      <c r="A125" s="8" t="s">
        <v>18</v>
      </c>
      <c r="B125" s="8"/>
      <c r="C125" s="8">
        <v>-460.83259999199998</v>
      </c>
      <c r="D125" s="8">
        <v>-229.39912528100001</v>
      </c>
      <c r="E125" s="8">
        <v>-115.715208574</v>
      </c>
      <c r="F125" s="8">
        <f>(C125-(D125+(E125*2)))*$L$2</f>
        <v>-1.9186513581113547</v>
      </c>
      <c r="G125" s="8"/>
      <c r="H125" s="8"/>
      <c r="I125" s="8"/>
    </row>
    <row r="127" spans="1:11">
      <c r="E127" t="s">
        <v>30</v>
      </c>
      <c r="F127" t="s">
        <v>34</v>
      </c>
      <c r="G127" t="s">
        <v>0</v>
      </c>
      <c r="H127" t="s">
        <v>33</v>
      </c>
    </row>
    <row r="128" spans="1:11">
      <c r="C128" t="s">
        <v>1</v>
      </c>
      <c r="D128" t="s">
        <v>2</v>
      </c>
      <c r="E128" t="s">
        <v>3</v>
      </c>
      <c r="H128" t="s">
        <v>29</v>
      </c>
    </row>
    <row r="129" spans="1:20">
      <c r="A129" t="s">
        <v>6</v>
      </c>
      <c r="B129" t="s">
        <v>7</v>
      </c>
      <c r="C129">
        <v>-460.50284399999998</v>
      </c>
      <c r="D129">
        <v>-229.25320300000001</v>
      </c>
      <c r="E129">
        <v>-115.64478099999999</v>
      </c>
      <c r="F129">
        <f>(C129-(D129+(E129*2)))*$L$2</f>
        <v>25.050826710030993</v>
      </c>
      <c r="G129" t="s">
        <v>8</v>
      </c>
      <c r="H129">
        <v>1.9</v>
      </c>
      <c r="I129" t="s">
        <v>27</v>
      </c>
    </row>
    <row r="130" spans="1:20">
      <c r="A130" t="s">
        <v>9</v>
      </c>
      <c r="B130" t="s">
        <v>10</v>
      </c>
      <c r="C130">
        <v>-460.76008806900001</v>
      </c>
      <c r="D130">
        <v>-229.42407285199999</v>
      </c>
      <c r="E130">
        <v>-115.68331991300001</v>
      </c>
      <c r="F130">
        <f>(C130-(D130+(E130*2)))*$L$2</f>
        <v>19.217248393572284</v>
      </c>
      <c r="G130">
        <f>F130-F135-G134</f>
        <v>40.36571717057484</v>
      </c>
      <c r="H130">
        <v>3.0279999999999999E-3</v>
      </c>
      <c r="I130" t="s">
        <v>28</v>
      </c>
    </row>
    <row r="131" spans="1:20">
      <c r="A131" t="s">
        <v>11</v>
      </c>
      <c r="B131" t="s">
        <v>12</v>
      </c>
      <c r="C131">
        <v>-460.767017469</v>
      </c>
      <c r="D131">
        <v>-229.40085523499999</v>
      </c>
      <c r="E131">
        <v>-115.679667014</v>
      </c>
      <c r="F131">
        <f>(C131-(D131+(E131*2)))*$L$2</f>
        <v>-4.2847675470386841</v>
      </c>
      <c r="G131">
        <f>F129+G130</f>
        <v>65.416543880605829</v>
      </c>
      <c r="H131">
        <f>(C131-C135)+C130-(E130*2)-D133-H130</f>
        <v>-0.12612900900000976</v>
      </c>
    </row>
    <row r="132" spans="1:20">
      <c r="A132" t="s">
        <v>13</v>
      </c>
      <c r="B132" t="s">
        <v>14</v>
      </c>
      <c r="F132">
        <f>(C132-(D132+(E132*2)))*$L$2</f>
        <v>0</v>
      </c>
      <c r="G132">
        <f>G131+H129</f>
        <v>67.316543880605835</v>
      </c>
      <c r="H132">
        <f>H131*627.51</f>
        <v>-79.147214437596119</v>
      </c>
    </row>
    <row r="133" spans="1:20">
      <c r="A133" t="s">
        <v>15</v>
      </c>
      <c r="B133" t="s">
        <v>16</v>
      </c>
      <c r="C133">
        <v>-460.62259299999999</v>
      </c>
      <c r="D133">
        <v>-229.35325</v>
      </c>
      <c r="E133">
        <v>-115.6511</v>
      </c>
      <c r="F133">
        <f>(C133-(D133+(E133*2)))*$L$2</f>
        <v>20.618096069986571</v>
      </c>
      <c r="G133" t="s">
        <v>17</v>
      </c>
      <c r="I133" t="s">
        <v>25</v>
      </c>
    </row>
    <row r="134" spans="1:20">
      <c r="F134" t="s">
        <v>16</v>
      </c>
      <c r="G134">
        <f>F133-F130</f>
        <v>1.400847676414287</v>
      </c>
      <c r="H134">
        <f>C130-C135</f>
        <v>-7.5973366000027909E-2</v>
      </c>
      <c r="I134">
        <f>H134*627.51</f>
        <v>-47.67404689867751</v>
      </c>
    </row>
    <row r="135" spans="1:20">
      <c r="A135" t="s">
        <v>18</v>
      </c>
      <c r="C135">
        <v>-460.68411470299998</v>
      </c>
      <c r="D135">
        <v>-229.30132155800001</v>
      </c>
      <c r="E135">
        <v>-115.67342927599999</v>
      </c>
      <c r="F135">
        <f>(C135-(D135+(E135*2)))*$L$2</f>
        <v>-22.549316453416843</v>
      </c>
    </row>
    <row r="137" spans="1:20">
      <c r="A137" s="4"/>
      <c r="B137" s="4"/>
      <c r="C137" s="4"/>
      <c r="D137" s="4"/>
      <c r="E137" s="4" t="s">
        <v>30</v>
      </c>
      <c r="F137" s="4"/>
      <c r="G137" s="4" t="s">
        <v>50</v>
      </c>
      <c r="H137" s="4" t="s">
        <v>83</v>
      </c>
      <c r="I137" s="4"/>
      <c r="O137" t="s">
        <v>19</v>
      </c>
    </row>
    <row r="138" spans="1:20">
      <c r="C138" t="s">
        <v>1</v>
      </c>
      <c r="D138" t="s">
        <v>84</v>
      </c>
      <c r="E138" t="s">
        <v>3</v>
      </c>
      <c r="H138" t="s">
        <v>29</v>
      </c>
      <c r="M138" t="s">
        <v>20</v>
      </c>
      <c r="N138" t="s">
        <v>70</v>
      </c>
      <c r="O138" t="s">
        <v>3</v>
      </c>
      <c r="R138" t="s">
        <v>29</v>
      </c>
      <c r="T138" t="s">
        <v>91</v>
      </c>
    </row>
    <row r="139" spans="1:20">
      <c r="A139" t="s">
        <v>6</v>
      </c>
      <c r="B139" t="s">
        <v>7</v>
      </c>
      <c r="C139">
        <v>-421.43583100000001</v>
      </c>
      <c r="D139">
        <v>-190.039771</v>
      </c>
      <c r="E139">
        <v>-115.68595500000001</v>
      </c>
      <c r="F139">
        <f>(C139-(D139+(E139*2)))*$L$2</f>
        <v>-15.154366499976943</v>
      </c>
      <c r="G139" t="s">
        <v>8</v>
      </c>
      <c r="H139">
        <v>1.9</v>
      </c>
      <c r="I139" t="s">
        <v>27</v>
      </c>
      <c r="K139" t="s">
        <v>6</v>
      </c>
      <c r="L139" t="s">
        <v>7</v>
      </c>
      <c r="M139">
        <v>-76.422173000000001</v>
      </c>
      <c r="N139">
        <v>-190.039771</v>
      </c>
      <c r="O139">
        <v>-115.68595500000001</v>
      </c>
      <c r="P139">
        <f>((M139+O139+T139)-(N139+(O139*2)))*$L$2</f>
        <v>-9.8493969599945235</v>
      </c>
      <c r="Q139" t="s">
        <v>8</v>
      </c>
      <c r="R139">
        <v>1.9</v>
      </c>
      <c r="S139" t="s">
        <v>27</v>
      </c>
      <c r="T139">
        <v>-229.31924900000001</v>
      </c>
    </row>
    <row r="140" spans="1:20">
      <c r="A140" t="s">
        <v>9</v>
      </c>
      <c r="B140" t="s">
        <v>10</v>
      </c>
      <c r="C140">
        <v>-421.66213110199999</v>
      </c>
      <c r="D140">
        <v>-190.188197831</v>
      </c>
      <c r="E140">
        <v>-115.723635556</v>
      </c>
      <c r="F140">
        <f>(C140-(D140+(E140*2)))*$L$2</f>
        <v>-16.730771394097118</v>
      </c>
      <c r="G140">
        <f>F140-F145</f>
        <v>24.255877589215054</v>
      </c>
      <c r="H140">
        <v>3.0279999999999999E-3</v>
      </c>
      <c r="I140" t="s">
        <v>28</v>
      </c>
      <c r="K140" t="s">
        <v>9</v>
      </c>
      <c r="L140" t="s">
        <v>10</v>
      </c>
      <c r="M140">
        <v>-76.439357365999996</v>
      </c>
      <c r="N140">
        <v>-190.188197831</v>
      </c>
      <c r="O140">
        <v>-115.723635556</v>
      </c>
      <c r="P140">
        <f>((M140+T140+O140)-(N140+(O140*2)))*$L$2</f>
        <v>-3.8278888112397462</v>
      </c>
      <c r="Q140">
        <f>P140-P145</f>
        <v>5.7078679203473479</v>
      </c>
      <c r="R140">
        <v>3.0279999999999999E-3</v>
      </c>
      <c r="S140" t="s">
        <v>28</v>
      </c>
      <c r="T140">
        <v>-229.47857614500001</v>
      </c>
    </row>
    <row r="141" spans="1:20">
      <c r="A141" t="s">
        <v>11</v>
      </c>
      <c r="B141" t="s">
        <v>12</v>
      </c>
      <c r="C141">
        <v>-421.63904513799997</v>
      </c>
      <c r="D141">
        <v>-190.16705917199999</v>
      </c>
      <c r="E141">
        <v>-115.72045574000001</v>
      </c>
      <c r="F141">
        <f>(C141-(D141+(E141*2)))*$L$2</f>
        <v>-19.499550709838584</v>
      </c>
      <c r="G141">
        <f>F139+G140</f>
        <v>9.1015110892381106</v>
      </c>
      <c r="H141">
        <f>(C141-C145)+C140-(E140*2)-D143-H140</f>
        <v>-0.15487108299993177</v>
      </c>
      <c r="K141" t="s">
        <v>11</v>
      </c>
      <c r="L141" t="s">
        <v>12</v>
      </c>
      <c r="M141">
        <v>-76.433568007800005</v>
      </c>
      <c r="N141">
        <v>-190.16705917199999</v>
      </c>
      <c r="O141">
        <v>-115.72045574000001</v>
      </c>
      <c r="P141">
        <f t="shared" ref="P141:P143" si="15">((M141+T141+O141)-(N141+(O141*2)))*$L$2</f>
        <v>-5.4630881293081224</v>
      </c>
      <c r="Q141">
        <f>P139+Q140</f>
        <v>-4.1415290396471756</v>
      </c>
      <c r="T141">
        <v>-229.46265288199999</v>
      </c>
    </row>
    <row r="142" spans="1:20">
      <c r="A142" t="s">
        <v>13</v>
      </c>
      <c r="B142" t="s">
        <v>14</v>
      </c>
      <c r="F142">
        <f>(C142-(D142+(E142*2)))*$L$2</f>
        <v>0</v>
      </c>
      <c r="G142">
        <f>G141-H139</f>
        <v>7.2015110892381102</v>
      </c>
      <c r="H142">
        <f>H141*627.51</f>
        <v>-97.183153293287177</v>
      </c>
      <c r="K142" t="s">
        <v>13</v>
      </c>
      <c r="L142" t="s">
        <v>14</v>
      </c>
      <c r="P142">
        <f t="shared" si="15"/>
        <v>0</v>
      </c>
      <c r="Q142">
        <f>Q141+R139</f>
        <v>-2.2415290396471756</v>
      </c>
    </row>
    <row r="143" spans="1:20">
      <c r="A143" t="s">
        <v>15</v>
      </c>
      <c r="B143" t="s">
        <v>16</v>
      </c>
      <c r="C143">
        <v>-421.51745199999999</v>
      </c>
      <c r="D143">
        <v>-190.143565</v>
      </c>
      <c r="E143">
        <v>-115.691355</v>
      </c>
      <c r="F143">
        <f>(C143-(D143+(E143*2)))*$L$2</f>
        <v>5.5365207300041961</v>
      </c>
      <c r="G143" t="s">
        <v>17</v>
      </c>
      <c r="I143" t="s">
        <v>25</v>
      </c>
      <c r="K143" t="s">
        <v>15</v>
      </c>
      <c r="L143" t="s">
        <v>16</v>
      </c>
      <c r="M143">
        <v>-76.429713000000007</v>
      </c>
      <c r="N143">
        <v>-190.143565</v>
      </c>
      <c r="O143">
        <v>-115.691355</v>
      </c>
      <c r="P143">
        <f t="shared" si="15"/>
        <v>-5.5434233399867683</v>
      </c>
      <c r="Q143" t="s">
        <v>17</v>
      </c>
      <c r="T143">
        <v>-229.414041</v>
      </c>
    </row>
    <row r="144" spans="1:20">
      <c r="F144" t="s">
        <v>16</v>
      </c>
      <c r="G144">
        <f>F143-F140</f>
        <v>22.267292124101314</v>
      </c>
      <c r="H144">
        <f>C140-C145</f>
        <v>-0.1036340569999652</v>
      </c>
      <c r="I144">
        <f>H144*627.51</f>
        <v>-65.031407108048157</v>
      </c>
      <c r="P144" t="s">
        <v>26</v>
      </c>
      <c r="Q144">
        <f>P143-P140</f>
        <v>-1.7155345287470221</v>
      </c>
    </row>
    <row r="145" spans="1:20">
      <c r="A145" t="s">
        <v>18</v>
      </c>
      <c r="C145">
        <v>-421.55849704500002</v>
      </c>
      <c r="D145">
        <v>-190.062763569</v>
      </c>
      <c r="E145">
        <v>-115.715208574</v>
      </c>
      <c r="F145">
        <f>(C145-(D145+(E145*2)))*$L$2</f>
        <v>-40.986648983312172</v>
      </c>
      <c r="K145" t="s">
        <v>18</v>
      </c>
      <c r="M145">
        <v>-76.426065190900005</v>
      </c>
      <c r="N145">
        <v>-190.062763569</v>
      </c>
      <c r="O145">
        <v>-115.715208574</v>
      </c>
      <c r="P145">
        <f t="shared" ref="P145" si="16">((M145+T145+O145)-(N145+(O145*2)))*$L$2</f>
        <v>-9.5357567315870941</v>
      </c>
      <c r="T145">
        <v>-229.36710313500001</v>
      </c>
    </row>
    <row r="147" spans="1:20">
      <c r="E147" t="s">
        <v>30</v>
      </c>
      <c r="F147" t="s">
        <v>79</v>
      </c>
      <c r="G147" t="s">
        <v>50</v>
      </c>
      <c r="O147" t="s">
        <v>19</v>
      </c>
    </row>
    <row r="148" spans="1:20">
      <c r="C148" t="s">
        <v>1</v>
      </c>
      <c r="D148" t="s">
        <v>85</v>
      </c>
      <c r="E148" t="s">
        <v>3</v>
      </c>
      <c r="H148" t="s">
        <v>29</v>
      </c>
      <c r="M148" t="s">
        <v>20</v>
      </c>
      <c r="N148" t="s">
        <v>88</v>
      </c>
      <c r="O148" t="s">
        <v>3</v>
      </c>
      <c r="R148" t="s">
        <v>29</v>
      </c>
      <c r="T148" t="s">
        <v>91</v>
      </c>
    </row>
    <row r="149" spans="1:20">
      <c r="A149" t="s">
        <v>6</v>
      </c>
      <c r="B149" t="s">
        <v>7</v>
      </c>
      <c r="C149">
        <v>-500.01010100000002</v>
      </c>
      <c r="D149">
        <v>-268.63568099999998</v>
      </c>
      <c r="E149">
        <v>-115.68595500000001</v>
      </c>
      <c r="F149">
        <f>(C149-(D149+(E149*2)))*$L$2</f>
        <v>-1.5750501000183998</v>
      </c>
      <c r="G149" t="s">
        <v>8</v>
      </c>
      <c r="H149">
        <v>1.9</v>
      </c>
      <c r="I149" t="s">
        <v>27</v>
      </c>
      <c r="K149" t="s">
        <v>6</v>
      </c>
      <c r="L149" t="s">
        <v>7</v>
      </c>
      <c r="M149">
        <v>-76.422173000000001</v>
      </c>
      <c r="N149">
        <v>-268.63568099999998</v>
      </c>
      <c r="O149">
        <v>-115.68595500000001</v>
      </c>
      <c r="P149">
        <f>((M149+O149+T149)-(N149+(O149*2)))*$L$2</f>
        <v>-8.788905060032441</v>
      </c>
      <c r="Q149" t="s">
        <v>8</v>
      </c>
      <c r="R149">
        <v>1.9</v>
      </c>
      <c r="S149" t="s">
        <v>27</v>
      </c>
      <c r="T149">
        <v>-307.91346900000002</v>
      </c>
    </row>
    <row r="150" spans="1:20">
      <c r="A150" t="s">
        <v>9</v>
      </c>
      <c r="B150" t="s">
        <v>10</v>
      </c>
      <c r="C150">
        <v>-500.2899031</v>
      </c>
      <c r="D150">
        <v>-268.82236282600002</v>
      </c>
      <c r="E150">
        <v>-115.723635556</v>
      </c>
      <c r="F150">
        <f>(C150-(D150+(E150*2)))*$L$2</f>
        <v>-12.719101846605479</v>
      </c>
      <c r="G150">
        <f>F150-F155</f>
        <v>15.563260801147401</v>
      </c>
      <c r="H150">
        <v>3.0279999999999999E-3</v>
      </c>
      <c r="I150" t="s">
        <v>28</v>
      </c>
      <c r="K150" t="s">
        <v>9</v>
      </c>
      <c r="L150" t="s">
        <v>10</v>
      </c>
      <c r="M150">
        <v>-76.439357365999996</v>
      </c>
      <c r="N150">
        <v>-268.82236282600002</v>
      </c>
      <c r="O150">
        <v>-115.723635556</v>
      </c>
      <c r="P150">
        <f>((M150+T150+O150)-(N150+(O150*2)))*$L$2</f>
        <v>-3.3323460467596582</v>
      </c>
      <c r="Q150">
        <f>P150-P155</f>
        <v>5.624863407630551</v>
      </c>
      <c r="R150">
        <v>3.0279999999999999E-3</v>
      </c>
      <c r="S150" t="s">
        <v>28</v>
      </c>
      <c r="T150">
        <v>-308.11195144300001</v>
      </c>
    </row>
    <row r="151" spans="1:20">
      <c r="A151" t="s">
        <v>11</v>
      </c>
      <c r="B151" t="s">
        <v>12</v>
      </c>
      <c r="C151" s="2">
        <v>-500.26266959999998</v>
      </c>
      <c r="D151">
        <v>-268.80219135700003</v>
      </c>
      <c r="E151">
        <v>-115.72045574000001</v>
      </c>
      <c r="F151">
        <f>(C151-(D151+(E151*2)))*$L$2</f>
        <v>-12.278339450094496</v>
      </c>
      <c r="G151">
        <f>F149+G150</f>
        <v>13.988210701129001</v>
      </c>
      <c r="H151">
        <f>(C151-C155)+C150-(E150*2)-D153-H150</f>
        <v>-0.19607948799998051</v>
      </c>
      <c r="K151" t="s">
        <v>11</v>
      </c>
      <c r="L151" t="s">
        <v>12</v>
      </c>
      <c r="M151">
        <v>-76.433568007800005</v>
      </c>
      <c r="N151">
        <v>-268.80219135700003</v>
      </c>
      <c r="O151">
        <v>-115.72045574000001</v>
      </c>
      <c r="P151">
        <f t="shared" ref="P151:P153" si="17">((M151+T151+O151)-(N151+(O151*2)))*$L$2</f>
        <v>-4.995865518624818</v>
      </c>
      <c r="Q151">
        <f>P149+Q150</f>
        <v>-3.1640416524018899</v>
      </c>
      <c r="T151">
        <v>-308.09704050099998</v>
      </c>
    </row>
    <row r="152" spans="1:20">
      <c r="A152" t="s">
        <v>13</v>
      </c>
      <c r="B152" t="s">
        <v>14</v>
      </c>
      <c r="C152" s="4"/>
      <c r="F152">
        <f>(C152-(D152+(E152*2)))*$L$2</f>
        <v>0</v>
      </c>
      <c r="G152">
        <f>G151-H149</f>
        <v>12.088210701129</v>
      </c>
      <c r="H152">
        <f>H151*627.51</f>
        <v>-123.04183951486777</v>
      </c>
      <c r="K152" t="s">
        <v>13</v>
      </c>
      <c r="L152" t="s">
        <v>14</v>
      </c>
      <c r="P152">
        <f t="shared" si="17"/>
        <v>0</v>
      </c>
      <c r="Q152">
        <f>Q151+R149</f>
        <v>-1.26404165240189</v>
      </c>
    </row>
    <row r="153" spans="1:20">
      <c r="A153" t="s">
        <v>15</v>
      </c>
      <c r="B153" t="s">
        <v>16</v>
      </c>
      <c r="C153" s="2">
        <v>-500.085688</v>
      </c>
      <c r="D153">
        <v>-268.72617700000001</v>
      </c>
      <c r="E153">
        <v>-115.691355</v>
      </c>
      <c r="F153">
        <f>(C153-(D153+(E153*2)))*$L$2</f>
        <v>14.55760448998549</v>
      </c>
      <c r="G153" t="s">
        <v>17</v>
      </c>
      <c r="I153" t="s">
        <v>25</v>
      </c>
      <c r="K153" t="s">
        <v>15</v>
      </c>
      <c r="L153" t="s">
        <v>16</v>
      </c>
      <c r="M153">
        <v>-76.429713000000007</v>
      </c>
      <c r="N153">
        <v>-268.72617700000001</v>
      </c>
      <c r="O153">
        <v>-115.691355</v>
      </c>
      <c r="P153">
        <f t="shared" si="17"/>
        <v>-5.1920177399822371</v>
      </c>
      <c r="Q153" t="s">
        <v>17</v>
      </c>
      <c r="T153">
        <v>-307.99609299999997</v>
      </c>
    </row>
    <row r="154" spans="1:20">
      <c r="F154" t="s">
        <v>16</v>
      </c>
      <c r="G154">
        <f>F153-F150</f>
        <v>27.276706336590969</v>
      </c>
      <c r="H154">
        <f>C150-C155</f>
        <v>-0.1038300000000163</v>
      </c>
      <c r="I154">
        <f>H154*627.51</f>
        <v>-65.154363300010232</v>
      </c>
      <c r="P154" t="s">
        <v>26</v>
      </c>
      <c r="Q154">
        <f>P153-P150</f>
        <v>-1.859671693222579</v>
      </c>
    </row>
    <row r="155" spans="1:20">
      <c r="A155" t="s">
        <v>18</v>
      </c>
      <c r="C155">
        <v>-500.18607309999999</v>
      </c>
      <c r="D155">
        <v>-268.710585176</v>
      </c>
      <c r="E155">
        <v>-115.715208574</v>
      </c>
      <c r="F155">
        <f>(C155-(D155+(E155*2)))*$L$2</f>
        <v>-28.28236264775288</v>
      </c>
      <c r="K155" t="s">
        <v>18</v>
      </c>
      <c r="M155">
        <v>-76.426065190900005</v>
      </c>
      <c r="N155">
        <v>-268.710585176</v>
      </c>
      <c r="O155">
        <v>-115.715208574</v>
      </c>
      <c r="P155">
        <f t="shared" ref="P155" si="18">((M155+T155+O155)-(N155+(O155*2)))*$L$2</f>
        <v>-8.9572094543902097</v>
      </c>
      <c r="T155">
        <v>-308.014002769</v>
      </c>
    </row>
    <row r="157" spans="1:20">
      <c r="E157" t="s">
        <v>30</v>
      </c>
      <c r="F157" t="s">
        <v>79</v>
      </c>
      <c r="G157" t="s">
        <v>50</v>
      </c>
      <c r="O157" t="s">
        <v>19</v>
      </c>
    </row>
    <row r="158" spans="1:20">
      <c r="C158" t="s">
        <v>1</v>
      </c>
      <c r="D158" t="s">
        <v>86</v>
      </c>
      <c r="E158" t="s">
        <v>3</v>
      </c>
      <c r="H158" t="s">
        <v>29</v>
      </c>
      <c r="M158" t="s">
        <v>20</v>
      </c>
      <c r="N158" t="s">
        <v>89</v>
      </c>
      <c r="O158" t="s">
        <v>3</v>
      </c>
      <c r="R158" t="s">
        <v>29</v>
      </c>
      <c r="T158" t="s">
        <v>91</v>
      </c>
    </row>
    <row r="159" spans="1:20">
      <c r="A159" t="s">
        <v>6</v>
      </c>
      <c r="B159" t="s">
        <v>7</v>
      </c>
      <c r="C159">
        <v>-539.29217800000004</v>
      </c>
      <c r="D159">
        <v>-307.91778399999998</v>
      </c>
      <c r="E159">
        <v>-115.68595500000001</v>
      </c>
      <c r="F159">
        <f>(C159-(D159+(E159*2)))*$L$2</f>
        <v>-1.5587348399882524</v>
      </c>
      <c r="G159" t="s">
        <v>8</v>
      </c>
      <c r="H159">
        <v>1.9</v>
      </c>
      <c r="I159" t="s">
        <v>27</v>
      </c>
      <c r="K159" t="s">
        <v>6</v>
      </c>
      <c r="L159" t="s">
        <v>7</v>
      </c>
      <c r="M159">
        <v>-76.422173000000001</v>
      </c>
      <c r="N159">
        <v>-307.91778399999998</v>
      </c>
      <c r="O159">
        <v>-115.68595500000001</v>
      </c>
      <c r="P159">
        <f>((M159+O159+T159)-(N159+(O159*2)))*$L$2</f>
        <v>-9.0304964099575287</v>
      </c>
      <c r="Q159" t="s">
        <v>8</v>
      </c>
      <c r="R159">
        <v>1.9</v>
      </c>
      <c r="S159" t="s">
        <v>27</v>
      </c>
      <c r="T159">
        <v>-347.19595700000002</v>
      </c>
    </row>
    <row r="160" spans="1:20">
      <c r="A160" t="s">
        <v>9</v>
      </c>
      <c r="B160" t="s">
        <v>10</v>
      </c>
      <c r="C160">
        <v>-539.59365879999996</v>
      </c>
      <c r="D160">
        <v>-308.13002634399999</v>
      </c>
      <c r="E160">
        <v>-115.723635556</v>
      </c>
      <c r="F160">
        <f>(C160-(D160+(E160*2)))*$L$2</f>
        <v>-10.266906973415407</v>
      </c>
      <c r="G160">
        <f>F160-F165</f>
        <v>17.262579216537198</v>
      </c>
      <c r="H160">
        <v>3.0279999999999999E-3</v>
      </c>
      <c r="I160" t="s">
        <v>28</v>
      </c>
      <c r="K160" t="s">
        <v>9</v>
      </c>
      <c r="L160" t="s">
        <v>10</v>
      </c>
      <c r="M160">
        <v>-76.439357365999996</v>
      </c>
      <c r="N160">
        <v>-308.13002634399999</v>
      </c>
      <c r="O160">
        <v>-115.723635556</v>
      </c>
      <c r="P160">
        <f>((M160+T160+O160)-(N160+(O160*2)))*$L$2</f>
        <v>-4.6667987725968638</v>
      </c>
      <c r="Q160">
        <f>P160-P165</f>
        <v>4.116514483076732</v>
      </c>
      <c r="R160">
        <v>3.0279999999999999E-3</v>
      </c>
      <c r="S160" t="s">
        <v>28</v>
      </c>
      <c r="T160">
        <v>-347.42174154499997</v>
      </c>
    </row>
    <row r="161" spans="1:20">
      <c r="A161" t="s">
        <v>11</v>
      </c>
      <c r="B161" t="s">
        <v>12</v>
      </c>
      <c r="C161">
        <v>-539.56942279999998</v>
      </c>
      <c r="D161">
        <v>-308.109060242</v>
      </c>
      <c r="E161">
        <v>-115.72045574000001</v>
      </c>
      <c r="F161">
        <f>(C161-(D161+(E161*2)))*$L$2</f>
        <v>-12.205745955764053</v>
      </c>
      <c r="G161">
        <f>F159+G160</f>
        <v>15.703844376548945</v>
      </c>
      <c r="H161">
        <f>(C161-C165)+C160-(E160*2)-D163-H160</f>
        <v>-0.21718968799987645</v>
      </c>
      <c r="K161" t="s">
        <v>11</v>
      </c>
      <c r="L161" t="s">
        <v>12</v>
      </c>
      <c r="M161">
        <v>-76.433568007800005</v>
      </c>
      <c r="N161">
        <v>-308.109060242</v>
      </c>
      <c r="O161">
        <v>-115.72045574000001</v>
      </c>
      <c r="P161">
        <f t="shared" ref="P161:P163" si="19">((M161+T161+O161)-(N161+(O161*2)))*$L$2</f>
        <v>-5.0706552979853861</v>
      </c>
      <c r="Q161">
        <f>P159+Q160</f>
        <v>-4.9139819268807967</v>
      </c>
      <c r="T161">
        <v>-347.40402857100003</v>
      </c>
    </row>
    <row r="162" spans="1:20">
      <c r="A162" t="s">
        <v>13</v>
      </c>
      <c r="B162" t="s">
        <v>14</v>
      </c>
      <c r="F162">
        <f>(C162-(D162+(E162*2)))*$L$2</f>
        <v>0</v>
      </c>
      <c r="G162">
        <f>G161-H159</f>
        <v>13.803844376548945</v>
      </c>
      <c r="H162">
        <f>H161*627.51</f>
        <v>-136.28870111680246</v>
      </c>
      <c r="K162" t="s">
        <v>13</v>
      </c>
      <c r="L162" t="s">
        <v>14</v>
      </c>
      <c r="P162">
        <f t="shared" si="19"/>
        <v>0</v>
      </c>
      <c r="Q162">
        <f>Q161+R159</f>
        <v>-3.0139819268807968</v>
      </c>
    </row>
    <row r="163" spans="1:20">
      <c r="A163" t="s">
        <v>15</v>
      </c>
      <c r="B163" t="s">
        <v>16</v>
      </c>
      <c r="C163">
        <v>-539.36755100000005</v>
      </c>
      <c r="D163">
        <v>-308.00799000000001</v>
      </c>
      <c r="E163">
        <v>-115.691355</v>
      </c>
      <c r="F163">
        <f>(C163-(D163+(E163*2)))*$L$2</f>
        <v>14.526228989993365</v>
      </c>
      <c r="G163" t="s">
        <v>17</v>
      </c>
      <c r="I163" t="s">
        <v>25</v>
      </c>
      <c r="K163" t="s">
        <v>15</v>
      </c>
      <c r="L163" t="s">
        <v>16</v>
      </c>
      <c r="M163">
        <v>-76.429713000000007</v>
      </c>
      <c r="N163">
        <v>-308.00799000000001</v>
      </c>
      <c r="O163">
        <v>-115.691355</v>
      </c>
      <c r="P163">
        <f t="shared" si="19"/>
        <v>-4.6128260099820935</v>
      </c>
      <c r="Q163" t="s">
        <v>17</v>
      </c>
      <c r="T163">
        <v>-347.27698299999997</v>
      </c>
    </row>
    <row r="164" spans="1:20">
      <c r="F164" t="s">
        <v>16</v>
      </c>
      <c r="G164">
        <f>F163-F160</f>
        <v>24.793135963408773</v>
      </c>
      <c r="H164">
        <f>C160-C165</f>
        <v>-9.9999999999909051E-2</v>
      </c>
      <c r="I164">
        <f>H164*627.51</f>
        <v>-62.750999999942927</v>
      </c>
      <c r="P164" t="s">
        <v>26</v>
      </c>
      <c r="Q164">
        <f>P163-P160</f>
        <v>5.3972762614770353E-2</v>
      </c>
    </row>
    <row r="165" spans="1:20">
      <c r="A165" t="s">
        <v>18</v>
      </c>
      <c r="C165">
        <v>-539.49365880000005</v>
      </c>
      <c r="D165">
        <v>-308.01937065999999</v>
      </c>
      <c r="E165">
        <v>-115.715208574</v>
      </c>
      <c r="F165">
        <f>(C165-(D165+(E165*2)))*$L$2</f>
        <v>-27.529486189952603</v>
      </c>
      <c r="K165" t="s">
        <v>18</v>
      </c>
      <c r="M165">
        <v>-76.426065190900005</v>
      </c>
      <c r="N165">
        <v>-308.01937065999999</v>
      </c>
      <c r="O165">
        <v>-115.715208574</v>
      </c>
      <c r="P165">
        <f t="shared" ref="P165" si="20">((M165+T165+O165)-(N165+(O165*2)))*$L$2</f>
        <v>-8.7833132556735958</v>
      </c>
      <c r="T165">
        <v>-347.32251113199999</v>
      </c>
    </row>
    <row r="167" spans="1:20">
      <c r="E167" t="s">
        <v>30</v>
      </c>
      <c r="F167" t="s">
        <v>79</v>
      </c>
      <c r="G167" t="s">
        <v>50</v>
      </c>
      <c r="O167" t="s">
        <v>19</v>
      </c>
    </row>
    <row r="168" spans="1:20">
      <c r="C168" t="s">
        <v>1</v>
      </c>
      <c r="D168" t="s">
        <v>87</v>
      </c>
      <c r="E168" t="s">
        <v>3</v>
      </c>
      <c r="H168" t="s">
        <v>29</v>
      </c>
      <c r="M168" t="s">
        <v>20</v>
      </c>
      <c r="N168" t="s">
        <v>90</v>
      </c>
      <c r="O168" t="s">
        <v>3</v>
      </c>
      <c r="R168" t="s">
        <v>29</v>
      </c>
      <c r="T168" t="s">
        <v>91</v>
      </c>
    </row>
    <row r="169" spans="1:20">
      <c r="A169" t="s">
        <v>6</v>
      </c>
      <c r="B169" t="s">
        <v>7</v>
      </c>
      <c r="C169">
        <v>-578.57288900000003</v>
      </c>
      <c r="D169">
        <v>-347.20128199999999</v>
      </c>
      <c r="E169">
        <v>-115.68595500000001</v>
      </c>
      <c r="F169">
        <f>(C169-(D169+(E169*2)))*$L$2</f>
        <v>0.19013553001933131</v>
      </c>
      <c r="G169" t="s">
        <v>8</v>
      </c>
      <c r="H169">
        <v>1.9</v>
      </c>
      <c r="I169" t="s">
        <v>27</v>
      </c>
      <c r="K169" t="s">
        <v>6</v>
      </c>
      <c r="L169" t="s">
        <v>7</v>
      </c>
      <c r="M169">
        <v>-76.422173000000001</v>
      </c>
      <c r="N169">
        <v>-347.20128199999999</v>
      </c>
      <c r="O169">
        <v>-115.68595500000001</v>
      </c>
      <c r="P169">
        <f>((M169+O169+T169)-(N169+(O169*2)))*$L$2</f>
        <v>-6.9339854999715778</v>
      </c>
      <c r="Q169" t="s">
        <v>8</v>
      </c>
      <c r="R169">
        <v>1.9</v>
      </c>
      <c r="S169" t="s">
        <v>27</v>
      </c>
      <c r="T169">
        <v>-386.476114</v>
      </c>
    </row>
    <row r="170" spans="1:20">
      <c r="A170" t="s">
        <v>9</v>
      </c>
      <c r="B170" t="s">
        <v>10</v>
      </c>
      <c r="C170" s="2">
        <v>-578.90278520000004</v>
      </c>
      <c r="D170">
        <v>-347.43824267899998</v>
      </c>
      <c r="E170">
        <v>-115.723635556</v>
      </c>
      <c r="F170">
        <f>(C170-(D170+(E170*2)))*$L$2</f>
        <v>-10.837981861618504</v>
      </c>
      <c r="G170">
        <f>F170-F175</f>
        <v>15.793898964036947</v>
      </c>
      <c r="H170">
        <v>3.0279999999999999E-3</v>
      </c>
      <c r="I170" t="s">
        <v>28</v>
      </c>
      <c r="K170" t="s">
        <v>9</v>
      </c>
      <c r="L170" t="s">
        <v>10</v>
      </c>
      <c r="M170">
        <v>-76.439357365999996</v>
      </c>
      <c r="N170">
        <v>-347.43824267899998</v>
      </c>
      <c r="O170">
        <v>-115.723635556</v>
      </c>
      <c r="P170">
        <f>((M170+T170+O170)-(N170+(O170*2)))*$L$2</f>
        <v>-4.5301239570256051</v>
      </c>
      <c r="Q170">
        <f>P170-P175</f>
        <v>3.5934830155673811</v>
      </c>
      <c r="R170">
        <v>3.0279999999999999E-3</v>
      </c>
      <c r="S170" t="s">
        <v>28</v>
      </c>
      <c r="T170">
        <v>-386.729740075</v>
      </c>
    </row>
    <row r="171" spans="1:20">
      <c r="A171" t="s">
        <v>11</v>
      </c>
      <c r="B171" t="s">
        <v>12</v>
      </c>
      <c r="C171">
        <v>-578.87577150000004</v>
      </c>
      <c r="D171">
        <v>-347.41636595799997</v>
      </c>
      <c r="E171">
        <v>-115.72045574000001</v>
      </c>
      <c r="F171">
        <f>(C171-(D171+(E171*2)))*$L$2</f>
        <v>-11.605208845656945</v>
      </c>
      <c r="G171">
        <f>F169+G170</f>
        <v>15.984034494056278</v>
      </c>
      <c r="H171">
        <f>(C171-C175)+C170-(E170*2)-D173-H170</f>
        <v>-0.24564678800012937</v>
      </c>
      <c r="K171" t="s">
        <v>11</v>
      </c>
      <c r="L171" t="s">
        <v>12</v>
      </c>
      <c r="M171">
        <v>-76.433568007800005</v>
      </c>
      <c r="N171">
        <v>-347.41636595799997</v>
      </c>
      <c r="O171">
        <v>-115.72045574000001</v>
      </c>
      <c r="P171">
        <f t="shared" ref="P171:P173" si="21">((M171+T171+O171)-(N171+(O171*2)))*$L$2</f>
        <v>-4.9913461916009609</v>
      </c>
      <c r="Q171">
        <f>P169+Q170</f>
        <v>-3.3405024844041966</v>
      </c>
      <c r="T171">
        <v>-386.71120789999998</v>
      </c>
    </row>
    <row r="172" spans="1:20">
      <c r="A172" t="s">
        <v>13</v>
      </c>
      <c r="B172" t="s">
        <v>14</v>
      </c>
      <c r="F172">
        <f>(C172-(D172+(E172*2)))*$L$2</f>
        <v>0</v>
      </c>
      <c r="G172">
        <f>G171-H169</f>
        <v>14.084034494056278</v>
      </c>
      <c r="H172">
        <f>H171*627.51</f>
        <v>-154.14581593796117</v>
      </c>
      <c r="K172" t="s">
        <v>13</v>
      </c>
      <c r="L172" t="s">
        <v>14</v>
      </c>
      <c r="P172">
        <f t="shared" si="21"/>
        <v>0</v>
      </c>
      <c r="Q172">
        <f>Q171+R169</f>
        <v>-1.4405024844041967</v>
      </c>
    </row>
    <row r="173" spans="1:20">
      <c r="A173" t="s">
        <v>15</v>
      </c>
      <c r="B173" t="s">
        <v>16</v>
      </c>
      <c r="C173">
        <v>-578.649137</v>
      </c>
      <c r="D173">
        <v>-347.28737699999999</v>
      </c>
      <c r="E173">
        <v>-115.691355</v>
      </c>
      <c r="F173">
        <f>(C173-(D173+(E173*2)))*$L$2</f>
        <v>13.146334499981622</v>
      </c>
      <c r="G173" t="s">
        <v>17</v>
      </c>
      <c r="I173" t="s">
        <v>25</v>
      </c>
      <c r="K173" t="s">
        <v>15</v>
      </c>
      <c r="L173" t="s">
        <v>16</v>
      </c>
      <c r="M173">
        <v>-76.429713000000007</v>
      </c>
      <c r="N173">
        <v>-347.28737699999999</v>
      </c>
      <c r="O173">
        <v>-115.691355</v>
      </c>
      <c r="P173">
        <f t="shared" si="21"/>
        <v>-4.8224143500236503</v>
      </c>
      <c r="Q173" t="s">
        <v>17</v>
      </c>
      <c r="T173">
        <v>-386.55670400000002</v>
      </c>
    </row>
    <row r="174" spans="1:20">
      <c r="F174" t="s">
        <v>16</v>
      </c>
      <c r="G174">
        <f>F173-F170</f>
        <v>23.984316361600126</v>
      </c>
      <c r="H174">
        <f>C170-C175</f>
        <v>-0.10149540000008983</v>
      </c>
      <c r="I174">
        <f>H174*627.51</f>
        <v>-63.689378454056367</v>
      </c>
      <c r="P174" t="s">
        <v>26</v>
      </c>
      <c r="Q174">
        <f>P173-P170</f>
        <v>-0.29229039299804516</v>
      </c>
    </row>
    <row r="175" spans="1:20">
      <c r="A175" t="s">
        <v>18</v>
      </c>
      <c r="C175">
        <v>-578.80128979999995</v>
      </c>
      <c r="D175">
        <v>-347.32843208399999</v>
      </c>
      <c r="E175">
        <v>-115.715208574</v>
      </c>
      <c r="F175">
        <f>(C175-(D175+(E175*2)))*$L$2</f>
        <v>-26.63188082565545</v>
      </c>
      <c r="K175" t="s">
        <v>18</v>
      </c>
      <c r="M175">
        <v>-76.426065190900005</v>
      </c>
      <c r="N175">
        <v>-347.32843208399999</v>
      </c>
      <c r="O175">
        <v>-115.715208574</v>
      </c>
      <c r="P175">
        <f t="shared" ref="P175" si="22">((M175+T175+O175)-(N175+(O175*2)))*$L$2</f>
        <v>-8.1236069725929863</v>
      </c>
      <c r="T175">
        <v>-386.63052124799998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A46" workbookViewId="0">
      <selection activeCell="G7" sqref="G7"/>
    </sheetView>
  </sheetViews>
  <sheetFormatPr baseColWidth="10" defaultColWidth="8.83203125" defaultRowHeight="14" x14ac:dyDescent="0"/>
  <cols>
    <col min="9" max="9" width="9.5" customWidth="1"/>
    <col min="17" max="17" width="9" customWidth="1"/>
  </cols>
  <sheetData>
    <row r="1" spans="1:18">
      <c r="E1" t="s">
        <v>40</v>
      </c>
      <c r="G1" t="s">
        <v>34</v>
      </c>
      <c r="H1" t="s">
        <v>41</v>
      </c>
    </row>
    <row r="2" spans="1:18">
      <c r="G2" t="s">
        <v>37</v>
      </c>
      <c r="H2" s="4" t="s">
        <v>59</v>
      </c>
      <c r="K2" t="s">
        <v>42</v>
      </c>
      <c r="L2">
        <v>1.9870000000000001</v>
      </c>
      <c r="N2">
        <f>6.212</f>
        <v>6.2119999999999997</v>
      </c>
    </row>
    <row r="3" spans="1:18">
      <c r="C3" t="s">
        <v>1</v>
      </c>
      <c r="D3" t="s">
        <v>2</v>
      </c>
      <c r="E3" t="s">
        <v>3</v>
      </c>
      <c r="F3">
        <f>F10-F4</f>
        <v>-49.066425700197982</v>
      </c>
      <c r="I3" t="s">
        <v>4</v>
      </c>
      <c r="J3" t="s">
        <v>5</v>
      </c>
      <c r="K3" t="s">
        <v>43</v>
      </c>
      <c r="L3">
        <v>1.3806619999999999E-23</v>
      </c>
      <c r="N3">
        <f>N2*1000000000000</f>
        <v>6212000000000</v>
      </c>
    </row>
    <row r="4" spans="1:18">
      <c r="A4" t="s">
        <v>6</v>
      </c>
      <c r="B4" t="s">
        <v>7</v>
      </c>
      <c r="C4">
        <v>-460.69997000000001</v>
      </c>
      <c r="D4">
        <v>-229.04463200000001</v>
      </c>
      <c r="E4">
        <v>-115.68595500000001</v>
      </c>
      <c r="F4">
        <f>((C4+J4)-(D4+I4+E4*2))*$L$9</f>
        <v>159.86821266001118</v>
      </c>
      <c r="G4" t="s">
        <v>8</v>
      </c>
      <c r="H4">
        <v>1.9</v>
      </c>
      <c r="I4" s="2">
        <v>-460.80908899999997</v>
      </c>
      <c r="J4">
        <v>-460.270895</v>
      </c>
      <c r="K4" t="s">
        <v>44</v>
      </c>
      <c r="L4">
        <v>6.6261759999999997E-34</v>
      </c>
      <c r="M4" t="s">
        <v>45</v>
      </c>
      <c r="N4">
        <f>L2*L5</f>
        <v>592.42404999999997</v>
      </c>
      <c r="Q4" t="s">
        <v>46</v>
      </c>
      <c r="R4" t="s">
        <v>47</v>
      </c>
    </row>
    <row r="5" spans="1:18">
      <c r="A5" t="s">
        <v>9</v>
      </c>
      <c r="B5" t="s">
        <v>10</v>
      </c>
      <c r="C5">
        <v>-460.97397067600002</v>
      </c>
      <c r="D5">
        <v>-229.09704092699999</v>
      </c>
      <c r="E5">
        <v>-115.723635556</v>
      </c>
      <c r="F5">
        <f t="shared" ref="F5:F10" si="0">((C5+J5)-(D5+I5+E5*2))*$L$9</f>
        <v>6.3002110676307845</v>
      </c>
      <c r="G5">
        <f>F5-F10-G9</f>
        <v>-134.98349098449853</v>
      </c>
      <c r="H5">
        <v>3.0279999999999999E-3</v>
      </c>
      <c r="I5" s="2">
        <v>-460.80368080599999</v>
      </c>
      <c r="J5">
        <v>-460.36398215200001</v>
      </c>
      <c r="K5" t="s">
        <v>48</v>
      </c>
      <c r="L5">
        <v>298.14999999999998</v>
      </c>
      <c r="N5">
        <v>-460.36573199999998</v>
      </c>
      <c r="Q5">
        <f>$N$3*(EXP(1)^(-G7*$K$8/$N$4))</f>
        <v>1.4383876857895912E-7</v>
      </c>
      <c r="R5">
        <f>LN(Q5)</f>
        <v>-15.754572827307028</v>
      </c>
    </row>
    <row r="6" spans="1:18">
      <c r="A6" t="s">
        <v>11</v>
      </c>
      <c r="B6" t="s">
        <v>12</v>
      </c>
      <c r="C6">
        <v>-460.953339658</v>
      </c>
      <c r="D6">
        <v>-229.092376548</v>
      </c>
      <c r="E6">
        <v>-115.72045574000001</v>
      </c>
      <c r="F6">
        <f t="shared" si="0"/>
        <v>7.0121989739970747</v>
      </c>
      <c r="G6">
        <f>F4+G5</f>
        <v>24.884721675512651</v>
      </c>
      <c r="H6">
        <f>(C6-C10)+C5-(E5*2)-D8-H5</f>
        <v>-0.5500713979999996</v>
      </c>
      <c r="I6" s="2">
        <v>-460.80111967400001</v>
      </c>
      <c r="J6">
        <v>-460.36989340299999</v>
      </c>
      <c r="L6" t="s">
        <v>49</v>
      </c>
      <c r="N6">
        <f>N5-G6</f>
        <v>-485.25045367551263</v>
      </c>
    </row>
    <row r="7" spans="1:18">
      <c r="A7" t="s">
        <v>13</v>
      </c>
      <c r="B7" t="s">
        <v>14</v>
      </c>
      <c r="F7">
        <f t="shared" si="0"/>
        <v>0</v>
      </c>
      <c r="G7">
        <f>G6+H4</f>
        <v>26.78472167551265</v>
      </c>
      <c r="H7">
        <f>H6*627.51</f>
        <v>-345.17530295897973</v>
      </c>
      <c r="I7" s="2"/>
    </row>
    <row r="8" spans="1:18" ht="15">
      <c r="A8" t="s">
        <v>15</v>
      </c>
      <c r="B8" t="s">
        <v>16</v>
      </c>
      <c r="C8">
        <v>-460.808424</v>
      </c>
      <c r="D8">
        <v>-229.057084</v>
      </c>
      <c r="E8">
        <v>-115.691355</v>
      </c>
      <c r="F8">
        <f t="shared" si="0"/>
        <v>36.782126159946912</v>
      </c>
      <c r="G8" t="s">
        <v>17</v>
      </c>
      <c r="I8" s="1">
        <v>-460.812162</v>
      </c>
      <c r="J8">
        <v>-460.38491599999998</v>
      </c>
      <c r="K8">
        <v>1000</v>
      </c>
    </row>
    <row r="9" spans="1:18">
      <c r="F9" t="s">
        <v>26</v>
      </c>
      <c r="G9">
        <f>F8-F5</f>
        <v>30.481915092316129</v>
      </c>
      <c r="H9">
        <f>C5-C10</f>
        <v>-9.8058852000008301E-2</v>
      </c>
      <c r="I9">
        <v>-25.363445289375278</v>
      </c>
      <c r="L9">
        <v>627.51</v>
      </c>
    </row>
    <row r="10" spans="1:18">
      <c r="A10" t="s">
        <v>18</v>
      </c>
      <c r="C10">
        <v>-460.87591182400001</v>
      </c>
      <c r="D10">
        <v>-229.07988255199999</v>
      </c>
      <c r="E10">
        <v>-115.715208574</v>
      </c>
      <c r="F10">
        <f t="shared" si="0"/>
        <v>110.8017869598132</v>
      </c>
      <c r="I10" s="2">
        <v>-460.798058438</v>
      </c>
      <c r="J10">
        <v>-460.25587257500001</v>
      </c>
    </row>
    <row r="13" spans="1:18">
      <c r="E13" t="s">
        <v>75</v>
      </c>
      <c r="G13" t="s">
        <v>34</v>
      </c>
      <c r="H13" t="s">
        <v>41</v>
      </c>
    </row>
    <row r="14" spans="1:18">
      <c r="G14" t="s">
        <v>37</v>
      </c>
      <c r="H14" t="s">
        <v>59</v>
      </c>
      <c r="K14" t="s">
        <v>42</v>
      </c>
      <c r="L14">
        <v>1.9870000000000001</v>
      </c>
      <c r="N14">
        <f>6.212</f>
        <v>6.2119999999999997</v>
      </c>
    </row>
    <row r="15" spans="1:18">
      <c r="C15" t="s">
        <v>1</v>
      </c>
      <c r="D15" t="s">
        <v>2</v>
      </c>
      <c r="E15" t="s">
        <v>3</v>
      </c>
      <c r="F15">
        <f>F22-F16</f>
        <v>-30.837265220235039</v>
      </c>
      <c r="I15" t="s">
        <v>4</v>
      </c>
      <c r="J15" t="s">
        <v>5</v>
      </c>
      <c r="K15" t="s">
        <v>43</v>
      </c>
      <c r="L15">
        <v>1.3806619999999999E-23</v>
      </c>
      <c r="N15">
        <f>N14*1000000000000</f>
        <v>6212000000000</v>
      </c>
    </row>
    <row r="16" spans="1:18">
      <c r="A16" t="s">
        <v>6</v>
      </c>
      <c r="B16" t="s">
        <v>7</v>
      </c>
      <c r="C16">
        <v>-460.73041499999999</v>
      </c>
      <c r="D16">
        <v>-229.04463200000001</v>
      </c>
      <c r="E16">
        <v>-115.68595500000001</v>
      </c>
      <c r="F16">
        <f>((C16+J16)-(D16+I16+E16*2))*$L$9</f>
        <v>140.76367071001991</v>
      </c>
      <c r="G16" t="s">
        <v>8</v>
      </c>
      <c r="H16">
        <v>1.9</v>
      </c>
      <c r="I16">
        <v>-460.80908899999997</v>
      </c>
      <c r="J16">
        <v>-460.270895</v>
      </c>
      <c r="K16" t="s">
        <v>44</v>
      </c>
      <c r="L16">
        <v>6.6261759999999997E-34</v>
      </c>
      <c r="M16" t="s">
        <v>45</v>
      </c>
      <c r="N16">
        <f>L14*L17</f>
        <v>592.42404999999997</v>
      </c>
      <c r="Q16" t="s">
        <v>46</v>
      </c>
      <c r="R16" t="s">
        <v>47</v>
      </c>
    </row>
    <row r="17" spans="1:18">
      <c r="A17" t="s">
        <v>9</v>
      </c>
      <c r="B17" t="s">
        <v>10</v>
      </c>
      <c r="C17">
        <v>-460.973940239</v>
      </c>
      <c r="D17">
        <v>-229.09704092699999</v>
      </c>
      <c r="E17">
        <v>-115.723635556</v>
      </c>
      <c r="F17">
        <f t="shared" ref="F17:F20" si="1">((C17+J17)-(D17+I17+E17*2))*$L$9</f>
        <v>6.3193105894781736</v>
      </c>
      <c r="G17">
        <f>F17-G21-F22</f>
        <v>-134.67420260081923</v>
      </c>
      <c r="H17">
        <v>3.0279999999999999E-3</v>
      </c>
      <c r="I17">
        <v>-460.80368080599999</v>
      </c>
      <c r="J17">
        <v>-460.36398215200001</v>
      </c>
      <c r="K17" t="s">
        <v>48</v>
      </c>
      <c r="L17">
        <v>298.14999999999998</v>
      </c>
      <c r="N17">
        <v>-460.36573199999998</v>
      </c>
      <c r="Q17">
        <f>$N$3*(EXP(1)^(-G19*$K$8/$N$4))</f>
        <v>8635921.1473060753</v>
      </c>
      <c r="R17">
        <f>LN(Q17)</f>
        <v>15.971440939878772</v>
      </c>
    </row>
    <row r="18" spans="1:18">
      <c r="A18" t="s">
        <v>11</v>
      </c>
      <c r="B18" t="s">
        <v>12</v>
      </c>
      <c r="C18">
        <v>-460.95383246799997</v>
      </c>
      <c r="D18">
        <v>-229.092376548</v>
      </c>
      <c r="E18">
        <v>-115.72045574000001</v>
      </c>
      <c r="F18">
        <f t="shared" si="1"/>
        <v>6.7029557709166454</v>
      </c>
      <c r="G18">
        <f>F16+G17</f>
        <v>6.0894681092006806</v>
      </c>
      <c r="H18">
        <f>(C18-C22)+C17-(E17*2)-D20-H17</f>
        <v>-0.54913876299997311</v>
      </c>
      <c r="I18">
        <v>-460.80111967400001</v>
      </c>
      <c r="J18">
        <v>-460.36989340299999</v>
      </c>
      <c r="L18" t="s">
        <v>49</v>
      </c>
      <c r="N18">
        <f>N17-G18</f>
        <v>-466.45520010920063</v>
      </c>
    </row>
    <row r="19" spans="1:18">
      <c r="A19" t="s">
        <v>13</v>
      </c>
      <c r="B19" t="s">
        <v>14</v>
      </c>
      <c r="F19">
        <f t="shared" si="1"/>
        <v>0</v>
      </c>
      <c r="G19">
        <f>G18+H16</f>
        <v>7.989468109200681</v>
      </c>
      <c r="H19">
        <f>H18*627.51</f>
        <v>-344.59006517011312</v>
      </c>
    </row>
    <row r="20" spans="1:18">
      <c r="A20" t="s">
        <v>15</v>
      </c>
      <c r="B20" t="s">
        <v>16</v>
      </c>
      <c r="C20">
        <v>-460.80746099999999</v>
      </c>
      <c r="D20">
        <v>-229.057084</v>
      </c>
      <c r="E20">
        <v>-115.691355</v>
      </c>
      <c r="F20">
        <f t="shared" si="1"/>
        <v>37.386418289990694</v>
      </c>
      <c r="G20" t="s">
        <v>17</v>
      </c>
      <c r="I20">
        <v>-460.812162</v>
      </c>
      <c r="J20">
        <v>-460.38491599999998</v>
      </c>
      <c r="K20">
        <v>1000</v>
      </c>
    </row>
    <row r="21" spans="1:18">
      <c r="F21" t="s">
        <v>26</v>
      </c>
      <c r="G21">
        <f>F20-F17</f>
        <v>31.067107700512519</v>
      </c>
      <c r="H21">
        <f>C17-C22</f>
        <v>-9.6633407000012994E-2</v>
      </c>
      <c r="I21">
        <v>-25.363445289375278</v>
      </c>
      <c r="L21">
        <v>627.51</v>
      </c>
    </row>
    <row r="22" spans="1:18">
      <c r="A22" t="s">
        <v>18</v>
      </c>
      <c r="C22">
        <v>-460.87730683199999</v>
      </c>
      <c r="D22">
        <v>-229.07988255199999</v>
      </c>
      <c r="E22">
        <v>-115.715208574</v>
      </c>
      <c r="F22">
        <f t="shared" ref="F22" si="2">((C22+J22)-(D22+I22+E22*2))*$L$9</f>
        <v>109.92640548978487</v>
      </c>
      <c r="I22">
        <v>-460.798058438</v>
      </c>
      <c r="J22">
        <v>-460.25587257500001</v>
      </c>
    </row>
    <row r="24" spans="1:18">
      <c r="E24" t="s">
        <v>75</v>
      </c>
      <c r="G24" t="s">
        <v>34</v>
      </c>
      <c r="H24" t="s">
        <v>41</v>
      </c>
    </row>
    <row r="25" spans="1:18">
      <c r="G25" t="s">
        <v>77</v>
      </c>
      <c r="H25" t="s">
        <v>59</v>
      </c>
      <c r="K25" t="s">
        <v>42</v>
      </c>
      <c r="L25">
        <v>1.9870000000000001</v>
      </c>
      <c r="N25">
        <f>6.212</f>
        <v>6.2119999999999997</v>
      </c>
    </row>
    <row r="26" spans="1:18">
      <c r="C26" t="s">
        <v>1</v>
      </c>
      <c r="D26" t="s">
        <v>2</v>
      </c>
      <c r="E26" t="s">
        <v>3</v>
      </c>
      <c r="F26">
        <f>F33-F27</f>
        <v>-30.837265220235039</v>
      </c>
      <c r="I26" t="s">
        <v>4</v>
      </c>
      <c r="J26" t="s">
        <v>5</v>
      </c>
      <c r="K26" t="s">
        <v>43</v>
      </c>
      <c r="L26">
        <v>1.3806619999999999E-23</v>
      </c>
      <c r="N26">
        <f>N25*1000000000000</f>
        <v>6212000000000</v>
      </c>
    </row>
    <row r="27" spans="1:18">
      <c r="A27" t="s">
        <v>6</v>
      </c>
      <c r="B27" t="s">
        <v>7</v>
      </c>
      <c r="C27">
        <v>-460.73041499999999</v>
      </c>
      <c r="D27">
        <v>-229.04463200000001</v>
      </c>
      <c r="E27">
        <v>-115.68595500000001</v>
      </c>
      <c r="F27">
        <f>((C27+J27)-(D27+I27+E27*2))*$L$9</f>
        <v>140.76367071001991</v>
      </c>
      <c r="G27" t="s">
        <v>8</v>
      </c>
      <c r="H27">
        <v>1.9</v>
      </c>
      <c r="I27">
        <v>-460.80908899999997</v>
      </c>
      <c r="J27">
        <v>-460.270895</v>
      </c>
      <c r="K27" t="s">
        <v>44</v>
      </c>
      <c r="L27">
        <v>6.6261759999999997E-34</v>
      </c>
      <c r="M27" t="s">
        <v>45</v>
      </c>
      <c r="N27">
        <f>L25*L28</f>
        <v>592.42404999999997</v>
      </c>
      <c r="Q27" t="s">
        <v>46</v>
      </c>
      <c r="R27" t="s">
        <v>47</v>
      </c>
    </row>
    <row r="28" spans="1:18">
      <c r="A28" t="s">
        <v>9</v>
      </c>
      <c r="B28" t="s">
        <v>10</v>
      </c>
      <c r="C28">
        <v>-460.973940239</v>
      </c>
      <c r="D28">
        <v>-229.09704092699999</v>
      </c>
      <c r="E28">
        <v>-115.723635556</v>
      </c>
      <c r="F28">
        <f t="shared" ref="F28:F31" si="3">((C28+J28)-(D28+I28+E28*2))*$L$9</f>
        <v>6.3193105894781736</v>
      </c>
      <c r="G28">
        <f>F28-G32-F33</f>
        <v>-134.67420260081923</v>
      </c>
      <c r="H28">
        <v>3.0279999999999999E-3</v>
      </c>
      <c r="I28">
        <v>-460.80368080599999</v>
      </c>
      <c r="J28">
        <v>-460.36398215200001</v>
      </c>
      <c r="K28" t="s">
        <v>48</v>
      </c>
      <c r="L28">
        <v>298.14999999999998</v>
      </c>
      <c r="N28">
        <v>-460.36573199999998</v>
      </c>
      <c r="Q28">
        <f>$N$3*(EXP(1)^(-G30*$K$8/$N$4))</f>
        <v>8635921.1473060753</v>
      </c>
      <c r="R28">
        <f>LN(Q28)</f>
        <v>15.971440939878772</v>
      </c>
    </row>
    <row r="29" spans="1:18">
      <c r="A29" t="s">
        <v>11</v>
      </c>
      <c r="B29" t="s">
        <v>12</v>
      </c>
      <c r="C29">
        <v>-460.95383246799997</v>
      </c>
      <c r="D29">
        <v>-229.092376548</v>
      </c>
      <c r="E29">
        <v>-115.72045574000001</v>
      </c>
      <c r="F29">
        <f t="shared" si="3"/>
        <v>6.7029557709166454</v>
      </c>
      <c r="G29">
        <f>F27+G28</f>
        <v>6.0894681092006806</v>
      </c>
      <c r="H29">
        <f>(C29-C33)+C28-(E28*2)-D31-H28</f>
        <v>-0.54913876299997311</v>
      </c>
      <c r="I29">
        <v>-460.80111967400001</v>
      </c>
      <c r="J29">
        <v>-460.36989340299999</v>
      </c>
      <c r="L29" t="s">
        <v>49</v>
      </c>
      <c r="N29">
        <f>N28-G29</f>
        <v>-466.45520010920063</v>
      </c>
    </row>
    <row r="30" spans="1:18">
      <c r="A30" t="s">
        <v>13</v>
      </c>
      <c r="B30" t="s">
        <v>14</v>
      </c>
      <c r="F30">
        <f t="shared" si="3"/>
        <v>0</v>
      </c>
      <c r="G30">
        <f>G29+H27</f>
        <v>7.989468109200681</v>
      </c>
      <c r="H30">
        <f>H29*627.51</f>
        <v>-344.59006517011312</v>
      </c>
    </row>
    <row r="31" spans="1:18">
      <c r="A31" t="s">
        <v>15</v>
      </c>
      <c r="B31" t="s">
        <v>16</v>
      </c>
      <c r="C31">
        <v>-460.80746099999999</v>
      </c>
      <c r="D31">
        <v>-229.057084</v>
      </c>
      <c r="E31">
        <v>-115.691355</v>
      </c>
      <c r="F31">
        <f t="shared" si="3"/>
        <v>37.386418289990694</v>
      </c>
      <c r="G31" t="s">
        <v>17</v>
      </c>
      <c r="I31">
        <v>-460.812162</v>
      </c>
      <c r="J31">
        <v>-460.38491599999998</v>
      </c>
      <c r="K31">
        <v>1000</v>
      </c>
    </row>
    <row r="32" spans="1:18">
      <c r="F32" t="s">
        <v>26</v>
      </c>
      <c r="G32">
        <f>F31-F28</f>
        <v>31.067107700512519</v>
      </c>
      <c r="H32">
        <f>C28-C33</f>
        <v>-9.6633407000012994E-2</v>
      </c>
      <c r="I32">
        <v>-25.363445289375278</v>
      </c>
      <c r="L32">
        <v>627.51</v>
      </c>
    </row>
    <row r="33" spans="1:10">
      <c r="A33" t="s">
        <v>18</v>
      </c>
      <c r="C33">
        <v>-460.87730683199999</v>
      </c>
      <c r="D33">
        <v>-229.07988255199999</v>
      </c>
      <c r="E33">
        <v>-115.715208574</v>
      </c>
      <c r="F33">
        <f t="shared" ref="F33" si="4">((C33+J33)-(D33+I33+E33*2))*$L$9</f>
        <v>109.92640548978487</v>
      </c>
      <c r="I33">
        <v>-460.798058438</v>
      </c>
      <c r="J33">
        <v>-460.25587257500001</v>
      </c>
    </row>
    <row r="59" spans="19:22">
      <c r="S59">
        <v>11.41</v>
      </c>
      <c r="T59">
        <v>-3.4</v>
      </c>
      <c r="U59">
        <v>-3.4</v>
      </c>
      <c r="V59">
        <v>-3.4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6"/>
  <sheetViews>
    <sheetView topLeftCell="A48" workbookViewId="0">
      <selection activeCell="G19" sqref="G19"/>
    </sheetView>
  </sheetViews>
  <sheetFormatPr baseColWidth="10" defaultColWidth="8.83203125" defaultRowHeight="14" x14ac:dyDescent="0"/>
  <cols>
    <col min="3" max="8" width="9" bestFit="1" customWidth="1"/>
    <col min="11" max="12" width="9" bestFit="1" customWidth="1"/>
    <col min="14" max="14" width="10" bestFit="1" customWidth="1"/>
    <col min="17" max="18" width="9" bestFit="1" customWidth="1"/>
  </cols>
  <sheetData>
    <row r="1" spans="1:18">
      <c r="E1" t="s">
        <v>51</v>
      </c>
      <c r="F1" s="4" t="s">
        <v>66</v>
      </c>
      <c r="G1" t="s">
        <v>34</v>
      </c>
      <c r="H1" t="s">
        <v>41</v>
      </c>
    </row>
    <row r="2" spans="1:18">
      <c r="F2" s="4"/>
      <c r="G2" t="s">
        <v>37</v>
      </c>
      <c r="K2" t="s">
        <v>42</v>
      </c>
      <c r="L2">
        <v>1.9870000000000001</v>
      </c>
      <c r="N2">
        <f>6.212</f>
        <v>6.2119999999999997</v>
      </c>
    </row>
    <row r="3" spans="1:18">
      <c r="C3" t="s">
        <v>1</v>
      </c>
      <c r="D3" t="s">
        <v>2</v>
      </c>
      <c r="E3" t="s">
        <v>3</v>
      </c>
      <c r="I3" t="s">
        <v>61</v>
      </c>
      <c r="J3" t="s">
        <v>70</v>
      </c>
      <c r="K3" t="s">
        <v>43</v>
      </c>
      <c r="L3">
        <v>1.3806619999999999E-23</v>
      </c>
      <c r="N3">
        <f>N2*1000000000000</f>
        <v>6212000000000</v>
      </c>
    </row>
    <row r="4" spans="1:18">
      <c r="A4" t="s">
        <v>6</v>
      </c>
      <c r="B4" t="s">
        <v>7</v>
      </c>
      <c r="C4">
        <v>-484.75006500000001</v>
      </c>
      <c r="D4">
        <v>-253.081806</v>
      </c>
      <c r="E4">
        <v>-115.68595500000001</v>
      </c>
      <c r="F4">
        <f>((C4+J4)-(D4+I4+E4*2))*$L$9</f>
        <v>194.83808994003917</v>
      </c>
      <c r="G4" t="s">
        <v>8</v>
      </c>
      <c r="H4">
        <v>1.9</v>
      </c>
      <c r="I4">
        <v>-100.45802</v>
      </c>
      <c r="J4">
        <v>-99.851177000000007</v>
      </c>
      <c r="K4" t="s">
        <v>44</v>
      </c>
      <c r="L4">
        <v>6.6261759999999997E-34</v>
      </c>
      <c r="M4" t="s">
        <v>45</v>
      </c>
      <c r="N4">
        <f>L2*L5</f>
        <v>592.42404999999997</v>
      </c>
      <c r="Q4" t="s">
        <v>46</v>
      </c>
      <c r="R4" t="s">
        <v>47</v>
      </c>
    </row>
    <row r="5" spans="1:18">
      <c r="A5" t="s">
        <v>9</v>
      </c>
      <c r="B5" t="s">
        <v>10</v>
      </c>
      <c r="C5">
        <v>-484.98037587099998</v>
      </c>
      <c r="D5">
        <v>-253.11088940600001</v>
      </c>
      <c r="E5">
        <v>-115.723635556</v>
      </c>
      <c r="F5">
        <f t="shared" ref="F5:F10" si="0">((C5+J5)-(D5+I5+E5*2))*$L$9</f>
        <v>35.626350945358162</v>
      </c>
      <c r="G5">
        <f>F5-G9-F10</f>
        <v>-169.44438486328102</v>
      </c>
      <c r="H5">
        <v>3.0279999999999999E-3</v>
      </c>
      <c r="I5">
        <v>-100.460588246</v>
      </c>
      <c r="J5">
        <v>-99.981598736500004</v>
      </c>
      <c r="K5" t="s">
        <v>48</v>
      </c>
      <c r="L5">
        <v>298.14999999999998</v>
      </c>
      <c r="N5">
        <v>-460.36573199999998</v>
      </c>
      <c r="Q5">
        <f>$N$3*(EXP(1)^(-G7*$K$8/$N$4))</f>
        <v>3.7192540550723464E-5</v>
      </c>
      <c r="R5">
        <f>LN(Q5)</f>
        <v>-10.199402339622578</v>
      </c>
    </row>
    <row r="6" spans="1:18">
      <c r="A6" t="s">
        <v>11</v>
      </c>
      <c r="B6" t="s">
        <v>12</v>
      </c>
      <c r="C6">
        <v>-484.96136282600003</v>
      </c>
      <c r="D6">
        <v>-253.110446964</v>
      </c>
      <c r="E6">
        <v>-115.72045574000001</v>
      </c>
      <c r="F6">
        <f t="shared" si="0"/>
        <v>45.729420077878849</v>
      </c>
      <c r="G6">
        <f>F4+G5</f>
        <v>25.393705076758152</v>
      </c>
      <c r="H6">
        <f>(C6-C10)+C5-(E5*2)-D8-H5</f>
        <v>-0.52619692199999646</v>
      </c>
      <c r="I6">
        <v>-100.457091834</v>
      </c>
      <c r="J6">
        <v>-99.974213043500001</v>
      </c>
      <c r="L6" t="s">
        <v>49</v>
      </c>
      <c r="N6">
        <f>N5-G6</f>
        <v>-485.7594370767581</v>
      </c>
    </row>
    <row r="7" spans="1:18">
      <c r="A7" t="s">
        <v>13</v>
      </c>
      <c r="B7" t="s">
        <v>14</v>
      </c>
      <c r="F7">
        <f t="shared" si="0"/>
        <v>0</v>
      </c>
      <c r="G7">
        <f>G6-H4</f>
        <v>23.493705076758154</v>
      </c>
      <c r="H7">
        <f>H6*627.51</f>
        <v>-330.19383052421779</v>
      </c>
      <c r="K7">
        <f>C6-C5</f>
        <v>1.9013044999951489E-2</v>
      </c>
    </row>
    <row r="8" spans="1:18">
      <c r="A8" t="s">
        <v>15</v>
      </c>
      <c r="B8" t="s">
        <v>16</v>
      </c>
      <c r="C8">
        <v>-484.82837799999999</v>
      </c>
      <c r="D8">
        <v>-253.08793399999999</v>
      </c>
      <c r="E8">
        <v>-115.691355</v>
      </c>
      <c r="F8">
        <f t="shared" si="0"/>
        <v>73.966486230019711</v>
      </c>
      <c r="G8" t="s">
        <v>17</v>
      </c>
      <c r="I8">
        <v>-100.46397899999999</v>
      </c>
      <c r="J8">
        <v>-99.988371999999998</v>
      </c>
      <c r="K8">
        <v>1000</v>
      </c>
    </row>
    <row r="9" spans="1:18">
      <c r="F9" t="s">
        <v>26</v>
      </c>
      <c r="G9">
        <f>F8-F5</f>
        <v>38.34013528466155</v>
      </c>
      <c r="H9">
        <f>C5-C10</f>
        <v>-9.7011207999969429E-2</v>
      </c>
      <c r="I9">
        <v>-25.363445289375278</v>
      </c>
      <c r="L9">
        <v>627.51</v>
      </c>
    </row>
    <row r="10" spans="1:18">
      <c r="A10" t="s">
        <v>18</v>
      </c>
      <c r="C10">
        <v>-484.88336466300001</v>
      </c>
      <c r="D10">
        <v>-253.104516117</v>
      </c>
      <c r="E10">
        <v>-115.715208574</v>
      </c>
      <c r="F10">
        <f t="shared" si="0"/>
        <v>166.73060052397764</v>
      </c>
      <c r="I10">
        <v>-100.451151352</v>
      </c>
      <c r="J10">
        <v>-99.837018052000005</v>
      </c>
    </row>
    <row r="13" spans="1:18">
      <c r="E13" t="s">
        <v>19</v>
      </c>
      <c r="F13" t="s">
        <v>57</v>
      </c>
      <c r="K13" t="s">
        <v>42</v>
      </c>
      <c r="L13">
        <v>1.9870000000000001</v>
      </c>
      <c r="N13">
        <f>6.212</f>
        <v>6.2119999999999997</v>
      </c>
    </row>
    <row r="14" spans="1:18">
      <c r="C14" t="s">
        <v>61</v>
      </c>
      <c r="D14" t="s">
        <v>2</v>
      </c>
      <c r="E14" t="s">
        <v>3</v>
      </c>
      <c r="H14" t="s">
        <v>29</v>
      </c>
      <c r="J14" t="s">
        <v>21</v>
      </c>
      <c r="K14" t="s">
        <v>43</v>
      </c>
      <c r="L14">
        <v>1.3806619999999999E-23</v>
      </c>
      <c r="N14">
        <f>N13*1000000000000</f>
        <v>6212000000000</v>
      </c>
    </row>
    <row r="15" spans="1:18">
      <c r="A15" t="s">
        <v>6</v>
      </c>
      <c r="B15" t="s">
        <v>7</v>
      </c>
      <c r="C15">
        <v>-100.45802</v>
      </c>
      <c r="D15">
        <v>-253.35534999999999</v>
      </c>
      <c r="E15">
        <v>-115.68595500000001</v>
      </c>
      <c r="F15">
        <f>((C15+E15+J15)-(O15))*$L$9</f>
        <v>-1.8317016900124736</v>
      </c>
      <c r="G15" t="s">
        <v>8</v>
      </c>
      <c r="H15">
        <v>1.9</v>
      </c>
      <c r="I15" t="s">
        <v>27</v>
      </c>
      <c r="J15">
        <v>-268.62683900000002</v>
      </c>
      <c r="K15" t="s">
        <v>44</v>
      </c>
      <c r="L15">
        <v>6.6261759999999997E-34</v>
      </c>
      <c r="M15" t="s">
        <v>45</v>
      </c>
      <c r="N15">
        <f>L13*L16</f>
        <v>592.42404999999997</v>
      </c>
      <c r="O15">
        <v>-484.76789500000001</v>
      </c>
      <c r="Q15" t="s">
        <v>46</v>
      </c>
      <c r="R15" t="s">
        <v>47</v>
      </c>
    </row>
    <row r="16" spans="1:18">
      <c r="A16" t="s">
        <v>9</v>
      </c>
      <c r="B16" t="s">
        <v>10</v>
      </c>
      <c r="C16">
        <v>-100.460588246</v>
      </c>
      <c r="D16">
        <v>-253.50410878400001</v>
      </c>
      <c r="E16">
        <v>-115.723635556</v>
      </c>
      <c r="F16">
        <f t="shared" ref="F16:F19" si="1">((C16+E16+J16)-(O16))*$L$9</f>
        <v>10.898655803460198</v>
      </c>
      <c r="G16">
        <f>F16-F21</f>
        <v>-10.174782230357522</v>
      </c>
      <c r="H16">
        <v>3.0279999999999999E-3</v>
      </c>
      <c r="I16" t="s">
        <v>28</v>
      </c>
      <c r="J16">
        <v>-268.80305569900003</v>
      </c>
      <c r="K16" t="s">
        <v>48</v>
      </c>
      <c r="L16">
        <v>298.14999999999998</v>
      </c>
      <c r="N16">
        <v>-460.36573199999998</v>
      </c>
      <c r="O16">
        <v>-485.0046476</v>
      </c>
      <c r="Q16">
        <f>$N$3*(EXP(1)^(-G18*$K$8/$N$4))</f>
        <v>1.5925647671042074E+20</v>
      </c>
      <c r="R16">
        <f>LN(Q16)</f>
        <v>46.517047637599227</v>
      </c>
    </row>
    <row r="17" spans="1:18">
      <c r="A17" t="s">
        <v>11</v>
      </c>
      <c r="B17" t="s">
        <v>12</v>
      </c>
      <c r="C17">
        <v>-100.457091834</v>
      </c>
      <c r="D17">
        <v>-253.486159464</v>
      </c>
      <c r="E17">
        <v>-115.72045574000001</v>
      </c>
      <c r="F17">
        <f t="shared" si="1"/>
        <v>8.0800653714294342</v>
      </c>
      <c r="G17">
        <f>F15+G16</f>
        <v>-12.006483920369995</v>
      </c>
      <c r="J17">
        <v>-268.78633053300001</v>
      </c>
      <c r="L17" t="s">
        <v>49</v>
      </c>
      <c r="N17">
        <f>N16-G17</f>
        <v>-448.35924807962999</v>
      </c>
      <c r="O17">
        <v>-484.97675450000003</v>
      </c>
    </row>
    <row r="18" spans="1:18">
      <c r="A18" t="s">
        <v>13</v>
      </c>
      <c r="B18" t="s">
        <v>14</v>
      </c>
      <c r="F18">
        <v>0</v>
      </c>
      <c r="G18">
        <f>G17+H15</f>
        <v>-10.106483920369994</v>
      </c>
    </row>
    <row r="19" spans="1:18">
      <c r="A19" t="s">
        <v>15</v>
      </c>
      <c r="B19" t="s">
        <v>16</v>
      </c>
      <c r="C19">
        <v>-100.46397899999999</v>
      </c>
      <c r="D19">
        <v>-253.451447</v>
      </c>
      <c r="E19">
        <v>-115.691355</v>
      </c>
      <c r="F19">
        <f t="shared" si="1"/>
        <v>-14.108934840012507</v>
      </c>
      <c r="G19" t="s">
        <v>17</v>
      </c>
      <c r="J19">
        <v>-268.71275400000002</v>
      </c>
      <c r="K19">
        <v>1000</v>
      </c>
      <c r="O19">
        <v>-484.84560399999998</v>
      </c>
    </row>
    <row r="20" spans="1:18">
      <c r="F20" t="s">
        <v>26</v>
      </c>
      <c r="G20">
        <f>F19-F16</f>
        <v>-25.007590643472703</v>
      </c>
      <c r="L20">
        <v>627.51</v>
      </c>
    </row>
    <row r="21" spans="1:18">
      <c r="A21" t="s">
        <v>18</v>
      </c>
      <c r="C21">
        <v>-100.451151352</v>
      </c>
      <c r="D21">
        <v>-253.38995920400001</v>
      </c>
      <c r="E21">
        <v>-115.715208574</v>
      </c>
      <c r="F21">
        <f>((C21+E21+J21)-(O21))*$L$9</f>
        <v>21.07343803381772</v>
      </c>
      <c r="J21">
        <v>-268.69920754100002</v>
      </c>
      <c r="O21">
        <v>-484.89915009999999</v>
      </c>
    </row>
    <row r="23" spans="1:18">
      <c r="E23" t="s">
        <v>51</v>
      </c>
      <c r="G23" t="s">
        <v>34</v>
      </c>
      <c r="H23" t="s">
        <v>41</v>
      </c>
    </row>
    <row r="24" spans="1:18">
      <c r="G24" t="s">
        <v>37</v>
      </c>
      <c r="K24" t="s">
        <v>42</v>
      </c>
      <c r="L24">
        <v>1.9870000000000001</v>
      </c>
      <c r="N24">
        <f>6.212</f>
        <v>6.2119999999999997</v>
      </c>
    </row>
    <row r="25" spans="1:18">
      <c r="A25" s="6"/>
      <c r="B25" s="6"/>
      <c r="C25" s="6" t="s">
        <v>1</v>
      </c>
      <c r="D25" s="6" t="s">
        <v>2</v>
      </c>
      <c r="E25" s="6" t="s">
        <v>3</v>
      </c>
      <c r="F25" s="6" t="s">
        <v>67</v>
      </c>
      <c r="G25" s="6"/>
      <c r="H25" s="6"/>
      <c r="I25" s="6"/>
      <c r="J25" s="6"/>
      <c r="K25" s="6" t="s">
        <v>43</v>
      </c>
      <c r="L25" s="6">
        <v>1.3806619999999999E-23</v>
      </c>
      <c r="M25" s="6"/>
      <c r="N25" s="6">
        <f>N24*1000000000000</f>
        <v>6212000000000</v>
      </c>
      <c r="O25" s="6"/>
      <c r="P25" s="6"/>
      <c r="Q25" s="6"/>
      <c r="R25" s="6"/>
    </row>
    <row r="26" spans="1:18">
      <c r="A26" s="6" t="s">
        <v>6</v>
      </c>
      <c r="B26" s="6" t="s">
        <v>7</v>
      </c>
      <c r="C26" s="6">
        <v>-484.75006500000001</v>
      </c>
      <c r="D26" s="6">
        <v>-253.35534999999999</v>
      </c>
      <c r="E26" s="6">
        <v>-115.68595500000001</v>
      </c>
      <c r="F26" s="6">
        <f>(C26-(D26+E26*2))*$L$9</f>
        <v>-14.310365550003322</v>
      </c>
      <c r="G26" s="6" t="s">
        <v>8</v>
      </c>
      <c r="H26" s="6">
        <v>1.9</v>
      </c>
      <c r="I26" s="6"/>
      <c r="J26" s="6"/>
      <c r="K26" s="6" t="s">
        <v>44</v>
      </c>
      <c r="L26" s="6">
        <v>6.6261759999999997E-34</v>
      </c>
      <c r="M26" s="6" t="s">
        <v>45</v>
      </c>
      <c r="N26" s="6">
        <f>L24*L27</f>
        <v>592.42404999999997</v>
      </c>
      <c r="O26" s="6"/>
      <c r="P26" s="6"/>
      <c r="Q26" s="6" t="s">
        <v>46</v>
      </c>
      <c r="R26" s="6" t="s">
        <v>47</v>
      </c>
    </row>
    <row r="27" spans="1:18">
      <c r="A27" s="6" t="s">
        <v>9</v>
      </c>
      <c r="B27" s="6" t="s">
        <v>10</v>
      </c>
      <c r="C27" s="6">
        <v>-484.98037587099998</v>
      </c>
      <c r="D27" s="6">
        <v>-253.50410878400001</v>
      </c>
      <c r="E27" s="6">
        <v>-115.723635556</v>
      </c>
      <c r="F27" s="6">
        <f>((C27)-(D27+E27*2))*$L$9</f>
        <v>-18.195264272205939</v>
      </c>
      <c r="G27" s="6">
        <f>F27-F32</f>
        <v>21.330530763384985</v>
      </c>
      <c r="H27" s="6">
        <v>3.0279999999999999E-3</v>
      </c>
      <c r="I27" s="6"/>
      <c r="J27" s="6"/>
      <c r="K27" s="6" t="s">
        <v>48</v>
      </c>
      <c r="L27" s="6">
        <v>298.14999999999998</v>
      </c>
      <c r="M27" s="6"/>
      <c r="N27" s="6">
        <v>-460.36573199999998</v>
      </c>
      <c r="O27" s="6"/>
      <c r="P27" s="6"/>
      <c r="Q27" s="6">
        <f>$N$3*(EXP(1)^(-G29*$K$8/$N$4))</f>
        <v>1794869.2932893024</v>
      </c>
      <c r="R27" s="6">
        <f>LN(Q27)</f>
        <v>14.400442760144198</v>
      </c>
    </row>
    <row r="28" spans="1:18">
      <c r="A28" s="6" t="s">
        <v>11</v>
      </c>
      <c r="B28" s="6" t="s">
        <v>12</v>
      </c>
      <c r="C28" s="6">
        <v>-484.96136282600003</v>
      </c>
      <c r="D28" s="6">
        <v>-253.486159464</v>
      </c>
      <c r="E28" s="6">
        <v>-115.72045574000001</v>
      </c>
      <c r="F28" s="6">
        <f t="shared" ref="F28:F29" si="2">((C28)-(D28+E28*2))*$L$9</f>
        <v>-21.518498873849953</v>
      </c>
      <c r="G28" s="6">
        <f>G27+F26</f>
        <v>7.020165213381663</v>
      </c>
      <c r="H28" s="6">
        <f>(C28-C32)+C27-(E27*2)-D30-H27</f>
        <v>-0.16268392199998469</v>
      </c>
      <c r="I28" s="6"/>
      <c r="J28" s="6"/>
      <c r="K28" s="6"/>
      <c r="L28" s="6" t="s">
        <v>49</v>
      </c>
      <c r="M28" s="6"/>
      <c r="N28" s="6">
        <f>N27-G28</f>
        <v>-467.38589721338167</v>
      </c>
      <c r="O28" s="6"/>
      <c r="P28" s="6"/>
      <c r="Q28" s="6"/>
      <c r="R28" s="6"/>
    </row>
    <row r="29" spans="1:18">
      <c r="A29" s="6" t="s">
        <v>13</v>
      </c>
      <c r="B29" s="6" t="s">
        <v>14</v>
      </c>
      <c r="C29" s="6"/>
      <c r="D29" s="6"/>
      <c r="E29" s="6"/>
      <c r="F29" s="6">
        <f t="shared" si="2"/>
        <v>0</v>
      </c>
      <c r="G29" s="6">
        <f>G28+H26</f>
        <v>8.9201652133816633</v>
      </c>
      <c r="H29" s="6">
        <f>H28*627.51</f>
        <v>-102.08578789421038</v>
      </c>
      <c r="I29" s="6"/>
      <c r="J29" s="6"/>
      <c r="K29" s="6">
        <f>C28-C27</f>
        <v>1.9013044999951489E-2</v>
      </c>
      <c r="L29" s="6"/>
      <c r="M29" s="6"/>
      <c r="N29" s="6"/>
      <c r="O29" s="6"/>
      <c r="P29" s="6"/>
      <c r="Q29" s="6"/>
      <c r="R29" s="6"/>
    </row>
    <row r="30" spans="1:18">
      <c r="A30" s="6" t="s">
        <v>15</v>
      </c>
      <c r="B30" s="6" t="s">
        <v>16</v>
      </c>
      <c r="C30" s="6">
        <v>-484.82837799999999</v>
      </c>
      <c r="D30" s="6">
        <v>-253.451447</v>
      </c>
      <c r="E30" s="6">
        <v>-115.691355</v>
      </c>
      <c r="F30" s="6">
        <f>((C30)-(D30+E30*2))*$L$9</f>
        <v>3.6263802900114119</v>
      </c>
      <c r="G30" s="6" t="s">
        <v>17</v>
      </c>
      <c r="H30" s="6"/>
      <c r="I30" s="6"/>
      <c r="J30" s="6"/>
      <c r="K30" s="6">
        <v>1000</v>
      </c>
      <c r="L30" s="6"/>
      <c r="M30" s="6"/>
      <c r="N30" s="6"/>
      <c r="O30" s="6"/>
      <c r="P30" s="6"/>
      <c r="Q30" s="6"/>
      <c r="R30" s="6"/>
    </row>
    <row r="31" spans="1:18">
      <c r="A31" s="6"/>
      <c r="B31" s="6"/>
      <c r="C31" s="6"/>
      <c r="D31" s="6"/>
      <c r="E31" s="6"/>
      <c r="F31" s="6" t="s">
        <v>26</v>
      </c>
      <c r="G31" s="6">
        <f>F30-F27</f>
        <v>21.821644562217351</v>
      </c>
      <c r="H31" s="6">
        <f>C27-C32</f>
        <v>-9.7011207999969429E-2</v>
      </c>
      <c r="I31" s="6">
        <v>-25.363445289375278</v>
      </c>
      <c r="J31" s="6"/>
      <c r="K31" s="6"/>
      <c r="L31" s="6">
        <v>627.51</v>
      </c>
      <c r="M31" s="6"/>
      <c r="N31" s="6"/>
      <c r="O31" s="6"/>
      <c r="P31" s="6"/>
      <c r="Q31" s="6"/>
      <c r="R31" s="6"/>
    </row>
    <row r="32" spans="1:18">
      <c r="A32" s="6" t="s">
        <v>18</v>
      </c>
      <c r="B32" s="6"/>
      <c r="C32" s="6">
        <v>-484.88336466300001</v>
      </c>
      <c r="D32" s="6">
        <v>-253.38995920400001</v>
      </c>
      <c r="E32" s="6">
        <v>-115.715208574</v>
      </c>
      <c r="F32" s="6">
        <f>((C32)-(D32+E32*2))*$L$9</f>
        <v>-39.525795035590924</v>
      </c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</row>
    <row r="34" spans="1:18">
      <c r="E34" t="s">
        <v>64</v>
      </c>
      <c r="F34" s="4" t="s">
        <v>65</v>
      </c>
      <c r="G34" t="s">
        <v>34</v>
      </c>
      <c r="H34" t="s">
        <v>41</v>
      </c>
    </row>
    <row r="35" spans="1:18">
      <c r="G35" t="s">
        <v>37</v>
      </c>
      <c r="K35" t="s">
        <v>42</v>
      </c>
      <c r="L35">
        <v>1.9870000000000001</v>
      </c>
      <c r="N35">
        <f>6.212</f>
        <v>6.2119999999999997</v>
      </c>
    </row>
    <row r="36" spans="1:18">
      <c r="C36" t="s">
        <v>1</v>
      </c>
      <c r="D36" t="s">
        <v>2</v>
      </c>
      <c r="E36" t="s">
        <v>3</v>
      </c>
      <c r="I36" t="s">
        <v>71</v>
      </c>
      <c r="J36" t="s">
        <v>72</v>
      </c>
      <c r="K36" t="s">
        <v>43</v>
      </c>
      <c r="L36">
        <v>1.3806619999999999E-23</v>
      </c>
      <c r="N36">
        <f>N35*1000000000000</f>
        <v>6212000000000</v>
      </c>
    </row>
    <row r="37" spans="1:18">
      <c r="A37" t="s">
        <v>6</v>
      </c>
      <c r="B37" t="s">
        <v>7</v>
      </c>
      <c r="C37">
        <v>-2959.1037980000001</v>
      </c>
      <c r="D37">
        <v>-2727.4173890000002</v>
      </c>
      <c r="E37">
        <v>-115.68595500000001</v>
      </c>
      <c r="F37">
        <f>((C37+J37)-(D37+I37+E37*2))*$L$9</f>
        <v>126.77772782973256</v>
      </c>
      <c r="G37" t="s">
        <v>8</v>
      </c>
      <c r="H37">
        <v>1.9</v>
      </c>
      <c r="I37">
        <v>-2574.8036769999999</v>
      </c>
      <c r="J37">
        <v>-2574.2871449999998</v>
      </c>
      <c r="K37" t="s">
        <v>44</v>
      </c>
      <c r="L37">
        <v>6.6261759999999997E-34</v>
      </c>
      <c r="M37" t="s">
        <v>45</v>
      </c>
      <c r="N37">
        <f>L35*L38</f>
        <v>592.42404999999997</v>
      </c>
      <c r="Q37" t="s">
        <v>46</v>
      </c>
      <c r="R37" t="s">
        <v>47</v>
      </c>
    </row>
    <row r="38" spans="1:18">
      <c r="A38" t="s">
        <v>9</v>
      </c>
      <c r="B38" t="s">
        <v>10</v>
      </c>
      <c r="C38">
        <v>-2959.3268875499998</v>
      </c>
      <c r="D38">
        <v>-2727.4431939400001</v>
      </c>
      <c r="E38">
        <v>-115.723635556</v>
      </c>
      <c r="F38">
        <f t="shared" ref="F38:F41" si="3">((C38+J38)-(D38+I38+E38*2))*$L$9</f>
        <v>0.10134411950117282</v>
      </c>
      <c r="G38">
        <f>F38-G42-F43</f>
        <v>-122.86209931681026</v>
      </c>
      <c r="H38">
        <v>3.0279999999999999E-3</v>
      </c>
      <c r="I38">
        <v>-2574.7947451199998</v>
      </c>
      <c r="J38">
        <v>-2574.3581611200002</v>
      </c>
      <c r="K38" t="s">
        <v>48</v>
      </c>
      <c r="L38">
        <v>298.14999999999998</v>
      </c>
      <c r="N38">
        <v>-460.36573199999998</v>
      </c>
      <c r="Q38">
        <f>$N$3*(EXP(1)^(-G40*$K$8/$N$4))</f>
        <v>206830039301.31421</v>
      </c>
      <c r="R38">
        <f>LN(Q38)</f>
        <v>26.0551632267751</v>
      </c>
    </row>
    <row r="39" spans="1:18">
      <c r="A39" t="s">
        <v>11</v>
      </c>
      <c r="B39" t="s">
        <v>12</v>
      </c>
      <c r="C39">
        <v>-2959.3091229500001</v>
      </c>
      <c r="D39">
        <v>-2727.4412930799999</v>
      </c>
      <c r="E39">
        <v>-115.72045574000001</v>
      </c>
      <c r="F39">
        <f t="shared" si="3"/>
        <v>-6.4719059615400507</v>
      </c>
      <c r="G39">
        <f>F37+G38</f>
        <v>3.9156285129222965</v>
      </c>
      <c r="H39">
        <f>(C39-C43)+C38-(E38*2)-D41-H38</f>
        <v>-0.53915418799934356</v>
      </c>
      <c r="I39">
        <v>-2574.7931301200001</v>
      </c>
      <c r="J39">
        <v>-2574.37652536</v>
      </c>
      <c r="L39" t="s">
        <v>49</v>
      </c>
      <c r="N39">
        <f>N38-G39</f>
        <v>-464.28136051292228</v>
      </c>
    </row>
    <row r="40" spans="1:18">
      <c r="A40" t="s">
        <v>13</v>
      </c>
      <c r="B40" t="s">
        <v>14</v>
      </c>
      <c r="F40">
        <f t="shared" si="3"/>
        <v>0</v>
      </c>
      <c r="G40">
        <f>G39-H37</f>
        <v>2.0156285129222966</v>
      </c>
      <c r="H40">
        <f>H39*627.51</f>
        <v>-338.32464451146808</v>
      </c>
      <c r="K40">
        <f>C39-C38</f>
        <v>1.7764599999736674E-2</v>
      </c>
    </row>
    <row r="41" spans="1:18">
      <c r="A41" t="s">
        <v>15</v>
      </c>
      <c r="B41" t="s">
        <v>16</v>
      </c>
      <c r="C41">
        <v>-2959.1792540000001</v>
      </c>
      <c r="D41">
        <v>-2727.4227810000002</v>
      </c>
      <c r="E41">
        <v>-115.691355</v>
      </c>
      <c r="F41">
        <f t="shared" si="3"/>
        <v>24.966112860173535</v>
      </c>
      <c r="G41" t="s">
        <v>17</v>
      </c>
      <c r="I41">
        <v>-2574.8062500000001</v>
      </c>
      <c r="J41">
        <v>-2574.3927010000002</v>
      </c>
      <c r="K41">
        <v>1000</v>
      </c>
    </row>
    <row r="42" spans="1:18">
      <c r="F42" t="s">
        <v>26</v>
      </c>
      <c r="G42">
        <f>F41-F38</f>
        <v>24.864768740672361</v>
      </c>
      <c r="H42">
        <f>C38-C43</f>
        <v>-9.7055349999664031E-2</v>
      </c>
      <c r="I42">
        <v>-25.363445289375278</v>
      </c>
      <c r="L42">
        <v>627.51</v>
      </c>
    </row>
    <row r="43" spans="1:18">
      <c r="A43" t="s">
        <v>18</v>
      </c>
      <c r="C43">
        <v>-2959.2298322000001</v>
      </c>
      <c r="D43">
        <v>-2727.4361574700001</v>
      </c>
      <c r="E43">
        <v>-115.715208574</v>
      </c>
      <c r="F43">
        <f t="shared" ref="F43" si="4">((C43+J43)-(D43+I43+E43*2))*$L$9</f>
        <v>98.098674695639076</v>
      </c>
      <c r="I43">
        <v>-2574.7905572300001</v>
      </c>
      <c r="J43">
        <v>-2574.2709695899998</v>
      </c>
    </row>
    <row r="45" spans="1:18">
      <c r="A45" s="6"/>
      <c r="B45" s="6"/>
      <c r="C45" s="6"/>
      <c r="D45" s="6"/>
      <c r="E45" s="6" t="s">
        <v>64</v>
      </c>
      <c r="F45" s="6" t="s">
        <v>66</v>
      </c>
      <c r="G45" s="6" t="s">
        <v>34</v>
      </c>
      <c r="H45" s="6" t="s">
        <v>41</v>
      </c>
      <c r="I45" s="6"/>
      <c r="J45" s="6"/>
      <c r="K45" s="6"/>
      <c r="L45" s="6"/>
      <c r="M45" s="6"/>
      <c r="N45" s="6"/>
      <c r="O45" s="6"/>
      <c r="P45" s="6"/>
      <c r="Q45" s="6"/>
      <c r="R45" s="6"/>
    </row>
    <row r="46" spans="1:18">
      <c r="A46" s="6"/>
      <c r="B46" s="6"/>
      <c r="C46" s="6"/>
      <c r="D46" s="6"/>
      <c r="E46" s="6"/>
      <c r="F46" s="6"/>
      <c r="G46" s="6" t="s">
        <v>37</v>
      </c>
      <c r="H46" s="6"/>
      <c r="I46" s="6"/>
      <c r="J46" s="6"/>
      <c r="K46" s="6" t="s">
        <v>42</v>
      </c>
      <c r="L46" s="6">
        <v>1.9870000000000001</v>
      </c>
      <c r="M46" s="6"/>
      <c r="N46" s="6">
        <f>6.212</f>
        <v>6.2119999999999997</v>
      </c>
      <c r="O46" s="6"/>
      <c r="P46" s="6"/>
      <c r="Q46" s="6"/>
      <c r="R46" s="6"/>
    </row>
    <row r="47" spans="1:18">
      <c r="A47" s="6"/>
      <c r="B47" s="6"/>
      <c r="C47" s="6" t="s">
        <v>1</v>
      </c>
      <c r="D47" s="6" t="s">
        <v>2</v>
      </c>
      <c r="E47" s="6" t="s">
        <v>3</v>
      </c>
      <c r="F47" s="6"/>
      <c r="G47" s="6"/>
      <c r="H47" s="6"/>
      <c r="I47" s="6"/>
      <c r="J47" s="6"/>
      <c r="K47" s="6" t="s">
        <v>43</v>
      </c>
      <c r="L47" s="6">
        <v>1.3806619999999999E-23</v>
      </c>
      <c r="M47" s="6"/>
      <c r="N47" s="6">
        <f>N46*1000000000000</f>
        <v>6212000000000</v>
      </c>
      <c r="O47" s="6"/>
      <c r="P47" s="6"/>
      <c r="Q47" s="6"/>
      <c r="R47" s="6"/>
    </row>
    <row r="48" spans="1:18">
      <c r="A48" s="6" t="s">
        <v>6</v>
      </c>
      <c r="B48" s="6" t="s">
        <v>7</v>
      </c>
      <c r="C48" s="6">
        <v>-2959.1037980000001</v>
      </c>
      <c r="D48" s="6">
        <v>-2727.6922810000001</v>
      </c>
      <c r="E48" s="6">
        <v>-115.68595500000001</v>
      </c>
      <c r="F48" s="6">
        <f>(C48-(D48+E48*2))*$L$9</f>
        <v>-24.853788570100427</v>
      </c>
      <c r="G48" s="6" t="s">
        <v>8</v>
      </c>
      <c r="H48" s="6">
        <v>1.9</v>
      </c>
      <c r="I48" s="6"/>
      <c r="J48" s="6"/>
      <c r="K48" s="6" t="s">
        <v>44</v>
      </c>
      <c r="L48" s="6">
        <v>6.6261759999999997E-34</v>
      </c>
      <c r="M48" s="6" t="s">
        <v>45</v>
      </c>
      <c r="N48" s="6">
        <f>L46*L49</f>
        <v>592.42404999999997</v>
      </c>
      <c r="O48" s="6"/>
      <c r="P48" s="6"/>
      <c r="Q48" s="6" t="s">
        <v>46</v>
      </c>
      <c r="R48" s="6" t="s">
        <v>47</v>
      </c>
    </row>
    <row r="49" spans="1:18">
      <c r="A49" s="6" t="s">
        <v>9</v>
      </c>
      <c r="B49" s="6" t="s">
        <v>10</v>
      </c>
      <c r="C49" s="6">
        <v>-2959.3268875499998</v>
      </c>
      <c r="D49" s="6">
        <v>-2727.8281665700001</v>
      </c>
      <c r="E49" s="6">
        <v>-115.723635556</v>
      </c>
      <c r="F49" s="6">
        <f t="shared" ref="F49:F54" si="5">(C49-(D49+E49*2))*$L$9</f>
        <v>-32.285306668371625</v>
      </c>
      <c r="G49" s="6">
        <f>F49-F54</f>
        <v>15.585618983062254</v>
      </c>
      <c r="H49" s="6">
        <v>3.0279999999999999E-3</v>
      </c>
      <c r="I49" s="6"/>
      <c r="J49" s="6"/>
      <c r="K49" s="6" t="s">
        <v>48</v>
      </c>
      <c r="L49" s="6">
        <v>298.14999999999998</v>
      </c>
      <c r="M49" s="6"/>
      <c r="N49" s="6">
        <v>-460.36573199999998</v>
      </c>
      <c r="O49" s="6"/>
      <c r="P49" s="6"/>
      <c r="Q49" s="6">
        <f>$N$3*(EXP(1)^(-G51*$K$8/$N$4))</f>
        <v>1.5656418921014909E+18</v>
      </c>
      <c r="R49" s="6">
        <f>LN(Q49)</f>
        <v>41.894827568491934</v>
      </c>
    </row>
    <row r="50" spans="1:18">
      <c r="A50" s="6" t="s">
        <v>11</v>
      </c>
      <c r="B50" s="6" t="s">
        <v>12</v>
      </c>
      <c r="C50" s="6">
        <v>-2959.3091229500001</v>
      </c>
      <c r="D50" s="6">
        <v>-2727.8142691399999</v>
      </c>
      <c r="E50" s="6">
        <v>-115.72045574000001</v>
      </c>
      <c r="F50" s="6">
        <f t="shared" si="5"/>
        <v>-33.849351498396928</v>
      </c>
      <c r="G50" s="6">
        <f>F48+G49</f>
        <v>-9.2681695870381731</v>
      </c>
      <c r="H50" s="6">
        <f>(C50-C54)+C49-(E49*2)-D52-H49</f>
        <v>-0.17862818799940736</v>
      </c>
      <c r="I50" s="6"/>
      <c r="J50" s="6"/>
      <c r="K50" s="6"/>
      <c r="L50" s="6" t="s">
        <v>49</v>
      </c>
      <c r="M50" s="6"/>
      <c r="N50" s="6">
        <f>N49-G50</f>
        <v>-451.09756241296179</v>
      </c>
      <c r="O50" s="6"/>
      <c r="P50" s="6"/>
      <c r="Q50" s="6"/>
      <c r="R50" s="6"/>
    </row>
    <row r="51" spans="1:18">
      <c r="A51" s="6" t="s">
        <v>13</v>
      </c>
      <c r="B51" s="6" t="s">
        <v>14</v>
      </c>
      <c r="C51" s="6"/>
      <c r="D51" s="6"/>
      <c r="E51" s="6"/>
      <c r="F51" s="6">
        <f t="shared" si="5"/>
        <v>0</v>
      </c>
      <c r="G51" s="6">
        <f>G50+H48</f>
        <v>-7.3681695870381727</v>
      </c>
      <c r="H51" s="6">
        <f>H50*627.51</f>
        <v>-112.09097425150811</v>
      </c>
      <c r="I51" s="6"/>
      <c r="J51" s="6"/>
      <c r="K51" s="6">
        <f>C50-C49</f>
        <v>1.7764599999736674E-2</v>
      </c>
      <c r="L51" s="6"/>
      <c r="M51" s="6"/>
      <c r="N51" s="6"/>
      <c r="O51" s="6"/>
      <c r="P51" s="6"/>
      <c r="Q51" s="6"/>
      <c r="R51" s="6"/>
    </row>
    <row r="52" spans="1:18">
      <c r="A52" s="6" t="s">
        <v>15</v>
      </c>
      <c r="B52" s="6" t="s">
        <v>16</v>
      </c>
      <c r="C52" s="6">
        <v>-2959.1792540000001</v>
      </c>
      <c r="D52" s="6">
        <v>-2727.7833070000001</v>
      </c>
      <c r="E52" s="6">
        <v>-115.691355</v>
      </c>
      <c r="F52" s="6">
        <f t="shared" si="5"/>
        <v>-8.3063498700736726</v>
      </c>
      <c r="G52" s="6" t="s">
        <v>17</v>
      </c>
      <c r="H52" s="6"/>
      <c r="I52" s="6"/>
      <c r="J52" s="6"/>
      <c r="K52" s="6">
        <v>1000</v>
      </c>
      <c r="L52" s="6"/>
      <c r="M52" s="6"/>
      <c r="N52" s="6"/>
      <c r="O52" s="6"/>
      <c r="P52" s="6"/>
      <c r="Q52" s="6"/>
      <c r="R52" s="6"/>
    </row>
    <row r="53" spans="1:18">
      <c r="A53" s="6"/>
      <c r="B53" s="6"/>
      <c r="C53" s="6"/>
      <c r="D53" s="6"/>
      <c r="E53" s="6"/>
      <c r="F53" s="6" t="s">
        <v>26</v>
      </c>
      <c r="G53" s="6">
        <f>F52-F49</f>
        <v>23.978956798297951</v>
      </c>
      <c r="H53" s="6">
        <f>C49-C54</f>
        <v>-9.7055349999664031E-2</v>
      </c>
      <c r="I53" s="6"/>
      <c r="J53" s="6"/>
      <c r="K53" s="6"/>
      <c r="L53" s="6">
        <v>627.51</v>
      </c>
      <c r="M53" s="6"/>
      <c r="N53" s="6"/>
      <c r="O53" s="6"/>
      <c r="P53" s="6"/>
      <c r="Q53" s="6"/>
      <c r="R53" s="6"/>
    </row>
    <row r="54" spans="1:18">
      <c r="A54" s="6" t="s">
        <v>18</v>
      </c>
      <c r="B54" s="6"/>
      <c r="C54" s="6">
        <v>-2959.2298322000001</v>
      </c>
      <c r="D54" s="6">
        <v>-2727.7231279399998</v>
      </c>
      <c r="E54" s="6">
        <v>-115.715208574</v>
      </c>
      <c r="F54" s="6">
        <f t="shared" si="5"/>
        <v>-47.870925651433879</v>
      </c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</row>
    <row r="56" spans="1:18">
      <c r="E56" t="s">
        <v>64</v>
      </c>
      <c r="F56" t="s">
        <v>65</v>
      </c>
      <c r="G56" t="s">
        <v>34</v>
      </c>
      <c r="H56" t="s">
        <v>41</v>
      </c>
    </row>
    <row r="57" spans="1:18">
      <c r="G57" t="s">
        <v>37</v>
      </c>
      <c r="K57" t="s">
        <v>42</v>
      </c>
      <c r="L57">
        <v>1.9870000000000001</v>
      </c>
      <c r="N57">
        <f>6.212</f>
        <v>6.2119999999999997</v>
      </c>
    </row>
    <row r="58" spans="1:18">
      <c r="C58" t="s">
        <v>1</v>
      </c>
      <c r="D58" t="s">
        <v>2</v>
      </c>
      <c r="E58" t="s">
        <v>3</v>
      </c>
      <c r="I58" t="s">
        <v>4</v>
      </c>
      <c r="J58" t="s">
        <v>5</v>
      </c>
      <c r="K58" t="s">
        <v>43</v>
      </c>
      <c r="L58">
        <v>1.3806619999999999E-23</v>
      </c>
      <c r="N58">
        <f>N57*1000000000000</f>
        <v>6212000000000</v>
      </c>
    </row>
    <row r="59" spans="1:18">
      <c r="A59" t="s">
        <v>6</v>
      </c>
      <c r="B59" t="s">
        <v>7</v>
      </c>
      <c r="C59">
        <v>-2959.1037780000001</v>
      </c>
      <c r="D59">
        <v>-2727.4173890000002</v>
      </c>
      <c r="E59">
        <v>-115.68595500000001</v>
      </c>
      <c r="F59">
        <f>((C59+J59)-(D59+I59+E59*2))*$L$9</f>
        <v>140.38339964976723</v>
      </c>
      <c r="G59" t="s">
        <v>8</v>
      </c>
      <c r="H59">
        <v>1.9</v>
      </c>
      <c r="I59">
        <v>-460.80908899999997</v>
      </c>
      <c r="J59">
        <v>-460.270895</v>
      </c>
      <c r="K59" t="s">
        <v>44</v>
      </c>
      <c r="L59">
        <v>6.6261759999999997E-34</v>
      </c>
      <c r="M59" t="s">
        <v>45</v>
      </c>
      <c r="N59">
        <f>L57*L60</f>
        <v>592.42404999999997</v>
      </c>
      <c r="Q59" t="s">
        <v>46</v>
      </c>
      <c r="R59" t="s">
        <v>47</v>
      </c>
    </row>
    <row r="60" spans="1:18">
      <c r="A60" t="s">
        <v>9</v>
      </c>
      <c r="B60" t="s">
        <v>10</v>
      </c>
      <c r="C60">
        <v>-2959.3398317699998</v>
      </c>
      <c r="D60">
        <v>-2727.4431939400001</v>
      </c>
      <c r="E60">
        <v>-115.723635556</v>
      </c>
      <c r="F60">
        <f t="shared" ref="F60:F63" si="6">((C60+J60)-(D60+I60+E60*2))*$L$9</f>
        <v>21.349693664106542</v>
      </c>
      <c r="G60">
        <f>F60-G64-F65</f>
        <v>-128.58910635285497</v>
      </c>
      <c r="H60">
        <v>3.0279999999999999E-3</v>
      </c>
      <c r="I60">
        <v>-460.80088843800002</v>
      </c>
      <c r="J60">
        <v>-460.31749884599998</v>
      </c>
      <c r="K60" t="s">
        <v>48</v>
      </c>
      <c r="L60">
        <v>298.14999999999998</v>
      </c>
      <c r="N60">
        <v>-460.36573199999998</v>
      </c>
      <c r="Q60">
        <f>$N$3*(EXP(1)^(-G62*$K$8/$N$4))</f>
        <v>567.82292480049512</v>
      </c>
      <c r="R60">
        <f>LN(Q60)</f>
        <v>6.3418096180045556</v>
      </c>
    </row>
    <row r="61" spans="1:18">
      <c r="A61" t="s">
        <v>11</v>
      </c>
      <c r="B61" t="s">
        <v>12</v>
      </c>
      <c r="C61">
        <v>-2959.31259327</v>
      </c>
      <c r="D61">
        <v>-2727.4412930799999</v>
      </c>
      <c r="E61">
        <v>-115.72045574000001</v>
      </c>
      <c r="F61">
        <f t="shared" si="6"/>
        <v>30.781783295907513</v>
      </c>
      <c r="G61">
        <f>F59+G60</f>
        <v>11.794293296912258</v>
      </c>
      <c r="H61">
        <f>(C61-C65)+C60-(E60*2)-D63-H60</f>
        <v>-0.55483480799958285</v>
      </c>
      <c r="I61">
        <v>-460.79970852899999</v>
      </c>
      <c r="J61">
        <v>-460.32026596600002</v>
      </c>
      <c r="L61" t="s">
        <v>49</v>
      </c>
      <c r="N61">
        <f>N60-G61</f>
        <v>-472.16002529691224</v>
      </c>
    </row>
    <row r="62" spans="1:18">
      <c r="A62" t="s">
        <v>13</v>
      </c>
      <c r="B62" t="s">
        <v>14</v>
      </c>
      <c r="F62">
        <f t="shared" si="6"/>
        <v>0</v>
      </c>
      <c r="G62">
        <f>G61+H59</f>
        <v>13.694293296912258</v>
      </c>
      <c r="H62">
        <f>H61*627.51</f>
        <v>-348.16439036781821</v>
      </c>
      <c r="K62">
        <f>C61-C60</f>
        <v>2.7238499999839405E-2</v>
      </c>
    </row>
    <row r="63" spans="1:18">
      <c r="A63" t="s">
        <v>15</v>
      </c>
      <c r="B63" t="s">
        <v>16</v>
      </c>
      <c r="C63">
        <v>-2959.1861749999998</v>
      </c>
      <c r="D63">
        <v>-2727.4227810000002</v>
      </c>
      <c r="E63">
        <v>-115.691355</v>
      </c>
      <c r="F63">
        <f t="shared" si="6"/>
        <v>59.469750210023228</v>
      </c>
      <c r="G63" t="s">
        <v>17</v>
      </c>
      <c r="I63">
        <v>-460.810744</v>
      </c>
      <c r="J63">
        <v>-460.33528899999999</v>
      </c>
      <c r="K63">
        <v>1000</v>
      </c>
    </row>
    <row r="64" spans="1:18">
      <c r="F64" t="s">
        <v>26</v>
      </c>
      <c r="G64">
        <f>F63-F60</f>
        <v>38.120056545916682</v>
      </c>
      <c r="H64">
        <f>C60-C65</f>
        <v>-0.10926564999999755</v>
      </c>
      <c r="I64">
        <v>-25.363445289375278</v>
      </c>
      <c r="L64">
        <v>627.51</v>
      </c>
    </row>
    <row r="65" spans="1:18">
      <c r="A65" t="s">
        <v>18</v>
      </c>
      <c r="C65">
        <v>-2959.2305661199998</v>
      </c>
      <c r="D65">
        <v>-2727.4361574700001</v>
      </c>
      <c r="E65">
        <v>-115.715208574</v>
      </c>
      <c r="F65">
        <f t="shared" ref="F65" si="7">((C65+J65)-(D65+I65+E65*2))*$L$9</f>
        <v>111.81874347104484</v>
      </c>
      <c r="I65">
        <v>-460.798058438</v>
      </c>
      <c r="J65">
        <v>-460.25587257500001</v>
      </c>
    </row>
    <row r="67" spans="1:18">
      <c r="E67" t="s">
        <v>64</v>
      </c>
      <c r="F67" t="s">
        <v>60</v>
      </c>
      <c r="G67" t="s">
        <v>34</v>
      </c>
      <c r="H67" t="s">
        <v>41</v>
      </c>
    </row>
    <row r="68" spans="1:18">
      <c r="G68" t="s">
        <v>37</v>
      </c>
      <c r="K68" t="s">
        <v>42</v>
      </c>
      <c r="L68">
        <v>1.9870000000000001</v>
      </c>
      <c r="N68">
        <f>6.212</f>
        <v>6.2119999999999997</v>
      </c>
    </row>
    <row r="69" spans="1:18">
      <c r="C69" t="s">
        <v>1</v>
      </c>
      <c r="D69" t="s">
        <v>2</v>
      </c>
      <c r="E69" t="s">
        <v>3</v>
      </c>
      <c r="K69" t="s">
        <v>43</v>
      </c>
      <c r="L69">
        <v>1.3806619999999999E-23</v>
      </c>
      <c r="N69">
        <f>N68*1000000000000</f>
        <v>6212000000000</v>
      </c>
    </row>
    <row r="70" spans="1:18">
      <c r="A70" t="s">
        <v>6</v>
      </c>
      <c r="B70" t="s">
        <v>7</v>
      </c>
      <c r="C70">
        <v>-2959.1037780000001</v>
      </c>
      <c r="D70">
        <v>-2727.6922810000001</v>
      </c>
      <c r="E70">
        <v>-115.68595500000001</v>
      </c>
      <c r="F70">
        <f>(C70-(D70+E70*2))*$L$9</f>
        <v>-24.841238370132114</v>
      </c>
      <c r="G70" t="s">
        <v>8</v>
      </c>
      <c r="H70">
        <v>1.9</v>
      </c>
      <c r="K70" t="s">
        <v>44</v>
      </c>
      <c r="L70">
        <v>6.6261759999999997E-34</v>
      </c>
      <c r="M70" t="s">
        <v>45</v>
      </c>
      <c r="N70">
        <f>L68*L71</f>
        <v>592.42404999999997</v>
      </c>
      <c r="Q70" t="s">
        <v>46</v>
      </c>
      <c r="R70" t="s">
        <v>47</v>
      </c>
    </row>
    <row r="71" spans="1:18">
      <c r="A71" t="s">
        <v>9</v>
      </c>
      <c r="B71" t="s">
        <v>10</v>
      </c>
      <c r="C71">
        <v>-2959.3398317699998</v>
      </c>
      <c r="D71">
        <v>-2727.8281665700001</v>
      </c>
      <c r="E71">
        <v>-115.723635556</v>
      </c>
      <c r="F71">
        <f t="shared" ref="F71:F74" si="8">(C71-(D71+E71*2))*$L$9</f>
        <v>-40.407934160576957</v>
      </c>
      <c r="G71">
        <f>F71-F76</f>
        <v>7.9235336298529688</v>
      </c>
      <c r="H71">
        <v>3.0279999999999999E-3</v>
      </c>
      <c r="K71" t="s">
        <v>48</v>
      </c>
      <c r="L71">
        <v>298.14999999999998</v>
      </c>
      <c r="N71">
        <v>-460.36573199999998</v>
      </c>
      <c r="Q71">
        <f>$N$3*(EXP(1)^(-G73*$K$8/$N$4))</f>
        <v>6.3447864874505262E+23</v>
      </c>
      <c r="R71">
        <f>LN(Q71)</f>
        <v>54.807090588943197</v>
      </c>
    </row>
    <row r="72" spans="1:18">
      <c r="A72" t="s">
        <v>11</v>
      </c>
      <c r="B72" t="s">
        <v>12</v>
      </c>
      <c r="C72">
        <v>-2959.31259327</v>
      </c>
      <c r="D72">
        <v>-2727.8142691399999</v>
      </c>
      <c r="E72">
        <v>-115.72045574000001</v>
      </c>
      <c r="F72">
        <f t="shared" si="8"/>
        <v>-36.027012001537798</v>
      </c>
      <c r="G72">
        <f>F70+G71</f>
        <v>-16.917704740279145</v>
      </c>
      <c r="H72">
        <f>(C72-C76)+C71-(E71*2)-D74-H71</f>
        <v>-0.19430880799964664</v>
      </c>
      <c r="L72" t="s">
        <v>49</v>
      </c>
      <c r="N72">
        <f>N71-G72</f>
        <v>-443.44802725972085</v>
      </c>
    </row>
    <row r="73" spans="1:18">
      <c r="A73" t="s">
        <v>13</v>
      </c>
      <c r="B73" t="s">
        <v>14</v>
      </c>
      <c r="F73">
        <f t="shared" si="8"/>
        <v>0</v>
      </c>
      <c r="G73">
        <f>G72+H70</f>
        <v>-15.017704740279145</v>
      </c>
      <c r="H73">
        <f>H72*627.51</f>
        <v>-121.93072010785826</v>
      </c>
      <c r="K73">
        <f>C72-C71</f>
        <v>2.7238499999839405E-2</v>
      </c>
    </row>
    <row r="74" spans="1:18">
      <c r="A74" t="s">
        <v>15</v>
      </c>
      <c r="B74" t="s">
        <v>16</v>
      </c>
      <c r="C74">
        <v>-2959.1861749999998</v>
      </c>
      <c r="D74">
        <v>-2727.7833070000001</v>
      </c>
      <c r="E74">
        <v>-115.691355</v>
      </c>
      <c r="F74">
        <f t="shared" si="8"/>
        <v>-12.649346579880943</v>
      </c>
      <c r="G74" t="s">
        <v>17</v>
      </c>
      <c r="K74">
        <v>1000</v>
      </c>
    </row>
    <row r="75" spans="1:18">
      <c r="F75" t="s">
        <v>26</v>
      </c>
      <c r="G75">
        <f>F71-F74</f>
        <v>-27.758587580696016</v>
      </c>
      <c r="H75">
        <f>C71-C76</f>
        <v>-0.10926564999999755</v>
      </c>
      <c r="L75">
        <v>627.51</v>
      </c>
    </row>
    <row r="76" spans="1:18">
      <c r="A76" t="s">
        <v>18</v>
      </c>
      <c r="C76">
        <v>-2959.2305661199998</v>
      </c>
      <c r="D76">
        <v>-2727.7231279399998</v>
      </c>
      <c r="E76">
        <v>-115.715208574</v>
      </c>
      <c r="F76">
        <f t="shared" ref="F76" si="9">(C76-(D76+E76*2))*$L$9</f>
        <v>-48.331467790429926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4"/>
  <sheetViews>
    <sheetView tabSelected="1" topLeftCell="A3" workbookViewId="0">
      <selection activeCell="O9" sqref="O9"/>
    </sheetView>
  </sheetViews>
  <sheetFormatPr baseColWidth="10" defaultColWidth="8.83203125" defaultRowHeight="14" x14ac:dyDescent="0"/>
  <cols>
    <col min="3" max="9" width="9" bestFit="1" customWidth="1"/>
    <col min="11" max="12" width="9" bestFit="1" customWidth="1"/>
    <col min="14" max="14" width="10" bestFit="1" customWidth="1"/>
    <col min="17" max="18" width="9" bestFit="1" customWidth="1"/>
  </cols>
  <sheetData>
    <row r="1" spans="1:21">
      <c r="E1" t="s">
        <v>68</v>
      </c>
      <c r="F1" t="s">
        <v>66</v>
      </c>
      <c r="G1" t="s">
        <v>34</v>
      </c>
      <c r="H1" t="s">
        <v>41</v>
      </c>
    </row>
    <row r="2" spans="1:21">
      <c r="G2" t="s">
        <v>37</v>
      </c>
      <c r="K2" t="s">
        <v>42</v>
      </c>
      <c r="L2">
        <v>1.9870000000000001</v>
      </c>
      <c r="N2">
        <f>6.212</f>
        <v>6.2119999999999997</v>
      </c>
    </row>
    <row r="3" spans="1:21">
      <c r="C3" t="s">
        <v>1</v>
      </c>
      <c r="D3" t="s">
        <v>2</v>
      </c>
      <c r="E3" t="s">
        <v>3</v>
      </c>
      <c r="I3" t="s">
        <v>4</v>
      </c>
      <c r="J3" t="s">
        <v>5</v>
      </c>
      <c r="K3" t="s">
        <v>43</v>
      </c>
      <c r="L3">
        <v>1.3806619999999999E-23</v>
      </c>
      <c r="N3">
        <f>N2*1000000000000</f>
        <v>6212000000000</v>
      </c>
    </row>
    <row r="4" spans="1:21">
      <c r="A4" t="s">
        <v>6</v>
      </c>
      <c r="B4" t="s">
        <v>7</v>
      </c>
      <c r="C4">
        <v>-845.09652900000003</v>
      </c>
      <c r="D4">
        <v>-613.42241799999999</v>
      </c>
      <c r="E4">
        <v>-115.68595500000001</v>
      </c>
      <c r="F4">
        <f>((C4+J4)-(D4+I4+E4*2))*$L$9</f>
        <v>148.08796743000482</v>
      </c>
      <c r="G4" t="s">
        <v>8</v>
      </c>
      <c r="H4">
        <v>1.9</v>
      </c>
      <c r="I4">
        <v>-460.80908899999997</v>
      </c>
      <c r="J4">
        <v>-460.270895</v>
      </c>
      <c r="K4" t="s">
        <v>44</v>
      </c>
      <c r="L4">
        <v>6.6261759999999997E-34</v>
      </c>
      <c r="M4" t="s">
        <v>45</v>
      </c>
      <c r="N4">
        <f>L2*L5</f>
        <v>592.42404999999997</v>
      </c>
      <c r="Q4" t="s">
        <v>46</v>
      </c>
      <c r="R4" t="s">
        <v>47</v>
      </c>
    </row>
    <row r="5" spans="1:21">
      <c r="A5" t="s">
        <v>9</v>
      </c>
      <c r="B5" t="s">
        <v>10</v>
      </c>
      <c r="C5" s="2">
        <v>-845.33625089500003</v>
      </c>
      <c r="D5">
        <v>-613.44950286000005</v>
      </c>
      <c r="E5">
        <v>-115.723635556</v>
      </c>
      <c r="F5">
        <f t="shared" ref="F5:F10" si="0">((C5+J5)-(D5+I5+E5*2))*$L$9</f>
        <v>0.13913841981662017</v>
      </c>
      <c r="G5">
        <f>F5-G9-F10</f>
        <v>-156.04905188530108</v>
      </c>
      <c r="H5">
        <v>3.0279999999999999E-3</v>
      </c>
      <c r="I5">
        <v>-460.80368080599999</v>
      </c>
      <c r="J5">
        <v>-460.36398215200001</v>
      </c>
      <c r="K5" t="s">
        <v>48</v>
      </c>
      <c r="L5">
        <v>298.14999999999998</v>
      </c>
      <c r="N5">
        <v>-460.36573199999998</v>
      </c>
      <c r="Q5">
        <f>$N$3*(EXP(1)^(-G7*$K$8/$N$4))</f>
        <v>1.0524453561608688E+20</v>
      </c>
      <c r="R5">
        <f>LN(Q5)</f>
        <v>46.102818226970577</v>
      </c>
    </row>
    <row r="6" spans="1:21">
      <c r="A6" t="s">
        <v>11</v>
      </c>
      <c r="B6" t="s">
        <v>12</v>
      </c>
      <c r="C6">
        <v>-845.30754545900004</v>
      </c>
      <c r="D6">
        <v>-613.44787140699998</v>
      </c>
      <c r="E6">
        <v>-115.72045574000001</v>
      </c>
      <c r="F6">
        <f t="shared" si="0"/>
        <v>7.8210957594328692</v>
      </c>
      <c r="G6">
        <f>F4+G5</f>
        <v>-7.961084455296259</v>
      </c>
      <c r="H6">
        <f>(C6-C10)+C5-(E5*2)-D8-H5</f>
        <v>-0.54221440000006238</v>
      </c>
      <c r="I6">
        <v>-460.80111967400001</v>
      </c>
      <c r="J6">
        <v>-460.36989340299999</v>
      </c>
      <c r="L6" t="s">
        <v>49</v>
      </c>
      <c r="N6">
        <f>N5-G6</f>
        <v>-452.40464754470372</v>
      </c>
    </row>
    <row r="7" spans="1:21">
      <c r="A7" t="s">
        <v>13</v>
      </c>
      <c r="B7" t="s">
        <v>14</v>
      </c>
      <c r="F7">
        <f t="shared" si="0"/>
        <v>0</v>
      </c>
      <c r="G7">
        <f>G6-H4</f>
        <v>-9.8610844552962593</v>
      </c>
      <c r="H7">
        <f>H6*627.51</f>
        <v>-340.24495814403912</v>
      </c>
      <c r="K7">
        <f>C6-C5</f>
        <v>2.8705435999995643E-2</v>
      </c>
    </row>
    <row r="8" spans="1:21">
      <c r="A8" t="s">
        <v>15</v>
      </c>
      <c r="B8" t="s">
        <v>16</v>
      </c>
      <c r="C8">
        <v>-845.17438500000003</v>
      </c>
      <c r="D8">
        <v>-613.42776400000002</v>
      </c>
      <c r="E8">
        <v>-115.691355</v>
      </c>
      <c r="F8">
        <f t="shared" si="0"/>
        <v>39.743345850032554</v>
      </c>
      <c r="G8" t="s">
        <v>17</v>
      </c>
      <c r="I8">
        <v>-460.812162</v>
      </c>
      <c r="J8">
        <v>-460.38491599999998</v>
      </c>
      <c r="K8">
        <v>1000</v>
      </c>
    </row>
    <row r="9" spans="1:21">
      <c r="F9" t="s">
        <v>26</v>
      </c>
      <c r="G9">
        <f>F8-F5</f>
        <v>39.604207430215936</v>
      </c>
      <c r="H9">
        <f>C5-C10</f>
        <v>-0.10667605300000105</v>
      </c>
      <c r="I9">
        <v>-25.363445289375278</v>
      </c>
      <c r="L9">
        <v>627.51</v>
      </c>
    </row>
    <row r="10" spans="1:21">
      <c r="A10" t="s">
        <v>18</v>
      </c>
      <c r="C10">
        <v>-845.22957484200003</v>
      </c>
      <c r="D10">
        <v>-613.44276007799999</v>
      </c>
      <c r="E10">
        <v>-115.715208574</v>
      </c>
      <c r="F10">
        <f t="shared" si="0"/>
        <v>116.58398287490176</v>
      </c>
      <c r="I10">
        <v>-460.798058438</v>
      </c>
      <c r="J10">
        <v>-460.25587257500001</v>
      </c>
    </row>
    <row r="11" spans="1:21">
      <c r="R11">
        <f>(L13*L16*R16)+(T13+U13)</f>
        <v>-6529.7769937671283</v>
      </c>
    </row>
    <row r="12" spans="1:21">
      <c r="E12" t="s">
        <v>68</v>
      </c>
      <c r="G12" t="s">
        <v>34</v>
      </c>
      <c r="H12" t="s">
        <v>41</v>
      </c>
    </row>
    <row r="13" spans="1:21">
      <c r="G13" t="s">
        <v>37</v>
      </c>
      <c r="K13" t="s">
        <v>42</v>
      </c>
      <c r="L13">
        <v>1.9870000000000001</v>
      </c>
      <c r="N13">
        <f>6.212</f>
        <v>6.2119999999999997</v>
      </c>
      <c r="T13">
        <v>-17.100000000000001</v>
      </c>
      <c r="U13">
        <v>-6.5</v>
      </c>
    </row>
    <row r="14" spans="1:21">
      <c r="A14" s="6"/>
      <c r="B14" s="6"/>
      <c r="C14" s="6" t="s">
        <v>1</v>
      </c>
      <c r="D14" s="6" t="s">
        <v>2</v>
      </c>
      <c r="E14" s="6" t="s">
        <v>3</v>
      </c>
      <c r="F14" s="6" t="s">
        <v>67</v>
      </c>
      <c r="G14" s="6"/>
      <c r="H14" s="6"/>
      <c r="I14" s="6"/>
      <c r="J14" s="6"/>
      <c r="K14" s="6" t="s">
        <v>43</v>
      </c>
      <c r="L14" s="6">
        <v>1.3806619999999999E-23</v>
      </c>
      <c r="M14" s="6"/>
      <c r="N14" s="6">
        <f>N13*1000000000000</f>
        <v>6212000000000</v>
      </c>
      <c r="O14" s="6"/>
      <c r="P14" s="6"/>
      <c r="Q14" s="6"/>
      <c r="R14" s="6"/>
    </row>
    <row r="15" spans="1:21">
      <c r="A15" s="6" t="s">
        <v>6</v>
      </c>
      <c r="B15" s="6" t="s">
        <v>7</v>
      </c>
      <c r="C15" s="6">
        <v>-845.09652900000003</v>
      </c>
      <c r="D15" s="6">
        <v>-613.70176500000002</v>
      </c>
      <c r="E15" s="6">
        <v>-115.68595500000001</v>
      </c>
      <c r="F15" s="6">
        <f>(C15-(D15+E15*2))*$L$9</f>
        <v>-14.341113539961359</v>
      </c>
      <c r="G15" s="6" t="s">
        <v>8</v>
      </c>
      <c r="H15" s="6">
        <v>1.9</v>
      </c>
      <c r="I15" s="6"/>
      <c r="J15" s="6"/>
      <c r="K15" s="6" t="s">
        <v>44</v>
      </c>
      <c r="L15" s="6">
        <v>6.6261759999999997E-34</v>
      </c>
      <c r="M15" s="6" t="s">
        <v>45</v>
      </c>
      <c r="N15" s="6">
        <f>L13*L16</f>
        <v>592.42404999999997</v>
      </c>
      <c r="O15" s="6"/>
      <c r="P15" s="6"/>
      <c r="Q15" s="6" t="s">
        <v>46</v>
      </c>
      <c r="R15" s="6" t="s">
        <v>47</v>
      </c>
    </row>
    <row r="16" spans="1:21">
      <c r="A16" s="6" t="s">
        <v>9</v>
      </c>
      <c r="B16" s="6" t="s">
        <v>10</v>
      </c>
      <c r="C16" s="6">
        <v>-845.33625089500003</v>
      </c>
      <c r="D16" s="6">
        <v>-613.83955980300004</v>
      </c>
      <c r="E16" s="6">
        <v>-115.723635556</v>
      </c>
      <c r="F16" s="6">
        <f>((C16)-(D16+E16*2))*$L$9</f>
        <v>-31.011531649752992</v>
      </c>
      <c r="G16" s="6">
        <f>F16-F21</f>
        <v>9.6740581159204631</v>
      </c>
      <c r="H16" s="6">
        <v>3.0279999999999999E-3</v>
      </c>
      <c r="I16" s="6"/>
      <c r="J16" s="6"/>
      <c r="K16" s="6" t="s">
        <v>48</v>
      </c>
      <c r="L16" s="6">
        <v>298.14999999999998</v>
      </c>
      <c r="M16" s="6"/>
      <c r="N16" s="6">
        <v>-460.36573199999998</v>
      </c>
      <c r="O16" s="6"/>
      <c r="P16" s="6"/>
      <c r="Q16" s="9">
        <v>1.7E-5</v>
      </c>
      <c r="R16" s="6">
        <f>LN(Q16)</f>
        <v>-10.982297213908058</v>
      </c>
    </row>
    <row r="17" spans="1:18">
      <c r="A17" s="6" t="s">
        <v>11</v>
      </c>
      <c r="B17" s="6" t="s">
        <v>12</v>
      </c>
      <c r="C17" s="6">
        <v>-845.30754545900004</v>
      </c>
      <c r="D17" s="6">
        <v>-613.82543056099996</v>
      </c>
      <c r="E17" s="6">
        <v>-115.72045574000001</v>
      </c>
      <c r="F17" s="6">
        <f t="shared" ref="F17:F18" si="1">((C17)-(D17+E17*2))*$L$9</f>
        <v>-25.855556829257083</v>
      </c>
      <c r="G17" s="6">
        <f>F15+G16</f>
        <v>-4.6670554240408961</v>
      </c>
      <c r="H17" s="6">
        <f>(C17-C21)+C16-(E16*2)-D19-H16</f>
        <v>-0.17637640000012264</v>
      </c>
      <c r="I17" s="6"/>
      <c r="J17" s="6"/>
      <c r="K17" s="6"/>
      <c r="L17" s="6" t="s">
        <v>49</v>
      </c>
      <c r="M17" s="6"/>
      <c r="N17" s="6">
        <f>N16-G17</f>
        <v>-455.6986765759591</v>
      </c>
      <c r="O17" s="6"/>
      <c r="P17" s="6"/>
      <c r="Q17" s="6"/>
      <c r="R17" s="6"/>
    </row>
    <row r="18" spans="1:18">
      <c r="A18" s="6" t="s">
        <v>13</v>
      </c>
      <c r="B18" s="6" t="s">
        <v>14</v>
      </c>
      <c r="C18" s="6"/>
      <c r="D18" s="6"/>
      <c r="E18" s="6"/>
      <c r="F18" s="6">
        <f t="shared" si="1"/>
        <v>0</v>
      </c>
      <c r="G18" s="6">
        <f>G17+H15</f>
        <v>-2.7670554240408962</v>
      </c>
      <c r="H18" s="6">
        <f>H17*627.51</f>
        <v>-110.67795476407696</v>
      </c>
      <c r="I18" s="6"/>
      <c r="J18" s="6"/>
      <c r="K18" s="6">
        <f>C17-C16</f>
        <v>2.8705435999995643E-2</v>
      </c>
      <c r="L18" s="6"/>
      <c r="M18" s="6"/>
      <c r="N18" s="6"/>
      <c r="O18" s="6"/>
      <c r="P18" s="6"/>
      <c r="Q18" s="6"/>
      <c r="R18" s="6"/>
    </row>
    <row r="19" spans="1:18">
      <c r="A19" s="6" t="s">
        <v>15</v>
      </c>
      <c r="B19" s="6" t="s">
        <v>16</v>
      </c>
      <c r="C19" s="6">
        <v>-845.17438500000003</v>
      </c>
      <c r="D19" s="6">
        <v>-613.79360199999996</v>
      </c>
      <c r="E19" s="6">
        <v>-115.691355</v>
      </c>
      <c r="F19" s="6">
        <f>((C19)-(D19+E19*2))*$L$9</f>
        <v>1.209211769943298</v>
      </c>
      <c r="G19" s="6" t="s">
        <v>17</v>
      </c>
      <c r="H19" s="6"/>
      <c r="I19" s="6"/>
      <c r="J19" s="6"/>
      <c r="K19" s="6">
        <v>1000</v>
      </c>
      <c r="L19" s="6"/>
      <c r="M19" s="6"/>
      <c r="N19" s="6"/>
      <c r="O19" s="6"/>
      <c r="P19" s="6"/>
      <c r="Q19" s="6"/>
      <c r="R19" s="6"/>
    </row>
    <row r="20" spans="1:18">
      <c r="A20" s="6"/>
      <c r="B20" s="6"/>
      <c r="C20" s="6"/>
      <c r="D20" s="6"/>
      <c r="E20" s="6"/>
      <c r="F20" s="6" t="s">
        <v>26</v>
      </c>
      <c r="G20" s="6">
        <f>F19-F16</f>
        <v>32.220743419696291</v>
      </c>
      <c r="H20" s="6">
        <f>C16-C21</f>
        <v>-0.10667605300000105</v>
      </c>
      <c r="I20" s="6">
        <v>-25.363445289375278</v>
      </c>
      <c r="J20" s="6"/>
      <c r="K20" s="6"/>
      <c r="L20" s="6">
        <v>627.51</v>
      </c>
      <c r="M20" s="6"/>
      <c r="N20" s="6"/>
      <c r="O20" s="6"/>
      <c r="P20" s="6"/>
      <c r="Q20" s="6"/>
      <c r="R20" s="6"/>
    </row>
    <row r="21" spans="1:18">
      <c r="A21" t="s">
        <v>18</v>
      </c>
      <c r="C21">
        <v>-845.22957484200003</v>
      </c>
      <c r="D21">
        <v>-613.73432113399997</v>
      </c>
      <c r="E21">
        <v>-115.715208574</v>
      </c>
      <c r="F21">
        <f>((C21)-(D21+E21*2))*$L$9</f>
        <v>-40.685589765673456</v>
      </c>
    </row>
    <row r="23" spans="1:18">
      <c r="E23" t="s">
        <v>69</v>
      </c>
      <c r="F23" t="s">
        <v>66</v>
      </c>
      <c r="G23" t="s">
        <v>34</v>
      </c>
      <c r="H23" t="s">
        <v>41</v>
      </c>
    </row>
    <row r="24" spans="1:18">
      <c r="G24" t="s">
        <v>37</v>
      </c>
      <c r="K24" t="s">
        <v>42</v>
      </c>
      <c r="L24">
        <v>1.9870000000000001</v>
      </c>
      <c r="N24">
        <f>6.212</f>
        <v>6.2119999999999997</v>
      </c>
    </row>
    <row r="25" spans="1:18">
      <c r="C25" t="s">
        <v>1</v>
      </c>
      <c r="D25" t="s">
        <v>2</v>
      </c>
      <c r="E25" t="s">
        <v>3</v>
      </c>
      <c r="I25" t="s">
        <v>73</v>
      </c>
      <c r="J25" t="s">
        <v>74</v>
      </c>
      <c r="K25" t="s">
        <v>43</v>
      </c>
      <c r="L25">
        <v>1.3806619999999999E-23</v>
      </c>
      <c r="N25">
        <f>N24*1000000000000</f>
        <v>6212000000000</v>
      </c>
    </row>
    <row r="26" spans="1:18">
      <c r="A26" t="s">
        <v>6</v>
      </c>
      <c r="B26" t="s">
        <v>7</v>
      </c>
      <c r="C26">
        <v>-682.53252599999996</v>
      </c>
      <c r="D26">
        <v>-450.85231399999998</v>
      </c>
      <c r="E26">
        <v>-115.68595500000001</v>
      </c>
      <c r="F26">
        <f>((C26+J26)-(D26+I26+E26*2))*$L$9</f>
        <v>120.00563990999429</v>
      </c>
      <c r="G26" t="s">
        <v>8</v>
      </c>
      <c r="H26">
        <v>1.9</v>
      </c>
      <c r="I26">
        <v>-298.23862100000002</v>
      </c>
      <c r="J26">
        <v>-297.73907800000001</v>
      </c>
      <c r="K26" t="s">
        <v>44</v>
      </c>
      <c r="L26">
        <v>6.6261759999999997E-34</v>
      </c>
      <c r="M26" t="s">
        <v>45</v>
      </c>
      <c r="N26">
        <f>L24*L27</f>
        <v>592.42404999999997</v>
      </c>
      <c r="Q26" t="s">
        <v>46</v>
      </c>
      <c r="R26" t="s">
        <v>47</v>
      </c>
    </row>
    <row r="27" spans="1:18">
      <c r="A27" t="s">
        <v>9</v>
      </c>
      <c r="B27" t="s">
        <v>10</v>
      </c>
      <c r="C27">
        <v>-682.76478870400001</v>
      </c>
      <c r="D27">
        <v>-450.87739185999999</v>
      </c>
      <c r="E27">
        <v>-115.723635556</v>
      </c>
      <c r="F27">
        <f t="shared" ref="F27:F30" si="2">((C27+J27)-(D27+I27+E27*2))*$L$9</f>
        <v>-18.899534432945266</v>
      </c>
      <c r="G27">
        <f>F27-G31-F32</f>
        <v>-147.77267754030484</v>
      </c>
      <c r="H27">
        <v>3.0279999999999999E-3</v>
      </c>
      <c r="I27">
        <v>-298.22699980300001</v>
      </c>
      <c r="J27">
        <v>-297.81699237100003</v>
      </c>
      <c r="K27" t="s">
        <v>48</v>
      </c>
      <c r="L27">
        <v>298.14999999999998</v>
      </c>
      <c r="N27">
        <v>-460.36573199999998</v>
      </c>
      <c r="Q27">
        <f>$N$3*(EXP(1)^(-G29*$K$8/$N$4))</f>
        <v>3.4798167929916165E+34</v>
      </c>
      <c r="R27">
        <f>LN(Q27)</f>
        <v>79.534872808506037</v>
      </c>
    </row>
    <row r="28" spans="1:18">
      <c r="A28" t="s">
        <v>11</v>
      </c>
      <c r="B28" t="s">
        <v>12</v>
      </c>
      <c r="C28">
        <v>-682.74118724499999</v>
      </c>
      <c r="D28">
        <v>-450.87477488500002</v>
      </c>
      <c r="E28">
        <v>-115.72045574000001</v>
      </c>
      <c r="F28">
        <f t="shared" si="2"/>
        <v>-11.064939678327747</v>
      </c>
      <c r="G28">
        <f>F26+G27</f>
        <v>-27.767037630310554</v>
      </c>
      <c r="H28">
        <f>(C28-C32)+C27-(E27*2)-D30-H27</f>
        <v>-0.54116485099993339</v>
      </c>
      <c r="I28">
        <v>-298.22608412699998</v>
      </c>
      <c r="J28">
        <v>-297.81821633599998</v>
      </c>
      <c r="L28" t="s">
        <v>49</v>
      </c>
      <c r="N28">
        <f>N27-G28</f>
        <v>-432.59869436968944</v>
      </c>
    </row>
    <row r="29" spans="1:18">
      <c r="A29" t="s">
        <v>13</v>
      </c>
      <c r="B29" t="s">
        <v>14</v>
      </c>
      <c r="F29">
        <f t="shared" si="2"/>
        <v>0</v>
      </c>
      <c r="G29">
        <f>G28-H26</f>
        <v>-29.667037630310553</v>
      </c>
      <c r="H29">
        <f>H28*627.51</f>
        <v>-339.58635565096819</v>
      </c>
      <c r="K29">
        <f>C28-C27</f>
        <v>2.3601459000019531E-2</v>
      </c>
    </row>
    <row r="30" spans="1:18">
      <c r="A30" t="s">
        <v>15</v>
      </c>
      <c r="B30" t="s">
        <v>16</v>
      </c>
      <c r="C30">
        <v>-682.60968400000002</v>
      </c>
      <c r="D30">
        <v>-450.85761400000001</v>
      </c>
      <c r="E30">
        <v>-115.691355</v>
      </c>
      <c r="F30">
        <f t="shared" si="2"/>
        <v>22.680093929952648</v>
      </c>
      <c r="G30" t="s">
        <v>17</v>
      </c>
      <c r="I30">
        <v>-298.240568</v>
      </c>
      <c r="J30">
        <v>-297.83506499999999</v>
      </c>
      <c r="K30">
        <v>1000</v>
      </c>
    </row>
    <row r="31" spans="1:18">
      <c r="F31" t="s">
        <v>26</v>
      </c>
      <c r="G31">
        <f>F30-F27</f>
        <v>41.579628362897914</v>
      </c>
      <c r="H31">
        <f>C27-C32</f>
        <v>-0.10183471799996369</v>
      </c>
      <c r="I31">
        <v>-25.363445289375278</v>
      </c>
      <c r="L31">
        <v>627.51</v>
      </c>
    </row>
    <row r="32" spans="1:18">
      <c r="A32" t="s">
        <v>18</v>
      </c>
      <c r="C32">
        <v>-682.66295398600005</v>
      </c>
      <c r="D32">
        <v>-450.869741154</v>
      </c>
      <c r="E32">
        <v>-115.715208574</v>
      </c>
      <c r="F32">
        <f t="shared" ref="F32" si="3">((C32+J32)-(D32+I32+E32*2))*$L$9</f>
        <v>87.29351474446166</v>
      </c>
      <c r="I32">
        <v>-298.22413592300001</v>
      </c>
      <c r="J32">
        <v>-297.72222928500003</v>
      </c>
    </row>
    <row r="34" spans="1:18">
      <c r="E34" t="s">
        <v>69</v>
      </c>
      <c r="G34" t="s">
        <v>34</v>
      </c>
      <c r="H34" t="s">
        <v>41</v>
      </c>
    </row>
    <row r="35" spans="1:18">
      <c r="G35" t="s">
        <v>37</v>
      </c>
      <c r="K35" t="s">
        <v>42</v>
      </c>
      <c r="L35">
        <v>1.9870000000000001</v>
      </c>
      <c r="N35">
        <f>6.212</f>
        <v>6.2119999999999997</v>
      </c>
    </row>
    <row r="36" spans="1:18">
      <c r="A36" s="6"/>
      <c r="B36" s="6"/>
      <c r="C36" s="6" t="s">
        <v>1</v>
      </c>
      <c r="D36" s="6" t="s">
        <v>2</v>
      </c>
      <c r="E36" s="6" t="s">
        <v>3</v>
      </c>
      <c r="F36" s="6" t="s">
        <v>67</v>
      </c>
      <c r="G36" s="6"/>
      <c r="H36" s="6"/>
      <c r="I36" s="6"/>
      <c r="J36" s="6"/>
      <c r="K36" s="6" t="s">
        <v>43</v>
      </c>
      <c r="L36" s="6">
        <v>1.3806619999999999E-23</v>
      </c>
      <c r="M36" s="6"/>
      <c r="N36" s="6">
        <f>N35*1000000000000</f>
        <v>6212000000000</v>
      </c>
      <c r="O36" s="6"/>
      <c r="P36" s="6"/>
      <c r="Q36" s="6"/>
      <c r="R36" s="6"/>
    </row>
    <row r="37" spans="1:18">
      <c r="A37" s="6" t="s">
        <v>6</v>
      </c>
      <c r="B37" s="6" t="s">
        <v>7</v>
      </c>
      <c r="C37" s="6">
        <v>-682.53252599999996</v>
      </c>
      <c r="D37" s="6">
        <v>-451.13136400000002</v>
      </c>
      <c r="E37" s="6">
        <v>-115.68595500000001</v>
      </c>
      <c r="F37" s="6">
        <f>(C37-(D37+E37*2))*$L$9</f>
        <v>-18.355922519955168</v>
      </c>
      <c r="G37" s="6" t="s">
        <v>8</v>
      </c>
      <c r="H37" s="6">
        <v>1.9</v>
      </c>
      <c r="I37" s="6"/>
      <c r="J37" s="6"/>
      <c r="K37" s="6" t="s">
        <v>44</v>
      </c>
      <c r="L37" s="6">
        <v>6.6261759999999997E-34</v>
      </c>
      <c r="M37" s="6" t="s">
        <v>45</v>
      </c>
      <c r="N37" s="6">
        <f>L35*L38</f>
        <v>592.42404999999997</v>
      </c>
      <c r="O37" s="6"/>
      <c r="P37" s="6"/>
      <c r="Q37" s="6" t="s">
        <v>46</v>
      </c>
      <c r="R37" s="6" t="s">
        <v>47</v>
      </c>
    </row>
    <row r="38" spans="1:18">
      <c r="A38" s="6" t="s">
        <v>9</v>
      </c>
      <c r="B38" s="6" t="s">
        <v>10</v>
      </c>
      <c r="C38" s="6">
        <v>-682.76478870400001</v>
      </c>
      <c r="D38" s="6">
        <v>-451.27048767500003</v>
      </c>
      <c r="E38" s="6">
        <v>-115.723635556</v>
      </c>
      <c r="F38" s="6">
        <f>((C38)-(D38+E38*2))*$L$9</f>
        <v>-29.511743216618534</v>
      </c>
      <c r="G38" s="6">
        <f>F38-F43</f>
        <v>15.518470392420134</v>
      </c>
      <c r="H38" s="6">
        <v>3.0279999999999999E-3</v>
      </c>
      <c r="I38" s="6"/>
      <c r="J38" s="6"/>
      <c r="K38" s="6" t="s">
        <v>48</v>
      </c>
      <c r="L38" s="6">
        <v>298.14999999999998</v>
      </c>
      <c r="M38" s="6"/>
      <c r="N38" s="6">
        <v>-460.36573199999998</v>
      </c>
      <c r="O38" s="6"/>
      <c r="P38" s="6"/>
      <c r="Q38" s="6">
        <f>$N$3*(EXP(1)^(-G40*$K$8/$N$4))</f>
        <v>30231469852935.82</v>
      </c>
      <c r="R38" s="6">
        <f>LN(Q38)</f>
        <v>31.039904545864577</v>
      </c>
    </row>
    <row r="39" spans="1:18">
      <c r="A39" s="6" t="s">
        <v>11</v>
      </c>
      <c r="B39" s="6" t="s">
        <v>12</v>
      </c>
      <c r="C39" s="6">
        <v>-682.74118724499999</v>
      </c>
      <c r="D39" s="6">
        <v>-451.24914587400002</v>
      </c>
      <c r="E39" s="6">
        <v>-115.72045574000001</v>
      </c>
      <c r="F39" s="6">
        <f t="shared" ref="F39:F40" si="4">((C39)-(D39+E39*2))*$L$9</f>
        <v>-32.084517901384629</v>
      </c>
      <c r="G39" s="6">
        <f>F37+G38</f>
        <v>-2.837452127535034</v>
      </c>
      <c r="H39" s="6">
        <f>(C39-C43)+C38-(E38*2)-D41-H38</f>
        <v>-0.17924085099994566</v>
      </c>
      <c r="I39" s="6"/>
      <c r="J39" s="6"/>
      <c r="K39" s="6"/>
      <c r="L39" s="6" t="s">
        <v>49</v>
      </c>
      <c r="M39" s="6"/>
      <c r="N39" s="6">
        <f>N38-G39</f>
        <v>-457.52827987246496</v>
      </c>
      <c r="O39" s="6"/>
      <c r="P39" s="6"/>
      <c r="Q39" s="6"/>
      <c r="R39" s="6"/>
    </row>
    <row r="40" spans="1:18">
      <c r="A40" s="6" t="s">
        <v>13</v>
      </c>
      <c r="B40" s="6" t="s">
        <v>14</v>
      </c>
      <c r="C40" s="6"/>
      <c r="D40" s="6"/>
      <c r="E40" s="6"/>
      <c r="F40" s="6">
        <f t="shared" si="4"/>
        <v>0</v>
      </c>
      <c r="G40" s="6">
        <f>G39+H37</f>
        <v>-0.93745212753503404</v>
      </c>
      <c r="H40" s="6">
        <f>H39*627.51</f>
        <v>-112.4754264109759</v>
      </c>
      <c r="I40" s="6"/>
      <c r="J40" s="6"/>
      <c r="K40" s="6">
        <f>C39-C38</f>
        <v>2.3601459000019531E-2</v>
      </c>
      <c r="L40" s="6"/>
      <c r="M40" s="6"/>
      <c r="N40" s="6"/>
      <c r="O40" s="6"/>
      <c r="P40" s="6"/>
      <c r="Q40" s="6"/>
      <c r="R40" s="6"/>
    </row>
    <row r="41" spans="1:18">
      <c r="A41" s="6" t="s">
        <v>15</v>
      </c>
      <c r="B41" s="6" t="s">
        <v>16</v>
      </c>
      <c r="C41" s="6">
        <v>-682.60968400000002</v>
      </c>
      <c r="D41" s="6">
        <v>-451.219538</v>
      </c>
      <c r="E41" s="6">
        <v>-115.691355</v>
      </c>
      <c r="F41" s="6">
        <f>((C41)-(D41+E41*2))*$L$9</f>
        <v>-4.6661643599901064</v>
      </c>
      <c r="G41" s="6" t="s">
        <v>17</v>
      </c>
      <c r="H41" s="6"/>
      <c r="I41" s="6"/>
      <c r="J41" s="6"/>
      <c r="K41" s="6">
        <v>1000</v>
      </c>
      <c r="L41" s="6"/>
      <c r="M41" s="6"/>
      <c r="N41" s="6"/>
      <c r="O41" s="6"/>
      <c r="P41" s="6"/>
      <c r="Q41" s="6"/>
      <c r="R41" s="6"/>
    </row>
    <row r="42" spans="1:18">
      <c r="A42" s="6"/>
      <c r="B42" s="6"/>
      <c r="C42" s="6"/>
      <c r="D42" s="6"/>
      <c r="E42" s="6"/>
      <c r="F42" s="6" t="s">
        <v>26</v>
      </c>
      <c r="G42" s="6">
        <f>F41-F38</f>
        <v>24.845578856628428</v>
      </c>
      <c r="H42" s="6">
        <f>C38-C43</f>
        <v>-0.10183471799996369</v>
      </c>
      <c r="I42" s="6">
        <v>-25.363445289375278</v>
      </c>
      <c r="J42" s="6"/>
      <c r="K42" s="6"/>
      <c r="L42" s="6">
        <v>627.51</v>
      </c>
      <c r="M42" s="6"/>
      <c r="N42" s="6"/>
      <c r="O42" s="6"/>
      <c r="P42" s="6"/>
      <c r="Q42" s="6"/>
      <c r="R42" s="6"/>
    </row>
    <row r="43" spans="1:18">
      <c r="A43" s="6" t="s">
        <v>18</v>
      </c>
      <c r="B43" s="6"/>
      <c r="C43" s="6">
        <v>-682.66295398600005</v>
      </c>
      <c r="D43" s="6">
        <v>-451.16077668499997</v>
      </c>
      <c r="E43" s="6">
        <v>-115.715208574</v>
      </c>
      <c r="F43" s="6">
        <f>((C43)-(D43+E43*2))*$L$9</f>
        <v>-45.030213609038668</v>
      </c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</row>
    <row r="46" spans="1:18">
      <c r="E46" t="s">
        <v>19</v>
      </c>
      <c r="K46" t="s">
        <v>42</v>
      </c>
      <c r="L46">
        <v>1.9870000000000001</v>
      </c>
      <c r="N46">
        <f>6.212</f>
        <v>6.2119999999999997</v>
      </c>
    </row>
    <row r="47" spans="1:18">
      <c r="C47" t="s">
        <v>4</v>
      </c>
      <c r="D47" t="s">
        <v>80</v>
      </c>
      <c r="E47" t="s">
        <v>3</v>
      </c>
      <c r="H47" t="s">
        <v>29</v>
      </c>
      <c r="J47" t="s">
        <v>21</v>
      </c>
      <c r="K47" t="s">
        <v>43</v>
      </c>
      <c r="L47">
        <v>1.3806619999999999E-23</v>
      </c>
      <c r="N47">
        <f>N46*1000000000000</f>
        <v>6212000000000</v>
      </c>
    </row>
    <row r="48" spans="1:18">
      <c r="A48" t="s">
        <v>6</v>
      </c>
      <c r="B48" t="s">
        <v>7</v>
      </c>
      <c r="C48">
        <v>-460.80908899999997</v>
      </c>
      <c r="D48">
        <v>-613.70176500000002</v>
      </c>
      <c r="E48">
        <v>-115.68595500000001</v>
      </c>
      <c r="F48">
        <f>((C48+E48+J48)-(O48))*$L$9</f>
        <v>-9.099522509997275</v>
      </c>
      <c r="G48" t="s">
        <v>8</v>
      </c>
      <c r="H48">
        <v>1.9</v>
      </c>
      <c r="I48" t="s">
        <v>27</v>
      </c>
      <c r="J48">
        <v>-268.62683900000002</v>
      </c>
      <c r="K48" t="s">
        <v>44</v>
      </c>
      <c r="L48">
        <v>6.6261759999999997E-34</v>
      </c>
      <c r="M48" t="s">
        <v>45</v>
      </c>
      <c r="N48">
        <f>L46*L49</f>
        <v>592.42404999999997</v>
      </c>
      <c r="O48">
        <v>-845.10738200000003</v>
      </c>
    </row>
    <row r="49" spans="1:15">
      <c r="A49" t="s">
        <v>9</v>
      </c>
      <c r="B49" t="s">
        <v>10</v>
      </c>
      <c r="C49">
        <v>-460.80368080599999</v>
      </c>
      <c r="D49">
        <v>-613.83955980300004</v>
      </c>
      <c r="E49">
        <v>-115.723635556</v>
      </c>
      <c r="F49">
        <f t="shared" ref="F49:F52" si="5">((C49+E49+J49)-(O49))*$L$9</f>
        <v>6.8035506439107438</v>
      </c>
      <c r="G49">
        <f>F49-F54</f>
        <v>-8.8915707160641162</v>
      </c>
      <c r="H49">
        <v>3.0279999999999999E-3</v>
      </c>
      <c r="I49" t="s">
        <v>28</v>
      </c>
      <c r="J49">
        <v>-268.80305569900003</v>
      </c>
      <c r="K49" t="s">
        <v>48</v>
      </c>
      <c r="L49">
        <v>298.14999999999998</v>
      </c>
      <c r="N49">
        <v>-460.36573199999998</v>
      </c>
      <c r="O49">
        <v>-845.34121419999997</v>
      </c>
    </row>
    <row r="50" spans="1:15">
      <c r="A50" t="s">
        <v>11</v>
      </c>
      <c r="B50" t="s">
        <v>12</v>
      </c>
      <c r="C50">
        <v>-460.80111967400001</v>
      </c>
      <c r="D50">
        <v>-613.82543056099996</v>
      </c>
      <c r="E50">
        <v>-115.72045574000001</v>
      </c>
      <c r="F50">
        <f t="shared" si="5"/>
        <v>3.477819179986386</v>
      </c>
      <c r="G50">
        <f>F48+G49</f>
        <v>-17.991093226061391</v>
      </c>
      <c r="J50">
        <v>-268.78633053300001</v>
      </c>
      <c r="L50" t="s">
        <v>49</v>
      </c>
      <c r="N50">
        <f>N49-G50</f>
        <v>-442.37463877393861</v>
      </c>
      <c r="O50">
        <v>-845.31344820000004</v>
      </c>
    </row>
    <row r="51" spans="1:15">
      <c r="A51" t="s">
        <v>13</v>
      </c>
      <c r="B51" t="s">
        <v>14</v>
      </c>
      <c r="F51">
        <f t="shared" si="5"/>
        <v>0</v>
      </c>
      <c r="G51">
        <f>G50+H48</f>
        <v>-16.091093226061393</v>
      </c>
    </row>
    <row r="52" spans="1:15">
      <c r="A52" t="s">
        <v>15</v>
      </c>
      <c r="B52" t="s">
        <v>16</v>
      </c>
      <c r="C52">
        <v>-460.812162</v>
      </c>
      <c r="D52">
        <v>-613.79360199999996</v>
      </c>
      <c r="E52">
        <v>-115.691355</v>
      </c>
      <c r="F52">
        <f t="shared" si="5"/>
        <v>-19.885164390017884</v>
      </c>
      <c r="G52" t="s">
        <v>17</v>
      </c>
      <c r="J52">
        <v>-268.71275400000002</v>
      </c>
      <c r="K52">
        <v>1000</v>
      </c>
      <c r="O52">
        <v>-845.18458199999998</v>
      </c>
    </row>
    <row r="53" spans="1:15">
      <c r="C53">
        <v>-25.363445289375278</v>
      </c>
      <c r="F53" t="s">
        <v>26</v>
      </c>
      <c r="G53">
        <f>F52-F49</f>
        <v>-26.688715033928627</v>
      </c>
      <c r="L53">
        <v>627.51</v>
      </c>
    </row>
    <row r="54" spans="1:15">
      <c r="A54" t="s">
        <v>18</v>
      </c>
      <c r="C54">
        <v>-460.798058438</v>
      </c>
      <c r="D54">
        <v>-613.73432113399997</v>
      </c>
      <c r="E54">
        <v>-115.715208574</v>
      </c>
      <c r="F54">
        <f>((C54+E54+J54)-(O54))*$L$9</f>
        <v>15.695121359974859</v>
      </c>
      <c r="J54">
        <v>-268.69920754100002</v>
      </c>
      <c r="O54">
        <v>-845.2374863</v>
      </c>
    </row>
    <row r="56" spans="1:15">
      <c r="E56" t="s">
        <v>19</v>
      </c>
      <c r="K56" t="s">
        <v>42</v>
      </c>
      <c r="L56">
        <v>1.9870000000000001</v>
      </c>
      <c r="N56">
        <f>6.212</f>
        <v>6.2119999999999997</v>
      </c>
    </row>
    <row r="57" spans="1:15">
      <c r="C57" t="s">
        <v>71</v>
      </c>
      <c r="D57" t="s">
        <v>81</v>
      </c>
      <c r="E57" t="s">
        <v>3</v>
      </c>
      <c r="H57" t="s">
        <v>29</v>
      </c>
      <c r="J57" t="s">
        <v>21</v>
      </c>
      <c r="K57" t="s">
        <v>43</v>
      </c>
      <c r="L57">
        <v>1.3806619999999999E-23</v>
      </c>
      <c r="N57">
        <f>N56*1000000000000</f>
        <v>6212000000000</v>
      </c>
    </row>
    <row r="58" spans="1:15">
      <c r="A58" t="s">
        <v>6</v>
      </c>
      <c r="B58" t="s">
        <v>7</v>
      </c>
      <c r="C58">
        <v>-2574.8036769999999</v>
      </c>
      <c r="D58">
        <v>-2727.6922810000001</v>
      </c>
      <c r="E58">
        <v>-115.68595500000001</v>
      </c>
      <c r="F58">
        <f>((C58+E58+J58)-(O58))*$L$9</f>
        <v>-17.7641805898797</v>
      </c>
      <c r="G58" t="s">
        <v>8</v>
      </c>
      <c r="H58">
        <v>1.9</v>
      </c>
      <c r="I58" t="s">
        <v>27</v>
      </c>
      <c r="J58">
        <v>-268.62683900000002</v>
      </c>
      <c r="K58" t="s">
        <v>44</v>
      </c>
      <c r="L58">
        <v>6.6261759999999997E-34</v>
      </c>
      <c r="M58" t="s">
        <v>45</v>
      </c>
      <c r="N58">
        <f>L56*L59</f>
        <v>592.42404999999997</v>
      </c>
      <c r="O58">
        <v>-2959.088162</v>
      </c>
    </row>
    <row r="59" spans="1:15">
      <c r="A59" t="s">
        <v>9</v>
      </c>
      <c r="B59" t="s">
        <v>10</v>
      </c>
      <c r="C59">
        <v>-2574.7947451199998</v>
      </c>
      <c r="D59">
        <v>-2727.8281665700001</v>
      </c>
      <c r="E59">
        <v>-115.723635556</v>
      </c>
      <c r="F59">
        <f t="shared" ref="F59:F64" si="6">((C59+E59+J59)-(O59))*$L$9</f>
        <v>8.0284413789100206</v>
      </c>
      <c r="G59">
        <f>F59-F64</f>
        <v>-0.92396454925079397</v>
      </c>
      <c r="H59">
        <v>3.0279999999999999E-3</v>
      </c>
      <c r="I59" t="s">
        <v>28</v>
      </c>
      <c r="J59">
        <v>-268.80305569900003</v>
      </c>
      <c r="K59" t="s">
        <v>48</v>
      </c>
      <c r="L59">
        <v>298.14999999999998</v>
      </c>
      <c r="N59">
        <v>-460.36573199999998</v>
      </c>
      <c r="O59">
        <v>-2959.3342305000001</v>
      </c>
    </row>
    <row r="60" spans="1:15">
      <c r="A60" t="s">
        <v>11</v>
      </c>
      <c r="B60" t="s">
        <v>12</v>
      </c>
      <c r="C60">
        <v>-2574.7931301200001</v>
      </c>
      <c r="D60">
        <v>-2727.8142691399999</v>
      </c>
      <c r="E60">
        <v>-115.72045574000001</v>
      </c>
      <c r="F60">
        <f t="shared" si="6"/>
        <v>4.2884077323973129</v>
      </c>
      <c r="G60">
        <f>F58+G59</f>
        <v>-18.688145139130494</v>
      </c>
      <c r="J60">
        <v>-268.78633053300001</v>
      </c>
      <c r="L60" t="s">
        <v>49</v>
      </c>
      <c r="N60">
        <f>N59-G60</f>
        <v>-441.6775868608695</v>
      </c>
      <c r="O60">
        <v>-2959.3067504000001</v>
      </c>
    </row>
    <row r="61" spans="1:15">
      <c r="A61" t="s">
        <v>13</v>
      </c>
      <c r="B61" t="s">
        <v>14</v>
      </c>
      <c r="F61">
        <f t="shared" si="6"/>
        <v>0</v>
      </c>
      <c r="G61">
        <f>G60+H58</f>
        <v>-16.788145139130496</v>
      </c>
    </row>
    <row r="62" spans="1:15">
      <c r="A62" t="s">
        <v>15</v>
      </c>
      <c r="B62" t="s">
        <v>16</v>
      </c>
      <c r="C62">
        <v>-2574.8062500000001</v>
      </c>
      <c r="D62">
        <v>-2727.7833070000001</v>
      </c>
      <c r="E62">
        <v>-115.691355</v>
      </c>
      <c r="F62">
        <f t="shared" si="6"/>
        <v>-20.710340040217382</v>
      </c>
      <c r="G62" t="s">
        <v>17</v>
      </c>
      <c r="J62">
        <v>-268.71275400000002</v>
      </c>
      <c r="K62">
        <v>1000</v>
      </c>
      <c r="O62">
        <v>-2959.1773549999998</v>
      </c>
    </row>
    <row r="63" spans="1:15">
      <c r="F63" t="s">
        <v>26</v>
      </c>
      <c r="G63">
        <f>F62-F59</f>
        <v>-28.738781419127402</v>
      </c>
      <c r="L63">
        <v>627.51</v>
      </c>
    </row>
    <row r="64" spans="1:15">
      <c r="A64" t="s">
        <v>18</v>
      </c>
      <c r="C64">
        <v>-2574.7905572300001</v>
      </c>
      <c r="D64">
        <v>-2727.7231279399998</v>
      </c>
      <c r="E64">
        <v>-115.715208574</v>
      </c>
      <c r="F64">
        <f t="shared" si="6"/>
        <v>8.9524059281608146</v>
      </c>
      <c r="J64">
        <v>-268.69920754100002</v>
      </c>
      <c r="O64">
        <v>-2959.2192399</v>
      </c>
    </row>
    <row r="66" spans="1:15">
      <c r="E66" t="s">
        <v>19</v>
      </c>
      <c r="K66" t="s">
        <v>42</v>
      </c>
      <c r="L66">
        <v>1.9870000000000001</v>
      </c>
      <c r="N66">
        <f>6.212</f>
        <v>6.2119999999999997</v>
      </c>
    </row>
    <row r="67" spans="1:15">
      <c r="C67" t="s">
        <v>73</v>
      </c>
      <c r="D67" t="s">
        <v>82</v>
      </c>
      <c r="E67" t="s">
        <v>3</v>
      </c>
      <c r="H67" t="s">
        <v>29</v>
      </c>
      <c r="J67" t="s">
        <v>21</v>
      </c>
      <c r="K67" t="s">
        <v>43</v>
      </c>
      <c r="L67">
        <v>1.3806619999999999E-23</v>
      </c>
      <c r="N67">
        <f>N66*1000000000000</f>
        <v>6212000000000</v>
      </c>
    </row>
    <row r="68" spans="1:15">
      <c r="A68" t="s">
        <v>6</v>
      </c>
      <c r="B68" t="s">
        <v>7</v>
      </c>
      <c r="C68">
        <v>-298.23862100000002</v>
      </c>
      <c r="D68">
        <v>-451.13136400000002</v>
      </c>
      <c r="E68">
        <v>-115.68595500000001</v>
      </c>
      <c r="F68">
        <f>((C68+E68+J68)-(O68))*$L$9</f>
        <v>-9.1020325499909376</v>
      </c>
      <c r="G68" t="s">
        <v>8</v>
      </c>
      <c r="H68">
        <v>1.9</v>
      </c>
      <c r="I68" t="s">
        <v>27</v>
      </c>
      <c r="J68">
        <v>-268.62683900000002</v>
      </c>
      <c r="K68" t="s">
        <v>44</v>
      </c>
      <c r="L68">
        <v>6.6261759999999997E-34</v>
      </c>
      <c r="M68" t="s">
        <v>45</v>
      </c>
      <c r="N68">
        <f>L66*L69</f>
        <v>592.42404999999997</v>
      </c>
      <c r="O68">
        <v>-682.53691000000003</v>
      </c>
    </row>
    <row r="69" spans="1:15">
      <c r="A69" t="s">
        <v>9</v>
      </c>
      <c r="B69" t="s">
        <v>10</v>
      </c>
      <c r="C69">
        <v>-298.22699980300001</v>
      </c>
      <c r="D69">
        <v>-451.27048767500003</v>
      </c>
      <c r="E69">
        <v>-115.723635556</v>
      </c>
      <c r="F69">
        <f t="shared" ref="F69:F74" si="7">((C69+E69+J69)-(O69))*$L$9</f>
        <v>-26.351189327538602</v>
      </c>
      <c r="G69">
        <f>F69-F74</f>
        <v>-42.77611423021888</v>
      </c>
      <c r="H69">
        <v>3.0279999999999999E-3</v>
      </c>
      <c r="I69" t="s">
        <v>28</v>
      </c>
      <c r="J69">
        <v>-268.80305569900003</v>
      </c>
      <c r="K69" t="s">
        <v>48</v>
      </c>
      <c r="L69">
        <v>298.14999999999998</v>
      </c>
      <c r="N69">
        <v>-460.36573199999998</v>
      </c>
      <c r="O69">
        <v>-682.71169780000002</v>
      </c>
    </row>
    <row r="70" spans="1:15">
      <c r="A70" t="s">
        <v>11</v>
      </c>
      <c r="B70" t="s">
        <v>12</v>
      </c>
      <c r="C70">
        <v>-298.22608412699998</v>
      </c>
      <c r="D70">
        <v>-451.24914587400002</v>
      </c>
      <c r="E70">
        <v>-115.72045574000001</v>
      </c>
      <c r="F70">
        <f t="shared" si="7"/>
        <v>6.7819398270629643</v>
      </c>
      <c r="G70">
        <f>F68+G69</f>
        <v>-51.878146780209818</v>
      </c>
      <c r="J70">
        <v>-268.78633053300001</v>
      </c>
      <c r="L70" t="s">
        <v>49</v>
      </c>
      <c r="N70">
        <f>N69-G70</f>
        <v>-408.48758521979016</v>
      </c>
      <c r="O70">
        <v>-682.74367810000001</v>
      </c>
    </row>
    <row r="71" spans="1:15">
      <c r="A71" t="s">
        <v>13</v>
      </c>
      <c r="B71" t="s">
        <v>14</v>
      </c>
      <c r="F71">
        <f t="shared" si="7"/>
        <v>0</v>
      </c>
      <c r="G71">
        <f>G70+H68</f>
        <v>-49.978146780209819</v>
      </c>
    </row>
    <row r="72" spans="1:15">
      <c r="A72" t="s">
        <v>15</v>
      </c>
      <c r="B72" t="s">
        <v>16</v>
      </c>
      <c r="C72">
        <v>-298.240568</v>
      </c>
      <c r="D72">
        <v>-451.219538</v>
      </c>
      <c r="E72">
        <v>-115.691355</v>
      </c>
      <c r="F72">
        <f t="shared" si="7"/>
        <v>-19.050576089984826</v>
      </c>
      <c r="G72" t="s">
        <v>17</v>
      </c>
      <c r="J72">
        <v>-268.71275400000002</v>
      </c>
      <c r="K72">
        <v>1000</v>
      </c>
      <c r="O72">
        <v>-682.61431800000003</v>
      </c>
    </row>
    <row r="73" spans="1:15">
      <c r="F73" t="s">
        <v>26</v>
      </c>
      <c r="G73">
        <f>F72-F69</f>
        <v>7.300613237553776</v>
      </c>
      <c r="L73">
        <v>627.51</v>
      </c>
    </row>
    <row r="74" spans="1:15">
      <c r="A74" t="s">
        <v>18</v>
      </c>
      <c r="C74">
        <v>-298.22413592300001</v>
      </c>
      <c r="D74">
        <v>-451.16077668499997</v>
      </c>
      <c r="E74">
        <v>-115.715208574</v>
      </c>
      <c r="F74">
        <f t="shared" si="7"/>
        <v>16.424924902680274</v>
      </c>
      <c r="J74">
        <v>-268.69920754100002</v>
      </c>
      <c r="O74">
        <v>-682.66472680000004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workbookViewId="0">
      <selection activeCell="N62" sqref="N62"/>
    </sheetView>
  </sheetViews>
  <sheetFormatPr baseColWidth="10" defaultColWidth="8.83203125" defaultRowHeight="14" x14ac:dyDescent="0"/>
  <sheetData>
    <row r="1" spans="1:12">
      <c r="C1" t="s">
        <v>100</v>
      </c>
      <c r="E1" t="s">
        <v>30</v>
      </c>
      <c r="G1" t="s">
        <v>98</v>
      </c>
    </row>
    <row r="2" spans="1:12">
      <c r="C2" t="s">
        <v>1</v>
      </c>
      <c r="D2" t="s">
        <v>92</v>
      </c>
      <c r="G2" t="s">
        <v>102</v>
      </c>
      <c r="H2" t="s">
        <v>101</v>
      </c>
      <c r="K2">
        <v>627.51</v>
      </c>
    </row>
    <row r="3" spans="1:12">
      <c r="A3" t="s">
        <v>93</v>
      </c>
      <c r="C3">
        <v>-460.78333400000002</v>
      </c>
      <c r="D3">
        <v>-460.77962600000001</v>
      </c>
      <c r="E3">
        <f>(C3-D3)*$K$2</f>
        <v>-2.3268070800108962</v>
      </c>
      <c r="I3" t="s">
        <v>92</v>
      </c>
      <c r="J3" t="s">
        <v>2</v>
      </c>
      <c r="K3" t="s">
        <v>3</v>
      </c>
    </row>
    <row r="4" spans="1:12">
      <c r="A4" t="s">
        <v>94</v>
      </c>
      <c r="C4">
        <v>-484.81927999999999</v>
      </c>
      <c r="D4">
        <v>-484.82079499999998</v>
      </c>
      <c r="E4">
        <f t="shared" ref="E4:E7" si="0">(C4-D4)*$K$2</f>
        <v>0.95067764998964721</v>
      </c>
      <c r="H4" t="s">
        <v>93</v>
      </c>
      <c r="I4">
        <v>-460.78333400000002</v>
      </c>
      <c r="J4">
        <v>-229.43500700000001</v>
      </c>
      <c r="K4">
        <v>-115.667423</v>
      </c>
      <c r="L4">
        <f>(I4-(J4+(K4*2)))*$K$2</f>
        <v>-8.4594623100081296</v>
      </c>
    </row>
    <row r="5" spans="1:12">
      <c r="A5" t="s">
        <v>95</v>
      </c>
      <c r="C5">
        <v>-845.15432499999997</v>
      </c>
      <c r="D5">
        <v>-845.15857500000004</v>
      </c>
      <c r="E5">
        <f t="shared" si="0"/>
        <v>2.6669175000439451</v>
      </c>
      <c r="H5" t="s">
        <v>94</v>
      </c>
      <c r="I5">
        <v>-484.81927999999999</v>
      </c>
      <c r="J5">
        <v>-253.43764300000001</v>
      </c>
      <c r="K5">
        <v>-115.667423</v>
      </c>
      <c r="L5">
        <f>(I5-(J5+(K5*2)))*$K$2</f>
        <v>-29.361820409990404</v>
      </c>
    </row>
    <row r="6" spans="1:12">
      <c r="A6" t="s">
        <v>96</v>
      </c>
      <c r="C6">
        <v>-2959.1478980000002</v>
      </c>
      <c r="D6">
        <v>-2959.1511169999999</v>
      </c>
      <c r="E6">
        <f t="shared" si="0"/>
        <v>2.0199546898225389</v>
      </c>
      <c r="H6" t="s">
        <v>95</v>
      </c>
      <c r="I6">
        <v>-845.15432499999997</v>
      </c>
      <c r="J6">
        <v>-613.77572499999997</v>
      </c>
      <c r="K6">
        <v>-115.667423</v>
      </c>
      <c r="L6">
        <f>(I6-(J6+(K6*2)))*$K$2</f>
        <v>-27.456072540022198</v>
      </c>
    </row>
    <row r="7" spans="1:12">
      <c r="A7" t="s">
        <v>97</v>
      </c>
      <c r="C7">
        <v>-682.58410700000002</v>
      </c>
      <c r="D7">
        <v>-682.55693299999996</v>
      </c>
      <c r="E7">
        <f t="shared" si="0"/>
        <v>-17.051956740037081</v>
      </c>
      <c r="H7" t="s">
        <v>96</v>
      </c>
      <c r="I7">
        <v>-2959.1478980000002</v>
      </c>
      <c r="J7">
        <v>-2727.7656099999999</v>
      </c>
      <c r="K7">
        <v>-115.667423</v>
      </c>
      <c r="L7">
        <f>(I7-(J7+(K7*2)))*$K$2</f>
        <v>-29.77032942002911</v>
      </c>
    </row>
    <row r="8" spans="1:12">
      <c r="H8" t="s">
        <v>97</v>
      </c>
      <c r="I8">
        <v>-682.58410700000002</v>
      </c>
      <c r="J8">
        <v>-451.20776699999999</v>
      </c>
      <c r="K8">
        <v>-115.667423</v>
      </c>
      <c r="L8">
        <f>(I8-(J8+(K8*2)))*$K$2</f>
        <v>-26.037899940035757</v>
      </c>
    </row>
    <row r="9" spans="1:12">
      <c r="F9" t="s">
        <v>99</v>
      </c>
    </row>
    <row r="10" spans="1:12">
      <c r="C10" t="s">
        <v>1</v>
      </c>
      <c r="D10" t="s">
        <v>92</v>
      </c>
      <c r="I10" t="s">
        <v>92</v>
      </c>
      <c r="J10" t="s">
        <v>2</v>
      </c>
      <c r="K10" t="s">
        <v>3</v>
      </c>
    </row>
    <row r="11" spans="1:12">
      <c r="A11" t="s">
        <v>93</v>
      </c>
      <c r="C11">
        <v>98.59</v>
      </c>
      <c r="D11">
        <v>110.86</v>
      </c>
      <c r="E11">
        <f>(C11-D11)</f>
        <v>-12.269999999999996</v>
      </c>
      <c r="H11" t="s">
        <v>93</v>
      </c>
      <c r="I11">
        <v>110.86</v>
      </c>
      <c r="J11">
        <v>69.296999999999997</v>
      </c>
      <c r="K11">
        <v>56.881999999999998</v>
      </c>
      <c r="L11">
        <f>I11-(J11+(K11*2))</f>
        <v>-72.200999999999979</v>
      </c>
    </row>
    <row r="12" spans="1:12">
      <c r="A12" t="s">
        <v>94</v>
      </c>
      <c r="C12">
        <v>99.313999999999993</v>
      </c>
      <c r="D12">
        <v>100.426</v>
      </c>
      <c r="E12">
        <f t="shared" ref="E12:E15" si="1">(C12-D12)</f>
        <v>-1.112000000000009</v>
      </c>
      <c r="H12" t="s">
        <v>94</v>
      </c>
      <c r="I12">
        <v>100.426</v>
      </c>
      <c r="J12">
        <v>67.209000000000003</v>
      </c>
      <c r="K12">
        <v>56.881999999999998</v>
      </c>
      <c r="L12">
        <f>I12-(J12+(K12*2))</f>
        <v>-80.547000000000011</v>
      </c>
    </row>
    <row r="13" spans="1:12">
      <c r="A13" t="s">
        <v>95</v>
      </c>
      <c r="C13">
        <v>103.914</v>
      </c>
      <c r="D13">
        <v>103.70399999999999</v>
      </c>
      <c r="E13">
        <f t="shared" si="1"/>
        <v>0.21000000000000796</v>
      </c>
      <c r="H13" t="s">
        <v>95</v>
      </c>
      <c r="I13">
        <v>103.70399999999999</v>
      </c>
      <c r="J13">
        <v>67.436000000000007</v>
      </c>
      <c r="K13">
        <v>56.881999999999998</v>
      </c>
      <c r="L13">
        <f>I13-(J13+(K13*2))</f>
        <v>-77.495999999999995</v>
      </c>
    </row>
    <row r="14" spans="1:12">
      <c r="A14" t="s">
        <v>96</v>
      </c>
      <c r="C14">
        <v>103.732</v>
      </c>
      <c r="D14">
        <v>105.02</v>
      </c>
      <c r="E14">
        <f t="shared" si="1"/>
        <v>-1.2879999999999967</v>
      </c>
      <c r="H14" t="s">
        <v>96</v>
      </c>
      <c r="I14">
        <v>105.02</v>
      </c>
      <c r="J14">
        <v>70.218999999999994</v>
      </c>
      <c r="K14">
        <v>56.881999999999998</v>
      </c>
      <c r="L14">
        <f>I14-(J14+(K14*2))</f>
        <v>-78.963000000000008</v>
      </c>
    </row>
    <row r="15" spans="1:12">
      <c r="A15" t="s">
        <v>97</v>
      </c>
      <c r="C15">
        <v>107.36799999999999</v>
      </c>
      <c r="D15">
        <v>121.971</v>
      </c>
      <c r="E15">
        <f t="shared" si="1"/>
        <v>-14.603000000000009</v>
      </c>
      <c r="H15" t="s">
        <v>97</v>
      </c>
      <c r="I15">
        <v>121.971</v>
      </c>
      <c r="J15">
        <v>72.463999999999999</v>
      </c>
      <c r="K15">
        <v>56.881999999999998</v>
      </c>
      <c r="L15">
        <f>I15-(J15+(K15*2))</f>
        <v>-64.257000000000005</v>
      </c>
    </row>
    <row r="17" spans="1:12">
      <c r="C17" t="s">
        <v>103</v>
      </c>
      <c r="E17" t="s">
        <v>30</v>
      </c>
      <c r="G17" t="s">
        <v>98</v>
      </c>
    </row>
    <row r="18" spans="1:12">
      <c r="C18" t="s">
        <v>1</v>
      </c>
      <c r="D18" t="s">
        <v>92</v>
      </c>
      <c r="G18" t="s">
        <v>102</v>
      </c>
      <c r="H18" t="s">
        <v>101</v>
      </c>
      <c r="K18">
        <v>627.51</v>
      </c>
    </row>
    <row r="19" spans="1:12">
      <c r="A19" t="s">
        <v>93</v>
      </c>
      <c r="C19">
        <v>-460.68377099999998</v>
      </c>
      <c r="D19">
        <v>-460.77962600000001</v>
      </c>
      <c r="E19">
        <f>(C19-D19)*$K$2</f>
        <v>60.149971050017989</v>
      </c>
      <c r="I19" t="s">
        <v>92</v>
      </c>
      <c r="J19" t="s">
        <v>2</v>
      </c>
      <c r="K19" t="s">
        <v>3</v>
      </c>
    </row>
    <row r="20" spans="1:12">
      <c r="A20" t="s">
        <v>94</v>
      </c>
      <c r="C20">
        <v>-484.70290999999997</v>
      </c>
      <c r="D20">
        <v>-484.82079499999998</v>
      </c>
      <c r="E20">
        <f t="shared" ref="E20:E23" si="2">(C20-D20)*$K$2</f>
        <v>73.97401635000071</v>
      </c>
      <c r="H20" t="s">
        <v>93</v>
      </c>
      <c r="I20">
        <v>-460.663884</v>
      </c>
      <c r="J20">
        <v>-229.31865999999999</v>
      </c>
      <c r="K20">
        <v>-115.659066</v>
      </c>
      <c r="L20">
        <f>(I20-(J20+(K20*2)))*$K$2</f>
        <v>-17.000500919988646</v>
      </c>
    </row>
    <row r="21" spans="1:12">
      <c r="A21" t="s">
        <v>95</v>
      </c>
      <c r="C21">
        <v>-845.04926999999998</v>
      </c>
      <c r="D21">
        <v>-845.15857500000004</v>
      </c>
      <c r="E21">
        <f t="shared" si="2"/>
        <v>68.589980550039556</v>
      </c>
      <c r="H21" t="s">
        <v>94</v>
      </c>
      <c r="I21">
        <v>-484.71673199999998</v>
      </c>
      <c r="J21">
        <v>-253.32294099999999</v>
      </c>
      <c r="K21">
        <v>-115.659066</v>
      </c>
      <c r="L21">
        <f>(I21-(J21+(K21*2)))*$K$2</f>
        <v>-47.476779089983232</v>
      </c>
    </row>
    <row r="22" spans="1:12">
      <c r="A22" t="s">
        <v>96</v>
      </c>
      <c r="C22">
        <v>-2959.0531649999998</v>
      </c>
      <c r="D22">
        <v>-2959.1511169999999</v>
      </c>
      <c r="E22">
        <f t="shared" si="2"/>
        <v>61.465859520048653</v>
      </c>
      <c r="H22" t="s">
        <v>95</v>
      </c>
      <c r="I22">
        <v>-845.056558</v>
      </c>
      <c r="J22">
        <v>-613.66978900000004</v>
      </c>
      <c r="K22">
        <v>-115.659066</v>
      </c>
      <c r="L22">
        <f>(I22-(J22+(K22*2)))*$K$2</f>
        <v>-43.070403869979273</v>
      </c>
    </row>
    <row r="23" spans="1:12">
      <c r="A23" t="s">
        <v>97</v>
      </c>
      <c r="C23">
        <v>-682.48210200000005</v>
      </c>
      <c r="D23">
        <v>-682.55693299999996</v>
      </c>
      <c r="E23">
        <f t="shared" si="2"/>
        <v>46.957200809939586</v>
      </c>
      <c r="H23" t="s">
        <v>96</v>
      </c>
      <c r="I23">
        <v>-2959.0370469999998</v>
      </c>
      <c r="J23">
        <v>-2727.6590369999999</v>
      </c>
      <c r="K23">
        <v>-115.659066</v>
      </c>
      <c r="L23">
        <f>(I23-(J23+(K23*2)))*$K$2</f>
        <v>-37.57404378001636</v>
      </c>
    </row>
    <row r="24" spans="1:12">
      <c r="H24" t="s">
        <v>97</v>
      </c>
      <c r="I24">
        <v>-682.45191499999999</v>
      </c>
      <c r="J24">
        <v>-451.09712300000001</v>
      </c>
      <c r="K24">
        <v>-115.659066</v>
      </c>
      <c r="L24">
        <f>(I24-(J24+(K24*2)))*$K$2</f>
        <v>-23.004516599989635</v>
      </c>
    </row>
    <row r="25" spans="1:12">
      <c r="F25" t="s">
        <v>99</v>
      </c>
    </row>
    <row r="26" spans="1:12">
      <c r="C26" t="s">
        <v>1</v>
      </c>
      <c r="D26" t="s">
        <v>92</v>
      </c>
      <c r="I26" t="s">
        <v>92</v>
      </c>
      <c r="J26" t="s">
        <v>2</v>
      </c>
      <c r="K26" t="s">
        <v>3</v>
      </c>
    </row>
    <row r="27" spans="1:12">
      <c r="A27" t="s">
        <v>93</v>
      </c>
      <c r="C27">
        <v>96.933000000000007</v>
      </c>
      <c r="D27">
        <v>110.86</v>
      </c>
      <c r="E27">
        <f>(C27-D27)</f>
        <v>-13.926999999999992</v>
      </c>
      <c r="H27" t="s">
        <v>93</v>
      </c>
      <c r="I27">
        <v>121.17100000000001</v>
      </c>
      <c r="J27">
        <v>69.522999999999996</v>
      </c>
      <c r="K27">
        <v>56.593000000000004</v>
      </c>
      <c r="L27">
        <f>I27-(J27+(K27*2))</f>
        <v>-61.537999999999997</v>
      </c>
    </row>
    <row r="28" spans="1:12">
      <c r="A28" t="s">
        <v>94</v>
      </c>
      <c r="C28">
        <v>99.245999999999995</v>
      </c>
      <c r="D28">
        <v>100.426</v>
      </c>
      <c r="E28">
        <f t="shared" ref="E28:E31" si="3">(C28-D28)</f>
        <v>-1.1800000000000068</v>
      </c>
      <c r="H28" t="s">
        <v>94</v>
      </c>
      <c r="I28">
        <v>107.682</v>
      </c>
      <c r="J28">
        <v>68.209000000000003</v>
      </c>
      <c r="K28">
        <v>56.593000000000004</v>
      </c>
      <c r="L28">
        <f>I28-(J28+(K28*2))</f>
        <v>-73.713000000000008</v>
      </c>
    </row>
    <row r="29" spans="1:12">
      <c r="A29" t="s">
        <v>95</v>
      </c>
      <c r="C29">
        <v>99.465999999999994</v>
      </c>
      <c r="D29">
        <v>103.70399999999999</v>
      </c>
      <c r="E29">
        <f t="shared" si="3"/>
        <v>-4.2379999999999995</v>
      </c>
      <c r="H29" t="s">
        <v>95</v>
      </c>
      <c r="I29">
        <v>106.968</v>
      </c>
      <c r="J29">
        <v>67.299000000000007</v>
      </c>
      <c r="K29">
        <v>56.593000000000004</v>
      </c>
      <c r="L29">
        <f>I29-(J29+(K29*2))</f>
        <v>-73.51700000000001</v>
      </c>
    </row>
    <row r="30" spans="1:12">
      <c r="A30" t="s">
        <v>96</v>
      </c>
      <c r="C30">
        <v>106.523</v>
      </c>
      <c r="D30">
        <v>105.02</v>
      </c>
      <c r="E30">
        <f t="shared" si="3"/>
        <v>1.5030000000000001</v>
      </c>
      <c r="H30" t="s">
        <v>96</v>
      </c>
      <c r="I30">
        <v>107.58</v>
      </c>
      <c r="J30">
        <v>69.968999999999994</v>
      </c>
      <c r="K30">
        <v>56.593000000000004</v>
      </c>
      <c r="L30">
        <f>I30-(J30+(K30*2))</f>
        <v>-75.575000000000003</v>
      </c>
    </row>
    <row r="31" spans="1:12">
      <c r="A31" t="s">
        <v>97</v>
      </c>
      <c r="C31">
        <v>106.126</v>
      </c>
      <c r="D31">
        <v>121.971</v>
      </c>
      <c r="E31">
        <f t="shared" si="3"/>
        <v>-15.844999999999999</v>
      </c>
      <c r="H31" t="s">
        <v>97</v>
      </c>
      <c r="I31">
        <v>118.511</v>
      </c>
      <c r="J31">
        <v>72.066000000000003</v>
      </c>
      <c r="K31">
        <v>56.593000000000004</v>
      </c>
      <c r="L31">
        <f>I31-(J31+(K31*2))</f>
        <v>-66.741000000000014</v>
      </c>
    </row>
    <row r="32" spans="1:12">
      <c r="F32" t="s">
        <v>104</v>
      </c>
      <c r="G32" t="s">
        <v>103</v>
      </c>
    </row>
    <row r="33" spans="6:12">
      <c r="G33" t="s">
        <v>98</v>
      </c>
    </row>
    <row r="34" spans="6:12">
      <c r="G34" t="s">
        <v>102</v>
      </c>
      <c r="H34" t="s">
        <v>101</v>
      </c>
      <c r="K34">
        <v>627.51</v>
      </c>
    </row>
    <row r="35" spans="6:12">
      <c r="F35" t="s">
        <v>107</v>
      </c>
      <c r="G35" t="s">
        <v>106</v>
      </c>
      <c r="I35" t="s">
        <v>105</v>
      </c>
      <c r="J35" t="s">
        <v>2</v>
      </c>
      <c r="K35" t="s">
        <v>3</v>
      </c>
    </row>
    <row r="36" spans="6:12">
      <c r="F36">
        <v>-76.400757999999996</v>
      </c>
      <c r="G36">
        <v>-268.58919400000002</v>
      </c>
      <c r="H36" t="s">
        <v>93</v>
      </c>
      <c r="I36">
        <f>G36+F36+K36</f>
        <v>-460.64901800000001</v>
      </c>
      <c r="J36">
        <v>-229.31865999999999</v>
      </c>
      <c r="K36">
        <v>-115.659066</v>
      </c>
      <c r="L36">
        <f>(I36-(J36+(K36*2)))*$K$2</f>
        <v>-7.6719372599989288</v>
      </c>
    </row>
    <row r="37" spans="6:12">
      <c r="F37">
        <v>-100.43831299999999</v>
      </c>
      <c r="G37">
        <v>-268.58919400000002</v>
      </c>
      <c r="H37" t="s">
        <v>94</v>
      </c>
      <c r="I37">
        <f t="shared" ref="I37:I40" si="4">G37+F37+K37</f>
        <v>-484.68657300000001</v>
      </c>
      <c r="J37">
        <v>-253.32294099999999</v>
      </c>
      <c r="K37">
        <v>-115.659066</v>
      </c>
      <c r="L37">
        <f>(I37-(J37+(K37*2)))*$K$2</f>
        <v>-28.551705000002567</v>
      </c>
    </row>
    <row r="38" spans="6:12">
      <c r="F38">
        <v>-460.78791000000001</v>
      </c>
      <c r="G38">
        <v>-268.58919400000002</v>
      </c>
      <c r="H38" t="s">
        <v>95</v>
      </c>
      <c r="I38">
        <f t="shared" si="4"/>
        <v>-845.03617000000008</v>
      </c>
      <c r="J38">
        <v>-613.66978900000004</v>
      </c>
      <c r="K38">
        <v>-115.659066</v>
      </c>
      <c r="L38">
        <f>(I38-(J38+(K38*2)))*$K$2</f>
        <v>-30.276729990034685</v>
      </c>
    </row>
    <row r="39" spans="6:12">
      <c r="F39">
        <v>-2574.7811499999998</v>
      </c>
      <c r="G39">
        <v>-268.58919400000002</v>
      </c>
      <c r="H39" t="s">
        <v>96</v>
      </c>
      <c r="I39">
        <f t="shared" si="4"/>
        <v>-2959.0294100000001</v>
      </c>
      <c r="J39">
        <v>-2727.6590369999999</v>
      </c>
      <c r="K39">
        <v>-115.659066</v>
      </c>
      <c r="L39">
        <f>(I39-(J39+(K39*2)))*$K$2</f>
        <v>-32.781749910202024</v>
      </c>
    </row>
    <row r="40" spans="6:12">
      <c r="F40">
        <v>-298.215194</v>
      </c>
      <c r="G40">
        <v>-268.58919400000002</v>
      </c>
      <c r="H40" t="s">
        <v>97</v>
      </c>
      <c r="I40">
        <f t="shared" si="4"/>
        <v>-682.46345399999996</v>
      </c>
      <c r="J40">
        <v>-451.09712300000001</v>
      </c>
      <c r="K40">
        <v>-115.659066</v>
      </c>
      <c r="L40">
        <f>(I40-(J40+(K40*2)))*$K$2</f>
        <v>-30.245354489971223</v>
      </c>
    </row>
    <row r="42" spans="6:12">
      <c r="I42" t="s">
        <v>105</v>
      </c>
      <c r="J42" t="s">
        <v>2</v>
      </c>
      <c r="K42" t="s">
        <v>3</v>
      </c>
    </row>
    <row r="43" spans="6:12">
      <c r="F43">
        <v>45.070999999999998</v>
      </c>
      <c r="G43">
        <v>79.231999999999999</v>
      </c>
      <c r="H43" t="s">
        <v>93</v>
      </c>
      <c r="I43">
        <f>F43+G43+K43</f>
        <v>180.89600000000002</v>
      </c>
      <c r="J43">
        <v>69.522999999999996</v>
      </c>
      <c r="K43">
        <v>56.593000000000004</v>
      </c>
      <c r="L43">
        <f>I43-(J43+(K43*2))</f>
        <v>-1.8129999999999882</v>
      </c>
    </row>
    <row r="44" spans="6:12">
      <c r="F44">
        <v>41.476999999999997</v>
      </c>
      <c r="G44">
        <v>79.231999999999999</v>
      </c>
      <c r="H44" t="s">
        <v>94</v>
      </c>
      <c r="I44">
        <f t="shared" ref="I44:I47" si="5">F44+G44+K44</f>
        <v>177.30200000000002</v>
      </c>
      <c r="J44">
        <v>68.209000000000003</v>
      </c>
      <c r="K44">
        <v>56.593000000000004</v>
      </c>
      <c r="L44">
        <f>I44-(J44+(K44*2))</f>
        <v>-4.0929999999999893</v>
      </c>
    </row>
    <row r="45" spans="6:12">
      <c r="F45">
        <v>44.576000000000001</v>
      </c>
      <c r="G45">
        <v>79.231999999999999</v>
      </c>
      <c r="H45" t="s">
        <v>95</v>
      </c>
      <c r="I45">
        <f t="shared" si="5"/>
        <v>180.40100000000001</v>
      </c>
      <c r="J45">
        <v>67.299000000000007</v>
      </c>
      <c r="K45">
        <v>56.593000000000004</v>
      </c>
      <c r="L45">
        <f>I45-(J45+(K45*2))</f>
        <v>-8.4000000000003183E-2</v>
      </c>
    </row>
    <row r="46" spans="6:12">
      <c r="F46">
        <v>47.412999999999997</v>
      </c>
      <c r="G46">
        <v>79.231999999999999</v>
      </c>
      <c r="H46" t="s">
        <v>96</v>
      </c>
      <c r="I46">
        <f t="shared" si="5"/>
        <v>183.238</v>
      </c>
      <c r="J46">
        <v>69.968999999999994</v>
      </c>
      <c r="K46">
        <v>56.593000000000004</v>
      </c>
      <c r="L46">
        <f>I46-(J46+(K46*2))</f>
        <v>8.2999999999998408E-2</v>
      </c>
    </row>
    <row r="47" spans="6:12">
      <c r="F47">
        <v>49.305999999999997</v>
      </c>
      <c r="G47">
        <v>79.231999999999999</v>
      </c>
      <c r="H47" t="s">
        <v>97</v>
      </c>
      <c r="I47">
        <f t="shared" si="5"/>
        <v>185.13100000000003</v>
      </c>
      <c r="J47">
        <v>72.066000000000003</v>
      </c>
      <c r="K47">
        <v>56.593000000000004</v>
      </c>
      <c r="L47">
        <f>I47-(J47+(K47*2))</f>
        <v>-0.1209999999999809</v>
      </c>
    </row>
    <row r="49" spans="6:12">
      <c r="F49" t="s">
        <v>104</v>
      </c>
      <c r="G49" t="s">
        <v>108</v>
      </c>
    </row>
    <row r="50" spans="6:12">
      <c r="G50" t="s">
        <v>98</v>
      </c>
    </row>
    <row r="51" spans="6:12">
      <c r="G51" t="s">
        <v>102</v>
      </c>
      <c r="H51" t="s">
        <v>101</v>
      </c>
      <c r="K51">
        <v>627.51</v>
      </c>
    </row>
    <row r="52" spans="6:12">
      <c r="F52" t="s">
        <v>107</v>
      </c>
      <c r="G52" t="s">
        <v>106</v>
      </c>
      <c r="I52" t="s">
        <v>105</v>
      </c>
      <c r="J52" t="s">
        <v>2</v>
      </c>
      <c r="K52" t="s">
        <v>3</v>
      </c>
    </row>
    <row r="53" spans="6:12">
      <c r="F53">
        <v>-76.414159999999995</v>
      </c>
      <c r="G53">
        <v>-268.69408499999997</v>
      </c>
      <c r="H53" t="s">
        <v>93</v>
      </c>
      <c r="I53">
        <f>G53+F53+K53</f>
        <v>-460.77566799999994</v>
      </c>
      <c r="J53">
        <v>-229.43500700000001</v>
      </c>
      <c r="K53">
        <v>-115.667423</v>
      </c>
      <c r="L53">
        <f>(I53-(J53+(K53*2)))*$K$2</f>
        <v>-3.6489706499543768</v>
      </c>
    </row>
    <row r="54" spans="6:12">
      <c r="F54">
        <v>-100.44778599999999</v>
      </c>
      <c r="G54">
        <v>-268.69408499999997</v>
      </c>
      <c r="H54" t="s">
        <v>94</v>
      </c>
      <c r="I54">
        <f t="shared" ref="I54:I57" si="6">G54+F54+K54</f>
        <v>-484.80929399999997</v>
      </c>
      <c r="J54">
        <v>-253.43764300000001</v>
      </c>
      <c r="K54">
        <v>-115.667423</v>
      </c>
      <c r="L54">
        <f>(I54-(J54+(K54*2)))*$K$2</f>
        <v>-23.095505549973929</v>
      </c>
    </row>
    <row r="55" spans="6:12">
      <c r="F55">
        <v>-460.79354699999999</v>
      </c>
      <c r="G55">
        <v>-268.69408499999997</v>
      </c>
      <c r="H55" t="s">
        <v>95</v>
      </c>
      <c r="I55">
        <f t="shared" si="6"/>
        <v>-845.15505499999995</v>
      </c>
      <c r="J55">
        <v>-613.77572499999997</v>
      </c>
      <c r="K55">
        <v>-115.667423</v>
      </c>
      <c r="L55">
        <f>(I55-(J55+(K55*2)))*$K$2</f>
        <v>-27.914154840007086</v>
      </c>
    </row>
    <row r="56" spans="6:12">
      <c r="F56">
        <v>-2574.7853599999999</v>
      </c>
      <c r="G56">
        <v>-268.69408499999997</v>
      </c>
      <c r="H56" t="s">
        <v>96</v>
      </c>
      <c r="I56">
        <f t="shared" si="6"/>
        <v>-2959.1468679999998</v>
      </c>
      <c r="J56">
        <v>-2727.7656099999999</v>
      </c>
      <c r="K56">
        <v>-115.667423</v>
      </c>
      <c r="L56">
        <f>(I56-(J56+(K56*2)))*$K$2</f>
        <v>-29.12399411980612</v>
      </c>
    </row>
    <row r="57" spans="6:12">
      <c r="F57">
        <v>-298.21805699999999</v>
      </c>
      <c r="G57">
        <v>-268.69408499999997</v>
      </c>
      <c r="H57" t="s">
        <v>97</v>
      </c>
      <c r="I57">
        <f t="shared" si="6"/>
        <v>-682.57956499999989</v>
      </c>
      <c r="J57">
        <v>-451.20776699999999</v>
      </c>
      <c r="K57">
        <v>-115.667423</v>
      </c>
      <c r="L57">
        <f>(I57-(J57+(K57*2)))*$K$2</f>
        <v>-23.187749519955055</v>
      </c>
    </row>
    <row r="59" spans="6:12">
      <c r="I59" t="s">
        <v>105</v>
      </c>
      <c r="J59" t="s">
        <v>2</v>
      </c>
      <c r="K59" t="s">
        <v>3</v>
      </c>
    </row>
    <row r="60" spans="6:12">
      <c r="F60">
        <v>45.072000000000003</v>
      </c>
      <c r="G60">
        <v>72.954999999999998</v>
      </c>
      <c r="H60" t="s">
        <v>93</v>
      </c>
      <c r="I60">
        <f>F60+G60+K60</f>
        <v>174.90899999999999</v>
      </c>
      <c r="J60">
        <v>69.296999999999997</v>
      </c>
      <c r="K60">
        <v>56.881999999999998</v>
      </c>
      <c r="L60">
        <f>I60-(J60+(K60*2))</f>
        <v>-8.1519999999999868</v>
      </c>
    </row>
    <row r="61" spans="6:12">
      <c r="F61">
        <v>41.476999999999997</v>
      </c>
      <c r="G61">
        <v>72.954999999999998</v>
      </c>
      <c r="H61" t="s">
        <v>94</v>
      </c>
      <c r="I61">
        <f t="shared" ref="I61:I64" si="7">F61+G61+K61</f>
        <v>171.31399999999999</v>
      </c>
      <c r="J61">
        <v>67.209000000000003</v>
      </c>
      <c r="K61">
        <v>56.881999999999998</v>
      </c>
      <c r="L61">
        <f>I61-(J61+(K61*2))</f>
        <v>-9.6590000000000202</v>
      </c>
    </row>
    <row r="62" spans="6:12">
      <c r="F62">
        <v>44.576000000000001</v>
      </c>
      <c r="G62">
        <v>72.954999999999998</v>
      </c>
      <c r="H62" t="s">
        <v>95</v>
      </c>
      <c r="I62">
        <f t="shared" si="7"/>
        <v>174.41300000000001</v>
      </c>
      <c r="J62">
        <v>67.436000000000007</v>
      </c>
      <c r="K62">
        <v>56.881999999999998</v>
      </c>
      <c r="L62">
        <f>I62-(J62+(K62*2))</f>
        <v>-6.7869999999999777</v>
      </c>
    </row>
    <row r="63" spans="6:12">
      <c r="F63">
        <v>47.412999999999997</v>
      </c>
      <c r="G63">
        <v>72.954999999999998</v>
      </c>
      <c r="H63" t="s">
        <v>96</v>
      </c>
      <c r="I63">
        <f t="shared" si="7"/>
        <v>177.25</v>
      </c>
      <c r="J63">
        <v>70.218999999999994</v>
      </c>
      <c r="K63">
        <v>56.881999999999998</v>
      </c>
      <c r="L63">
        <f>I63-(J63+(K63*2))</f>
        <v>-6.7330000000000041</v>
      </c>
    </row>
    <row r="64" spans="6:12">
      <c r="F64">
        <v>49.305999999999997</v>
      </c>
      <c r="G64">
        <v>72.954999999999998</v>
      </c>
      <c r="H64" t="s">
        <v>97</v>
      </c>
      <c r="I64">
        <f t="shared" si="7"/>
        <v>179.143</v>
      </c>
      <c r="J64">
        <v>72.463999999999999</v>
      </c>
      <c r="K64">
        <v>56.881999999999998</v>
      </c>
      <c r="L64">
        <f>I64-(J64+(K64*2))</f>
        <v>-7.085000000000008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mo62x</vt:lpstr>
      <vt:lpstr>fac</vt:lpstr>
      <vt:lpstr>ClAc</vt:lpstr>
      <vt:lpstr>enthalpy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Monsurat Lawal (214584429)</dc:creator>
  <cp:lastModifiedBy>Monsurat Lawal</cp:lastModifiedBy>
  <dcterms:created xsi:type="dcterms:W3CDTF">2015-09-28T15:55:24Z</dcterms:created>
  <dcterms:modified xsi:type="dcterms:W3CDTF">2017-08-08T11:18:48Z</dcterms:modified>
</cp:coreProperties>
</file>