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nsuratlawal/Google Drive/214584429 MONSURAT/Silva-2014remix/"/>
    </mc:Choice>
  </mc:AlternateContent>
  <bookViews>
    <workbookView xWindow="0" yWindow="460" windowWidth="19440" windowHeight="156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2" l="1"/>
  <c r="F92" i="2"/>
  <c r="G91" i="2"/>
  <c r="F124" i="2"/>
  <c r="F128" i="2"/>
  <c r="F125" i="2"/>
  <c r="F126" i="2"/>
  <c r="G125" i="2"/>
  <c r="G126" i="2"/>
  <c r="G127" i="2"/>
  <c r="N127" i="2"/>
  <c r="F127" i="2"/>
  <c r="N125" i="2"/>
  <c r="N123" i="2"/>
  <c r="N124" i="2"/>
  <c r="F90" i="2"/>
  <c r="F107" i="2"/>
  <c r="F108" i="2"/>
  <c r="F109" i="2"/>
  <c r="G108" i="2"/>
  <c r="G109" i="2"/>
  <c r="G110" i="2"/>
  <c r="G120" i="2"/>
  <c r="G116" i="2"/>
  <c r="G117" i="2"/>
  <c r="G118" i="2"/>
  <c r="H117" i="2"/>
  <c r="H118" i="2"/>
  <c r="H119" i="2"/>
  <c r="G119" i="2"/>
  <c r="N118" i="2"/>
  <c r="N116" i="2"/>
  <c r="N114" i="2"/>
  <c r="N115" i="2"/>
  <c r="F111" i="2"/>
  <c r="N110" i="2"/>
  <c r="F110" i="2"/>
  <c r="N108" i="2"/>
  <c r="N106" i="2"/>
  <c r="N107" i="2"/>
  <c r="G103" i="2"/>
  <c r="G99" i="2"/>
  <c r="G100" i="2"/>
  <c r="G101" i="2"/>
  <c r="H100" i="2"/>
  <c r="H101" i="2"/>
  <c r="H102" i="2"/>
  <c r="G102" i="2"/>
  <c r="N101" i="2"/>
  <c r="N99" i="2"/>
  <c r="N97" i="2"/>
  <c r="N98" i="2"/>
  <c r="F94" i="2"/>
  <c r="G92" i="2"/>
  <c r="G93" i="2"/>
  <c r="N93" i="2"/>
  <c r="F93" i="2"/>
  <c r="N91" i="2"/>
  <c r="N89" i="2"/>
  <c r="N90" i="2"/>
  <c r="F54" i="2"/>
  <c r="F72" i="2"/>
  <c r="F73" i="2"/>
  <c r="F76" i="2"/>
  <c r="F75" i="2"/>
  <c r="F74" i="2"/>
  <c r="G85" i="2"/>
  <c r="G84" i="2"/>
  <c r="G83" i="2"/>
  <c r="N83" i="2"/>
  <c r="G82" i="2"/>
  <c r="H82" i="2"/>
  <c r="G81" i="2"/>
  <c r="H83" i="2"/>
  <c r="H84" i="2"/>
  <c r="N81" i="2"/>
  <c r="N79" i="2"/>
  <c r="N80" i="2"/>
  <c r="N73" i="2"/>
  <c r="N71" i="2"/>
  <c r="N72" i="2"/>
  <c r="G73" i="2"/>
  <c r="G74" i="2"/>
  <c r="G75" i="2"/>
  <c r="F55" i="2"/>
  <c r="F56" i="2"/>
  <c r="G55" i="2"/>
  <c r="G56" i="2"/>
  <c r="G57" i="2"/>
  <c r="F38" i="2"/>
  <c r="F39" i="2"/>
  <c r="G38" i="2"/>
  <c r="F37" i="2"/>
  <c r="G39" i="2"/>
  <c r="G40" i="2"/>
  <c r="F58" i="2"/>
  <c r="G63" i="2"/>
  <c r="O38" i="1"/>
  <c r="G64" i="2"/>
  <c r="G65" i="2"/>
  <c r="G66" i="2"/>
  <c r="G67" i="2"/>
  <c r="H64" i="2"/>
  <c r="H65" i="2"/>
  <c r="H66" i="2"/>
  <c r="N65" i="2"/>
  <c r="N63" i="2"/>
  <c r="N61" i="2"/>
  <c r="N62" i="2"/>
  <c r="N57" i="2"/>
  <c r="F57" i="2"/>
  <c r="N55" i="2"/>
  <c r="N53" i="2"/>
  <c r="N54" i="2"/>
  <c r="F28" i="1"/>
  <c r="F29" i="1"/>
  <c r="F30" i="1"/>
  <c r="G29" i="1"/>
  <c r="G30" i="1"/>
  <c r="G31" i="1"/>
  <c r="F85" i="1"/>
  <c r="F86" i="1"/>
  <c r="F87" i="1"/>
  <c r="F88" i="1"/>
  <c r="F89" i="1"/>
  <c r="O39" i="1"/>
  <c r="O40" i="1"/>
  <c r="O41" i="1"/>
  <c r="O42" i="1"/>
  <c r="F98" i="1"/>
  <c r="F94" i="1"/>
  <c r="F95" i="1"/>
  <c r="F96" i="1"/>
  <c r="G95" i="1"/>
  <c r="G96" i="1"/>
  <c r="G97" i="1"/>
  <c r="F38" i="1"/>
  <c r="F39" i="1"/>
  <c r="F40" i="1"/>
  <c r="G39" i="1"/>
  <c r="G40" i="1"/>
  <c r="G41" i="1"/>
  <c r="F20" i="2"/>
  <c r="F21" i="2"/>
  <c r="F25" i="2"/>
  <c r="G21" i="2"/>
  <c r="G22" i="2"/>
  <c r="G23" i="2"/>
  <c r="N2" i="2"/>
  <c r="N3" i="2"/>
  <c r="N4" i="2"/>
  <c r="Q22" i="2"/>
  <c r="O49" i="1"/>
  <c r="O50" i="1"/>
  <c r="P49" i="1"/>
  <c r="F3" i="2"/>
  <c r="F4" i="2"/>
  <c r="F5" i="2"/>
  <c r="G4" i="2"/>
  <c r="G5" i="2"/>
  <c r="G6" i="2"/>
  <c r="Q5" i="2"/>
  <c r="G12" i="2"/>
  <c r="G13" i="2"/>
  <c r="G14" i="2"/>
  <c r="G15" i="2"/>
  <c r="G11" i="2"/>
  <c r="H12" i="2"/>
  <c r="H13" i="2"/>
  <c r="H14" i="2"/>
  <c r="G29" i="2"/>
  <c r="G33" i="2"/>
  <c r="G30" i="2"/>
  <c r="G31" i="2"/>
  <c r="H30" i="2"/>
  <c r="H31" i="2"/>
  <c r="H32" i="2"/>
  <c r="G32" i="2"/>
  <c r="Q39" i="2"/>
  <c r="G47" i="2"/>
  <c r="G48" i="2"/>
  <c r="G49" i="2"/>
  <c r="G50" i="2"/>
  <c r="G46" i="2"/>
  <c r="H47" i="2"/>
  <c r="H48" i="2"/>
  <c r="H49" i="2"/>
  <c r="G86" i="1"/>
  <c r="G87" i="1"/>
  <c r="G88" i="1"/>
  <c r="O79" i="1"/>
  <c r="O75" i="1"/>
  <c r="O76" i="1"/>
  <c r="O77" i="1"/>
  <c r="P76" i="1"/>
  <c r="P77" i="1"/>
  <c r="P78" i="1"/>
  <c r="F79" i="1"/>
  <c r="F75" i="1"/>
  <c r="F76" i="1"/>
  <c r="F77" i="1"/>
  <c r="G76" i="1"/>
  <c r="G77" i="1"/>
  <c r="G78" i="1"/>
  <c r="O48" i="1"/>
  <c r="P50" i="1"/>
  <c r="P51" i="1"/>
  <c r="P39" i="1"/>
  <c r="P40" i="1"/>
  <c r="P41" i="1"/>
  <c r="F24" i="2"/>
  <c r="F23" i="2"/>
  <c r="F22" i="2"/>
  <c r="N48" i="2"/>
  <c r="Q47" i="2"/>
  <c r="R47" i="2"/>
  <c r="N46" i="2"/>
  <c r="N44" i="2"/>
  <c r="N45" i="2"/>
  <c r="F41" i="2"/>
  <c r="N40" i="2"/>
  <c r="F40" i="2"/>
  <c r="R39" i="2"/>
  <c r="N38" i="2"/>
  <c r="N36" i="2"/>
  <c r="N37" i="2"/>
  <c r="N31" i="2"/>
  <c r="Q30" i="2"/>
  <c r="R30" i="2"/>
  <c r="N29" i="2"/>
  <c r="N27" i="2"/>
  <c r="N28" i="2"/>
  <c r="N23" i="2"/>
  <c r="R22" i="2"/>
  <c r="N21" i="2"/>
  <c r="N19" i="2"/>
  <c r="N20" i="2"/>
  <c r="Q13" i="2"/>
  <c r="N14" i="2"/>
  <c r="R13" i="2"/>
  <c r="N12" i="2"/>
  <c r="N10" i="2"/>
  <c r="N11" i="2"/>
  <c r="R5" i="2"/>
  <c r="N6" i="2"/>
  <c r="F6" i="2"/>
  <c r="F7" i="2"/>
  <c r="F63" i="1"/>
  <c r="F64" i="1"/>
  <c r="F67" i="1"/>
  <c r="G68" i="1"/>
  <c r="F69" i="1"/>
  <c r="G64" i="1"/>
  <c r="G65" i="1"/>
  <c r="G66" i="1"/>
  <c r="H53" i="1"/>
  <c r="F54" i="1"/>
  <c r="F49" i="1"/>
  <c r="F52" i="1"/>
  <c r="G53" i="1"/>
  <c r="G49" i="1"/>
  <c r="G54" i="1"/>
  <c r="F20" i="1"/>
  <c r="F21" i="1"/>
  <c r="F22" i="1"/>
  <c r="G21" i="1"/>
  <c r="G22" i="1"/>
  <c r="H19" i="1"/>
  <c r="G23" i="1"/>
  <c r="H50" i="1"/>
  <c r="F48" i="1"/>
  <c r="H51" i="1"/>
  <c r="I49" i="1"/>
  <c r="F65" i="1"/>
  <c r="F66" i="1"/>
  <c r="I53" i="1"/>
  <c r="G50" i="1"/>
  <c r="G51" i="1"/>
  <c r="F51" i="1"/>
  <c r="F50" i="1"/>
  <c r="O52" i="1"/>
  <c r="O28" i="1"/>
  <c r="O29" i="1"/>
  <c r="O30" i="1"/>
  <c r="P29" i="1"/>
  <c r="P30" i="1"/>
  <c r="P31" i="1"/>
  <c r="O31" i="1"/>
  <c r="O32" i="1"/>
  <c r="F42" i="1"/>
  <c r="F32" i="1"/>
  <c r="I13" i="1"/>
  <c r="B13" i="1"/>
  <c r="B12" i="1"/>
  <c r="N75" i="2"/>
</calcChain>
</file>

<file path=xl/sharedStrings.xml><?xml version="1.0" encoding="utf-8"?>
<sst xmlns="http://schemas.openxmlformats.org/spreadsheetml/2006/main" count="594" uniqueCount="90">
  <si>
    <t>HCl</t>
  </si>
  <si>
    <t>MeOH</t>
  </si>
  <si>
    <t>CH3COOH</t>
  </si>
  <si>
    <t>CH3COOMe</t>
  </si>
  <si>
    <t>H2O</t>
  </si>
  <si>
    <t>Cl-</t>
  </si>
  <si>
    <t>B3lyp/6-31+G(d)</t>
  </si>
  <si>
    <t>Reactants</t>
  </si>
  <si>
    <t>Ts1b-1</t>
  </si>
  <si>
    <t>TS1b-1</t>
  </si>
  <si>
    <t>Conversion factor</t>
  </si>
  <si>
    <t>Products</t>
  </si>
  <si>
    <t>relative energies (MeOH as solvent for all)</t>
  </si>
  <si>
    <t>With Methanol as slovent:</t>
  </si>
  <si>
    <t>In the gas phase:</t>
  </si>
  <si>
    <t>Autoionization 2013</t>
  </si>
  <si>
    <t>TS1a</t>
  </si>
  <si>
    <t>∆Gg*b</t>
  </si>
  <si>
    <t>∆Gsol*b</t>
  </si>
  <si>
    <t>∆Gsol0c</t>
  </si>
  <si>
    <t>RTln[H2O]</t>
  </si>
  <si>
    <t>to kcal</t>
  </si>
  <si>
    <t>∆∆Gsolv(smd-gas)</t>
  </si>
  <si>
    <t>X3LYP</t>
  </si>
  <si>
    <t>RTln[CH3OH]</t>
  </si>
  <si>
    <t>observable</t>
  </si>
  <si>
    <t>CPCM</t>
  </si>
  <si>
    <t>TS</t>
  </si>
  <si>
    <t>Rxt</t>
  </si>
  <si>
    <t>Gibbs</t>
  </si>
  <si>
    <t>SCRF</t>
  </si>
  <si>
    <t>SCF</t>
  </si>
  <si>
    <t>SO Happy-9/10/2015</t>
  </si>
  <si>
    <t>TS611-OH</t>
  </si>
  <si>
    <t>TS622-OH</t>
  </si>
  <si>
    <t>ACID</t>
  </si>
  <si>
    <t>Meoh</t>
  </si>
  <si>
    <t>ΔG*gas</t>
  </si>
  <si>
    <t>REACTANT</t>
  </si>
  <si>
    <t>PRODUCT</t>
  </si>
  <si>
    <t>ΔGsol</t>
  </si>
  <si>
    <t>Product</t>
  </si>
  <si>
    <t>MeOAc</t>
  </si>
  <si>
    <t>int622-OH</t>
  </si>
  <si>
    <t>M062x</t>
  </si>
  <si>
    <t>int622</t>
  </si>
  <si>
    <t>TS632-OH</t>
  </si>
  <si>
    <t>Intb22OH</t>
  </si>
  <si>
    <t>TSB-3</t>
  </si>
  <si>
    <t>Happy 23/09</t>
  </si>
  <si>
    <t>Gibbs cluster</t>
  </si>
  <si>
    <t>SCFcpcm</t>
  </si>
  <si>
    <t>SCFgas</t>
  </si>
  <si>
    <t>Gibbsgas</t>
  </si>
  <si>
    <t>correct</t>
  </si>
  <si>
    <t>MeOHAc</t>
  </si>
  <si>
    <t>paper</t>
  </si>
  <si>
    <t>cpcm</t>
  </si>
  <si>
    <t>TS61I</t>
  </si>
  <si>
    <t>methanol</t>
  </si>
  <si>
    <t>R[cal/(mol.k)]</t>
  </si>
  <si>
    <t>kB(J/K)</t>
  </si>
  <si>
    <t>h(JS)</t>
  </si>
  <si>
    <t>RT=</t>
  </si>
  <si>
    <t>k</t>
  </si>
  <si>
    <t>lnk</t>
  </si>
  <si>
    <t>T(K)</t>
  </si>
  <si>
    <t>c=1</t>
  </si>
  <si>
    <t>TS61Cl</t>
  </si>
  <si>
    <t>TS61Br</t>
  </si>
  <si>
    <t>scfcpcm</t>
  </si>
  <si>
    <t>HF</t>
  </si>
  <si>
    <t>HBr</t>
  </si>
  <si>
    <t>product</t>
  </si>
  <si>
    <t>HI</t>
  </si>
  <si>
    <t>TS611-F</t>
  </si>
  <si>
    <t>TS624-OH</t>
  </si>
  <si>
    <t>TS621-F</t>
  </si>
  <si>
    <t>TS631-F</t>
  </si>
  <si>
    <t>TS61cooh</t>
  </si>
  <si>
    <t>MEOH</t>
  </si>
  <si>
    <t>cooh</t>
  </si>
  <si>
    <t>coo+hcooh</t>
  </si>
  <si>
    <t>2cooh+oh</t>
  </si>
  <si>
    <t>HCOOH</t>
  </si>
  <si>
    <t>TS624cooh</t>
  </si>
  <si>
    <t>hcooh+cooh+oh</t>
  </si>
  <si>
    <t>TS624oh</t>
  </si>
  <si>
    <t>TS61oh</t>
  </si>
  <si>
    <t>TS632cooh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</si>
</sst>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family val="2"/>
      <scheme val="minor"/>
    </font>
    <font>
      <sz val="14"/>
      <color theme="3"/>
      <name val="Times New Roman"/>
      <family val="1"/>
    </font>
    <font>
      <sz val="12"/>
      <color rgb="FF0000CC"/>
      <name val="Calibri"/>
      <family val="2"/>
    </font>
    <font>
      <sz val="12"/>
      <color rgb="FF0000CC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15" applyFont="1" applyAlignment="1">
      <alignment horizontal="center"/>
    </xf>
    <xf numFmtId="0" fontId="13" fillId="0" borderId="0" xfId="15" applyFont="1" applyAlignment="1">
      <alignment horizontal="center"/>
    </xf>
    <xf numFmtId="0" fontId="13" fillId="0" borderId="0" xfId="15" applyFont="1" applyAlignment="1">
      <alignment horizontal="center"/>
    </xf>
    <xf numFmtId="0" fontId="2" fillId="0" borderId="0" xfId="16"/>
    <xf numFmtId="0" fontId="2" fillId="0" borderId="0" xfId="16"/>
    <xf numFmtId="0" fontId="2" fillId="0" borderId="0" xfId="16"/>
    <xf numFmtId="0" fontId="2" fillId="0" borderId="0" xfId="16" applyAlignment="1">
      <alignment horizontal="center"/>
    </xf>
    <xf numFmtId="0" fontId="2" fillId="0" borderId="0" xfId="16"/>
    <xf numFmtId="0" fontId="2" fillId="0" borderId="0" xfId="16"/>
    <xf numFmtId="0" fontId="1" fillId="0" borderId="0" xfId="17"/>
    <xf numFmtId="0" fontId="1" fillId="0" borderId="0" xfId="17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  <cellStyle name="Normal 3" xfId="16"/>
    <cellStyle name="Normal 4" xfId="17"/>
  </cellStyles>
  <dxfs count="0"/>
  <tableStyles count="0" defaultTableStyle="TableStyleMedium9" defaultPivotStyle="PivotStyleMedium4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47" workbookViewId="0">
      <selection activeCell="G50" sqref="G50"/>
    </sheetView>
  </sheetViews>
  <sheetFormatPr baseColWidth="10" defaultColWidth="11" defaultRowHeight="16" x14ac:dyDescent="0.2"/>
  <cols>
    <col min="16" max="16" width="10.83203125" customWidth="1"/>
  </cols>
  <sheetData>
    <row r="1" spans="1:12" x14ac:dyDescent="0.2">
      <c r="A1" t="s">
        <v>13</v>
      </c>
      <c r="H1" t="s">
        <v>14</v>
      </c>
    </row>
    <row r="2" spans="1:12" x14ac:dyDescent="0.2">
      <c r="B2" t="s">
        <v>6</v>
      </c>
      <c r="D2" t="s">
        <v>10</v>
      </c>
      <c r="E2">
        <v>627.51</v>
      </c>
      <c r="I2" t="s">
        <v>6</v>
      </c>
      <c r="K2" t="s">
        <v>10</v>
      </c>
      <c r="L2">
        <v>627.51</v>
      </c>
    </row>
    <row r="3" spans="1:12" x14ac:dyDescent="0.2">
      <c r="A3" t="s">
        <v>0</v>
      </c>
      <c r="B3">
        <v>-460.80176510000001</v>
      </c>
      <c r="D3" t="s">
        <v>8</v>
      </c>
      <c r="E3">
        <v>-460.97063179999998</v>
      </c>
      <c r="H3" t="s">
        <v>0</v>
      </c>
      <c r="I3">
        <v>-460.79799969999999</v>
      </c>
      <c r="K3" t="s">
        <v>8</v>
      </c>
    </row>
    <row r="4" spans="1:12" x14ac:dyDescent="0.2">
      <c r="A4" t="s">
        <v>1</v>
      </c>
      <c r="B4">
        <v>-115.7314569</v>
      </c>
      <c r="H4" t="s">
        <v>1</v>
      </c>
      <c r="I4">
        <v>-115.7251931</v>
      </c>
    </row>
    <row r="5" spans="1:12" x14ac:dyDescent="0.2">
      <c r="A5" t="s">
        <v>2</v>
      </c>
      <c r="B5">
        <v>-229.10352839999999</v>
      </c>
      <c r="H5" t="s">
        <v>2</v>
      </c>
      <c r="I5">
        <v>-229.09563370000001</v>
      </c>
    </row>
    <row r="6" spans="1:12" x14ac:dyDescent="0.2">
      <c r="A6" t="s">
        <v>3</v>
      </c>
      <c r="B6">
        <v>-268.408321</v>
      </c>
      <c r="H6" t="s">
        <v>3</v>
      </c>
      <c r="I6">
        <v>-268.40166149999999</v>
      </c>
    </row>
    <row r="7" spans="1:12" x14ac:dyDescent="0.2">
      <c r="A7" t="s">
        <v>4</v>
      </c>
      <c r="B7">
        <v>-76.431129299999995</v>
      </c>
      <c r="H7" t="s">
        <v>4</v>
      </c>
      <c r="I7">
        <v>-76.422572400000007</v>
      </c>
    </row>
    <row r="8" spans="1:12" x14ac:dyDescent="0.2">
      <c r="A8" t="s">
        <v>5</v>
      </c>
      <c r="B8">
        <v>-460.38267189999999</v>
      </c>
      <c r="H8" t="s">
        <v>5</v>
      </c>
      <c r="I8">
        <v>-460.27472590000002</v>
      </c>
    </row>
    <row r="10" spans="1:12" x14ac:dyDescent="0.2">
      <c r="B10" t="s">
        <v>12</v>
      </c>
    </row>
    <row r="11" spans="1:12" x14ac:dyDescent="0.2">
      <c r="A11" t="s">
        <v>7</v>
      </c>
      <c r="B11">
        <v>0</v>
      </c>
      <c r="H11" t="s">
        <v>7</v>
      </c>
      <c r="I11">
        <v>0</v>
      </c>
    </row>
    <row r="12" spans="1:12" x14ac:dyDescent="0.2">
      <c r="A12" t="s">
        <v>9</v>
      </c>
      <c r="B12">
        <f>((B8+E3)-(B5+2*B4+B3))*E2</f>
        <v>9.352158036015755</v>
      </c>
      <c r="H12" t="s">
        <v>9</v>
      </c>
    </row>
    <row r="13" spans="1:12" x14ac:dyDescent="0.2">
      <c r="A13" t="s">
        <v>11</v>
      </c>
      <c r="B13">
        <f>((B6+B7+B4+B8)-(B5+B3+2*B4))*E2</f>
        <v>260.18334178195272</v>
      </c>
      <c r="H13" t="s">
        <v>11</v>
      </c>
      <c r="I13">
        <f>((I6+I7+I4+I8)-(I5+I3+2*I4))*L2</f>
        <v>326.22155291704996</v>
      </c>
    </row>
    <row r="17" spans="1:17" x14ac:dyDescent="0.2">
      <c r="E17" t="s">
        <v>32</v>
      </c>
    </row>
    <row r="18" spans="1:17" x14ac:dyDescent="0.2">
      <c r="E18" t="s">
        <v>15</v>
      </c>
      <c r="G18" t="s">
        <v>23</v>
      </c>
    </row>
    <row r="19" spans="1:17" x14ac:dyDescent="0.2">
      <c r="B19" t="s">
        <v>16</v>
      </c>
      <c r="C19" t="s">
        <v>27</v>
      </c>
      <c r="D19" t="s">
        <v>28</v>
      </c>
      <c r="E19" t="s">
        <v>21</v>
      </c>
      <c r="G19" t="s">
        <v>20</v>
      </c>
      <c r="H19">
        <f>2.38</f>
        <v>2.38</v>
      </c>
    </row>
    <row r="20" spans="1:17" x14ac:dyDescent="0.2">
      <c r="A20" t="s">
        <v>29</v>
      </c>
      <c r="B20" s="3" t="s">
        <v>17</v>
      </c>
      <c r="C20">
        <v>-344.533818</v>
      </c>
      <c r="D20">
        <v>-268.22730100000001</v>
      </c>
      <c r="E20">
        <v>-76.389379000000005</v>
      </c>
      <c r="F20" s="4">
        <f>(C20-(D20+E20))*$L$2</f>
        <v>51.996733620021452</v>
      </c>
      <c r="G20" t="s">
        <v>24</v>
      </c>
      <c r="H20">
        <v>1.9</v>
      </c>
    </row>
    <row r="21" spans="1:17" x14ac:dyDescent="0.2">
      <c r="A21" t="s">
        <v>30</v>
      </c>
      <c r="B21" s="3" t="s">
        <v>22</v>
      </c>
      <c r="C21">
        <v>-344.62875631200001</v>
      </c>
      <c r="D21">
        <v>-268.29372188899998</v>
      </c>
      <c r="E21">
        <v>-76.407658055100001</v>
      </c>
      <c r="F21">
        <f>(C21-(D21+E21))*$L$2</f>
        <v>45.572055379055953</v>
      </c>
      <c r="G21" s="4">
        <f>F21-F22</f>
        <v>3.8234411458348418</v>
      </c>
    </row>
    <row r="22" spans="1:17" x14ac:dyDescent="0.2">
      <c r="A22" t="s">
        <v>52</v>
      </c>
      <c r="B22" s="3" t="s">
        <v>18</v>
      </c>
      <c r="C22">
        <v>-344.61395320100002</v>
      </c>
      <c r="D22">
        <v>-268.28762934500003</v>
      </c>
      <c r="E22">
        <v>-76.392854451900007</v>
      </c>
      <c r="F22">
        <f>(C22-(D22+E22))*$L$2</f>
        <v>41.748614233221112</v>
      </c>
      <c r="G22" s="4">
        <f>F20+G21</f>
        <v>55.820174765856294</v>
      </c>
    </row>
    <row r="23" spans="1:17" x14ac:dyDescent="0.2">
      <c r="A23" t="s">
        <v>25</v>
      </c>
      <c r="B23" s="3" t="s">
        <v>19</v>
      </c>
      <c r="G23" s="4">
        <f>G22-H19</f>
        <v>53.440174765856291</v>
      </c>
    </row>
    <row r="25" spans="1:17" x14ac:dyDescent="0.2">
      <c r="E25" s="6" t="s">
        <v>76</v>
      </c>
      <c r="N25" t="s">
        <v>43</v>
      </c>
    </row>
    <row r="26" spans="1:17" x14ac:dyDescent="0.2">
      <c r="G26" t="s">
        <v>44</v>
      </c>
      <c r="P26" t="s">
        <v>44</v>
      </c>
    </row>
    <row r="27" spans="1:17" x14ac:dyDescent="0.2">
      <c r="C27" t="s">
        <v>27</v>
      </c>
      <c r="D27" t="s">
        <v>35</v>
      </c>
      <c r="E27" t="s">
        <v>36</v>
      </c>
      <c r="L27" t="s">
        <v>45</v>
      </c>
      <c r="N27" t="s">
        <v>36</v>
      </c>
    </row>
    <row r="28" spans="1:17" x14ac:dyDescent="0.2">
      <c r="A28" t="s">
        <v>29</v>
      </c>
      <c r="B28" s="3" t="s">
        <v>17</v>
      </c>
      <c r="C28" s="8">
        <v>-460.36811899999998</v>
      </c>
      <c r="D28">
        <v>-229.04463200000001</v>
      </c>
      <c r="E28">
        <v>-115.68595500000001</v>
      </c>
      <c r="F28" s="4">
        <f>(C28-(D28+(E28*2)))*$L$2</f>
        <v>30.385916730044375</v>
      </c>
      <c r="G28" t="s">
        <v>24</v>
      </c>
      <c r="H28">
        <v>1.9</v>
      </c>
      <c r="I28" s="1">
        <v>-460.80908899999997</v>
      </c>
      <c r="J28" t="s">
        <v>29</v>
      </c>
      <c r="K28" s="3" t="s">
        <v>17</v>
      </c>
      <c r="L28">
        <v>-344.71997299999998</v>
      </c>
      <c r="N28">
        <v>-115.68595500000001</v>
      </c>
      <c r="O28" s="4">
        <f>((L28+N28)-(D28+(E28*2)))*$L$2</f>
        <v>6.6603911400202813</v>
      </c>
      <c r="P28" t="s">
        <v>24</v>
      </c>
      <c r="Q28">
        <v>1.9</v>
      </c>
    </row>
    <row r="29" spans="1:17" x14ac:dyDescent="0.2">
      <c r="A29" t="s">
        <v>30</v>
      </c>
      <c r="B29" s="3" t="s">
        <v>22</v>
      </c>
      <c r="C29">
        <v>-460.51403948400002</v>
      </c>
      <c r="D29">
        <v>-229.09704092699999</v>
      </c>
      <c r="E29">
        <v>-115.723635556</v>
      </c>
      <c r="F29" s="4">
        <f>(C29-(D29+(E29*2)))*$L$2</f>
        <v>18.99633098805657</v>
      </c>
      <c r="G29" s="4">
        <f>F29-F30</f>
        <v>7.6376036778672827</v>
      </c>
      <c r="I29" s="1">
        <v>-460.80368080599999</v>
      </c>
      <c r="J29" t="s">
        <v>30</v>
      </c>
      <c r="K29" s="3" t="s">
        <v>22</v>
      </c>
      <c r="L29">
        <v>-344.82219310200003</v>
      </c>
      <c r="N29">
        <v>-115.723635556</v>
      </c>
      <c r="O29" s="4">
        <f>((L29+N29)-(D29+(E29*2)))*$L$2</f>
        <v>-0.95169358867230247</v>
      </c>
      <c r="P29" s="4">
        <f>O29-O30</f>
        <v>7.3166335678639793</v>
      </c>
    </row>
    <row r="30" spans="1:17" x14ac:dyDescent="0.2">
      <c r="A30" t="s">
        <v>31</v>
      </c>
      <c r="B30" s="3" t="s">
        <v>18</v>
      </c>
      <c r="C30">
        <v>-460.49219843100002</v>
      </c>
      <c r="D30">
        <v>-229.07988255199999</v>
      </c>
      <c r="E30">
        <v>-115.715208574</v>
      </c>
      <c r="F30" s="4">
        <f>(C30-(D30+(E30*2)))*$L$2</f>
        <v>11.358727310189288</v>
      </c>
      <c r="G30" s="4">
        <f>F28+G29</f>
        <v>38.023520407911661</v>
      </c>
      <c r="I30" s="1">
        <v>-460.798058438</v>
      </c>
      <c r="J30" t="s">
        <v>31</v>
      </c>
      <c r="K30" s="3" t="s">
        <v>18</v>
      </c>
      <c r="L30">
        <v>-344.80826753299999</v>
      </c>
      <c r="N30">
        <v>-115.715208574</v>
      </c>
      <c r="O30" s="4">
        <f>((L30+N30)-(D30+(E30*2)))*$L$2</f>
        <v>-8.2683271565362819</v>
      </c>
      <c r="P30" s="4">
        <f>O28+P29</f>
        <v>13.977024707884262</v>
      </c>
    </row>
    <row r="31" spans="1:17" x14ac:dyDescent="0.2">
      <c r="A31" t="s">
        <v>25</v>
      </c>
      <c r="B31" s="3" t="s">
        <v>19</v>
      </c>
      <c r="F31" s="4"/>
      <c r="G31" s="4">
        <f>G30-H28</f>
        <v>36.123520407911663</v>
      </c>
      <c r="I31" s="1"/>
      <c r="J31" t="s">
        <v>25</v>
      </c>
      <c r="K31" s="3" t="s">
        <v>19</v>
      </c>
      <c r="O31" s="4">
        <f>((L31+N31)-(D31+(E31*2)))*$L$2</f>
        <v>0</v>
      </c>
      <c r="P31" s="4">
        <f>P30+Q28</f>
        <v>15.877024707884262</v>
      </c>
    </row>
    <row r="32" spans="1:17" x14ac:dyDescent="0.2">
      <c r="A32" t="s">
        <v>29</v>
      </c>
      <c r="B32" s="3" t="s">
        <v>26</v>
      </c>
      <c r="C32">
        <v>-460.37901799999997</v>
      </c>
      <c r="D32" s="1">
        <v>-229.057084</v>
      </c>
      <c r="E32" s="1">
        <v>-115.691355</v>
      </c>
      <c r="F32" s="4">
        <f>(C32-(D32+(E32*2)))*$L$2</f>
        <v>38.137547760020446</v>
      </c>
      <c r="G32" s="1"/>
      <c r="H32" s="1"/>
      <c r="I32" s="1">
        <v>-460.812162</v>
      </c>
      <c r="J32" t="s">
        <v>29</v>
      </c>
      <c r="K32" s="3" t="s">
        <v>26</v>
      </c>
      <c r="L32">
        <v>-344.72835900000001</v>
      </c>
      <c r="M32" s="5"/>
      <c r="N32" s="5">
        <v>-115.691355</v>
      </c>
      <c r="O32" s="4">
        <f>((L32+N32)-(D32+(E32*2)))*$L$2</f>
        <v>12.60040080000452</v>
      </c>
      <c r="P32" s="1"/>
      <c r="Q32" s="1"/>
    </row>
    <row r="33" spans="1:17" ht="18.75" x14ac:dyDescent="0.3">
      <c r="D33" s="1"/>
      <c r="E33" s="1"/>
      <c r="F33" s="1"/>
      <c r="G33" s="1"/>
      <c r="H33" s="1"/>
      <c r="I33" s="2"/>
      <c r="J33" s="2"/>
    </row>
    <row r="34" spans="1:17" x14ac:dyDescent="0.2">
      <c r="D34" s="1"/>
      <c r="E34" s="1"/>
      <c r="F34" s="1"/>
      <c r="G34" s="1"/>
      <c r="H34" s="1"/>
      <c r="I34" s="1"/>
      <c r="J34" s="1"/>
    </row>
    <row r="35" spans="1:17" x14ac:dyDescent="0.2">
      <c r="E35" t="s">
        <v>33</v>
      </c>
      <c r="N35" t="s">
        <v>41</v>
      </c>
    </row>
    <row r="36" spans="1:17" x14ac:dyDescent="0.2">
      <c r="G36" t="s">
        <v>44</v>
      </c>
      <c r="P36" t="s">
        <v>44</v>
      </c>
    </row>
    <row r="37" spans="1:17" x14ac:dyDescent="0.2">
      <c r="C37" t="s">
        <v>27</v>
      </c>
      <c r="D37" t="s">
        <v>35</v>
      </c>
      <c r="E37" t="s">
        <v>36</v>
      </c>
      <c r="L37" t="s">
        <v>42</v>
      </c>
      <c r="M37" t="s">
        <v>4</v>
      </c>
      <c r="N37" t="s">
        <v>36</v>
      </c>
    </row>
    <row r="38" spans="1:17" x14ac:dyDescent="0.2">
      <c r="A38" t="s">
        <v>29</v>
      </c>
      <c r="B38" s="3" t="s">
        <v>17</v>
      </c>
      <c r="C38">
        <v>-460.35194000000001</v>
      </c>
      <c r="D38">
        <v>-229.04463200000001</v>
      </c>
      <c r="E38">
        <v>-115.68595500000001</v>
      </c>
      <c r="F38" s="4">
        <f>(C38-(D38+(E38*2)))*$L$2</f>
        <v>40.538401020022739</v>
      </c>
      <c r="G38" t="s">
        <v>24</v>
      </c>
      <c r="H38">
        <v>1.9</v>
      </c>
      <c r="J38" t="s">
        <v>29</v>
      </c>
      <c r="K38" s="3" t="s">
        <v>17</v>
      </c>
      <c r="L38">
        <v>-268.32083799999998</v>
      </c>
      <c r="M38">
        <v>-76.422173000000001</v>
      </c>
      <c r="N38">
        <v>-115.68595500000001</v>
      </c>
      <c r="O38" s="4">
        <f>((L38+I28+M38+N38)-(D38+I28+(E38*2)))*$L$2</f>
        <v>-7.796184240006264</v>
      </c>
      <c r="P38" t="s">
        <v>24</v>
      </c>
      <c r="Q38">
        <v>1.9</v>
      </c>
    </row>
    <row r="39" spans="1:17" x14ac:dyDescent="0.2">
      <c r="A39" t="s">
        <v>30</v>
      </c>
      <c r="B39" s="3" t="s">
        <v>22</v>
      </c>
      <c r="C39">
        <v>-460.511126214</v>
      </c>
      <c r="D39">
        <v>-229.09704092699999</v>
      </c>
      <c r="E39">
        <v>-115.723635556</v>
      </c>
      <c r="F39" s="4">
        <f>(C39-(D39+(E39*2)))*$L$2</f>
        <v>20.824437045770274</v>
      </c>
      <c r="G39" s="4">
        <f>F39-F40</f>
        <v>2.4408018016237385</v>
      </c>
      <c r="J39" t="s">
        <v>30</v>
      </c>
      <c r="K39" s="3" t="s">
        <v>22</v>
      </c>
      <c r="L39">
        <v>-268.39006411100002</v>
      </c>
      <c r="M39">
        <v>-76.439357365999996</v>
      </c>
      <c r="N39">
        <v>-115.723635556</v>
      </c>
      <c r="O39" s="4">
        <f t="shared" ref="O39:O42" si="0">((L39+I29+M39+N39)-(D39+I29+(E39*2)))*$L$2</f>
        <v>-5.48757118496491</v>
      </c>
      <c r="P39" s="4">
        <f>O39-O40</f>
        <v>2.9110865983675218</v>
      </c>
    </row>
    <row r="40" spans="1:17" x14ac:dyDescent="0.2">
      <c r="A40" t="s">
        <v>52</v>
      </c>
      <c r="B40" s="3" t="s">
        <v>18</v>
      </c>
      <c r="C40">
        <v>-460.48100353699999</v>
      </c>
      <c r="D40">
        <v>-229.07988255199999</v>
      </c>
      <c r="E40">
        <v>-115.715208574</v>
      </c>
      <c r="F40" s="4">
        <f>(C40-(D40+(E40*2)))*$L$2</f>
        <v>18.383635244146536</v>
      </c>
      <c r="G40" s="4">
        <f>F38+G39</f>
        <v>42.979202821646481</v>
      </c>
      <c r="J40" t="s">
        <v>31</v>
      </c>
      <c r="K40" s="3" t="s">
        <v>18</v>
      </c>
      <c r="L40">
        <v>-268.382410037</v>
      </c>
      <c r="M40">
        <v>-76.426065190900005</v>
      </c>
      <c r="N40">
        <v>-115.715208574</v>
      </c>
      <c r="O40" s="4">
        <f t="shared" si="0"/>
        <v>-8.3986577833324318</v>
      </c>
      <c r="P40" s="4">
        <f>O38+P39</f>
        <v>-4.8850976416387422</v>
      </c>
    </row>
    <row r="41" spans="1:17" x14ac:dyDescent="0.2">
      <c r="A41" t="s">
        <v>25</v>
      </c>
      <c r="B41" s="3" t="s">
        <v>19</v>
      </c>
      <c r="F41" s="4"/>
      <c r="G41" s="4">
        <f>G40-H38</f>
        <v>41.079202821646483</v>
      </c>
      <c r="J41" t="s">
        <v>25</v>
      </c>
      <c r="K41" s="3" t="s">
        <v>19</v>
      </c>
      <c r="O41" s="4">
        <f t="shared" si="0"/>
        <v>0</v>
      </c>
      <c r="P41" s="4">
        <f>P40-Q38</f>
        <v>-6.7850976416387425</v>
      </c>
    </row>
    <row r="42" spans="1:17" x14ac:dyDescent="0.2">
      <c r="A42" t="s">
        <v>29</v>
      </c>
      <c r="B42" s="3" t="s">
        <v>26</v>
      </c>
      <c r="C42">
        <v>-460.36573199999998</v>
      </c>
      <c r="D42" s="5">
        <v>-229.057084</v>
      </c>
      <c r="E42" s="5">
        <v>-115.691355</v>
      </c>
      <c r="F42" s="4">
        <f>(C42-(D42+(E42*2)))*$L$2</f>
        <v>46.474645620016489</v>
      </c>
      <c r="G42" s="1"/>
      <c r="H42" s="1"/>
      <c r="J42" t="s">
        <v>29</v>
      </c>
      <c r="K42" s="3" t="s">
        <v>26</v>
      </c>
      <c r="L42">
        <v>-268.326888</v>
      </c>
      <c r="M42" s="5">
        <v>-76.429713000000007</v>
      </c>
      <c r="N42" s="5">
        <v>-115.691355</v>
      </c>
      <c r="O42" s="4">
        <f t="shared" si="0"/>
        <v>-5.1217366200526699</v>
      </c>
      <c r="P42" s="1"/>
      <c r="Q42" s="1"/>
    </row>
    <row r="43" spans="1:17" x14ac:dyDescent="0.2">
      <c r="D43" s="1"/>
      <c r="E43" s="1"/>
      <c r="F43" s="1"/>
      <c r="G43" s="1"/>
      <c r="H43" s="1"/>
    </row>
    <row r="45" spans="1:17" x14ac:dyDescent="0.2">
      <c r="A45" s="6"/>
      <c r="B45" s="6"/>
      <c r="C45" s="6"/>
      <c r="D45" s="6"/>
      <c r="E45" s="6" t="s">
        <v>48</v>
      </c>
      <c r="F45" s="6"/>
      <c r="G45" s="6"/>
      <c r="H45" s="6"/>
      <c r="N45" t="s">
        <v>46</v>
      </c>
    </row>
    <row r="46" spans="1:17" x14ac:dyDescent="0.2">
      <c r="A46" s="6"/>
      <c r="B46" s="6"/>
      <c r="C46" s="6"/>
      <c r="D46" s="6"/>
      <c r="E46" s="6"/>
      <c r="F46" s="6"/>
      <c r="G46" s="6" t="s">
        <v>23</v>
      </c>
      <c r="H46" s="6"/>
      <c r="P46" t="s">
        <v>44</v>
      </c>
    </row>
    <row r="47" spans="1:17" x14ac:dyDescent="0.2">
      <c r="A47" s="6"/>
      <c r="B47" s="6"/>
      <c r="C47" s="6" t="s">
        <v>27</v>
      </c>
      <c r="D47" s="6" t="s">
        <v>35</v>
      </c>
      <c r="E47" s="6" t="s">
        <v>36</v>
      </c>
      <c r="F47" s="6" t="s">
        <v>49</v>
      </c>
      <c r="G47" s="6"/>
      <c r="H47" s="6">
        <v>0.11</v>
      </c>
      <c r="I47" s="6" t="s">
        <v>56</v>
      </c>
      <c r="L47" t="s">
        <v>27</v>
      </c>
      <c r="M47" t="s">
        <v>35</v>
      </c>
      <c r="N47" t="s">
        <v>36</v>
      </c>
    </row>
    <row r="48" spans="1:17" x14ac:dyDescent="0.2">
      <c r="A48" s="6" t="s">
        <v>53</v>
      </c>
      <c r="B48" s="7" t="s">
        <v>17</v>
      </c>
      <c r="C48" s="6">
        <v>-460.51062000000002</v>
      </c>
      <c r="D48" s="6">
        <v>-229.25320300000001</v>
      </c>
      <c r="E48" s="6">
        <v>-115.64478099999999</v>
      </c>
      <c r="F48" s="4">
        <f>(C48-(D48+(E48*2)))*$L$2</f>
        <v>20.171308950008836</v>
      </c>
      <c r="G48" s="6" t="s">
        <v>24</v>
      </c>
      <c r="H48" s="6">
        <v>1.9</v>
      </c>
      <c r="J48" t="s">
        <v>29</v>
      </c>
      <c r="K48" s="3" t="s">
        <v>17</v>
      </c>
      <c r="L48">
        <v>-460.37042000000002</v>
      </c>
      <c r="M48">
        <v>-229.04463200000001</v>
      </c>
      <c r="N48">
        <v>-115.68595500000001</v>
      </c>
      <c r="O48" s="4">
        <f>(L48-(M48+(N48*2)))*$L$2</f>
        <v>28.94201622001588</v>
      </c>
      <c r="P48" t="s">
        <v>24</v>
      </c>
      <c r="Q48">
        <v>1.9</v>
      </c>
    </row>
    <row r="49" spans="1:17" x14ac:dyDescent="0.2">
      <c r="A49" s="6" t="s">
        <v>30</v>
      </c>
      <c r="B49" s="7" t="s">
        <v>22</v>
      </c>
      <c r="C49" s="6">
        <v>-460.76008806900001</v>
      </c>
      <c r="D49" s="6">
        <v>-229.42407285199999</v>
      </c>
      <c r="E49" s="6">
        <v>-115.68331991300001</v>
      </c>
      <c r="F49" s="6">
        <f>(C49-(D49+(E49*2)))*$L$2</f>
        <v>19.217248393572284</v>
      </c>
      <c r="G49" s="6">
        <f>F49-G53-F54</f>
        <v>0.71098702776436618</v>
      </c>
      <c r="H49" s="6">
        <v>3.0279999999999999E-3</v>
      </c>
      <c r="I49">
        <f>E51*627.51</f>
        <v>0</v>
      </c>
      <c r="J49" t="s">
        <v>30</v>
      </c>
      <c r="K49" s="3" t="s">
        <v>22</v>
      </c>
      <c r="L49">
        <v>-460.52058518500002</v>
      </c>
      <c r="M49">
        <v>-229.09704092699999</v>
      </c>
      <c r="N49">
        <v>-115.723635556</v>
      </c>
      <c r="O49" s="4">
        <f>(L49-(M49+(N49*2)))*$L$2</f>
        <v>14.888838153550845</v>
      </c>
      <c r="P49" s="4">
        <f>O49-O50</f>
        <v>9.4019735448642692</v>
      </c>
    </row>
    <row r="50" spans="1:17" x14ac:dyDescent="0.2">
      <c r="A50" s="6" t="s">
        <v>51</v>
      </c>
      <c r="B50" s="7" t="s">
        <v>18</v>
      </c>
      <c r="C50" s="6">
        <v>-460.732506161</v>
      </c>
      <c r="D50" s="6">
        <v>-229.40085523499999</v>
      </c>
      <c r="E50" s="6">
        <v>-115.679667014</v>
      </c>
      <c r="F50" s="6">
        <f>(C50-(D50+(E50*2)))*$L$2</f>
        <v>17.371423336036241</v>
      </c>
      <c r="G50" s="6">
        <f>F48+G49</f>
        <v>20.882295977773204</v>
      </c>
      <c r="H50" s="6">
        <f>(C50-C54)+C49-(E49*2)-D52-H49</f>
        <v>-0.12101448300000991</v>
      </c>
      <c r="J50" t="s">
        <v>31</v>
      </c>
      <c r="K50" s="3" t="s">
        <v>18</v>
      </c>
      <c r="L50">
        <v>-460.50155583200001</v>
      </c>
      <c r="M50">
        <v>-229.07988255199999</v>
      </c>
      <c r="N50">
        <v>-115.715208574</v>
      </c>
      <c r="O50" s="4">
        <f>(L50-(M50+(N50*2)))*$L$2</f>
        <v>5.4868646086865756</v>
      </c>
      <c r="P50" s="4">
        <f>O48+P49</f>
        <v>38.343989764880149</v>
      </c>
    </row>
    <row r="51" spans="1:17" x14ac:dyDescent="0.2">
      <c r="A51" s="6" t="s">
        <v>25</v>
      </c>
      <c r="B51" s="7" t="s">
        <v>19</v>
      </c>
      <c r="C51" s="6"/>
      <c r="D51" s="6"/>
      <c r="E51" s="6"/>
      <c r="F51" s="6">
        <f>(C51-(D51+(E51*2)))*$L$2</f>
        <v>0</v>
      </c>
      <c r="G51" s="6">
        <f>G50+H48</f>
        <v>22.782295977773202</v>
      </c>
      <c r="H51" s="6">
        <f>H50*627.51</f>
        <v>-75.937798227336216</v>
      </c>
      <c r="J51" t="s">
        <v>25</v>
      </c>
      <c r="K51" s="3" t="s">
        <v>19</v>
      </c>
      <c r="O51" s="4"/>
      <c r="P51" s="4">
        <f>P50-Q48</f>
        <v>36.443989764880151</v>
      </c>
    </row>
    <row r="52" spans="1:17" x14ac:dyDescent="0.2">
      <c r="A52" s="6" t="s">
        <v>29</v>
      </c>
      <c r="B52" s="7" t="s">
        <v>26</v>
      </c>
      <c r="C52" s="6">
        <v>-460.588796</v>
      </c>
      <c r="D52" s="6">
        <v>-229.35325</v>
      </c>
      <c r="E52" s="6">
        <v>-115.6511</v>
      </c>
      <c r="F52" s="6">
        <f>(C52-(D52+(E52*2)))*$L$2</f>
        <v>41.826051539982018</v>
      </c>
      <c r="G52" s="6" t="s">
        <v>50</v>
      </c>
      <c r="H52" s="6"/>
      <c r="I52" s="6" t="s">
        <v>54</v>
      </c>
      <c r="J52" t="s">
        <v>29</v>
      </c>
      <c r="K52" s="3" t="s">
        <v>26</v>
      </c>
      <c r="L52">
        <v>-460.38234</v>
      </c>
      <c r="M52" s="1">
        <v>-229.057084</v>
      </c>
      <c r="N52" s="1">
        <v>-115.691355</v>
      </c>
      <c r="O52" s="4">
        <f>(L52-(M52+(N52*2)))*$L$2</f>
        <v>36.052959540004395</v>
      </c>
      <c r="P52" s="1"/>
      <c r="Q52" s="1"/>
    </row>
    <row r="53" spans="1:17" x14ac:dyDescent="0.2">
      <c r="F53" s="6" t="s">
        <v>26</v>
      </c>
      <c r="G53" s="5">
        <f>F52-F49</f>
        <v>22.608803146409734</v>
      </c>
      <c r="H53" s="6">
        <f>C49-C54</f>
        <v>-0.10537014800001998</v>
      </c>
      <c r="I53" s="6">
        <f>H53*627.51</f>
        <v>-66.120821571492542</v>
      </c>
    </row>
    <row r="54" spans="1:17" x14ac:dyDescent="0.2">
      <c r="A54" s="6" t="s">
        <v>52</v>
      </c>
      <c r="C54">
        <v>-460.65471792099999</v>
      </c>
      <c r="D54">
        <v>-229.30132155800001</v>
      </c>
      <c r="E54">
        <v>-115.67342927599999</v>
      </c>
      <c r="F54" s="6">
        <f>(C54-(D54+(E54*2)))*$L$2</f>
        <v>-4.1025417806018165</v>
      </c>
      <c r="G54">
        <f>F54-G49</f>
        <v>-4.8135288083661827</v>
      </c>
    </row>
    <row r="55" spans="1:17" x14ac:dyDescent="0.2">
      <c r="B55" t="s">
        <v>38</v>
      </c>
      <c r="C55" t="s">
        <v>38</v>
      </c>
      <c r="D55" t="s">
        <v>34</v>
      </c>
      <c r="E55" t="s">
        <v>34</v>
      </c>
      <c r="F55" t="s">
        <v>47</v>
      </c>
      <c r="G55" t="s">
        <v>47</v>
      </c>
      <c r="H55" t="s">
        <v>46</v>
      </c>
      <c r="I55" t="s">
        <v>46</v>
      </c>
      <c r="J55" t="s">
        <v>39</v>
      </c>
      <c r="K55" t="s">
        <v>39</v>
      </c>
    </row>
    <row r="56" spans="1:17" x14ac:dyDescent="0.2">
      <c r="A56" t="s">
        <v>26</v>
      </c>
      <c r="B56">
        <v>0</v>
      </c>
      <c r="C56">
        <v>0</v>
      </c>
      <c r="D56">
        <v>39.51</v>
      </c>
      <c r="E56">
        <v>39.51</v>
      </c>
      <c r="F56">
        <v>12.6</v>
      </c>
      <c r="G56">
        <v>12.6</v>
      </c>
      <c r="H56">
        <v>36.049999999999997</v>
      </c>
      <c r="I56">
        <v>36.049999999999997</v>
      </c>
      <c r="J56">
        <v>-5.12</v>
      </c>
      <c r="K56">
        <v>-5.12</v>
      </c>
    </row>
    <row r="57" spans="1:17" x14ac:dyDescent="0.2">
      <c r="A57" t="s">
        <v>37</v>
      </c>
      <c r="B57">
        <v>0</v>
      </c>
      <c r="C57">
        <v>0</v>
      </c>
      <c r="D57">
        <v>32.68</v>
      </c>
      <c r="E57">
        <v>32.68</v>
      </c>
      <c r="F57">
        <v>6.66</v>
      </c>
      <c r="G57">
        <v>6.66</v>
      </c>
      <c r="H57">
        <v>27.31</v>
      </c>
      <c r="I57">
        <v>27.31</v>
      </c>
      <c r="J57">
        <v>-7.8</v>
      </c>
      <c r="K57">
        <v>-7.8</v>
      </c>
    </row>
    <row r="58" spans="1:17" x14ac:dyDescent="0.2">
      <c r="A58" t="s">
        <v>40</v>
      </c>
      <c r="B58">
        <v>0</v>
      </c>
      <c r="C58">
        <v>0</v>
      </c>
      <c r="D58">
        <v>39.26</v>
      </c>
      <c r="E58">
        <v>39.26</v>
      </c>
      <c r="F58">
        <v>15.88</v>
      </c>
      <c r="G58">
        <v>15.88</v>
      </c>
      <c r="H58">
        <v>39.61</v>
      </c>
      <c r="I58">
        <v>39.61</v>
      </c>
      <c r="J58">
        <v>-2.99</v>
      </c>
      <c r="K58">
        <v>-2.99</v>
      </c>
    </row>
    <row r="61" spans="1:17" x14ac:dyDescent="0.2">
      <c r="A61" s="6"/>
      <c r="B61" s="6"/>
      <c r="C61" s="6"/>
      <c r="D61" s="6"/>
      <c r="E61" s="6" t="s">
        <v>41</v>
      </c>
      <c r="F61" s="6"/>
      <c r="G61" s="6"/>
      <c r="H61" s="6"/>
    </row>
    <row r="62" spans="1:17" x14ac:dyDescent="0.2">
      <c r="A62" s="6"/>
      <c r="B62" s="6"/>
      <c r="C62" s="6" t="s">
        <v>4</v>
      </c>
      <c r="D62" s="6" t="s">
        <v>35</v>
      </c>
      <c r="E62" s="6" t="s">
        <v>36</v>
      </c>
      <c r="F62" s="6"/>
      <c r="G62" s="6"/>
      <c r="H62" s="6"/>
      <c r="I62" s="6"/>
      <c r="J62" t="s">
        <v>55</v>
      </c>
    </row>
    <row r="63" spans="1:17" x14ac:dyDescent="0.2">
      <c r="A63" s="6" t="s">
        <v>53</v>
      </c>
      <c r="B63" s="7" t="s">
        <v>17</v>
      </c>
      <c r="C63" s="6">
        <v>-76.389379000000005</v>
      </c>
      <c r="D63" s="6">
        <v>-229.25320300000001</v>
      </c>
      <c r="E63" s="6">
        <v>-115.64478099999999</v>
      </c>
      <c r="F63" s="4">
        <f>((C63+J63+E63)-(D63+(E63*2)))*$L$2</f>
        <v>-11.191640849994316</v>
      </c>
      <c r="G63" s="6" t="s">
        <v>24</v>
      </c>
      <c r="H63" s="6">
        <v>1.9</v>
      </c>
      <c r="J63">
        <v>-268.52643999999998</v>
      </c>
    </row>
    <row r="64" spans="1:17" x14ac:dyDescent="0.2">
      <c r="A64" s="6" t="s">
        <v>30</v>
      </c>
      <c r="B64" s="7" t="s">
        <v>22</v>
      </c>
      <c r="C64" s="6">
        <v>-76.407753069500004</v>
      </c>
      <c r="D64" s="6">
        <v>-229.42407285199999</v>
      </c>
      <c r="E64" s="6">
        <v>-115.68331991300001</v>
      </c>
      <c r="F64" s="6">
        <f t="shared" ref="F64:F69" si="1">((C64+J64+E64)-(D64+(E64*2)))*$L$2</f>
        <v>-2.6494196974402247</v>
      </c>
      <c r="G64" s="6">
        <f>F64-G68-F69</f>
        <v>9.3320556903488185</v>
      </c>
      <c r="H64" s="6">
        <v>3.0279999999999999E-3</v>
      </c>
      <c r="J64" s="6">
        <v>-268.70386181100002</v>
      </c>
    </row>
    <row r="65" spans="1:17" x14ac:dyDescent="0.2">
      <c r="A65" s="6" t="s">
        <v>51</v>
      </c>
      <c r="B65" s="7" t="s">
        <v>18</v>
      </c>
      <c r="C65" s="6">
        <v>-76.401407660999993</v>
      </c>
      <c r="D65" s="6">
        <v>-229.40085523499999</v>
      </c>
      <c r="E65" s="6">
        <v>-115.679667014</v>
      </c>
      <c r="F65" s="6">
        <f t="shared" si="1"/>
        <v>-4.4052626447688441</v>
      </c>
      <c r="G65" s="6">
        <f>F63+G64</f>
        <v>-1.8595851596454978</v>
      </c>
      <c r="H65" s="6"/>
      <c r="J65" s="6">
        <v>-268.686134815</v>
      </c>
    </row>
    <row r="66" spans="1:17" x14ac:dyDescent="0.2">
      <c r="A66" s="6" t="s">
        <v>25</v>
      </c>
      <c r="B66" s="7" t="s">
        <v>19</v>
      </c>
      <c r="C66" s="6"/>
      <c r="D66" s="6"/>
      <c r="E66" s="6"/>
      <c r="F66" s="6">
        <f t="shared" si="1"/>
        <v>0</v>
      </c>
      <c r="G66" s="6">
        <f>G65-H63</f>
        <v>-3.7595851596454977</v>
      </c>
      <c r="H66" s="6"/>
      <c r="J66" s="6"/>
    </row>
    <row r="67" spans="1:17" x14ac:dyDescent="0.2">
      <c r="A67" s="6" t="s">
        <v>29</v>
      </c>
      <c r="B67" s="7" t="s">
        <v>26</v>
      </c>
      <c r="C67" s="6">
        <v>-76.397942999999998</v>
      </c>
      <c r="D67" s="6">
        <v>-229.35325</v>
      </c>
      <c r="E67" s="6">
        <v>-115.6511</v>
      </c>
      <c r="F67" s="6">
        <f t="shared" si="1"/>
        <v>-4.3310740200157216</v>
      </c>
      <c r="G67" s="6" t="s">
        <v>50</v>
      </c>
      <c r="H67" s="6"/>
      <c r="I67" s="6"/>
      <c r="J67" s="6">
        <v>-268.61330900000002</v>
      </c>
    </row>
    <row r="68" spans="1:17" x14ac:dyDescent="0.2">
      <c r="F68" s="6" t="s">
        <v>57</v>
      </c>
      <c r="G68" s="5">
        <f>F67-F64</f>
        <v>-1.681654322575497</v>
      </c>
      <c r="H68" s="6"/>
      <c r="I68" s="6"/>
      <c r="J68" s="6"/>
    </row>
    <row r="69" spans="1:17" x14ac:dyDescent="0.2">
      <c r="A69" s="6" t="s">
        <v>52</v>
      </c>
      <c r="C69">
        <v>-76.392854451900007</v>
      </c>
      <c r="D69">
        <v>-229.30132155800001</v>
      </c>
      <c r="E69">
        <v>-115.67342927599999</v>
      </c>
      <c r="F69" s="6">
        <f t="shared" si="1"/>
        <v>-10.299821065213546</v>
      </c>
      <c r="J69">
        <v>-268.59831017800002</v>
      </c>
    </row>
    <row r="70" spans="1:17" x14ac:dyDescent="0.2">
      <c r="A70" s="6"/>
      <c r="F70" s="6"/>
    </row>
    <row r="72" spans="1:17" x14ac:dyDescent="0.2">
      <c r="E72" s="6" t="s">
        <v>77</v>
      </c>
      <c r="N72" s="6" t="s">
        <v>78</v>
      </c>
    </row>
    <row r="73" spans="1:17" x14ac:dyDescent="0.2">
      <c r="G73" t="s">
        <v>44</v>
      </c>
      <c r="P73" t="s">
        <v>44</v>
      </c>
    </row>
    <row r="74" spans="1:17" x14ac:dyDescent="0.2">
      <c r="C74" t="s">
        <v>27</v>
      </c>
      <c r="D74" t="s">
        <v>35</v>
      </c>
      <c r="E74" t="s">
        <v>36</v>
      </c>
      <c r="L74" t="s">
        <v>27</v>
      </c>
      <c r="M74" t="s">
        <v>35</v>
      </c>
      <c r="N74" t="s">
        <v>36</v>
      </c>
    </row>
    <row r="75" spans="1:17" x14ac:dyDescent="0.2">
      <c r="A75" t="s">
        <v>29</v>
      </c>
      <c r="B75" t="s">
        <v>17</v>
      </c>
      <c r="C75" s="9">
        <v>-484.41002700000001</v>
      </c>
      <c r="D75">
        <v>-253.081806</v>
      </c>
      <c r="E75">
        <v>-115.68595500000001</v>
      </c>
      <c r="F75">
        <f>(C75-(D75+(E75*2)))*$L$2</f>
        <v>27.415284389982499</v>
      </c>
      <c r="G75" t="s">
        <v>24</v>
      </c>
      <c r="H75">
        <v>1.9</v>
      </c>
      <c r="J75" t="s">
        <v>29</v>
      </c>
      <c r="K75" t="s">
        <v>17</v>
      </c>
      <c r="L75" s="10">
        <v>-484.42215700000003</v>
      </c>
      <c r="M75">
        <v>-253.081806</v>
      </c>
      <c r="N75">
        <v>-115.68595500000001</v>
      </c>
      <c r="O75">
        <f>(L75-(M75+(N75*2)))*$L$2</f>
        <v>19.803588089974156</v>
      </c>
      <c r="P75" t="s">
        <v>24</v>
      </c>
      <c r="Q75">
        <v>1.9</v>
      </c>
    </row>
    <row r="76" spans="1:17" x14ac:dyDescent="0.2">
      <c r="A76" t="s">
        <v>30</v>
      </c>
      <c r="B76" t="s">
        <v>22</v>
      </c>
      <c r="C76">
        <v>-484.54588673000001</v>
      </c>
      <c r="D76">
        <v>-253.11088940600001</v>
      </c>
      <c r="E76">
        <v>-115.723635556</v>
      </c>
      <c r="F76">
        <f>(C76-(D76+(E76*2)))*$L$2</f>
        <v>7.7019247078899671</v>
      </c>
      <c r="G76">
        <f>F76-F77</f>
        <v>1.5495832341579456</v>
      </c>
      <c r="J76" t="s">
        <v>30</v>
      </c>
      <c r="K76" t="s">
        <v>22</v>
      </c>
      <c r="L76">
        <v>-484.55682799800002</v>
      </c>
      <c r="M76">
        <v>-253.11088940600001</v>
      </c>
      <c r="N76">
        <v>-115.723635556</v>
      </c>
      <c r="O76">
        <f>(L76-(M76+(N76*2)))*$L$2</f>
        <v>0.83616962520338123</v>
      </c>
      <c r="P76">
        <f>O76-O77</f>
        <v>4.0409171610693617</v>
      </c>
    </row>
    <row r="77" spans="1:17" x14ac:dyDescent="0.2">
      <c r="A77" t="s">
        <v>31</v>
      </c>
      <c r="B77" t="s">
        <v>18</v>
      </c>
      <c r="C77">
        <v>-484.52512889299999</v>
      </c>
      <c r="D77">
        <v>-253.104516117</v>
      </c>
      <c r="E77">
        <v>-115.715208574</v>
      </c>
      <c r="F77">
        <f>(C77-(D77+(E77*2)))*$L$2</f>
        <v>6.1523414737320214</v>
      </c>
      <c r="G77">
        <f>F75+G76</f>
        <v>28.964867624140446</v>
      </c>
      <c r="J77" t="s">
        <v>31</v>
      </c>
      <c r="K77" t="s">
        <v>18</v>
      </c>
      <c r="L77">
        <v>-484.54004035100002</v>
      </c>
      <c r="M77">
        <v>-253.104516117</v>
      </c>
      <c r="N77">
        <v>-115.715208574</v>
      </c>
      <c r="O77">
        <f>(L77-(M77+(N77*2)))*$L$2</f>
        <v>-3.2047475358659807</v>
      </c>
      <c r="P77">
        <f>O75+P76</f>
        <v>23.844505251043518</v>
      </c>
    </row>
    <row r="78" spans="1:17" x14ac:dyDescent="0.2">
      <c r="A78" t="s">
        <v>25</v>
      </c>
      <c r="B78" t="s">
        <v>19</v>
      </c>
      <c r="G78">
        <f>G77-H75</f>
        <v>27.064867624140447</v>
      </c>
      <c r="J78" t="s">
        <v>25</v>
      </c>
      <c r="K78" t="s">
        <v>19</v>
      </c>
      <c r="P78">
        <f>P77-Q75</f>
        <v>21.94450525104352</v>
      </c>
    </row>
    <row r="79" spans="1:17" x14ac:dyDescent="0.2">
      <c r="A79" t="s">
        <v>29</v>
      </c>
      <c r="B79" t="s">
        <v>26</v>
      </c>
      <c r="C79">
        <v>-484.41979700000002</v>
      </c>
      <c r="D79">
        <v>-253.08793399999999</v>
      </c>
      <c r="E79">
        <v>-115.691355</v>
      </c>
      <c r="F79">
        <f>(C79-(D79+(E79*2)))*$L$2</f>
        <v>31.907000969985006</v>
      </c>
      <c r="J79" t="s">
        <v>29</v>
      </c>
      <c r="K79" t="s">
        <v>26</v>
      </c>
      <c r="L79">
        <v>-484.43406900000002</v>
      </c>
      <c r="M79">
        <v>-253.08793399999999</v>
      </c>
      <c r="N79">
        <v>-115.691355</v>
      </c>
      <c r="O79">
        <f>(L79-(M79+(N79*2)))*$L$2</f>
        <v>22.951178249981623</v>
      </c>
    </row>
    <row r="82" spans="1:8" x14ac:dyDescent="0.2">
      <c r="E82" t="s">
        <v>41</v>
      </c>
    </row>
    <row r="83" spans="1:8" x14ac:dyDescent="0.2">
      <c r="G83" t="s">
        <v>44</v>
      </c>
    </row>
    <row r="84" spans="1:8" x14ac:dyDescent="0.2">
      <c r="C84" t="s">
        <v>42</v>
      </c>
      <c r="D84" t="s">
        <v>71</v>
      </c>
      <c r="E84" t="s">
        <v>36</v>
      </c>
    </row>
    <row r="85" spans="1:8" x14ac:dyDescent="0.2">
      <c r="A85" t="s">
        <v>29</v>
      </c>
      <c r="B85" t="s">
        <v>17</v>
      </c>
      <c r="C85">
        <v>-268.32083799999998</v>
      </c>
      <c r="D85">
        <v>-100.45802</v>
      </c>
      <c r="E85">
        <v>-115.68595500000001</v>
      </c>
      <c r="F85">
        <f>((C85+D85+E85)-(D75+(E85*2)))*$L$2</f>
        <v>-6.9634784700397949</v>
      </c>
      <c r="G85" t="s">
        <v>24</v>
      </c>
      <c r="H85">
        <v>1.9</v>
      </c>
    </row>
    <row r="86" spans="1:8" x14ac:dyDescent="0.2">
      <c r="A86" t="s">
        <v>30</v>
      </c>
      <c r="B86" t="s">
        <v>22</v>
      </c>
      <c r="C86">
        <v>-268.39006411100002</v>
      </c>
      <c r="D86">
        <v>-100.460588246</v>
      </c>
      <c r="E86">
        <v>-115.723635556</v>
      </c>
      <c r="F86">
        <f t="shared" ref="F86:F89" si="2">((C86+D86+E86)-(D76+(E86*2)))*$L$2</f>
        <v>-10.120101636457692</v>
      </c>
      <c r="G86">
        <f>F86-F87</f>
        <v>-1.4374352744562469</v>
      </c>
    </row>
    <row r="87" spans="1:8" x14ac:dyDescent="0.2">
      <c r="A87" t="s">
        <v>31</v>
      </c>
      <c r="B87" t="s">
        <v>18</v>
      </c>
      <c r="C87">
        <v>-268.382410037</v>
      </c>
      <c r="D87">
        <v>-100.451151352</v>
      </c>
      <c r="E87">
        <v>-115.715208574</v>
      </c>
      <c r="F87">
        <f t="shared" si="2"/>
        <v>-8.682666362001445</v>
      </c>
      <c r="G87">
        <f>F85+G86</f>
        <v>-8.4009137444960409</v>
      </c>
    </row>
    <row r="88" spans="1:8" x14ac:dyDescent="0.2">
      <c r="A88" t="s">
        <v>25</v>
      </c>
      <c r="B88" t="s">
        <v>19</v>
      </c>
      <c r="F88">
        <f t="shared" si="2"/>
        <v>0</v>
      </c>
      <c r="G88">
        <f>G87-H85</f>
        <v>-10.300913744496041</v>
      </c>
    </row>
    <row r="89" spans="1:8" x14ac:dyDescent="0.2">
      <c r="A89" t="s">
        <v>29</v>
      </c>
      <c r="B89" t="s">
        <v>26</v>
      </c>
      <c r="C89">
        <v>-268.326888</v>
      </c>
      <c r="D89">
        <v>-100.46397899999999</v>
      </c>
      <c r="E89">
        <v>-115.691355</v>
      </c>
      <c r="F89">
        <f t="shared" si="2"/>
        <v>-7.2653107799911378</v>
      </c>
    </row>
    <row r="91" spans="1:8" x14ac:dyDescent="0.2">
      <c r="E91" t="s">
        <v>75</v>
      </c>
    </row>
    <row r="92" spans="1:8" x14ac:dyDescent="0.2">
      <c r="G92" t="s">
        <v>44</v>
      </c>
    </row>
    <row r="93" spans="1:8" x14ac:dyDescent="0.2">
      <c r="C93" t="s">
        <v>27</v>
      </c>
      <c r="D93" t="s">
        <v>35</v>
      </c>
      <c r="E93" t="s">
        <v>36</v>
      </c>
    </row>
    <row r="94" spans="1:8" x14ac:dyDescent="0.2">
      <c r="A94" t="s">
        <v>29</v>
      </c>
      <c r="B94" s="3" t="s">
        <v>17</v>
      </c>
      <c r="C94">
        <v>-484.39794699999999</v>
      </c>
      <c r="D94">
        <v>-253.081806</v>
      </c>
      <c r="E94">
        <v>-115.68595500000001</v>
      </c>
      <c r="F94" s="4">
        <f>(C94-(D94+(E94*2)))*$L$2</f>
        <v>34.99560518999872</v>
      </c>
      <c r="G94" t="s">
        <v>24</v>
      </c>
      <c r="H94">
        <v>1.9</v>
      </c>
    </row>
    <row r="95" spans="1:8" x14ac:dyDescent="0.2">
      <c r="A95" t="s">
        <v>30</v>
      </c>
      <c r="B95" s="3" t="s">
        <v>22</v>
      </c>
      <c r="C95">
        <v>-484.54292734299997</v>
      </c>
      <c r="D95">
        <v>-253.11088940600001</v>
      </c>
      <c r="E95">
        <v>-115.723635556</v>
      </c>
      <c r="F95" s="4">
        <f>(C95-(D95+(E95*2)))*$L$2</f>
        <v>9.5589696442804364</v>
      </c>
      <c r="G95" s="4">
        <f>F95-F96</f>
        <v>-1.0441214191008701</v>
      </c>
    </row>
    <row r="96" spans="1:8" x14ac:dyDescent="0.2">
      <c r="A96" t="s">
        <v>52</v>
      </c>
      <c r="B96" s="3" t="s">
        <v>18</v>
      </c>
      <c r="C96">
        <v>-484.51803617799999</v>
      </c>
      <c r="D96">
        <v>-253.104516117</v>
      </c>
      <c r="E96">
        <v>-115.715208574</v>
      </c>
      <c r="F96" s="4">
        <f>(C96-(D96+(E96*2)))*$L$2</f>
        <v>10.603091063381306</v>
      </c>
      <c r="G96" s="4">
        <f>F94+G95</f>
        <v>33.951483770897852</v>
      </c>
    </row>
    <row r="97" spans="1:8" x14ac:dyDescent="0.2">
      <c r="A97" t="s">
        <v>25</v>
      </c>
      <c r="B97" s="3" t="s">
        <v>19</v>
      </c>
      <c r="F97" s="4"/>
      <c r="G97" s="4">
        <f>G96-H94</f>
        <v>32.051483770897853</v>
      </c>
    </row>
    <row r="98" spans="1:8" x14ac:dyDescent="0.2">
      <c r="A98" t="s">
        <v>29</v>
      </c>
      <c r="B98" s="3" t="s">
        <v>26</v>
      </c>
      <c r="C98">
        <v>-484.41130900000002</v>
      </c>
      <c r="D98">
        <v>-253.08793399999999</v>
      </c>
      <c r="E98" s="5">
        <v>-115.691355</v>
      </c>
      <c r="F98" s="4">
        <f>(C98-(D98+(E98*2)))*$L$2</f>
        <v>37.233305849984902</v>
      </c>
      <c r="G98" s="1"/>
      <c r="H98" s="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topLeftCell="A107" workbookViewId="0">
      <selection activeCell="H130" sqref="H130"/>
    </sheetView>
  </sheetViews>
  <sheetFormatPr baseColWidth="10" defaultColWidth="8.83203125" defaultRowHeight="16" x14ac:dyDescent="0.2"/>
  <sheetData>
    <row r="1" spans="1:18" x14ac:dyDescent="0.25">
      <c r="E1" t="s">
        <v>58</v>
      </c>
      <c r="F1" t="s">
        <v>59</v>
      </c>
      <c r="G1" t="s">
        <v>44</v>
      </c>
    </row>
    <row r="2" spans="1:18" x14ac:dyDescent="0.25">
      <c r="C2" t="s">
        <v>27</v>
      </c>
      <c r="D2" t="s">
        <v>35</v>
      </c>
      <c r="E2" t="s">
        <v>36</v>
      </c>
      <c r="H2">
        <v>627.51</v>
      </c>
      <c r="K2" t="s">
        <v>60</v>
      </c>
      <c r="L2">
        <v>1.9870000000000001</v>
      </c>
      <c r="N2">
        <f>6.212</f>
        <v>6.2119999999999997</v>
      </c>
    </row>
    <row r="3" spans="1:18" x14ac:dyDescent="0.2">
      <c r="A3" t="s">
        <v>29</v>
      </c>
      <c r="B3" t="s">
        <v>17</v>
      </c>
      <c r="C3">
        <v>-682.19713300000001</v>
      </c>
      <c r="D3">
        <v>-450.85231399999998</v>
      </c>
      <c r="E3">
        <v>-115.68595500000001</v>
      </c>
      <c r="F3">
        <f>(C3-(D3+(E3*2)))*$H$2</f>
        <v>16.999873410025902</v>
      </c>
      <c r="G3" t="s">
        <v>24</v>
      </c>
      <c r="H3">
        <v>1.9</v>
      </c>
      <c r="K3" t="s">
        <v>61</v>
      </c>
      <c r="L3">
        <v>1.3806619999999999E-23</v>
      </c>
      <c r="N3">
        <f>N2*1000000000000</f>
        <v>6212000000000</v>
      </c>
    </row>
    <row r="4" spans="1:18" x14ac:dyDescent="0.2">
      <c r="A4" t="s">
        <v>30</v>
      </c>
      <c r="B4" t="s">
        <v>22</v>
      </c>
      <c r="C4">
        <v>-682.326981144</v>
      </c>
      <c r="D4">
        <v>-450.87431802999998</v>
      </c>
      <c r="E4">
        <v>-115.723635556</v>
      </c>
      <c r="F4">
        <f t="shared" ref="F4:F7" si="0">(C4-(D4+(E4*2)))*$H$2</f>
        <v>-3.383535175024881</v>
      </c>
      <c r="G4">
        <f>F4-F5</f>
        <v>3.8228248055175751</v>
      </c>
      <c r="K4" t="s">
        <v>62</v>
      </c>
      <c r="L4">
        <v>6.6261759999999997E-34</v>
      </c>
      <c r="M4" t="s">
        <v>63</v>
      </c>
      <c r="N4">
        <f>L2*L5</f>
        <v>592.42404999999997</v>
      </c>
      <c r="Q4" t="s">
        <v>64</v>
      </c>
      <c r="R4" t="s">
        <v>65</v>
      </c>
    </row>
    <row r="5" spans="1:18" x14ac:dyDescent="0.2">
      <c r="A5" t="s">
        <v>31</v>
      </c>
      <c r="B5" t="s">
        <v>18</v>
      </c>
      <c r="C5">
        <v>-682.31164235799997</v>
      </c>
      <c r="D5">
        <v>-450.869741154</v>
      </c>
      <c r="E5">
        <v>-115.715208574</v>
      </c>
      <c r="F5">
        <f t="shared" si="0"/>
        <v>-7.2063599805424561</v>
      </c>
      <c r="G5">
        <f>F3+G4</f>
        <v>20.822698215543475</v>
      </c>
      <c r="K5" t="s">
        <v>66</v>
      </c>
      <c r="L5">
        <v>298.14999999999998</v>
      </c>
      <c r="N5">
        <v>-460.36573199999998</v>
      </c>
      <c r="Q5">
        <f>$N$3*(EXP(1)^(-G6*$K$8/$N$4))</f>
        <v>8.3439473670911882E-2</v>
      </c>
      <c r="R5">
        <f>LN(Q5)</f>
        <v>-2.4836337761844924</v>
      </c>
    </row>
    <row r="6" spans="1:18" x14ac:dyDescent="0.2">
      <c r="A6" t="s">
        <v>25</v>
      </c>
      <c r="B6" t="s">
        <v>19</v>
      </c>
      <c r="F6">
        <f t="shared" si="0"/>
        <v>0</v>
      </c>
      <c r="G6">
        <f>G5-H3</f>
        <v>18.922698215543477</v>
      </c>
      <c r="L6" t="s">
        <v>67</v>
      </c>
      <c r="N6">
        <f>N5-G6</f>
        <v>-479.28843021554349</v>
      </c>
    </row>
    <row r="7" spans="1:18" x14ac:dyDescent="0.25">
      <c r="A7" t="s">
        <v>29</v>
      </c>
      <c r="B7" t="s">
        <v>26</v>
      </c>
      <c r="C7">
        <v>-682.20982900000001</v>
      </c>
      <c r="D7">
        <v>-450.85761400000001</v>
      </c>
      <c r="E7">
        <v>-115.691355</v>
      </c>
      <c r="F7">
        <f t="shared" si="0"/>
        <v>19.135917449983381</v>
      </c>
    </row>
    <row r="8" spans="1:18" x14ac:dyDescent="0.25">
      <c r="K8">
        <v>1000</v>
      </c>
    </row>
    <row r="9" spans="1:18" x14ac:dyDescent="0.25">
      <c r="E9" t="s">
        <v>73</v>
      </c>
      <c r="H9" t="s">
        <v>44</v>
      </c>
    </row>
    <row r="10" spans="1:18" x14ac:dyDescent="0.25">
      <c r="D10" t="s">
        <v>42</v>
      </c>
      <c r="E10" t="s">
        <v>74</v>
      </c>
      <c r="F10" t="s">
        <v>36</v>
      </c>
      <c r="K10" t="s">
        <v>60</v>
      </c>
      <c r="L10">
        <v>1.9870000000000001</v>
      </c>
      <c r="N10">
        <f>6.212</f>
        <v>6.2119999999999997</v>
      </c>
    </row>
    <row r="11" spans="1:18" x14ac:dyDescent="0.2">
      <c r="A11" t="s">
        <v>29</v>
      </c>
      <c r="B11" t="s">
        <v>29</v>
      </c>
      <c r="C11" t="s">
        <v>17</v>
      </c>
      <c r="D11">
        <v>-268.32083799999998</v>
      </c>
      <c r="E11">
        <v>-298.23862100000002</v>
      </c>
      <c r="F11">
        <v>-115.68595500000001</v>
      </c>
      <c r="G11">
        <f>((D11+E11+F11)-(D3+(F11*2)))*$H$2</f>
        <v>-13.296936900029426</v>
      </c>
      <c r="H11" t="s">
        <v>24</v>
      </c>
      <c r="I11">
        <v>1.9</v>
      </c>
      <c r="K11" t="s">
        <v>61</v>
      </c>
      <c r="L11">
        <v>1.3806619999999999E-23</v>
      </c>
      <c r="N11">
        <f>N10*1000000000000</f>
        <v>6212000000000</v>
      </c>
    </row>
    <row r="12" spans="1:18" x14ac:dyDescent="0.2">
      <c r="A12" t="s">
        <v>30</v>
      </c>
      <c r="B12" t="s">
        <v>30</v>
      </c>
      <c r="C12" t="s">
        <v>22</v>
      </c>
      <c r="D12">
        <v>-268.39006411100002</v>
      </c>
      <c r="E12">
        <v>-298.22699980300001</v>
      </c>
      <c r="F12">
        <v>-115.723635556</v>
      </c>
      <c r="G12">
        <f t="shared" ref="G12:G15" si="1">((D12+E12+F12)-(D4+(F12*2)))*$H$2</f>
        <v>-11.991921923286695</v>
      </c>
      <c r="H12">
        <f>G12-G13</f>
        <v>1.5599296190200995</v>
      </c>
      <c r="K12" t="s">
        <v>62</v>
      </c>
      <c r="L12">
        <v>6.6261759999999997E-34</v>
      </c>
      <c r="M12" t="s">
        <v>63</v>
      </c>
      <c r="N12">
        <f>L10*L13</f>
        <v>592.42404999999997</v>
      </c>
      <c r="Q12" t="s">
        <v>64</v>
      </c>
      <c r="R12" t="s">
        <v>65</v>
      </c>
    </row>
    <row r="13" spans="1:18" x14ac:dyDescent="0.2">
      <c r="A13" t="s">
        <v>31</v>
      </c>
      <c r="B13" t="s">
        <v>31</v>
      </c>
      <c r="C13" t="s">
        <v>18</v>
      </c>
      <c r="D13">
        <v>-268.382410037</v>
      </c>
      <c r="E13">
        <v>-298.22413592300001</v>
      </c>
      <c r="F13">
        <v>-115.715208574</v>
      </c>
      <c r="G13">
        <f t="shared" si="1"/>
        <v>-13.551851542306794</v>
      </c>
      <c r="H13">
        <f>G11+H12</f>
        <v>-11.737007281009326</v>
      </c>
      <c r="K13" t="s">
        <v>66</v>
      </c>
      <c r="L13">
        <v>298.14999999999998</v>
      </c>
      <c r="N13">
        <v>-460.36573199999998</v>
      </c>
      <c r="Q13">
        <f>$N$3*(EXP(1)^(-G14*$K$8/$N$4))</f>
        <v>6212000000000</v>
      </c>
      <c r="R13">
        <f>LN(Q13)</f>
        <v>29.457504021214987</v>
      </c>
    </row>
    <row r="14" spans="1:18" x14ac:dyDescent="0.2">
      <c r="A14" t="s">
        <v>25</v>
      </c>
      <c r="B14" t="s">
        <v>25</v>
      </c>
      <c r="C14" t="s">
        <v>19</v>
      </c>
      <c r="G14">
        <f t="shared" si="1"/>
        <v>0</v>
      </c>
      <c r="H14">
        <f>H13-I11</f>
        <v>-13.637007281009327</v>
      </c>
      <c r="L14" t="s">
        <v>67</v>
      </c>
      <c r="N14">
        <f>N13-G14</f>
        <v>-460.36573199999998</v>
      </c>
    </row>
    <row r="15" spans="1:18" x14ac:dyDescent="0.25">
      <c r="A15" t="s">
        <v>29</v>
      </c>
      <c r="B15" t="s">
        <v>29</v>
      </c>
      <c r="C15" t="s">
        <v>26</v>
      </c>
      <c r="D15">
        <v>-268.326888</v>
      </c>
      <c r="E15">
        <v>-298.240568</v>
      </c>
      <c r="F15">
        <v>-115.691355</v>
      </c>
      <c r="G15">
        <f t="shared" si="1"/>
        <v>-11.600777370031439</v>
      </c>
    </row>
    <row r="16" spans="1:18" x14ac:dyDescent="0.25">
      <c r="K16">
        <v>1000</v>
      </c>
    </row>
    <row r="18" spans="1:18" x14ac:dyDescent="0.25">
      <c r="E18" s="6" t="s">
        <v>68</v>
      </c>
      <c r="F18" t="s">
        <v>59</v>
      </c>
      <c r="G18" t="s">
        <v>44</v>
      </c>
    </row>
    <row r="19" spans="1:18" x14ac:dyDescent="0.25">
      <c r="C19" t="s">
        <v>27</v>
      </c>
      <c r="D19" t="s">
        <v>35</v>
      </c>
      <c r="E19" t="s">
        <v>36</v>
      </c>
      <c r="H19">
        <v>627.51</v>
      </c>
      <c r="K19" t="s">
        <v>60</v>
      </c>
      <c r="L19">
        <v>1.9870000000000001</v>
      </c>
      <c r="N19">
        <f>6.212</f>
        <v>6.2119999999999997</v>
      </c>
    </row>
    <row r="20" spans="1:18" x14ac:dyDescent="0.2">
      <c r="A20" t="s">
        <v>29</v>
      </c>
      <c r="B20" t="s">
        <v>17</v>
      </c>
      <c r="C20">
        <v>-844.75859200000002</v>
      </c>
      <c r="D20">
        <v>-613.42241799999999</v>
      </c>
      <c r="E20">
        <v>-115.68595500000001</v>
      </c>
      <c r="F20">
        <f>(C20-(D20+(E20*2)))*$H$2</f>
        <v>22.424697359955406</v>
      </c>
      <c r="G20" t="s">
        <v>24</v>
      </c>
      <c r="H20">
        <v>1.9</v>
      </c>
      <c r="K20" t="s">
        <v>61</v>
      </c>
      <c r="L20">
        <v>1.3806619999999999E-23</v>
      </c>
      <c r="N20">
        <f>N19*1000000000000</f>
        <v>6212000000000</v>
      </c>
    </row>
    <row r="21" spans="1:18" x14ac:dyDescent="0.2">
      <c r="A21" t="s">
        <v>30</v>
      </c>
      <c r="B21" t="s">
        <v>22</v>
      </c>
      <c r="C21">
        <v>-844.89481179300003</v>
      </c>
      <c r="D21">
        <v>-613.44950286000005</v>
      </c>
      <c r="E21">
        <v>-115.723635556</v>
      </c>
      <c r="F21">
        <f t="shared" ref="F21:F25" si="2">(C21-(D21+(E21*2)))*$H$2</f>
        <v>1.2312869443454257</v>
      </c>
      <c r="G21">
        <f>F21-F25</f>
        <v>1.4050639161744674</v>
      </c>
      <c r="K21" t="s">
        <v>62</v>
      </c>
      <c r="L21">
        <v>6.6261759999999997E-34</v>
      </c>
      <c r="M21" t="s">
        <v>63</v>
      </c>
      <c r="N21">
        <f>L19*L22</f>
        <v>592.42404999999997</v>
      </c>
      <c r="Q21" t="s">
        <v>64</v>
      </c>
      <c r="R21" t="s">
        <v>65</v>
      </c>
    </row>
    <row r="22" spans="1:18" x14ac:dyDescent="0.2">
      <c r="A22" t="s">
        <v>31</v>
      </c>
      <c r="B22" t="s">
        <v>18</v>
      </c>
      <c r="C22">
        <v>-844.87644610500001</v>
      </c>
      <c r="D22">
        <v>-613.44276007799999</v>
      </c>
      <c r="E22">
        <v>-115.715208574</v>
      </c>
      <c r="F22">
        <f t="shared" si="2"/>
        <v>-2.0512542612655831</v>
      </c>
      <c r="G22">
        <f>F20+G21</f>
        <v>23.829761276129872</v>
      </c>
      <c r="K22" t="s">
        <v>66</v>
      </c>
      <c r="L22">
        <v>298.14999999999998</v>
      </c>
      <c r="N22">
        <v>-460.36573199999998</v>
      </c>
      <c r="Q22">
        <f>$N$3*(EXP(1)^(-G23*$K$8/$N$4))</f>
        <v>5.2113765109568515E-4</v>
      </c>
      <c r="R22">
        <f>LN(Q22)</f>
        <v>-7.5594963455491122</v>
      </c>
    </row>
    <row r="23" spans="1:18" x14ac:dyDescent="0.2">
      <c r="A23" t="s">
        <v>25</v>
      </c>
      <c r="B23" t="s">
        <v>19</v>
      </c>
      <c r="F23">
        <f t="shared" si="2"/>
        <v>0</v>
      </c>
      <c r="G23">
        <f>G22-H20</f>
        <v>21.929761276129874</v>
      </c>
      <c r="L23" t="s">
        <v>67</v>
      </c>
      <c r="N23">
        <f>N22-G23</f>
        <v>-482.29549327612983</v>
      </c>
    </row>
    <row r="24" spans="1:18" x14ac:dyDescent="0.25">
      <c r="A24" t="s">
        <v>29</v>
      </c>
      <c r="B24" t="s">
        <v>26</v>
      </c>
      <c r="C24">
        <v>-844.77258400000005</v>
      </c>
      <c r="D24">
        <v>-613.42776400000002</v>
      </c>
      <c r="E24">
        <v>-115.691355</v>
      </c>
      <c r="F24">
        <f t="shared" si="2"/>
        <v>23.776353899967102</v>
      </c>
    </row>
    <row r="25" spans="1:18" x14ac:dyDescent="0.25">
      <c r="B25" t="s">
        <v>70</v>
      </c>
      <c r="C25">
        <v>-844.88905981799996</v>
      </c>
      <c r="D25">
        <v>-613.44787140699998</v>
      </c>
      <c r="E25">
        <v>-115.72045574000001</v>
      </c>
      <c r="F25">
        <f t="shared" si="2"/>
        <v>-0.1737769718290417</v>
      </c>
      <c r="K25">
        <v>1000</v>
      </c>
    </row>
    <row r="26" spans="1:18" x14ac:dyDescent="0.25">
      <c r="F26" t="s">
        <v>41</v>
      </c>
    </row>
    <row r="27" spans="1:18" x14ac:dyDescent="0.25">
      <c r="H27" t="s">
        <v>44</v>
      </c>
      <c r="K27" t="s">
        <v>60</v>
      </c>
      <c r="L27">
        <v>1.9870000000000001</v>
      </c>
      <c r="N27">
        <f>6.212</f>
        <v>6.2119999999999997</v>
      </c>
    </row>
    <row r="28" spans="1:18" x14ac:dyDescent="0.25">
      <c r="D28" t="s">
        <v>42</v>
      </c>
      <c r="E28" t="s">
        <v>0</v>
      </c>
      <c r="F28" t="s">
        <v>36</v>
      </c>
      <c r="K28" t="s">
        <v>61</v>
      </c>
      <c r="L28">
        <v>1.3806619999999999E-23</v>
      </c>
      <c r="N28">
        <f>N27*1000000000000</f>
        <v>6212000000000</v>
      </c>
    </row>
    <row r="29" spans="1:18" x14ac:dyDescent="0.2">
      <c r="B29" t="s">
        <v>29</v>
      </c>
      <c r="C29" t="s">
        <v>17</v>
      </c>
      <c r="D29">
        <v>-268.32083799999998</v>
      </c>
      <c r="E29">
        <v>-460.80908899999997</v>
      </c>
      <c r="F29">
        <v>-115.68595500000001</v>
      </c>
      <c r="G29">
        <f>((D29+E29+F29)-(D20+(F29*2)))*$H$2</f>
        <v>-13.525350540023455</v>
      </c>
      <c r="H29" t="s">
        <v>24</v>
      </c>
      <c r="I29">
        <v>1.9</v>
      </c>
      <c r="K29" t="s">
        <v>62</v>
      </c>
      <c r="L29">
        <v>6.6261759999999997E-34</v>
      </c>
      <c r="M29" t="s">
        <v>63</v>
      </c>
      <c r="N29">
        <f>L27*L30</f>
        <v>592.42404999999997</v>
      </c>
      <c r="Q29" t="s">
        <v>64</v>
      </c>
      <c r="R29" t="s">
        <v>65</v>
      </c>
    </row>
    <row r="30" spans="1:18" x14ac:dyDescent="0.2">
      <c r="B30" t="s">
        <v>30</v>
      </c>
      <c r="C30" t="s">
        <v>22</v>
      </c>
      <c r="D30">
        <v>-268.39006411100002</v>
      </c>
      <c r="E30">
        <v>-460.80368080599999</v>
      </c>
      <c r="F30">
        <v>-115.723635556</v>
      </c>
      <c r="G30">
        <f t="shared" ref="G30:G33" si="3">((D30+E30+F30)-(D21+(F30*2)))*$H$2</f>
        <v>-12.93078544242281</v>
      </c>
      <c r="H30">
        <f>G30-G31</f>
        <v>1.1880784882918469</v>
      </c>
      <c r="K30" t="s">
        <v>66</v>
      </c>
      <c r="L30">
        <v>298.14999999999998</v>
      </c>
      <c r="N30">
        <v>-460.36573199999998</v>
      </c>
      <c r="Q30">
        <f>$N$3*(EXP(1)^(-G31*$K$8/$N$4))</f>
        <v>1.3915358445958842E+23</v>
      </c>
      <c r="R30">
        <f>LN(Q30)</f>
        <v>53.289865200195919</v>
      </c>
    </row>
    <row r="31" spans="1:18" x14ac:dyDescent="0.2">
      <c r="B31" t="s">
        <v>31</v>
      </c>
      <c r="C31" t="s">
        <v>18</v>
      </c>
      <c r="D31">
        <v>-268.382410037</v>
      </c>
      <c r="E31">
        <v>-460.798058438</v>
      </c>
      <c r="F31">
        <v>-115.715208574</v>
      </c>
      <c r="G31">
        <f t="shared" si="3"/>
        <v>-14.118863930714657</v>
      </c>
      <c r="H31">
        <f>G29+H30</f>
        <v>-12.337272051731608</v>
      </c>
      <c r="L31" t="s">
        <v>67</v>
      </c>
      <c r="N31">
        <f>N30-G31</f>
        <v>-446.24686806928531</v>
      </c>
    </row>
    <row r="32" spans="1:18" x14ac:dyDescent="0.2">
      <c r="B32" t="s">
        <v>25</v>
      </c>
      <c r="C32" t="s">
        <v>19</v>
      </c>
      <c r="G32">
        <f t="shared" si="3"/>
        <v>0</v>
      </c>
      <c r="H32">
        <f>H31-I29</f>
        <v>-14.237272051731608</v>
      </c>
    </row>
    <row r="33" spans="2:18" x14ac:dyDescent="0.25">
      <c r="B33" t="s">
        <v>29</v>
      </c>
      <c r="C33" t="s">
        <v>26</v>
      </c>
      <c r="D33">
        <v>-268.326888</v>
      </c>
      <c r="E33">
        <v>-460.812162</v>
      </c>
      <c r="F33">
        <v>-115.691355</v>
      </c>
      <c r="G33">
        <f t="shared" si="3"/>
        <v>-12.506901810026564</v>
      </c>
      <c r="K33">
        <v>1000</v>
      </c>
    </row>
    <row r="35" spans="2:18" x14ac:dyDescent="0.25">
      <c r="E35" s="6" t="s">
        <v>69</v>
      </c>
      <c r="F35" t="s">
        <v>59</v>
      </c>
      <c r="G35" t="s">
        <v>44</v>
      </c>
    </row>
    <row r="36" spans="2:18" x14ac:dyDescent="0.25">
      <c r="C36" t="s">
        <v>27</v>
      </c>
      <c r="D36" t="s">
        <v>35</v>
      </c>
      <c r="E36" t="s">
        <v>36</v>
      </c>
      <c r="H36">
        <v>627.51</v>
      </c>
      <c r="K36" t="s">
        <v>60</v>
      </c>
      <c r="L36">
        <v>1.9870000000000001</v>
      </c>
      <c r="N36">
        <f>6.212</f>
        <v>6.2119999999999997</v>
      </c>
    </row>
    <row r="37" spans="2:18" x14ac:dyDescent="0.2">
      <c r="B37" t="s">
        <v>17</v>
      </c>
      <c r="C37">
        <v>-2958.7601110000001</v>
      </c>
      <c r="D37">
        <v>-2727.4173890000002</v>
      </c>
      <c r="E37">
        <v>-115.68595500000001</v>
      </c>
      <c r="F37">
        <f>(C37-(D37+(E37*2)))*$H$2</f>
        <v>18.315761879985224</v>
      </c>
      <c r="G37" t="s">
        <v>24</v>
      </c>
      <c r="H37">
        <v>1.9</v>
      </c>
      <c r="K37" t="s">
        <v>61</v>
      </c>
      <c r="L37">
        <v>1.3806619999999999E-23</v>
      </c>
      <c r="N37">
        <f>N36*1000000000000</f>
        <v>6212000000000</v>
      </c>
    </row>
    <row r="38" spans="2:18" x14ac:dyDescent="0.2">
      <c r="B38" t="s">
        <v>22</v>
      </c>
      <c r="C38">
        <v>-2958.8908810299999</v>
      </c>
      <c r="D38">
        <v>-2727.4431939400001</v>
      </c>
      <c r="E38">
        <v>-115.723635556</v>
      </c>
      <c r="F38">
        <f t="shared" ref="F38:F41" si="4">(C38-(D38+(E38*2)))*$H$2</f>
        <v>-0.26103035455228107</v>
      </c>
      <c r="G38">
        <f>F38-F39</f>
        <v>5.4372825338359831</v>
      </c>
      <c r="K38" t="s">
        <v>62</v>
      </c>
      <c r="L38">
        <v>6.6261759999999997E-34</v>
      </c>
      <c r="M38" t="s">
        <v>63</v>
      </c>
      <c r="N38">
        <f>L36*L39</f>
        <v>592.42404999999997</v>
      </c>
      <c r="Q38" t="s">
        <v>64</v>
      </c>
      <c r="R38" t="s">
        <v>65</v>
      </c>
    </row>
    <row r="39" spans="2:18" x14ac:dyDescent="0.2">
      <c r="B39" t="s">
        <v>18</v>
      </c>
      <c r="C39">
        <v>-2958.8756554500001</v>
      </c>
      <c r="D39">
        <v>-2727.4361574700001</v>
      </c>
      <c r="E39">
        <v>-115.715208574</v>
      </c>
      <c r="F39">
        <f t="shared" si="4"/>
        <v>-5.6983128883882639</v>
      </c>
      <c r="G39">
        <f>F37+G38</f>
        <v>23.753044413821208</v>
      </c>
      <c r="K39" t="s">
        <v>66</v>
      </c>
      <c r="L39">
        <v>298.14999999999998</v>
      </c>
      <c r="N39">
        <v>-460.36573199999998</v>
      </c>
      <c r="Q39">
        <f>$N$3*(EXP(1)^(-G40*$K$8/$N$4))</f>
        <v>5.9318762487104749E-4</v>
      </c>
      <c r="R39">
        <f>LN(Q39)</f>
        <v>-7.4299998095650235</v>
      </c>
    </row>
    <row r="40" spans="2:18" x14ac:dyDescent="0.2">
      <c r="B40" t="s">
        <v>19</v>
      </c>
      <c r="F40">
        <f t="shared" si="4"/>
        <v>0</v>
      </c>
      <c r="G40">
        <f>G39-H37</f>
        <v>21.853044413821209</v>
      </c>
      <c r="L40" t="s">
        <v>67</v>
      </c>
      <c r="N40">
        <f>N39-G40</f>
        <v>-482.21877641382116</v>
      </c>
    </row>
    <row r="41" spans="2:18" x14ac:dyDescent="0.25">
      <c r="B41" t="s">
        <v>26</v>
      </c>
      <c r="C41">
        <v>-2958.7735600000001</v>
      </c>
      <c r="D41">
        <v>-2727.4227810000002</v>
      </c>
      <c r="E41">
        <v>-115.691355</v>
      </c>
      <c r="F41">
        <f t="shared" si="4"/>
        <v>20.037021809991177</v>
      </c>
    </row>
    <row r="42" spans="2:18" x14ac:dyDescent="0.25">
      <c r="K42">
        <v>1000</v>
      </c>
    </row>
    <row r="43" spans="2:18" x14ac:dyDescent="0.25">
      <c r="F43" t="s">
        <v>41</v>
      </c>
    </row>
    <row r="44" spans="2:18" x14ac:dyDescent="0.25">
      <c r="H44" t="s">
        <v>44</v>
      </c>
      <c r="K44" t="s">
        <v>60</v>
      </c>
      <c r="L44">
        <v>1.9870000000000001</v>
      </c>
      <c r="N44">
        <f>6.212</f>
        <v>6.2119999999999997</v>
      </c>
    </row>
    <row r="45" spans="2:18" x14ac:dyDescent="0.25">
      <c r="D45" t="s">
        <v>42</v>
      </c>
      <c r="E45" t="s">
        <v>72</v>
      </c>
      <c r="F45" t="s">
        <v>36</v>
      </c>
      <c r="K45" t="s">
        <v>61</v>
      </c>
      <c r="L45">
        <v>1.3806619999999999E-23</v>
      </c>
      <c r="N45">
        <f>N44*1000000000000</f>
        <v>6212000000000</v>
      </c>
    </row>
    <row r="46" spans="2:18" x14ac:dyDescent="0.2">
      <c r="B46" t="s">
        <v>29</v>
      </c>
      <c r="C46" t="s">
        <v>17</v>
      </c>
      <c r="D46">
        <v>-268.32083799999998</v>
      </c>
      <c r="E46">
        <v>-2574.8036769999999</v>
      </c>
      <c r="F46">
        <v>-115.68595500000001</v>
      </c>
      <c r="G46">
        <f>((D46+E46+F46)-(D37+(F46*2)))*$H$2</f>
        <v>-13.285014209916849</v>
      </c>
      <c r="H46" t="s">
        <v>24</v>
      </c>
      <c r="I46">
        <v>1.9</v>
      </c>
      <c r="K46" t="s">
        <v>62</v>
      </c>
      <c r="L46">
        <v>6.6261759999999997E-34</v>
      </c>
      <c r="M46" t="s">
        <v>63</v>
      </c>
      <c r="N46">
        <f>L44*L47</f>
        <v>592.42404999999997</v>
      </c>
      <c r="Q46" t="s">
        <v>64</v>
      </c>
      <c r="R46" t="s">
        <v>65</v>
      </c>
    </row>
    <row r="47" spans="2:18" x14ac:dyDescent="0.2">
      <c r="B47" t="s">
        <v>30</v>
      </c>
      <c r="C47" t="s">
        <v>22</v>
      </c>
      <c r="D47">
        <v>-268.39006411100002</v>
      </c>
      <c r="E47">
        <v>-2574.7947451199998</v>
      </c>
      <c r="F47">
        <v>-115.723635556</v>
      </c>
      <c r="G47">
        <f t="shared" ref="G47:G50" si="5">((D47+E47+F47)-(D38+(F47*2)))*$H$2</f>
        <v>-11.282463509375665</v>
      </c>
      <c r="H47">
        <f>G47-G48</f>
        <v>2.2725199352502532</v>
      </c>
      <c r="K47" t="s">
        <v>66</v>
      </c>
      <c r="L47">
        <v>298.14999999999998</v>
      </c>
      <c r="N47">
        <v>-460.36573199999998</v>
      </c>
      <c r="Q47">
        <f>$N$3*(EXP(1)^(-G48*$K$8/$N$4))</f>
        <v>5.3718594874337948E+22</v>
      </c>
      <c r="R47">
        <f>LN(Q47)</f>
        <v>52.338046167716165</v>
      </c>
    </row>
    <row r="48" spans="2:18" x14ac:dyDescent="0.2">
      <c r="B48" t="s">
        <v>31</v>
      </c>
      <c r="C48" t="s">
        <v>18</v>
      </c>
      <c r="D48">
        <v>-268.382410037</v>
      </c>
      <c r="E48">
        <v>-2574.7905572300001</v>
      </c>
      <c r="F48">
        <v>-115.715208574</v>
      </c>
      <c r="G48">
        <f t="shared" si="5"/>
        <v>-13.554983444625918</v>
      </c>
      <c r="H48">
        <f>G46+H47</f>
        <v>-11.012494274666595</v>
      </c>
      <c r="L48" t="s">
        <v>67</v>
      </c>
      <c r="N48">
        <f>N47-G48</f>
        <v>-446.81074855537406</v>
      </c>
    </row>
    <row r="49" spans="1:14" x14ac:dyDescent="0.2">
      <c r="B49" t="s">
        <v>25</v>
      </c>
      <c r="C49" t="s">
        <v>19</v>
      </c>
      <c r="G49">
        <f t="shared" si="5"/>
        <v>0</v>
      </c>
      <c r="H49">
        <f>H48-I46</f>
        <v>-12.912494274666596</v>
      </c>
    </row>
    <row r="50" spans="1:14" x14ac:dyDescent="0.25">
      <c r="B50" t="s">
        <v>29</v>
      </c>
      <c r="C50" t="s">
        <v>26</v>
      </c>
      <c r="D50">
        <v>-268.326888</v>
      </c>
      <c r="E50">
        <v>-2574.8062500000001</v>
      </c>
      <c r="F50">
        <v>-115.691355</v>
      </c>
      <c r="G50">
        <f t="shared" si="5"/>
        <v>-11.923945020000255</v>
      </c>
      <c r="K50">
        <v>1000</v>
      </c>
    </row>
    <row r="52" spans="1:14" x14ac:dyDescent="0.25">
      <c r="E52" s="6" t="s">
        <v>79</v>
      </c>
      <c r="F52" s="6" t="s">
        <v>83</v>
      </c>
      <c r="G52" s="6" t="s">
        <v>44</v>
      </c>
    </row>
    <row r="53" spans="1:14" x14ac:dyDescent="0.25">
      <c r="C53" t="s">
        <v>27</v>
      </c>
      <c r="D53" t="s">
        <v>80</v>
      </c>
      <c r="E53" t="s">
        <v>35</v>
      </c>
      <c r="H53">
        <v>627.51</v>
      </c>
      <c r="K53" t="s">
        <v>60</v>
      </c>
      <c r="L53">
        <v>1.9870000000000001</v>
      </c>
      <c r="N53">
        <f>6.212</f>
        <v>6.2119999999999997</v>
      </c>
    </row>
    <row r="54" spans="1:14" x14ac:dyDescent="0.2">
      <c r="A54" t="s">
        <v>29</v>
      </c>
      <c r="B54" t="s">
        <v>17</v>
      </c>
      <c r="C54" s="13">
        <v>-573.707672</v>
      </c>
      <c r="D54" s="12">
        <v>-115.68595500000001</v>
      </c>
      <c r="E54" s="11">
        <v>-229.04463200000001</v>
      </c>
      <c r="F54">
        <f>(C54-(D54+(E54*2)))*$H$2</f>
        <v>42.386417969994021</v>
      </c>
      <c r="G54" t="s">
        <v>24</v>
      </c>
      <c r="H54">
        <v>1.9</v>
      </c>
      <c r="K54" t="s">
        <v>61</v>
      </c>
      <c r="L54">
        <v>1.3806619999999999E-23</v>
      </c>
      <c r="N54">
        <f>N53*1000000000000</f>
        <v>6212000000000</v>
      </c>
    </row>
    <row r="55" spans="1:14" x14ac:dyDescent="0.2">
      <c r="A55" t="s">
        <v>30</v>
      </c>
      <c r="B55" t="s">
        <v>22</v>
      </c>
      <c r="C55" s="5">
        <v>-573.87493527399999</v>
      </c>
      <c r="D55">
        <v>-115.723635556</v>
      </c>
      <c r="E55">
        <v>-229.09704092699999</v>
      </c>
      <c r="F55">
        <f>(C55-(D55+(E55*2)))*$H$2</f>
        <v>26.846218161377571</v>
      </c>
      <c r="G55">
        <f>F55-F56</f>
        <v>7.302009447376939</v>
      </c>
      <c r="K55" t="s">
        <v>62</v>
      </c>
      <c r="L55">
        <v>6.6261759999999997E-34</v>
      </c>
      <c r="M55" t="s">
        <v>63</v>
      </c>
      <c r="N55">
        <f>L53*L56</f>
        <v>592.42404999999997</v>
      </c>
    </row>
    <row r="56" spans="1:14" x14ac:dyDescent="0.2">
      <c r="A56" t="s">
        <v>31</v>
      </c>
      <c r="B56" t="s">
        <v>18</v>
      </c>
      <c r="C56">
        <v>-573.84382802499999</v>
      </c>
      <c r="D56">
        <v>-115.715208574</v>
      </c>
      <c r="E56">
        <v>-229.07988255199999</v>
      </c>
      <c r="F56">
        <f>(C56-(D56+(E56*2)))*$H$2</f>
        <v>19.544208714000632</v>
      </c>
      <c r="G56">
        <f>F54+G55</f>
        <v>49.68842741737096</v>
      </c>
      <c r="K56" t="s">
        <v>66</v>
      </c>
      <c r="L56">
        <v>298.14999999999998</v>
      </c>
      <c r="N56">
        <v>-460.36573199999998</v>
      </c>
    </row>
    <row r="57" spans="1:14" x14ac:dyDescent="0.2">
      <c r="A57" t="s">
        <v>25</v>
      </c>
      <c r="B57" t="s">
        <v>19</v>
      </c>
      <c r="F57">
        <f t="shared" ref="F57" si="6">(C57-(D57+(E57*2)))*$H$2</f>
        <v>0</v>
      </c>
      <c r="G57">
        <f>G56-H54</f>
        <v>47.788427417370961</v>
      </c>
      <c r="L57" t="s">
        <v>67</v>
      </c>
      <c r="N57">
        <f>N56-G57</f>
        <v>-508.15415941737092</v>
      </c>
    </row>
    <row r="58" spans="1:14" x14ac:dyDescent="0.25">
      <c r="A58" t="s">
        <v>29</v>
      </c>
      <c r="B58" t="s">
        <v>26</v>
      </c>
      <c r="C58" s="14">
        <v>-573.72525700000006</v>
      </c>
      <c r="D58" s="15">
        <v>-115.691355</v>
      </c>
      <c r="E58" s="16">
        <v>-229.057084</v>
      </c>
      <c r="F58">
        <f>(C58-(D58+(E58*2)))*$H$2</f>
        <v>50.367717659960952</v>
      </c>
    </row>
    <row r="59" spans="1:14" x14ac:dyDescent="0.25">
      <c r="K59">
        <v>1000</v>
      </c>
    </row>
    <row r="60" spans="1:14" x14ac:dyDescent="0.25">
      <c r="F60" t="s">
        <v>41</v>
      </c>
    </row>
    <row r="61" spans="1:14" x14ac:dyDescent="0.25">
      <c r="H61" t="s">
        <v>44</v>
      </c>
      <c r="K61" t="s">
        <v>60</v>
      </c>
      <c r="L61">
        <v>1.9870000000000001</v>
      </c>
      <c r="N61">
        <f>6.212</f>
        <v>6.2119999999999997</v>
      </c>
    </row>
    <row r="62" spans="1:14" x14ac:dyDescent="0.25">
      <c r="D62" t="s">
        <v>42</v>
      </c>
      <c r="E62" t="s">
        <v>81</v>
      </c>
      <c r="F62" t="s">
        <v>4</v>
      </c>
      <c r="K62" t="s">
        <v>61</v>
      </c>
      <c r="L62">
        <v>1.3806619999999999E-23</v>
      </c>
      <c r="N62">
        <f>N61*1000000000000</f>
        <v>6212000000000</v>
      </c>
    </row>
    <row r="63" spans="1:14" x14ac:dyDescent="0.2">
      <c r="B63" t="s">
        <v>29</v>
      </c>
      <c r="C63" t="s">
        <v>17</v>
      </c>
      <c r="D63">
        <v>-268.32083799999998</v>
      </c>
      <c r="E63" s="16">
        <v>-229.04463200000001</v>
      </c>
      <c r="F63">
        <v>-76.422173000000001</v>
      </c>
      <c r="G63">
        <f>((D63+E63+F63)-(D54+(E54*2)))*$H$2</f>
        <v>-7.796184240006264</v>
      </c>
      <c r="H63" t="s">
        <v>24</v>
      </c>
      <c r="I63">
        <v>1.9</v>
      </c>
      <c r="K63" t="s">
        <v>62</v>
      </c>
      <c r="L63">
        <v>6.6261759999999997E-34</v>
      </c>
      <c r="M63" t="s">
        <v>63</v>
      </c>
      <c r="N63">
        <f>L61*L64</f>
        <v>592.42404999999997</v>
      </c>
    </row>
    <row r="64" spans="1:14" x14ac:dyDescent="0.2">
      <c r="B64" t="s">
        <v>30</v>
      </c>
      <c r="C64" t="s">
        <v>22</v>
      </c>
      <c r="D64">
        <v>-268.39006411100002</v>
      </c>
      <c r="E64">
        <v>-229.09704092699999</v>
      </c>
      <c r="F64">
        <v>-76.439357365999996</v>
      </c>
      <c r="G64">
        <f t="shared" ref="G64:G67" si="7">((D64+E64+F64)-(D55+(E55*2)))*$H$2</f>
        <v>-5.4875711848935698</v>
      </c>
      <c r="H64">
        <f>G64-G65</f>
        <v>2.9110865983675236</v>
      </c>
      <c r="K64" t="s">
        <v>66</v>
      </c>
      <c r="L64">
        <v>298.14999999999998</v>
      </c>
      <c r="N64">
        <v>-460.36573199999998</v>
      </c>
    </row>
    <row r="65" spans="1:14" x14ac:dyDescent="0.2">
      <c r="B65" t="s">
        <v>31</v>
      </c>
      <c r="C65" t="s">
        <v>18</v>
      </c>
      <c r="D65">
        <v>-268.382410037</v>
      </c>
      <c r="E65">
        <v>-229.07988255199999</v>
      </c>
      <c r="F65">
        <v>-76.426065190900005</v>
      </c>
      <c r="G65">
        <f t="shared" si="7"/>
        <v>-8.3986577832610934</v>
      </c>
      <c r="H65">
        <f>G63+H64</f>
        <v>-4.8850976416387404</v>
      </c>
      <c r="L65" t="s">
        <v>67</v>
      </c>
      <c r="N65">
        <f>N64-G65</f>
        <v>-451.96707421673887</v>
      </c>
    </row>
    <row r="66" spans="1:14" x14ac:dyDescent="0.2">
      <c r="B66" t="s">
        <v>25</v>
      </c>
      <c r="C66" t="s">
        <v>19</v>
      </c>
      <c r="G66">
        <f t="shared" si="7"/>
        <v>0</v>
      </c>
      <c r="H66">
        <f>H65-I63</f>
        <v>-6.7850976416387407</v>
      </c>
    </row>
    <row r="67" spans="1:14" x14ac:dyDescent="0.25">
      <c r="B67" t="s">
        <v>29</v>
      </c>
      <c r="C67" t="s">
        <v>26</v>
      </c>
      <c r="D67">
        <v>-268.326888</v>
      </c>
      <c r="E67" s="16">
        <v>-229.057084</v>
      </c>
      <c r="F67" s="5">
        <v>-76.429713000000007</v>
      </c>
      <c r="G67">
        <f t="shared" si="7"/>
        <v>-5.1217366199813306</v>
      </c>
      <c r="K67">
        <v>1000</v>
      </c>
    </row>
    <row r="70" spans="1:14" x14ac:dyDescent="0.25">
      <c r="E70" s="6" t="s">
        <v>88</v>
      </c>
      <c r="F70" s="6" t="s">
        <v>82</v>
      </c>
      <c r="G70" s="6" t="s">
        <v>44</v>
      </c>
    </row>
    <row r="71" spans="1:14" x14ac:dyDescent="0.25">
      <c r="C71" t="s">
        <v>27</v>
      </c>
      <c r="D71" t="s">
        <v>80</v>
      </c>
      <c r="E71" t="s">
        <v>35</v>
      </c>
      <c r="H71">
        <v>627.51</v>
      </c>
      <c r="I71" t="s">
        <v>84</v>
      </c>
      <c r="K71" t="s">
        <v>60</v>
      </c>
      <c r="L71">
        <v>1.9870000000000001</v>
      </c>
      <c r="N71">
        <f>6.212</f>
        <v>6.2119999999999997</v>
      </c>
    </row>
    <row r="72" spans="1:14" x14ac:dyDescent="0.2">
      <c r="A72" t="s">
        <v>29</v>
      </c>
      <c r="B72" t="s">
        <v>17</v>
      </c>
      <c r="C72" s="19">
        <v>-534.41622299999995</v>
      </c>
      <c r="D72">
        <v>-115.68595500000001</v>
      </c>
      <c r="E72">
        <v>-229.04463200000001</v>
      </c>
      <c r="F72">
        <f>(C72-(D72+E72+I72))*$H$2</f>
        <v>41.672939100083234</v>
      </c>
      <c r="G72" t="s">
        <v>24</v>
      </c>
      <c r="H72">
        <v>1.9</v>
      </c>
      <c r="I72" s="17">
        <v>-189.75204600000001</v>
      </c>
      <c r="K72" t="s">
        <v>61</v>
      </c>
      <c r="L72">
        <v>1.3806619999999999E-23</v>
      </c>
      <c r="N72">
        <f>N71*1000000000000</f>
        <v>6212000000000</v>
      </c>
    </row>
    <row r="73" spans="1:14" x14ac:dyDescent="0.2">
      <c r="A73" t="s">
        <v>30</v>
      </c>
      <c r="B73" t="s">
        <v>22</v>
      </c>
      <c r="C73">
        <v>-534.55556909999996</v>
      </c>
      <c r="D73">
        <v>-115.723635556</v>
      </c>
      <c r="E73">
        <v>-229.09704092699999</v>
      </c>
      <c r="F73">
        <f>(C73-(D73+E73+I73))*$H$2</f>
        <v>26.303221835679299</v>
      </c>
      <c r="G73">
        <f>F73-F74</f>
        <v>6.9530385861420072</v>
      </c>
      <c r="I73">
        <v>-189.776809434</v>
      </c>
      <c r="K73" t="s">
        <v>62</v>
      </c>
      <c r="L73">
        <v>6.6261759999999997E-34</v>
      </c>
      <c r="M73" t="s">
        <v>63</v>
      </c>
      <c r="N73">
        <f>L71*L74</f>
        <v>592.42404999999997</v>
      </c>
    </row>
    <row r="74" spans="1:14" x14ac:dyDescent="0.2">
      <c r="A74" t="s">
        <v>31</v>
      </c>
      <c r="B74" t="s">
        <v>18</v>
      </c>
      <c r="C74">
        <v>-534.52624710199996</v>
      </c>
      <c r="D74">
        <v>-115.715208574</v>
      </c>
      <c r="E74">
        <v>-229.07988255199999</v>
      </c>
      <c r="F74">
        <f t="shared" ref="F74:F76" si="8">(C74-(D74+E74+I74))*$H$2</f>
        <v>19.350183249537292</v>
      </c>
      <c r="G74">
        <f>F72+G73</f>
        <v>48.625977686225241</v>
      </c>
      <c r="I74">
        <v>-189.76199242999999</v>
      </c>
      <c r="K74" t="s">
        <v>66</v>
      </c>
      <c r="L74">
        <v>298.14999999999998</v>
      </c>
      <c r="N74">
        <v>-460.36573199999998</v>
      </c>
    </row>
    <row r="75" spans="1:14" x14ac:dyDescent="0.2">
      <c r="A75" t="s">
        <v>25</v>
      </c>
      <c r="B75" t="s">
        <v>19</v>
      </c>
      <c r="F75">
        <f>(C75-(D75+E75+I75))*$H$2</f>
        <v>0</v>
      </c>
      <c r="G75">
        <f>G74-H72</f>
        <v>46.725977686225242</v>
      </c>
      <c r="L75" t="s">
        <v>67</v>
      </c>
      <c r="N75">
        <f>N74-G75</f>
        <v>-507.09170968622522</v>
      </c>
    </row>
    <row r="76" spans="1:14" x14ac:dyDescent="0.25">
      <c r="A76" t="s">
        <v>29</v>
      </c>
      <c r="B76" t="s">
        <v>26</v>
      </c>
      <c r="C76">
        <v>-534.43486700000005</v>
      </c>
      <c r="D76">
        <v>-115.691355</v>
      </c>
      <c r="E76">
        <v>-229.057084</v>
      </c>
      <c r="F76">
        <f t="shared" si="8"/>
        <v>48.857928599991801</v>
      </c>
      <c r="I76" s="18">
        <v>-189.76428799999999</v>
      </c>
    </row>
    <row r="77" spans="1:14" x14ac:dyDescent="0.25">
      <c r="K77">
        <v>1000</v>
      </c>
    </row>
    <row r="78" spans="1:14" x14ac:dyDescent="0.25">
      <c r="F78" t="s">
        <v>41</v>
      </c>
    </row>
    <row r="79" spans="1:14" x14ac:dyDescent="0.25">
      <c r="H79" t="s">
        <v>44</v>
      </c>
      <c r="K79" t="s">
        <v>60</v>
      </c>
      <c r="L79">
        <v>1.9870000000000001</v>
      </c>
      <c r="N79">
        <f>6.212</f>
        <v>6.2119999999999997</v>
      </c>
    </row>
    <row r="80" spans="1:14" x14ac:dyDescent="0.25">
      <c r="D80" t="s">
        <v>42</v>
      </c>
      <c r="E80" t="s">
        <v>81</v>
      </c>
      <c r="F80" t="s">
        <v>4</v>
      </c>
      <c r="K80" t="s">
        <v>61</v>
      </c>
      <c r="L80">
        <v>1.3806619999999999E-23</v>
      </c>
      <c r="N80">
        <f>N79*1000000000000</f>
        <v>6212000000000</v>
      </c>
    </row>
    <row r="81" spans="1:14" x14ac:dyDescent="0.2">
      <c r="B81" t="s">
        <v>29</v>
      </c>
      <c r="C81" t="s">
        <v>17</v>
      </c>
      <c r="D81">
        <v>-268.32083799999998</v>
      </c>
      <c r="E81">
        <v>-229.04463200000001</v>
      </c>
      <c r="F81">
        <v>-76.422173000000001</v>
      </c>
      <c r="G81">
        <f>((D81+E81+F81)-(D72+(E72*2)))*$H$2</f>
        <v>-7.796184240006264</v>
      </c>
      <c r="H81" t="s">
        <v>24</v>
      </c>
      <c r="I81">
        <v>1.9</v>
      </c>
      <c r="K81" t="s">
        <v>62</v>
      </c>
      <c r="L81">
        <v>6.6261759999999997E-34</v>
      </c>
      <c r="M81" t="s">
        <v>63</v>
      </c>
      <c r="N81">
        <f>L79*L82</f>
        <v>592.42404999999997</v>
      </c>
    </row>
    <row r="82" spans="1:14" x14ac:dyDescent="0.2">
      <c r="B82" t="s">
        <v>30</v>
      </c>
      <c r="C82" t="s">
        <v>22</v>
      </c>
      <c r="D82">
        <v>-268.39006411100002</v>
      </c>
      <c r="E82">
        <v>-229.09704092699999</v>
      </c>
      <c r="F82">
        <v>-76.439357365999996</v>
      </c>
      <c r="G82">
        <f t="shared" ref="G82:G85" si="9">((D82+E82+F82)-(D73+(E73*2)))*$H$2</f>
        <v>-5.4875711848935698</v>
      </c>
      <c r="H82">
        <f>G82-G83</f>
        <v>2.9110865983675236</v>
      </c>
      <c r="K82" t="s">
        <v>66</v>
      </c>
      <c r="L82">
        <v>298.14999999999998</v>
      </c>
      <c r="N82">
        <v>-460.36573199999998</v>
      </c>
    </row>
    <row r="83" spans="1:14" x14ac:dyDescent="0.2">
      <c r="B83" t="s">
        <v>31</v>
      </c>
      <c r="C83" t="s">
        <v>18</v>
      </c>
      <c r="D83">
        <v>-268.382410037</v>
      </c>
      <c r="E83">
        <v>-229.07988255199999</v>
      </c>
      <c r="F83">
        <v>-76.426065190900005</v>
      </c>
      <c r="G83">
        <f t="shared" si="9"/>
        <v>-8.3986577832610934</v>
      </c>
      <c r="H83">
        <f>G81+H82</f>
        <v>-4.8850976416387404</v>
      </c>
      <c r="L83" t="s">
        <v>67</v>
      </c>
      <c r="N83">
        <f>N82-G83</f>
        <v>-451.96707421673887</v>
      </c>
    </row>
    <row r="84" spans="1:14" x14ac:dyDescent="0.2">
      <c r="B84" t="s">
        <v>25</v>
      </c>
      <c r="C84" t="s">
        <v>19</v>
      </c>
      <c r="G84">
        <f t="shared" si="9"/>
        <v>0</v>
      </c>
      <c r="H84">
        <f>H83-I81</f>
        <v>-6.7850976416387407</v>
      </c>
    </row>
    <row r="85" spans="1:14" x14ac:dyDescent="0.25">
      <c r="B85" t="s">
        <v>29</v>
      </c>
      <c r="C85" t="s">
        <v>26</v>
      </c>
      <c r="D85">
        <v>-268.326888</v>
      </c>
      <c r="E85">
        <v>-229.057084</v>
      </c>
      <c r="F85">
        <v>-76.429713000000007</v>
      </c>
      <c r="G85">
        <f t="shared" si="9"/>
        <v>-5.1217366199813306</v>
      </c>
      <c r="K85">
        <v>1000</v>
      </c>
    </row>
    <row r="88" spans="1:14" x14ac:dyDescent="0.25">
      <c r="E88" s="6" t="s">
        <v>85</v>
      </c>
      <c r="F88" s="6" t="s">
        <v>83</v>
      </c>
      <c r="G88" s="6" t="s">
        <v>44</v>
      </c>
    </row>
    <row r="89" spans="1:14" x14ac:dyDescent="0.25">
      <c r="C89" t="s">
        <v>27</v>
      </c>
      <c r="D89" t="s">
        <v>80</v>
      </c>
      <c r="E89" t="s">
        <v>35</v>
      </c>
      <c r="H89">
        <v>627.51</v>
      </c>
      <c r="K89" t="s">
        <v>60</v>
      </c>
      <c r="L89">
        <v>1.9870000000000001</v>
      </c>
      <c r="N89">
        <f>6.212</f>
        <v>6.2119999999999997</v>
      </c>
    </row>
    <row r="90" spans="1:14" x14ac:dyDescent="0.2">
      <c r="A90" t="s">
        <v>29</v>
      </c>
      <c r="B90" t="s">
        <v>17</v>
      </c>
      <c r="C90">
        <v>-573.73168599999997</v>
      </c>
      <c r="D90">
        <v>-115.68595500000001</v>
      </c>
      <c r="E90">
        <v>-229.04463200000001</v>
      </c>
      <c r="F90">
        <f>(C90-(D90+(E90*2)))*$H$2</f>
        <v>27.317392830015631</v>
      </c>
      <c r="G90" t="s">
        <v>24</v>
      </c>
      <c r="H90">
        <v>1.9</v>
      </c>
      <c r="K90" t="s">
        <v>61</v>
      </c>
      <c r="L90">
        <v>1.3806619999999999E-23</v>
      </c>
      <c r="N90">
        <f>N89*1000000000000</f>
        <v>6212000000000</v>
      </c>
    </row>
    <row r="91" spans="1:14" x14ac:dyDescent="0.2">
      <c r="A91" t="s">
        <v>30</v>
      </c>
      <c r="B91" t="s">
        <v>22</v>
      </c>
      <c r="C91" s="5">
        <v>-573.90002100000004</v>
      </c>
      <c r="D91">
        <v>-115.723635556</v>
      </c>
      <c r="E91">
        <v>-229.09704092699999</v>
      </c>
      <c r="F91">
        <f>(C91-(D91+(E91*2)))*$H$2</f>
        <v>11.104674239090592</v>
      </c>
      <c r="G91">
        <f>F91-F92</f>
        <v>7.7401457144878378</v>
      </c>
      <c r="K91" t="s">
        <v>62</v>
      </c>
      <c r="L91">
        <v>6.6261759999999997E-34</v>
      </c>
      <c r="M91" t="s">
        <v>63</v>
      </c>
      <c r="N91">
        <f>L89*L92</f>
        <v>592.42404999999997</v>
      </c>
    </row>
    <row r="92" spans="1:14" x14ac:dyDescent="0.2">
      <c r="A92" t="s">
        <v>31</v>
      </c>
      <c r="B92" t="s">
        <v>18</v>
      </c>
      <c r="C92">
        <v>-573.86961196499999</v>
      </c>
      <c r="D92">
        <v>-115.715208574</v>
      </c>
      <c r="E92">
        <v>-229.07988255199999</v>
      </c>
      <c r="F92">
        <f>(C92-(D92+(E92*2)))*$H$2</f>
        <v>3.3645285246027536</v>
      </c>
      <c r="G92">
        <f>F90+G91</f>
        <v>35.057538544503473</v>
      </c>
      <c r="K92" t="s">
        <v>66</v>
      </c>
      <c r="L92">
        <v>298.14999999999998</v>
      </c>
      <c r="N92">
        <v>-460.36573199999998</v>
      </c>
    </row>
    <row r="93" spans="1:14" x14ac:dyDescent="0.2">
      <c r="A93" t="s">
        <v>25</v>
      </c>
      <c r="B93" t="s">
        <v>19</v>
      </c>
      <c r="F93">
        <f t="shared" ref="F93" si="10">(C93-(D93+(E93*2)))*$H$2</f>
        <v>0</v>
      </c>
      <c r="G93">
        <f>G92-H90</f>
        <v>33.157538544503474</v>
      </c>
      <c r="L93" t="s">
        <v>67</v>
      </c>
      <c r="N93">
        <f>N92-G93</f>
        <v>-493.52327054450348</v>
      </c>
    </row>
    <row r="94" spans="1:14" x14ac:dyDescent="0.25">
      <c r="A94" t="s">
        <v>29</v>
      </c>
      <c r="B94" t="s">
        <v>26</v>
      </c>
      <c r="C94" s="5">
        <v>-573.74921800000004</v>
      </c>
      <c r="D94">
        <v>-115.691355</v>
      </c>
      <c r="E94">
        <v>-229.057084</v>
      </c>
      <c r="F94">
        <f>(C94-(D94+(E94*2)))*$H$2</f>
        <v>35.331950549969932</v>
      </c>
    </row>
    <row r="95" spans="1:14" x14ac:dyDescent="0.25">
      <c r="K95">
        <v>1000</v>
      </c>
    </row>
    <row r="96" spans="1:14" x14ac:dyDescent="0.25">
      <c r="F96" t="s">
        <v>41</v>
      </c>
    </row>
    <row r="97" spans="1:14" x14ac:dyDescent="0.25">
      <c r="H97" t="s">
        <v>44</v>
      </c>
      <c r="K97" t="s">
        <v>60</v>
      </c>
      <c r="L97">
        <v>1.9870000000000001</v>
      </c>
      <c r="N97">
        <f>6.212</f>
        <v>6.2119999999999997</v>
      </c>
    </row>
    <row r="98" spans="1:14" x14ac:dyDescent="0.25">
      <c r="D98" t="s">
        <v>42</v>
      </c>
      <c r="E98" t="s">
        <v>81</v>
      </c>
      <c r="F98" t="s">
        <v>4</v>
      </c>
      <c r="K98" t="s">
        <v>61</v>
      </c>
      <c r="L98">
        <v>1.3806619999999999E-23</v>
      </c>
      <c r="N98">
        <f>N97*1000000000000</f>
        <v>6212000000000</v>
      </c>
    </row>
    <row r="99" spans="1:14" x14ac:dyDescent="0.2">
      <c r="B99" t="s">
        <v>29</v>
      </c>
      <c r="C99" t="s">
        <v>17</v>
      </c>
      <c r="D99">
        <v>-268.32083799999998</v>
      </c>
      <c r="E99">
        <v>-229.04463200000001</v>
      </c>
      <c r="F99">
        <v>-76.422173000000001</v>
      </c>
      <c r="G99">
        <f>((D99+E99+F99)-(D90+(E90*2)))*$H$2</f>
        <v>-7.796184240006264</v>
      </c>
      <c r="H99" t="s">
        <v>24</v>
      </c>
      <c r="I99">
        <v>1.9</v>
      </c>
      <c r="K99" t="s">
        <v>62</v>
      </c>
      <c r="L99">
        <v>6.6261759999999997E-34</v>
      </c>
      <c r="M99" t="s">
        <v>63</v>
      </c>
      <c r="N99">
        <f>L97*L100</f>
        <v>592.42404999999997</v>
      </c>
    </row>
    <row r="100" spans="1:14" x14ac:dyDescent="0.2">
      <c r="B100" t="s">
        <v>30</v>
      </c>
      <c r="C100" t="s">
        <v>22</v>
      </c>
      <c r="D100">
        <v>-268.39006411100002</v>
      </c>
      <c r="E100">
        <v>-229.09704092699999</v>
      </c>
      <c r="F100">
        <v>-76.439357365999996</v>
      </c>
      <c r="G100">
        <f t="shared" ref="G100:G103" si="11">((D100+E100+F100)-(D91+(E91*2)))*$H$2</f>
        <v>-5.4875711848935698</v>
      </c>
      <c r="H100">
        <f>G100-G101</f>
        <v>2.9110865983675236</v>
      </c>
      <c r="K100" t="s">
        <v>66</v>
      </c>
      <c r="L100">
        <v>298.14999999999998</v>
      </c>
      <c r="N100">
        <v>-460.36573199999998</v>
      </c>
    </row>
    <row r="101" spans="1:14" x14ac:dyDescent="0.2">
      <c r="B101" t="s">
        <v>31</v>
      </c>
      <c r="C101" t="s">
        <v>18</v>
      </c>
      <c r="D101">
        <v>-268.382410037</v>
      </c>
      <c r="E101">
        <v>-229.07988255199999</v>
      </c>
      <c r="F101">
        <v>-76.426065190900005</v>
      </c>
      <c r="G101">
        <f t="shared" si="11"/>
        <v>-8.3986577832610934</v>
      </c>
      <c r="H101">
        <f>G99+H100</f>
        <v>-4.8850976416387404</v>
      </c>
      <c r="L101" t="s">
        <v>67</v>
      </c>
      <c r="N101">
        <f>N100-G101</f>
        <v>-451.96707421673887</v>
      </c>
    </row>
    <row r="102" spans="1:14" x14ac:dyDescent="0.2">
      <c r="B102" t="s">
        <v>25</v>
      </c>
      <c r="C102" t="s">
        <v>19</v>
      </c>
      <c r="G102">
        <f t="shared" si="11"/>
        <v>0</v>
      </c>
      <c r="H102">
        <f>H101-I99</f>
        <v>-6.7850976416387407</v>
      </c>
    </row>
    <row r="103" spans="1:14" x14ac:dyDescent="0.25">
      <c r="B103" t="s">
        <v>29</v>
      </c>
      <c r="C103" t="s">
        <v>26</v>
      </c>
      <c r="D103">
        <v>-268.326888</v>
      </c>
      <c r="E103">
        <v>-229.057084</v>
      </c>
      <c r="F103">
        <v>-76.429713000000007</v>
      </c>
      <c r="G103">
        <f t="shared" si="11"/>
        <v>-5.1217366199813306</v>
      </c>
      <c r="K103">
        <v>1000</v>
      </c>
    </row>
    <row r="105" spans="1:14" x14ac:dyDescent="0.25">
      <c r="E105" s="6" t="s">
        <v>87</v>
      </c>
      <c r="F105" s="6" t="s">
        <v>86</v>
      </c>
      <c r="G105" s="6" t="s">
        <v>44</v>
      </c>
    </row>
    <row r="106" spans="1:14" x14ac:dyDescent="0.25">
      <c r="C106" t="s">
        <v>27</v>
      </c>
      <c r="D106" t="s">
        <v>80</v>
      </c>
      <c r="E106" t="s">
        <v>35</v>
      </c>
      <c r="H106">
        <v>627.51</v>
      </c>
      <c r="I106" t="s">
        <v>84</v>
      </c>
      <c r="K106" t="s">
        <v>60</v>
      </c>
      <c r="L106">
        <v>1.9870000000000001</v>
      </c>
      <c r="N106">
        <f>6.212</f>
        <v>6.2119999999999997</v>
      </c>
    </row>
    <row r="107" spans="1:14" x14ac:dyDescent="0.2">
      <c r="A107" t="s">
        <v>29</v>
      </c>
      <c r="B107" t="s">
        <v>17</v>
      </c>
      <c r="C107">
        <v>-534.43884300000002</v>
      </c>
      <c r="D107">
        <v>-115.68595500000001</v>
      </c>
      <c r="E107">
        <v>-229.04463200000001</v>
      </c>
      <c r="F107">
        <f>(C107-(D107+E107+I107))*$H$2</f>
        <v>27.478662900036504</v>
      </c>
      <c r="G107" t="s">
        <v>24</v>
      </c>
      <c r="H107">
        <v>1.9</v>
      </c>
      <c r="I107">
        <v>-189.75204600000001</v>
      </c>
      <c r="K107" t="s">
        <v>61</v>
      </c>
      <c r="L107">
        <v>1.3806619999999999E-23</v>
      </c>
      <c r="N107">
        <f>N106*1000000000000</f>
        <v>6212000000000</v>
      </c>
    </row>
    <row r="108" spans="1:14" x14ac:dyDescent="0.2">
      <c r="A108" t="s">
        <v>30</v>
      </c>
      <c r="B108" t="s">
        <v>22</v>
      </c>
      <c r="C108">
        <v>-534.58169659999999</v>
      </c>
      <c r="D108">
        <v>-115.723635556</v>
      </c>
      <c r="E108">
        <v>-229.09704092699999</v>
      </c>
      <c r="F108">
        <f>(C108-(D108+E108+I108))*$H$2</f>
        <v>9.9079543106607151</v>
      </c>
      <c r="G108">
        <f>F108-F109</f>
        <v>7.1064434458186216</v>
      </c>
      <c r="I108">
        <v>-189.776809434</v>
      </c>
      <c r="K108" t="s">
        <v>62</v>
      </c>
      <c r="L108">
        <v>6.6261759999999997E-34</v>
      </c>
      <c r="M108" t="s">
        <v>63</v>
      </c>
      <c r="N108">
        <f>L106*L109</f>
        <v>592.42404999999997</v>
      </c>
    </row>
    <row r="109" spans="1:14" x14ac:dyDescent="0.2">
      <c r="A109" t="s">
        <v>31</v>
      </c>
      <c r="B109" t="s">
        <v>18</v>
      </c>
      <c r="C109">
        <v>-534.55261906800001</v>
      </c>
      <c r="D109">
        <v>-115.715208574</v>
      </c>
      <c r="E109">
        <v>-229.07988255199999</v>
      </c>
      <c r="F109">
        <f t="shared" ref="F109" si="12">(C109-(D109+E109+I109))*$H$2</f>
        <v>2.8015108648420939</v>
      </c>
      <c r="G109">
        <f>F107+G108</f>
        <v>34.585106345855124</v>
      </c>
      <c r="I109">
        <v>-189.76199242999999</v>
      </c>
      <c r="K109" t="s">
        <v>66</v>
      </c>
      <c r="L109">
        <v>298.14999999999998</v>
      </c>
      <c r="N109">
        <v>-460.36573199999998</v>
      </c>
    </row>
    <row r="110" spans="1:14" x14ac:dyDescent="0.2">
      <c r="A110" t="s">
        <v>25</v>
      </c>
      <c r="B110" t="s">
        <v>19</v>
      </c>
      <c r="F110">
        <f>(C110-(D110+E110+I110))*$H$2</f>
        <v>0</v>
      </c>
      <c r="G110">
        <f>G109-H107</f>
        <v>32.685106345855125</v>
      </c>
      <c r="L110" t="s">
        <v>67</v>
      </c>
      <c r="N110">
        <f>N109-G110</f>
        <v>-493.05083834585508</v>
      </c>
    </row>
    <row r="111" spans="1:14" x14ac:dyDescent="0.25">
      <c r="A111" t="s">
        <v>29</v>
      </c>
      <c r="B111" t="s">
        <v>26</v>
      </c>
      <c r="C111" s="6">
        <v>-534.43486700000005</v>
      </c>
      <c r="D111">
        <v>-115.691355</v>
      </c>
      <c r="E111">
        <v>-229.057084</v>
      </c>
      <c r="F111">
        <f t="shared" ref="F111" si="13">(C111-(D111+E111+I111))*$H$2</f>
        <v>48.857928599991801</v>
      </c>
      <c r="I111">
        <v>-189.76428799999999</v>
      </c>
    </row>
    <row r="112" spans="1:14" x14ac:dyDescent="0.25">
      <c r="K112">
        <v>1000</v>
      </c>
    </row>
    <row r="113" spans="1:14" x14ac:dyDescent="0.25">
      <c r="F113" t="s">
        <v>41</v>
      </c>
    </row>
    <row r="114" spans="1:14" x14ac:dyDescent="0.25">
      <c r="H114" t="s">
        <v>44</v>
      </c>
      <c r="K114" t="s">
        <v>60</v>
      </c>
      <c r="L114">
        <v>1.9870000000000001</v>
      </c>
      <c r="N114">
        <f>6.212</f>
        <v>6.2119999999999997</v>
      </c>
    </row>
    <row r="115" spans="1:14" x14ac:dyDescent="0.25">
      <c r="D115" t="s">
        <v>42</v>
      </c>
      <c r="E115" t="s">
        <v>81</v>
      </c>
      <c r="F115" t="s">
        <v>4</v>
      </c>
      <c r="K115" t="s">
        <v>61</v>
      </c>
      <c r="L115">
        <v>1.3806619999999999E-23</v>
      </c>
      <c r="N115">
        <f>N114*1000000000000</f>
        <v>6212000000000</v>
      </c>
    </row>
    <row r="116" spans="1:14" x14ac:dyDescent="0.2">
      <c r="B116" t="s">
        <v>29</v>
      </c>
      <c r="C116" t="s">
        <v>17</v>
      </c>
      <c r="D116">
        <v>-268.32083799999998</v>
      </c>
      <c r="E116">
        <v>-229.04463200000001</v>
      </c>
      <c r="F116">
        <v>-76.422173000000001</v>
      </c>
      <c r="G116">
        <f>((D116+E116+F116)-(D107+(E107*2)))*$H$2</f>
        <v>-7.796184240006264</v>
      </c>
      <c r="H116" t="s">
        <v>24</v>
      </c>
      <c r="I116">
        <v>1.9</v>
      </c>
      <c r="K116" t="s">
        <v>62</v>
      </c>
      <c r="L116">
        <v>6.6261759999999997E-34</v>
      </c>
      <c r="M116" t="s">
        <v>63</v>
      </c>
      <c r="N116">
        <f>L114*L117</f>
        <v>592.42404999999997</v>
      </c>
    </row>
    <row r="117" spans="1:14" x14ac:dyDescent="0.2">
      <c r="B117" t="s">
        <v>30</v>
      </c>
      <c r="C117" t="s">
        <v>22</v>
      </c>
      <c r="D117">
        <v>-268.39006411100002</v>
      </c>
      <c r="E117">
        <v>-229.09704092699999</v>
      </c>
      <c r="F117">
        <v>-76.439357365999996</v>
      </c>
      <c r="G117">
        <f t="shared" ref="G117:G120" si="14">((D117+E117+F117)-(D108+(E108*2)))*$H$2</f>
        <v>-5.4875711848935698</v>
      </c>
      <c r="H117">
        <f>G117-G118</f>
        <v>2.9110865983675236</v>
      </c>
      <c r="K117" t="s">
        <v>66</v>
      </c>
      <c r="L117">
        <v>298.14999999999998</v>
      </c>
      <c r="N117">
        <v>-460.36573199999998</v>
      </c>
    </row>
    <row r="118" spans="1:14" x14ac:dyDescent="0.2">
      <c r="B118" t="s">
        <v>31</v>
      </c>
      <c r="C118" t="s">
        <v>18</v>
      </c>
      <c r="D118">
        <v>-268.382410037</v>
      </c>
      <c r="E118">
        <v>-229.07988255199999</v>
      </c>
      <c r="F118">
        <v>-76.426065190900005</v>
      </c>
      <c r="G118">
        <f t="shared" si="14"/>
        <v>-8.3986577832610934</v>
      </c>
      <c r="H118">
        <f>G116+H117</f>
        <v>-4.8850976416387404</v>
      </c>
      <c r="L118" t="s">
        <v>67</v>
      </c>
      <c r="N118">
        <f>N117-G118</f>
        <v>-451.96707421673887</v>
      </c>
    </row>
    <row r="119" spans="1:14" x14ac:dyDescent="0.2">
      <c r="B119" t="s">
        <v>25</v>
      </c>
      <c r="C119" t="s">
        <v>19</v>
      </c>
      <c r="G119">
        <f t="shared" si="14"/>
        <v>0</v>
      </c>
      <c r="H119">
        <f>H118-I116</f>
        <v>-6.7850976416387407</v>
      </c>
    </row>
    <row r="120" spans="1:14" x14ac:dyDescent="0.25">
      <c r="B120" t="s">
        <v>29</v>
      </c>
      <c r="C120" t="s">
        <v>26</v>
      </c>
      <c r="D120">
        <v>-268.326888</v>
      </c>
      <c r="E120">
        <v>-229.057084</v>
      </c>
      <c r="F120">
        <v>-76.429713000000007</v>
      </c>
      <c r="G120">
        <f t="shared" si="14"/>
        <v>-5.1217366199813306</v>
      </c>
      <c r="K120">
        <v>1000</v>
      </c>
    </row>
    <row r="122" spans="1:14" x14ac:dyDescent="0.25">
      <c r="E122" t="s">
        <v>89</v>
      </c>
      <c r="F122" t="s">
        <v>83</v>
      </c>
      <c r="G122" t="s">
        <v>44</v>
      </c>
    </row>
    <row r="123" spans="1:14" x14ac:dyDescent="0.25">
      <c r="C123" t="s">
        <v>27</v>
      </c>
      <c r="D123" t="s">
        <v>80</v>
      </c>
      <c r="E123" t="s">
        <v>35</v>
      </c>
      <c r="H123">
        <v>627.51</v>
      </c>
      <c r="K123" t="s">
        <v>60</v>
      </c>
      <c r="L123">
        <v>1.9870000000000001</v>
      </c>
      <c r="N123">
        <f>6.212</f>
        <v>6.2119999999999997</v>
      </c>
    </row>
    <row r="124" spans="1:14" x14ac:dyDescent="0.2">
      <c r="A124" t="s">
        <v>29</v>
      </c>
      <c r="B124" t="s">
        <v>17</v>
      </c>
      <c r="C124">
        <v>-573.73430399999995</v>
      </c>
      <c r="D124">
        <v>-115.68595500000001</v>
      </c>
      <c r="E124">
        <v>-229.04463200000001</v>
      </c>
      <c r="F124">
        <f>(C124-(D124+(E124*2)))*$H$2</f>
        <v>25.674571650025658</v>
      </c>
      <c r="G124" t="s">
        <v>24</v>
      </c>
      <c r="H124">
        <v>1.9</v>
      </c>
      <c r="K124" t="s">
        <v>61</v>
      </c>
      <c r="L124">
        <v>1.3806619999999999E-23</v>
      </c>
      <c r="N124">
        <f>N123*1000000000000</f>
        <v>6212000000000</v>
      </c>
    </row>
    <row r="125" spans="1:14" x14ac:dyDescent="0.2">
      <c r="A125" t="s">
        <v>30</v>
      </c>
      <c r="B125" t="s">
        <v>22</v>
      </c>
      <c r="C125">
        <v>-573.89921400000003</v>
      </c>
      <c r="D125">
        <v>-115.723635556</v>
      </c>
      <c r="E125">
        <v>-229.09704092699999</v>
      </c>
      <c r="F125">
        <f>(C125-(D125+(E125*2)))*$H$2</f>
        <v>11.611074809096166</v>
      </c>
      <c r="G125">
        <f>F125-F126</f>
        <v>9.0470576539458634</v>
      </c>
      <c r="K125" t="s">
        <v>62</v>
      </c>
      <c r="L125">
        <v>6.6261759999999997E-34</v>
      </c>
      <c r="M125" t="s">
        <v>63</v>
      </c>
      <c r="N125">
        <f>L123*L126</f>
        <v>592.42404999999997</v>
      </c>
    </row>
    <row r="126" spans="1:14" x14ac:dyDescent="0.2">
      <c r="A126" t="s">
        <v>31</v>
      </c>
      <c r="B126" t="s">
        <v>18</v>
      </c>
      <c r="C126">
        <v>-573.87088765999999</v>
      </c>
      <c r="D126">
        <v>-115.715208574</v>
      </c>
      <c r="E126">
        <v>-229.07988255199999</v>
      </c>
      <c r="F126">
        <f>(C126-(D126+(E126*2)))*$H$2</f>
        <v>2.5640171551503022</v>
      </c>
      <c r="G126">
        <f>F124+G125</f>
        <v>34.721629303971525</v>
      </c>
      <c r="K126" t="s">
        <v>66</v>
      </c>
      <c r="L126">
        <v>298.14999999999998</v>
      </c>
      <c r="N126">
        <v>-460.36573199999998</v>
      </c>
    </row>
    <row r="127" spans="1:14" x14ac:dyDescent="0.2">
      <c r="A127" t="s">
        <v>25</v>
      </c>
      <c r="B127" t="s">
        <v>19</v>
      </c>
      <c r="F127">
        <f t="shared" ref="F127" si="15">(C127-(D127+(E127*2)))*$H$2</f>
        <v>0</v>
      </c>
      <c r="G127">
        <f>G126-H124</f>
        <v>32.821629303971527</v>
      </c>
      <c r="L127" t="s">
        <v>67</v>
      </c>
      <c r="N127">
        <f>N126-G127</f>
        <v>-493.1873613039715</v>
      </c>
    </row>
    <row r="128" spans="1:14" x14ac:dyDescent="0.2">
      <c r="A128" t="s">
        <v>29</v>
      </c>
      <c r="B128" t="s">
        <v>26</v>
      </c>
      <c r="C128">
        <v>-573.75239999999997</v>
      </c>
      <c r="D128">
        <v>-115.691355</v>
      </c>
      <c r="E128">
        <v>-229.057084</v>
      </c>
      <c r="F128">
        <f>(C128-(D128+(E128*2)))*$H$2</f>
        <v>33.335213730017436</v>
      </c>
    </row>
    <row r="129" spans="11:11" x14ac:dyDescent="0.2">
      <c r="K129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Kruger</dc:creator>
  <cp:lastModifiedBy>Monsurat Lawal (214584429)</cp:lastModifiedBy>
  <dcterms:created xsi:type="dcterms:W3CDTF">2015-05-25T11:27:14Z</dcterms:created>
  <dcterms:modified xsi:type="dcterms:W3CDTF">2016-07-02T14:48:29Z</dcterms:modified>
</cp:coreProperties>
</file>