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mmct_lunet_lboro_ac_uk/Documents/Surface Free Energy/"/>
    </mc:Choice>
  </mc:AlternateContent>
  <xr:revisionPtr revIDLastSave="1422" documentId="10_ncr:40000_{2621A6C3-03F6-43B9-80A3-EEBA5719DA5D}" xr6:coauthVersionLast="47" xr6:coauthVersionMax="47" xr10:uidLastSave="{9B8613ED-3FAE-4150-9B81-30710B5A2D3A}"/>
  <bookViews>
    <workbookView xWindow="-110" yWindow="-110" windowWidth="19420" windowHeight="10420" activeTab="5" xr2:uid="{00000000-000D-0000-FFFF-FFFF00000000}"/>
  </bookViews>
  <sheets>
    <sheet name="Data entry + OWRK" sheetId="2" r:id="rId1"/>
    <sheet name="OWRK" sheetId="3" state="hidden" r:id="rId2"/>
    <sheet name="Results " sheetId="6" r:id="rId3"/>
    <sheet name="Zisman" sheetId="4" r:id="rId4"/>
    <sheet name="Acid-base" sheetId="5" r:id="rId5"/>
    <sheet name="liquid data sheet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" l="1"/>
  <c r="F11" i="6"/>
  <c r="F10" i="6"/>
  <c r="H6" i="6"/>
  <c r="H5" i="6"/>
  <c r="H4" i="6"/>
  <c r="H7" i="6"/>
  <c r="G7" i="6"/>
  <c r="G6" i="6"/>
  <c r="G5" i="6"/>
  <c r="G4" i="6"/>
  <c r="H3" i="6"/>
  <c r="G3" i="6"/>
  <c r="F7" i="6"/>
  <c r="F6" i="6"/>
  <c r="F5" i="6"/>
  <c r="F4" i="6"/>
  <c r="F3" i="6"/>
  <c r="B3" i="6"/>
  <c r="B4" i="6"/>
  <c r="B2" i="6"/>
  <c r="B5" i="4"/>
  <c r="E5" i="4" s="1"/>
  <c r="C5" i="4"/>
  <c r="D5" i="4"/>
  <c r="G5" i="4"/>
  <c r="G5" i="5"/>
  <c r="H5" i="5" s="1"/>
  <c r="G6" i="5"/>
  <c r="H6" i="5" s="1"/>
  <c r="G7" i="5"/>
  <c r="H7" i="5" s="1"/>
  <c r="M5" i="2"/>
  <c r="N5" i="2"/>
  <c r="M8" i="2"/>
  <c r="N8" i="2"/>
  <c r="M11" i="2"/>
  <c r="N11" i="2"/>
  <c r="M14" i="2"/>
  <c r="N14" i="2"/>
  <c r="N2" i="2"/>
  <c r="M2" i="2"/>
  <c r="B26" i="2"/>
  <c r="B22" i="2"/>
  <c r="B23" i="2"/>
  <c r="I17" i="2"/>
  <c r="J17" i="2"/>
  <c r="K17" i="2"/>
  <c r="L17" i="2"/>
  <c r="H1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H3" i="2"/>
  <c r="J3" i="2" s="1"/>
  <c r="H4" i="2"/>
  <c r="J4" i="2"/>
  <c r="H5" i="2"/>
  <c r="J5" i="2"/>
  <c r="H6" i="2"/>
  <c r="J6" i="2" s="1"/>
  <c r="H7" i="2"/>
  <c r="J7" i="2"/>
  <c r="H8" i="2"/>
  <c r="J8" i="2" s="1"/>
  <c r="H9" i="2"/>
  <c r="J9" i="2" s="1"/>
  <c r="H10" i="2"/>
  <c r="J10" i="2"/>
  <c r="H11" i="2"/>
  <c r="J11" i="2" s="1"/>
  <c r="H12" i="2"/>
  <c r="J12" i="2"/>
  <c r="H13" i="2"/>
  <c r="J13" i="2"/>
  <c r="H14" i="2"/>
  <c r="J14" i="2" s="1"/>
  <c r="H15" i="2"/>
  <c r="J15" i="2"/>
  <c r="H16" i="2"/>
  <c r="J16" i="2"/>
  <c r="E16" i="2"/>
  <c r="F16" i="2"/>
  <c r="G16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F2" i="2"/>
  <c r="G2" i="2"/>
  <c r="E2" i="2"/>
  <c r="C15" i="2"/>
  <c r="D15" i="2" s="1"/>
  <c r="C16" i="2"/>
  <c r="D16" i="2" s="1"/>
  <c r="C12" i="2"/>
  <c r="D12" i="2" s="1"/>
  <c r="C13" i="2"/>
  <c r="D13" i="2" s="1"/>
  <c r="C9" i="2"/>
  <c r="D9" i="2" s="1"/>
  <c r="C10" i="2"/>
  <c r="D10" i="2" s="1"/>
  <c r="C6" i="2"/>
  <c r="D6" i="2" s="1"/>
  <c r="C7" i="2"/>
  <c r="D7" i="2" s="1"/>
  <c r="C3" i="2"/>
  <c r="D3" i="2" s="1"/>
  <c r="C4" i="2"/>
  <c r="D4" i="2" s="1"/>
  <c r="A6" i="5"/>
  <c r="B6" i="5"/>
  <c r="G11" i="5" s="1"/>
  <c r="C6" i="5"/>
  <c r="B11" i="5" s="1"/>
  <c r="D6" i="5"/>
  <c r="E6" i="5"/>
  <c r="C11" i="5" s="1"/>
  <c r="F6" i="5"/>
  <c r="D11" i="5" s="1"/>
  <c r="B7" i="5"/>
  <c r="G12" i="5" s="1"/>
  <c r="C7" i="5"/>
  <c r="B12" i="5" s="1"/>
  <c r="D7" i="5"/>
  <c r="E7" i="5"/>
  <c r="C12" i="5" s="1"/>
  <c r="F7" i="5"/>
  <c r="D12" i="5" s="1"/>
  <c r="B5" i="5"/>
  <c r="G10" i="5" s="1"/>
  <c r="B5" i="3"/>
  <c r="C5" i="3"/>
  <c r="D5" i="3"/>
  <c r="F5" i="3" s="1"/>
  <c r="E5" i="3"/>
  <c r="B6" i="3"/>
  <c r="C6" i="3"/>
  <c r="D6" i="3"/>
  <c r="F6" i="3" s="1"/>
  <c r="E6" i="3"/>
  <c r="B3" i="3"/>
  <c r="C3" i="3"/>
  <c r="F3" i="3" s="1"/>
  <c r="D3" i="3"/>
  <c r="E3" i="3"/>
  <c r="K5" i="3"/>
  <c r="K4" i="3"/>
  <c r="K3" i="3"/>
  <c r="K6" i="3"/>
  <c r="B20" i="5" l="1"/>
  <c r="F5" i="4"/>
  <c r="B28" i="2"/>
  <c r="H2" i="2"/>
  <c r="H5" i="3"/>
  <c r="H3" i="3"/>
  <c r="H6" i="3"/>
  <c r="J2" i="2" l="1"/>
  <c r="C14" i="2"/>
  <c r="N20" i="5" a="1"/>
  <c r="N20" i="5" s="1"/>
  <c r="S20" i="5" s="1" a="1"/>
  <c r="S20" i="5" s="1"/>
  <c r="A4" i="4"/>
  <c r="A2" i="4"/>
  <c r="C11" i="2"/>
  <c r="C8" i="2"/>
  <c r="B6" i="4"/>
  <c r="C6" i="4"/>
  <c r="C3" i="4"/>
  <c r="B3" i="4"/>
  <c r="E3" i="4" s="1"/>
  <c r="A7" i="5"/>
  <c r="A5" i="5"/>
  <c r="F5" i="5"/>
  <c r="D10" i="5" s="1"/>
  <c r="E5" i="5"/>
  <c r="C10" i="5" s="1"/>
  <c r="D5" i="5"/>
  <c r="C5" i="5"/>
  <c r="B10" i="5" s="1"/>
  <c r="B4" i="3"/>
  <c r="A2" i="3"/>
  <c r="C5" i="2"/>
  <c r="C2" i="2"/>
  <c r="B2" i="4" l="1"/>
  <c r="F16" i="6" s="1"/>
  <c r="K2" i="3"/>
  <c r="D2" i="2"/>
  <c r="D11" i="2"/>
  <c r="D8" i="2"/>
  <c r="D5" i="2"/>
  <c r="D14" i="2"/>
  <c r="E6" i="4"/>
  <c r="H19" i="6"/>
  <c r="H17" i="6"/>
  <c r="C4" i="3"/>
  <c r="C2" i="3"/>
  <c r="E2" i="3"/>
  <c r="B2" i="3"/>
  <c r="C2" i="4"/>
  <c r="B15" i="5" a="1"/>
  <c r="B15" i="5" s="1"/>
  <c r="G15" i="5" s="1" a="1"/>
  <c r="G15" i="5" s="1"/>
  <c r="H16" i="6"/>
  <c r="D2" i="3"/>
  <c r="C4" i="4"/>
  <c r="B4" i="4"/>
  <c r="F19" i="6"/>
  <c r="H18" i="6"/>
  <c r="F17" i="6"/>
  <c r="E4" i="3"/>
  <c r="D4" i="3"/>
  <c r="G5" i="3" l="1"/>
  <c r="J5" i="3" s="1"/>
  <c r="F2" i="3"/>
  <c r="G2" i="3"/>
  <c r="E2" i="4"/>
  <c r="D3" i="4"/>
  <c r="G3" i="4" s="1"/>
  <c r="G3" i="3"/>
  <c r="G4" i="3"/>
  <c r="B24" i="5"/>
  <c r="B40" i="6" s="1"/>
  <c r="D6" i="4"/>
  <c r="G6" i="4" s="1"/>
  <c r="G6" i="3"/>
  <c r="D4" i="4"/>
  <c r="G18" i="6" s="1"/>
  <c r="D2" i="4"/>
  <c r="G16" i="6" s="1"/>
  <c r="F4" i="3"/>
  <c r="B7" i="4"/>
  <c r="E4" i="4"/>
  <c r="F18" i="6"/>
  <c r="E7" i="4" l="1"/>
  <c r="L4" i="2"/>
  <c r="K4" i="2"/>
  <c r="L3" i="2"/>
  <c r="K3" i="2"/>
  <c r="K5" i="2"/>
  <c r="L5" i="2"/>
  <c r="L7" i="2"/>
  <c r="K7" i="2"/>
  <c r="L6" i="2"/>
  <c r="K6" i="2"/>
  <c r="L8" i="2"/>
  <c r="K8" i="2"/>
  <c r="L9" i="2"/>
  <c r="K9" i="2"/>
  <c r="K10" i="2"/>
  <c r="L10" i="2"/>
  <c r="I5" i="3"/>
  <c r="K11" i="2"/>
  <c r="L11" i="2"/>
  <c r="K13" i="2"/>
  <c r="L13" i="2"/>
  <c r="L12" i="2"/>
  <c r="K12" i="2"/>
  <c r="L16" i="2"/>
  <c r="K16" i="2"/>
  <c r="L15" i="2"/>
  <c r="K15" i="2"/>
  <c r="L14" i="2"/>
  <c r="K14" i="2"/>
  <c r="L2" i="2"/>
  <c r="K2" i="2"/>
  <c r="F4" i="4"/>
  <c r="G4" i="4"/>
  <c r="G2" i="4"/>
  <c r="F2" i="4"/>
  <c r="G17" i="6"/>
  <c r="D7" i="4"/>
  <c r="G19" i="6"/>
  <c r="F3" i="4"/>
  <c r="J6" i="3"/>
  <c r="I6" i="3"/>
  <c r="J3" i="3"/>
  <c r="I3" i="3"/>
  <c r="J4" i="3"/>
  <c r="F6" i="4"/>
  <c r="I4" i="3"/>
  <c r="H4" i="3"/>
  <c r="H2" i="3"/>
  <c r="J2" i="3"/>
  <c r="F7" i="3"/>
  <c r="I2" i="3"/>
  <c r="G7" i="3"/>
  <c r="B25" i="5" l="1"/>
  <c r="B26" i="5" s="1"/>
  <c r="B44" i="6" s="1"/>
  <c r="G7" i="4"/>
  <c r="F7" i="4"/>
  <c r="B11" i="4" s="1"/>
  <c r="B42" i="6"/>
  <c r="B43" i="6"/>
  <c r="H7" i="3"/>
  <c r="E12" i="3" s="1"/>
  <c r="E16" i="3" s="1"/>
  <c r="J7" i="3"/>
  <c r="I7" i="3"/>
  <c r="B12" i="4" l="1"/>
  <c r="B41" i="6"/>
  <c r="E13" i="3"/>
  <c r="B15" i="4"/>
  <c r="B15" i="6" s="1"/>
  <c r="E17" i="3" l="1"/>
  <c r="E1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<sst xmlns="http://schemas.openxmlformats.org/spreadsheetml/2006/main" count="160" uniqueCount="63">
  <si>
    <t>Liquid</t>
  </si>
  <si>
    <t>Angle</t>
  </si>
  <si>
    <t>Angle (radian)</t>
  </si>
  <si>
    <t>cos(theta)</t>
  </si>
  <si>
    <t>Surface tension</t>
  </si>
  <si>
    <t>Dispersive part</t>
  </si>
  <si>
    <t>Polar part</t>
  </si>
  <si>
    <t>x</t>
  </si>
  <si>
    <t>y</t>
  </si>
  <si>
    <t>x2</t>
  </si>
  <si>
    <t>xy</t>
  </si>
  <si>
    <t>y2</t>
  </si>
  <si>
    <t>AVG</t>
  </si>
  <si>
    <t>STDEV</t>
  </si>
  <si>
    <t>Water</t>
  </si>
  <si>
    <t>Diiodomethane</t>
  </si>
  <si>
    <t>Ethylene glycol</t>
  </si>
  <si>
    <t>Dimethyl sulfoxide</t>
  </si>
  <si>
    <t>Formamide</t>
  </si>
  <si>
    <t>Sum</t>
  </si>
  <si>
    <t>c</t>
  </si>
  <si>
    <t>m</t>
  </si>
  <si>
    <t>Surface energy</t>
  </si>
  <si>
    <t>angle</t>
  </si>
  <si>
    <t>Error</t>
  </si>
  <si>
    <t>OWRK</t>
  </si>
  <si>
    <t>Plot values</t>
  </si>
  <si>
    <t>stdev</t>
  </si>
  <si>
    <t>Tag</t>
  </si>
  <si>
    <t>best fit equation</t>
  </si>
  <si>
    <t>y-intercept</t>
  </si>
  <si>
    <t>slop</t>
  </si>
  <si>
    <t>Zisman</t>
  </si>
  <si>
    <t>Acid-base (mathes problem, in construction)</t>
  </si>
  <si>
    <t>Choose 3 liquid in dropdown list to calculate SFE with Acid-base method</t>
  </si>
  <si>
    <t>Dispersive liquid must be in the 3rd row</t>
  </si>
  <si>
    <t>Acid</t>
  </si>
  <si>
    <t>Base</t>
  </si>
  <si>
    <t>Acid part</t>
  </si>
  <si>
    <t>Base part</t>
  </si>
  <si>
    <t>A</t>
  </si>
  <si>
    <t>B</t>
  </si>
  <si>
    <t>dispersive</t>
  </si>
  <si>
    <r>
      <t>A</t>
    </r>
    <r>
      <rPr>
        <sz val="11"/>
        <color theme="1"/>
        <rFont val="Calibri"/>
        <family val="2"/>
      </rPr>
      <t>⁻¹</t>
    </r>
  </si>
  <si>
    <t>X</t>
  </si>
  <si>
    <t xml:space="preserve">acid </t>
  </si>
  <si>
    <t>base</t>
  </si>
  <si>
    <t>sqrt(dispersive)</t>
  </si>
  <si>
    <t>polar</t>
  </si>
  <si>
    <t>SFE</t>
  </si>
  <si>
    <t>[1]</t>
  </si>
  <si>
    <t>Heptane</t>
  </si>
  <si>
    <t>[2]</t>
  </si>
  <si>
    <t>Source</t>
  </si>
  <si>
    <t>Correlation between Lewis Acid-Base Surface Interaction</t>
  </si>
  <si>
    <t>Glycerol</t>
  </si>
  <si>
    <t>[3]</t>
  </si>
  <si>
    <t>Components and Linear Solvation Energy Relationship</t>
  </si>
  <si>
    <t>Solvatochromic r and â Parameters</t>
  </si>
  <si>
    <t>Lieng-Huang Lee*</t>
  </si>
  <si>
    <t>Contact angle, wetting, and adhesion: a critical</t>
  </si>
  <si>
    <t>review</t>
  </si>
  <si>
    <t>Robert J.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</si>
</sst>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entry + OWRK'!$A$2:$A$16</c:f>
              <c:strCache>
                <c:ptCount val="15"/>
                <c:pt idx="0">
                  <c:v>Water</c:v>
                </c:pt>
                <c:pt idx="1">
                  <c:v>Water</c:v>
                </c:pt>
                <c:pt idx="2">
                  <c:v>Water</c:v>
                </c:pt>
                <c:pt idx="3">
                  <c:v>Diiodomethane</c:v>
                </c:pt>
                <c:pt idx="4">
                  <c:v>Diiodomethane</c:v>
                </c:pt>
                <c:pt idx="5">
                  <c:v>Diiodomethane</c:v>
                </c:pt>
                <c:pt idx="6">
                  <c:v>Ethylene glycol</c:v>
                </c:pt>
                <c:pt idx="7">
                  <c:v>Ethylene glycol</c:v>
                </c:pt>
                <c:pt idx="8">
                  <c:v>Ethylene glycol</c:v>
                </c:pt>
                <c:pt idx="9">
                  <c:v>Dimethyl sulfoxide</c:v>
                </c:pt>
                <c:pt idx="10">
                  <c:v>Dimethyl sulfoxide</c:v>
                </c:pt>
                <c:pt idx="11">
                  <c:v>Dimethyl sulfoxide</c:v>
                </c:pt>
                <c:pt idx="12">
                  <c:v>Formamide</c:v>
                </c:pt>
                <c:pt idx="13">
                  <c:v>Formamide</c:v>
                </c:pt>
                <c:pt idx="14">
                  <c:v>Formamide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18919510061242"/>
                  <c:y val="0.569551254009915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entry + OWRK'!$H$2:$H$16</c:f>
              <c:numCache>
                <c:formatCode>General</c:formatCode>
                <c:ptCount val="15"/>
                <c:pt idx="0">
                  <c:v>1.5295259204356111</c:v>
                </c:pt>
                <c:pt idx="1">
                  <c:v>1.5295259204356111</c:v>
                </c:pt>
                <c:pt idx="2">
                  <c:v>1.5295259204356111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0.80942721340037949</c:v>
                </c:pt>
                <c:pt idx="7">
                  <c:v>0.80942721340037949</c:v>
                </c:pt>
                <c:pt idx="8">
                  <c:v>0.80942721340037949</c:v>
                </c:pt>
                <c:pt idx="9">
                  <c:v>0.47140452079103168</c:v>
                </c:pt>
                <c:pt idx="10">
                  <c:v>0.47140452079103168</c:v>
                </c:pt>
                <c:pt idx="11">
                  <c:v>0.47140452079103168</c:v>
                </c:pt>
                <c:pt idx="12">
                  <c:v>0.69798244045211277</c:v>
                </c:pt>
                <c:pt idx="13">
                  <c:v>0.69798244045211277</c:v>
                </c:pt>
                <c:pt idx="14">
                  <c:v>0.69798244045211277</c:v>
                </c:pt>
              </c:numCache>
            </c:numRef>
          </c:xVal>
          <c:yVal>
            <c:numRef>
              <c:f>'Data entry + OWRK'!$I$2:$I$16</c:f>
              <c:numCache>
                <c:formatCode>General</c:formatCode>
                <c:ptCount val="15"/>
                <c:pt idx="0">
                  <c:v>10.4752024893972</c:v>
                </c:pt>
                <c:pt idx="1">
                  <c:v>10.678577841886959</c:v>
                </c:pt>
                <c:pt idx="2">
                  <c:v>10.867203816756158</c:v>
                </c:pt>
                <c:pt idx="3">
                  <c:v>6.5983878666935851</c:v>
                </c:pt>
                <c:pt idx="4">
                  <c:v>6.6241528306578648</c:v>
                </c:pt>
                <c:pt idx="5">
                  <c:v>6.459917857447838</c:v>
                </c:pt>
                <c:pt idx="6">
                  <c:v>7.8794317808926291</c:v>
                </c:pt>
                <c:pt idx="7">
                  <c:v>8.3578747467952059</c:v>
                </c:pt>
                <c:pt idx="8">
                  <c:v>8.0435324012625617</c:v>
                </c:pt>
                <c:pt idx="9">
                  <c:v>6.928706085805306</c:v>
                </c:pt>
                <c:pt idx="10">
                  <c:v>7.1291518290445639</c:v>
                </c:pt>
                <c:pt idx="11">
                  <c:v>7.1619228768821515</c:v>
                </c:pt>
                <c:pt idx="12">
                  <c:v>8.0798441328086987</c:v>
                </c:pt>
                <c:pt idx="13">
                  <c:v>7.9020864975906919</c:v>
                </c:pt>
                <c:pt idx="14">
                  <c:v>8.3106557227471107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3-4F94-9813-3FD5935ED5D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41920223"/>
        <c:axId val="641918143"/>
      </c:scatterChart>
      <c:valAx>
        <c:axId val="64192022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18143"/>
        <c:crosses val="autoZero"/>
        <c:crossBetween val="midCat"/>
      </c:valAx>
      <c:valAx>
        <c:axId val="64191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2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OWRK!$G$1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AF65E8B-772C-47D7-A7A8-CFCD815972D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E5C-4AD7-8D64-1B655DD0525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FAA622D-954C-49D7-AC6F-65BB0BB68F3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E5C-4AD7-8D64-1B655DD0525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80E095B-B9B1-43A2-8526-6EA17E9036C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E5C-4AD7-8D64-1B655DD0525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F0789EC-1C0E-4A8B-8EAB-8441649F5F2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5C-4AD7-8D64-1B655DD0525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8FEF537-AFBE-4854-8214-E712A7CA655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711-412C-B6C3-9741CDDB9F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0780839895013"/>
                  <c:y val="0.48769101778944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OWRK!$K$2:$K$6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OWRK!$K$2:$K$6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OWRK!$F$2:$F$6</c:f>
              <c:numCache>
                <c:formatCode>General</c:formatCode>
                <c:ptCount val="5"/>
                <c:pt idx="0">
                  <c:v>1.5295259204356111</c:v>
                </c:pt>
                <c:pt idx="1">
                  <c:v>0.80942721340037949</c:v>
                </c:pt>
                <c:pt idx="2">
                  <c:v>0</c:v>
                </c:pt>
                <c:pt idx="3">
                  <c:v>0.69798244045211277</c:v>
                </c:pt>
                <c:pt idx="4">
                  <c:v>0.47140452079103168</c:v>
                </c:pt>
              </c:numCache>
            </c:numRef>
          </c:xVal>
          <c:yVal>
            <c:numRef>
              <c:f>OWRK!$G$2:$G$6</c:f>
              <c:numCache>
                <c:formatCode>General</c:formatCode>
                <c:ptCount val="5"/>
                <c:pt idx="0">
                  <c:v>10.4752024893972</c:v>
                </c:pt>
                <c:pt idx="1">
                  <c:v>7.8794317808926291</c:v>
                </c:pt>
                <c:pt idx="2">
                  <c:v>6.5983878666935851</c:v>
                </c:pt>
                <c:pt idx="3">
                  <c:v>8.0798441328086987</c:v>
                </c:pt>
                <c:pt idx="4">
                  <c:v>6.928706085805306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OWRK!$A$2:$A$6</c15:f>
                <c15:dlblRangeCache>
                  <c:ptCount val="5"/>
                  <c:pt idx="0">
                    <c:v>Water</c:v>
                  </c:pt>
                  <c:pt idx="1">
                    <c:v>Ethylene glycol</c:v>
                  </c:pt>
                  <c:pt idx="2">
                    <c:v>Diiodomethane</c:v>
                  </c:pt>
                  <c:pt idx="3">
                    <c:v>Formamide</c:v>
                  </c:pt>
                  <c:pt idx="4">
                    <c:v>Dimethyl sulfoxide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E5C-4AD7-8D64-1B655DD05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457536"/>
        <c:axId val="1496458784"/>
      </c:scatterChart>
      <c:valAx>
        <c:axId val="149645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58784"/>
        <c:crosses val="autoZero"/>
        <c:crossBetween val="midCat"/>
      </c:valAx>
      <c:valAx>
        <c:axId val="14964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5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4F990F8-EFB8-4FD6-A8BB-79AF12F92E5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B43-4CCF-B603-A7E3711DDA4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4617AB4-24AA-405D-A7B4-40FC535E4E9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B43-4CCF-B603-A7E3711DDA4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97914E-92A1-442C-BD9C-723BB0BDDFA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B43-4CCF-B603-A7E3711DDA4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A8FFF45-4EF2-4CE1-802D-F04CA4C374E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B43-4CCF-B603-A7E3711DDA4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2E60542-D8DD-4CDE-AF5F-E58E6A7B2B0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D05-48DC-A275-EE7BFDBF8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791946815300674"/>
                  <c:y val="0.170888638920134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Zisman!$B$2:$B$6</c:f>
              <c:numCache>
                <c:formatCode>General</c:formatCode>
                <c:ptCount val="5"/>
                <c:pt idx="0">
                  <c:v>72.8</c:v>
                </c:pt>
                <c:pt idx="1">
                  <c:v>48</c:v>
                </c:pt>
                <c:pt idx="2">
                  <c:v>50.8</c:v>
                </c:pt>
                <c:pt idx="3">
                  <c:v>58</c:v>
                </c:pt>
                <c:pt idx="4">
                  <c:v>44</c:v>
                </c:pt>
              </c:numCache>
            </c:numRef>
          </c:xVal>
          <c:yVal>
            <c:numRef>
              <c:f>Zisman!$D$2:$D$6</c:f>
              <c:numCache>
                <c:formatCode>General</c:formatCode>
                <c:ptCount val="5"/>
                <c:pt idx="0">
                  <c:v>0.34365969458561607</c:v>
                </c:pt>
                <c:pt idx="1">
                  <c:v>0.7680016136116723</c:v>
                </c:pt>
                <c:pt idx="2">
                  <c:v>0.85155228426434104</c:v>
                </c:pt>
                <c:pt idx="3">
                  <c:v>0.73995208402625412</c:v>
                </c:pt>
                <c:pt idx="4">
                  <c:v>0.88964711431053789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Zisman!$A$2:$A$6</c15:f>
                <c15:dlblRangeCache>
                  <c:ptCount val="5"/>
                  <c:pt idx="0">
                    <c:v>Water</c:v>
                  </c:pt>
                  <c:pt idx="1">
                    <c:v>Ethylene glycol</c:v>
                  </c:pt>
                  <c:pt idx="2">
                    <c:v>Diiodomethane</c:v>
                  </c:pt>
                  <c:pt idx="3">
                    <c:v>Formamide</c:v>
                  </c:pt>
                  <c:pt idx="4">
                    <c:v>Dimethyl sulfoxide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EB43-4CCF-B603-A7E3711DD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52239"/>
        <c:axId val="175054735"/>
      </c:scatterChart>
      <c:valAx>
        <c:axId val="17505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Surface Tension (mN/m)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4735"/>
        <c:crosses val="autoZero"/>
        <c:crossBetween val="midCat"/>
      </c:valAx>
      <c:valAx>
        <c:axId val="1750547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cos(theta)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entry + OWRK'!$A$2:$A$16</c:f>
              <c:strCache>
                <c:ptCount val="15"/>
                <c:pt idx="0">
                  <c:v>Water</c:v>
                </c:pt>
                <c:pt idx="1">
                  <c:v>Water</c:v>
                </c:pt>
                <c:pt idx="2">
                  <c:v>Water</c:v>
                </c:pt>
                <c:pt idx="3">
                  <c:v>Diiodomethane</c:v>
                </c:pt>
                <c:pt idx="4">
                  <c:v>Diiodomethane</c:v>
                </c:pt>
                <c:pt idx="5">
                  <c:v>Diiodomethane</c:v>
                </c:pt>
                <c:pt idx="6">
                  <c:v>Ethylene glycol</c:v>
                </c:pt>
                <c:pt idx="7">
                  <c:v>Ethylene glycol</c:v>
                </c:pt>
                <c:pt idx="8">
                  <c:v>Ethylene glycol</c:v>
                </c:pt>
                <c:pt idx="9">
                  <c:v>Dimethyl sulfoxide</c:v>
                </c:pt>
                <c:pt idx="10">
                  <c:v>Dimethyl sulfoxide</c:v>
                </c:pt>
                <c:pt idx="11">
                  <c:v>Dimethyl sulfoxide</c:v>
                </c:pt>
                <c:pt idx="12">
                  <c:v>Formamide</c:v>
                </c:pt>
                <c:pt idx="13">
                  <c:v>Formamide</c:v>
                </c:pt>
                <c:pt idx="14">
                  <c:v>Formamide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18919510061242"/>
                  <c:y val="0.569551254009915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entry + OWRK'!$H$2:$H$16</c:f>
              <c:numCache>
                <c:formatCode>General</c:formatCode>
                <c:ptCount val="15"/>
                <c:pt idx="0">
                  <c:v>1.5295259204356111</c:v>
                </c:pt>
                <c:pt idx="1">
                  <c:v>1.5295259204356111</c:v>
                </c:pt>
                <c:pt idx="2">
                  <c:v>1.5295259204356111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0.80942721340037949</c:v>
                </c:pt>
                <c:pt idx="7">
                  <c:v>0.80942721340037949</c:v>
                </c:pt>
                <c:pt idx="8">
                  <c:v>0.80942721340037949</c:v>
                </c:pt>
                <c:pt idx="9">
                  <c:v>0.47140452079103168</c:v>
                </c:pt>
                <c:pt idx="10">
                  <c:v>0.47140452079103168</c:v>
                </c:pt>
                <c:pt idx="11">
                  <c:v>0.47140452079103168</c:v>
                </c:pt>
                <c:pt idx="12">
                  <c:v>0.69798244045211277</c:v>
                </c:pt>
                <c:pt idx="13">
                  <c:v>0.69798244045211277</c:v>
                </c:pt>
                <c:pt idx="14">
                  <c:v>0.69798244045211277</c:v>
                </c:pt>
              </c:numCache>
            </c:numRef>
          </c:xVal>
          <c:yVal>
            <c:numRef>
              <c:f>'Data entry + OWRK'!$I$2:$I$16</c:f>
              <c:numCache>
                <c:formatCode>General</c:formatCode>
                <c:ptCount val="15"/>
                <c:pt idx="0">
                  <c:v>10.4752024893972</c:v>
                </c:pt>
                <c:pt idx="1">
                  <c:v>10.678577841886959</c:v>
                </c:pt>
                <c:pt idx="2">
                  <c:v>10.867203816756158</c:v>
                </c:pt>
                <c:pt idx="3">
                  <c:v>6.5983878666935851</c:v>
                </c:pt>
                <c:pt idx="4">
                  <c:v>6.6241528306578648</c:v>
                </c:pt>
                <c:pt idx="5">
                  <c:v>6.459917857447838</c:v>
                </c:pt>
                <c:pt idx="6">
                  <c:v>7.8794317808926291</c:v>
                </c:pt>
                <c:pt idx="7">
                  <c:v>8.3578747467952059</c:v>
                </c:pt>
                <c:pt idx="8">
                  <c:v>8.0435324012625617</c:v>
                </c:pt>
                <c:pt idx="9">
                  <c:v>6.928706085805306</c:v>
                </c:pt>
                <c:pt idx="10">
                  <c:v>7.1291518290445639</c:v>
                </c:pt>
                <c:pt idx="11">
                  <c:v>7.1619228768821515</c:v>
                </c:pt>
                <c:pt idx="12">
                  <c:v>8.0798441328086987</c:v>
                </c:pt>
                <c:pt idx="13">
                  <c:v>7.9020864975906919</c:v>
                </c:pt>
                <c:pt idx="14">
                  <c:v>8.3106557227471107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E5-4D1C-B0D8-5C2EF303FB6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41920223"/>
        <c:axId val="641918143"/>
      </c:scatterChart>
      <c:valAx>
        <c:axId val="64192022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18143"/>
        <c:crosses val="autoZero"/>
        <c:crossBetween val="midCat"/>
      </c:valAx>
      <c:valAx>
        <c:axId val="64191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2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7A026C8-42A2-439B-B609-2127AC35404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C5C-42CC-BF81-A854695CF6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95A1DD7-16BF-4A79-B425-23AA60EE6E9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C5C-42CC-BF81-A854695CF6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8125D24-4C6E-4E39-A316-D3280BE8492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C5C-42CC-BF81-A854695CF67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F2CD0BE-F403-462D-98CE-6D675460BF4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C5C-42CC-BF81-A854695CF67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CFA6BC6-4E0A-4EF2-B2B3-6847B6F7811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44D-46C9-A185-896244B255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514889965677361E-2"/>
                  <c:y val="0.420781764695520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Zisman!$B$2:$B$6</c:f>
              <c:numCache>
                <c:formatCode>General</c:formatCode>
                <c:ptCount val="5"/>
                <c:pt idx="0">
                  <c:v>72.8</c:v>
                </c:pt>
                <c:pt idx="1">
                  <c:v>48</c:v>
                </c:pt>
                <c:pt idx="2">
                  <c:v>50.8</c:v>
                </c:pt>
                <c:pt idx="3">
                  <c:v>58</c:v>
                </c:pt>
                <c:pt idx="4">
                  <c:v>44</c:v>
                </c:pt>
              </c:numCache>
            </c:numRef>
          </c:xVal>
          <c:yVal>
            <c:numRef>
              <c:f>Zisman!$D$2:$D$6</c:f>
              <c:numCache>
                <c:formatCode>General</c:formatCode>
                <c:ptCount val="5"/>
                <c:pt idx="0">
                  <c:v>0.34365969458561607</c:v>
                </c:pt>
                <c:pt idx="1">
                  <c:v>0.7680016136116723</c:v>
                </c:pt>
                <c:pt idx="2">
                  <c:v>0.85155228426434104</c:v>
                </c:pt>
                <c:pt idx="3">
                  <c:v>0.73995208402625412</c:v>
                </c:pt>
                <c:pt idx="4">
                  <c:v>0.88964711431053789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Zisman!$A$2:$A$6</c15:f>
                <c15:dlblRangeCache>
                  <c:ptCount val="5"/>
                  <c:pt idx="0">
                    <c:v>Water</c:v>
                  </c:pt>
                  <c:pt idx="1">
                    <c:v>Ethylene glycol</c:v>
                  </c:pt>
                  <c:pt idx="2">
                    <c:v>Diiodomethane</c:v>
                  </c:pt>
                  <c:pt idx="3">
                    <c:v>Formamide</c:v>
                  </c:pt>
                  <c:pt idx="4">
                    <c:v>Dimethyl sulfoxide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C5C-42CC-BF81-A854695CF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52239"/>
        <c:axId val="175054735"/>
      </c:scatterChart>
      <c:valAx>
        <c:axId val="17505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Surface Tension (mN/m)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4735"/>
        <c:crosses val="autoZero"/>
        <c:crossBetween val="midCat"/>
      </c:valAx>
      <c:valAx>
        <c:axId val="1750547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cos(theta)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17</xdr:row>
      <xdr:rowOff>52387</xdr:rowOff>
    </xdr:from>
    <xdr:to>
      <xdr:col>10</xdr:col>
      <xdr:colOff>180975</xdr:colOff>
      <xdr:row>31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C40BCD-5683-480A-B3D8-6BD4554F1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10</xdr:row>
      <xdr:rowOff>23812</xdr:rowOff>
    </xdr:from>
    <xdr:to>
      <xdr:col>15</xdr:col>
      <xdr:colOff>338137</xdr:colOff>
      <xdr:row>24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FFE464-BC9E-4E8B-A6A2-40FD3CC63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13</xdr:row>
      <xdr:rowOff>171450</xdr:rowOff>
    </xdr:from>
    <xdr:to>
      <xdr:col>16</xdr:col>
      <xdr:colOff>285750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39525-8633-4A4F-A81F-53EA2B943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27214</xdr:colOff>
      <xdr:row>0</xdr:row>
      <xdr:rowOff>81642</xdr:rowOff>
    </xdr:from>
    <xdr:to>
      <xdr:col>16</xdr:col>
      <xdr:colOff>544285</xdr:colOff>
      <xdr:row>13</xdr:row>
      <xdr:rowOff>119742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CDE4FF-FDD7-4799-9DF2-E238C1404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0</xdr:row>
      <xdr:rowOff>40005</xdr:rowOff>
    </xdr:from>
    <xdr:to>
      <xdr:col>14</xdr:col>
      <xdr:colOff>144780</xdr:colOff>
      <xdr:row>16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C8A9C-2140-430F-9C7F-6DCB64C6B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opLeftCell="A19" zoomScaleNormal="100" workbookViewId="0">
      <selection activeCell="B20" sqref="B20"/>
    </sheetView>
  </sheetViews>
  <sheetFormatPr defaultRowHeight="14.5" x14ac:dyDescent="0.35"/>
  <cols>
    <col min="1" max="1" width="15" bestFit="1" customWidth="1"/>
    <col min="2" max="2" width="8.81640625" customWidth="1"/>
    <col min="3" max="3" width="12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69.900000000000006</v>
      </c>
      <c r="C2">
        <f>RADIANS(B2)</f>
        <v>1.2199851471440364</v>
      </c>
      <c r="D2">
        <f>COS(C2)</f>
        <v>0.34365969458561607</v>
      </c>
      <c r="E2">
        <f>_xlfn.XLOOKUP($A2, 'liquid data sheet'!$A$2:$A$20, 'liquid data sheet'!B$2:B$20)</f>
        <v>72.8</v>
      </c>
      <c r="F2">
        <f>_xlfn.XLOOKUP($A2, 'liquid data sheet'!$A$2:$A$20, 'liquid data sheet'!C$2:C$20)</f>
        <v>21.8</v>
      </c>
      <c r="G2">
        <f>_xlfn.XLOOKUP($A2, 'liquid data sheet'!$A$2:$A$20, 'liquid data sheet'!D$2:D$20)</f>
        <v>51</v>
      </c>
      <c r="H2">
        <f>SQRT(G2/F2)</f>
        <v>1.5295259204356111</v>
      </c>
      <c r="I2">
        <f>(1+D2)*E2/(2*SQRT(F2))</f>
        <v>10.4752024893972</v>
      </c>
      <c r="J2">
        <f>H2*H2</f>
        <v>2.3394495412844032</v>
      </c>
      <c r="K2">
        <f>H2*I2</f>
        <v>16.022093729344657</v>
      </c>
      <c r="L2">
        <f>I2*I2</f>
        <v>109.72986719387329</v>
      </c>
      <c r="M2">
        <f>AVERAGE(C2:C4)</f>
        <v>1.1926416555294586</v>
      </c>
      <c r="N2">
        <f>_xlfn.STDEV.P(C2:C4)</f>
        <v>2.2092188647987395E-2</v>
      </c>
    </row>
    <row r="3" spans="1:14" x14ac:dyDescent="0.35">
      <c r="A3" t="s">
        <v>14</v>
      </c>
      <c r="B3">
        <v>68.3</v>
      </c>
      <c r="C3">
        <f t="shared" ref="C3:C4" si="0">RADIANS(B3)</f>
        <v>1.1920598791121271</v>
      </c>
      <c r="D3">
        <f t="shared" ref="D3:D4" si="1">COS(C3)</f>
        <v>0.36974675727382933</v>
      </c>
      <c r="E3">
        <f>_xlfn.XLOOKUP($A3, 'liquid data sheet'!$A$2:$A$20, 'liquid data sheet'!B$2:B$20)</f>
        <v>72.8</v>
      </c>
      <c r="F3">
        <f>_xlfn.XLOOKUP($A3, 'liquid data sheet'!$A$2:$A$20, 'liquid data sheet'!C$2:C$20)</f>
        <v>21.8</v>
      </c>
      <c r="G3">
        <f>_xlfn.XLOOKUP($A3, 'liquid data sheet'!$A$2:$A$20, 'liquid data sheet'!D$2:D$20)</f>
        <v>51</v>
      </c>
      <c r="H3">
        <f t="shared" ref="H3:H16" si="2">SQRT(G3/F3)</f>
        <v>1.5295259204356111</v>
      </c>
      <c r="I3">
        <f t="shared" ref="I3:I16" si="3">(1+D3)*E3/(2*SQRT(F3))</f>
        <v>10.678577841886959</v>
      </c>
      <c r="J3">
        <f t="shared" ref="J3:J16" si="4">H3*H3</f>
        <v>2.3394495412844032</v>
      </c>
      <c r="K3">
        <f t="shared" ref="K3:K16" si="5">H3*I3</f>
        <v>16.333161602555471</v>
      </c>
      <c r="L3">
        <f t="shared" ref="L3:L16" si="6">I3*I3</f>
        <v>114.03202472523914</v>
      </c>
    </row>
    <row r="4" spans="1:14" x14ac:dyDescent="0.35">
      <c r="A4" t="s">
        <v>14</v>
      </c>
      <c r="B4">
        <v>66.8</v>
      </c>
      <c r="C4">
        <f t="shared" si="0"/>
        <v>1.165879940332212</v>
      </c>
      <c r="D4">
        <f t="shared" si="1"/>
        <v>0.39394190959095127</v>
      </c>
      <c r="E4">
        <f>_xlfn.XLOOKUP($A4, 'liquid data sheet'!$A$2:$A$20, 'liquid data sheet'!B$2:B$20)</f>
        <v>72.8</v>
      </c>
      <c r="F4">
        <f>_xlfn.XLOOKUP($A4, 'liquid data sheet'!$A$2:$A$20, 'liquid data sheet'!C$2:C$20)</f>
        <v>21.8</v>
      </c>
      <c r="G4">
        <f>_xlfn.XLOOKUP($A4, 'liquid data sheet'!$A$2:$A$20, 'liquid data sheet'!D$2:D$20)</f>
        <v>51</v>
      </c>
      <c r="H4">
        <f t="shared" si="2"/>
        <v>1.5295259204356111</v>
      </c>
      <c r="I4">
        <f t="shared" si="3"/>
        <v>10.867203816756158</v>
      </c>
      <c r="J4">
        <f t="shared" si="4"/>
        <v>2.3394495412844032</v>
      </c>
      <c r="K4">
        <f t="shared" si="5"/>
        <v>16.621669920385347</v>
      </c>
      <c r="L4">
        <f t="shared" si="6"/>
        <v>118.0961187949196</v>
      </c>
    </row>
    <row r="5" spans="1:14" x14ac:dyDescent="0.35">
      <c r="A5" t="s">
        <v>15</v>
      </c>
      <c r="B5">
        <v>31.619092101</v>
      </c>
      <c r="C5">
        <f>RADIANS(B5)</f>
        <v>0.5518572636537814</v>
      </c>
      <c r="D5">
        <f t="shared" ref="D5" si="7">COS(C5)</f>
        <v>0.85155228426434104</v>
      </c>
      <c r="E5">
        <f>_xlfn.XLOOKUP($A5, 'liquid data sheet'!$A$2:$A$20, 'liquid data sheet'!B$2:B$20)</f>
        <v>50.8</v>
      </c>
      <c r="F5">
        <f>_xlfn.XLOOKUP($A5, 'liquid data sheet'!$A$2:$A$20, 'liquid data sheet'!C$2:C$20)</f>
        <v>50.8</v>
      </c>
      <c r="G5">
        <f>_xlfn.XLOOKUP($A5, 'liquid data sheet'!$A$2:$A$20, 'liquid data sheet'!D$2:D$20)</f>
        <v>0</v>
      </c>
      <c r="H5">
        <f t="shared" si="2"/>
        <v>0</v>
      </c>
      <c r="I5">
        <f t="shared" si="3"/>
        <v>6.5983878666935851</v>
      </c>
      <c r="J5">
        <f t="shared" si="4"/>
        <v>0</v>
      </c>
      <c r="K5">
        <f t="shared" si="5"/>
        <v>0</v>
      </c>
      <c r="L5">
        <f t="shared" si="6"/>
        <v>43.538722439329121</v>
      </c>
      <c r="M5">
        <f t="shared" ref="M5" si="8">AVERAGE(C5:C7)</f>
        <v>0.57059894869223149</v>
      </c>
      <c r="N5">
        <f t="shared" ref="N5" si="9">_xlfn.STDEV.P(C5:C7)</f>
        <v>3.6811123566491813E-2</v>
      </c>
    </row>
    <row r="6" spans="1:14" x14ac:dyDescent="0.35">
      <c r="A6" t="s">
        <v>15</v>
      </c>
      <c r="B6">
        <v>30.819888216999999</v>
      </c>
      <c r="C6">
        <f t="shared" ref="C6:C7" si="10">RADIANS(B6)</f>
        <v>0.53790852448325455</v>
      </c>
      <c r="D6">
        <f t="shared" ref="D6:D7" si="11">COS(C6)</f>
        <v>0.85878210749477712</v>
      </c>
      <c r="E6">
        <f>_xlfn.XLOOKUP($A6, 'liquid data sheet'!$A$2:$A$20, 'liquid data sheet'!B$2:B$20)</f>
        <v>50.8</v>
      </c>
      <c r="F6">
        <f>_xlfn.XLOOKUP($A6, 'liquid data sheet'!$A$2:$A$20, 'liquid data sheet'!C$2:C$20)</f>
        <v>50.8</v>
      </c>
      <c r="G6">
        <f>_xlfn.XLOOKUP($A6, 'liquid data sheet'!$A$2:$A$20, 'liquid data sheet'!D$2:D$20)</f>
        <v>0</v>
      </c>
      <c r="H6">
        <f t="shared" si="2"/>
        <v>0</v>
      </c>
      <c r="I6">
        <f t="shared" si="3"/>
        <v>6.6241528306578648</v>
      </c>
      <c r="J6">
        <f t="shared" si="4"/>
        <v>0</v>
      </c>
      <c r="K6">
        <f t="shared" si="5"/>
        <v>0</v>
      </c>
      <c r="L6">
        <f t="shared" si="6"/>
        <v>43.879400723912603</v>
      </c>
    </row>
    <row r="7" spans="1:14" x14ac:dyDescent="0.35">
      <c r="A7" t="s">
        <v>15</v>
      </c>
      <c r="B7">
        <v>35.639754346000004</v>
      </c>
      <c r="C7">
        <f t="shared" si="10"/>
        <v>0.6220310579396584</v>
      </c>
      <c r="D7">
        <f t="shared" si="11"/>
        <v>0.81269666269422813</v>
      </c>
      <c r="E7">
        <f>_xlfn.XLOOKUP($A7, 'liquid data sheet'!$A$2:$A$20, 'liquid data sheet'!B$2:B$20)</f>
        <v>50.8</v>
      </c>
      <c r="F7">
        <f>_xlfn.XLOOKUP($A7, 'liquid data sheet'!$A$2:$A$20, 'liquid data sheet'!C$2:C$20)</f>
        <v>50.8</v>
      </c>
      <c r="G7">
        <f>_xlfn.XLOOKUP($A7, 'liquid data sheet'!$A$2:$A$20, 'liquid data sheet'!D$2:D$20)</f>
        <v>0</v>
      </c>
      <c r="H7">
        <f t="shared" si="2"/>
        <v>0</v>
      </c>
      <c r="I7">
        <f t="shared" si="3"/>
        <v>6.459917857447838</v>
      </c>
      <c r="J7">
        <f t="shared" si="4"/>
        <v>0</v>
      </c>
      <c r="K7">
        <f t="shared" si="5"/>
        <v>0</v>
      </c>
      <c r="L7">
        <f t="shared" si="6"/>
        <v>41.730538724973464</v>
      </c>
    </row>
    <row r="8" spans="1:14" x14ac:dyDescent="0.35">
      <c r="A8" t="s">
        <v>16</v>
      </c>
      <c r="B8">
        <v>39.825226904000004</v>
      </c>
      <c r="C8">
        <f>RADIANS(B8)</f>
        <v>0.69508133482862777</v>
      </c>
      <c r="D8">
        <f t="shared" ref="D8" si="12">COS(C8)</f>
        <v>0.7680016136116723</v>
      </c>
      <c r="E8">
        <f>_xlfn.XLOOKUP($A8, 'liquid data sheet'!$A$2:$A$20, 'liquid data sheet'!B$2:B$20)</f>
        <v>48</v>
      </c>
      <c r="F8">
        <f>_xlfn.XLOOKUP($A8, 'liquid data sheet'!$A$2:$A$20, 'liquid data sheet'!C$2:C$20)</f>
        <v>29</v>
      </c>
      <c r="G8">
        <f>_xlfn.XLOOKUP($A8, 'liquid data sheet'!$A$2:$A$20, 'liquid data sheet'!D$2:D$20)</f>
        <v>19</v>
      </c>
      <c r="H8">
        <f t="shared" si="2"/>
        <v>0.80942721340037949</v>
      </c>
      <c r="I8">
        <f t="shared" si="3"/>
        <v>7.8794317808926291</v>
      </c>
      <c r="J8">
        <f t="shared" si="4"/>
        <v>0.65517241379310343</v>
      </c>
      <c r="K8">
        <f t="shared" si="5"/>
        <v>6.3778265095863098</v>
      </c>
      <c r="L8">
        <f t="shared" si="6"/>
        <v>62.085445189740788</v>
      </c>
      <c r="M8">
        <f t="shared" ref="M8" si="13">AVERAGE(C8:C10)</f>
        <v>0.61170880265850591</v>
      </c>
      <c r="N8">
        <f t="shared" ref="N8" si="14">_xlfn.STDEV.P(C8:C10)</f>
        <v>7.9540307030145543E-2</v>
      </c>
    </row>
    <row r="9" spans="1:14" x14ac:dyDescent="0.35">
      <c r="A9" t="s">
        <v>16</v>
      </c>
      <c r="B9">
        <v>28.912918424000001</v>
      </c>
      <c r="C9">
        <f t="shared" ref="C9:C10" si="15">RADIANS(B9)</f>
        <v>0.50462562285932988</v>
      </c>
      <c r="D9">
        <f t="shared" ref="D9:D10" si="16">COS(C9)</f>
        <v>0.8753555395366559</v>
      </c>
      <c r="E9">
        <f>_xlfn.XLOOKUP($A9, 'liquid data sheet'!$A$2:$A$20, 'liquid data sheet'!B$2:B$20)</f>
        <v>48</v>
      </c>
      <c r="F9">
        <f>_xlfn.XLOOKUP($A9, 'liquid data sheet'!$A$2:$A$20, 'liquid data sheet'!C$2:C$20)</f>
        <v>29</v>
      </c>
      <c r="G9">
        <f>_xlfn.XLOOKUP($A9, 'liquid data sheet'!$A$2:$A$20, 'liquid data sheet'!D$2:D$20)</f>
        <v>19</v>
      </c>
      <c r="H9">
        <f t="shared" si="2"/>
        <v>0.80942721340037949</v>
      </c>
      <c r="I9">
        <f t="shared" si="3"/>
        <v>8.3578747467952059</v>
      </c>
      <c r="J9">
        <f t="shared" si="4"/>
        <v>0.65517241379310343</v>
      </c>
      <c r="K9">
        <f t="shared" si="5"/>
        <v>6.765091266247846</v>
      </c>
      <c r="L9">
        <f t="shared" si="6"/>
        <v>69.854070283117025</v>
      </c>
    </row>
    <row r="10" spans="1:14" x14ac:dyDescent="0.35">
      <c r="A10" t="s">
        <v>16</v>
      </c>
      <c r="B10">
        <v>36.406852721999996</v>
      </c>
      <c r="C10">
        <f t="shared" si="15"/>
        <v>0.63541945028755975</v>
      </c>
      <c r="D10">
        <f t="shared" si="16"/>
        <v>0.8048228171802182</v>
      </c>
      <c r="E10">
        <f>_xlfn.XLOOKUP($A10, 'liquid data sheet'!$A$2:$A$20, 'liquid data sheet'!B$2:B$20)</f>
        <v>48</v>
      </c>
      <c r="F10">
        <f>_xlfn.XLOOKUP($A10, 'liquid data sheet'!$A$2:$A$20, 'liquid data sheet'!C$2:C$20)</f>
        <v>29</v>
      </c>
      <c r="G10">
        <f>_xlfn.XLOOKUP($A10, 'liquid data sheet'!$A$2:$A$20, 'liquid data sheet'!D$2:D$20)</f>
        <v>19</v>
      </c>
      <c r="H10">
        <f t="shared" si="2"/>
        <v>0.80942721340037949</v>
      </c>
      <c r="I10">
        <f t="shared" si="3"/>
        <v>8.0435324012625617</v>
      </c>
      <c r="J10">
        <f t="shared" si="4"/>
        <v>0.65517241379310343</v>
      </c>
      <c r="K10">
        <f t="shared" si="5"/>
        <v>6.5106540174496184</v>
      </c>
      <c r="L10">
        <f t="shared" si="6"/>
        <v>64.698413490160675</v>
      </c>
    </row>
    <row r="11" spans="1:14" x14ac:dyDescent="0.35">
      <c r="A11" t="s">
        <v>17</v>
      </c>
      <c r="B11">
        <v>27.171063123500002</v>
      </c>
      <c r="C11">
        <f>RADIANS(B11)</f>
        <v>0.47422451277228966</v>
      </c>
      <c r="D11">
        <f t="shared" ref="D11" si="17">COS(C11)</f>
        <v>0.88964711431053789</v>
      </c>
      <c r="E11">
        <f>_xlfn.XLOOKUP($A11, 'liquid data sheet'!$A$2:$A$20, 'liquid data sheet'!B$2:B$20)</f>
        <v>44</v>
      </c>
      <c r="F11">
        <f>_xlfn.XLOOKUP($A11, 'liquid data sheet'!$A$2:$A$20, 'liquid data sheet'!C$2:C$20)</f>
        <v>36</v>
      </c>
      <c r="G11">
        <f>_xlfn.XLOOKUP($A11, 'liquid data sheet'!$A$2:$A$20, 'liquid data sheet'!D$2:D$20)</f>
        <v>8</v>
      </c>
      <c r="H11">
        <f t="shared" si="2"/>
        <v>0.47140452079103168</v>
      </c>
      <c r="I11">
        <f t="shared" si="3"/>
        <v>6.928706085805306</v>
      </c>
      <c r="J11">
        <f t="shared" si="4"/>
        <v>0.22222222222222221</v>
      </c>
      <c r="K11">
        <f t="shared" si="5"/>
        <v>3.266223372080955</v>
      </c>
      <c r="L11">
        <f t="shared" si="6"/>
        <v>48.006968023475487</v>
      </c>
      <c r="M11">
        <f t="shared" ref="M11" si="18">AVERAGE(C11:C13)</f>
        <v>0.37216432583772702</v>
      </c>
      <c r="N11">
        <f t="shared" ref="N11" si="19">_xlfn.STDEV.P(C11:C13)</f>
        <v>7.3087459924538842E-2</v>
      </c>
    </row>
    <row r="12" spans="1:14" x14ac:dyDescent="0.35">
      <c r="A12" t="s">
        <v>17</v>
      </c>
      <c r="B12">
        <v>19.210839764500001</v>
      </c>
      <c r="C12">
        <f t="shared" ref="C12:C13" si="20">RADIANS(B12)</f>
        <v>0.33529240596357707</v>
      </c>
      <c r="D12">
        <f t="shared" ref="D12:D13" si="21">COS(C12)</f>
        <v>0.944314135193972</v>
      </c>
      <c r="E12">
        <f>_xlfn.XLOOKUP($A12, 'liquid data sheet'!$A$2:$A$20, 'liquid data sheet'!B$2:B$20)</f>
        <v>44</v>
      </c>
      <c r="F12">
        <f>_xlfn.XLOOKUP($A12, 'liquid data sheet'!$A$2:$A$20, 'liquid data sheet'!C$2:C$20)</f>
        <v>36</v>
      </c>
      <c r="G12">
        <f>_xlfn.XLOOKUP($A12, 'liquid data sheet'!$A$2:$A$20, 'liquid data sheet'!D$2:D$20)</f>
        <v>8</v>
      </c>
      <c r="H12">
        <f t="shared" si="2"/>
        <v>0.47140452079103168</v>
      </c>
      <c r="I12">
        <f t="shared" si="3"/>
        <v>7.1291518290445639</v>
      </c>
      <c r="J12">
        <f t="shared" si="4"/>
        <v>0.22222222222222221</v>
      </c>
      <c r="K12">
        <f t="shared" si="5"/>
        <v>3.3607144016172597</v>
      </c>
      <c r="L12">
        <f t="shared" si="6"/>
        <v>50.824805801569454</v>
      </c>
    </row>
    <row r="13" spans="1:14" x14ac:dyDescent="0.35">
      <c r="A13" t="s">
        <v>17</v>
      </c>
      <c r="B13">
        <v>17.588432579500001</v>
      </c>
      <c r="C13">
        <f t="shared" si="20"/>
        <v>0.30697605877731432</v>
      </c>
      <c r="D13">
        <f t="shared" si="21"/>
        <v>0.95325169369513219</v>
      </c>
      <c r="E13">
        <f>_xlfn.XLOOKUP($A13, 'liquid data sheet'!$A$2:$A$20, 'liquid data sheet'!B$2:B$20)</f>
        <v>44</v>
      </c>
      <c r="F13">
        <f>_xlfn.XLOOKUP($A13, 'liquid data sheet'!$A$2:$A$20, 'liquid data sheet'!C$2:C$20)</f>
        <v>36</v>
      </c>
      <c r="G13">
        <f>_xlfn.XLOOKUP($A13, 'liquid data sheet'!$A$2:$A$20, 'liquid data sheet'!D$2:D$20)</f>
        <v>8</v>
      </c>
      <c r="H13">
        <f t="shared" si="2"/>
        <v>0.47140452079103168</v>
      </c>
      <c r="I13">
        <f t="shared" si="3"/>
        <v>7.1619228768821515</v>
      </c>
      <c r="J13">
        <f t="shared" si="4"/>
        <v>0.22222222222222221</v>
      </c>
      <c r="K13">
        <f t="shared" si="5"/>
        <v>3.3761628217189577</v>
      </c>
      <c r="L13">
        <f t="shared" si="6"/>
        <v>51.293139294407915</v>
      </c>
    </row>
    <row r="14" spans="1:14" x14ac:dyDescent="0.35">
      <c r="A14" t="s">
        <v>18</v>
      </c>
      <c r="B14">
        <v>42.272665975000002</v>
      </c>
      <c r="C14">
        <f>RADIANS(B14)</f>
        <v>0.73779720485952904</v>
      </c>
      <c r="D14">
        <f t="shared" ref="D14" si="22">COS(C14)</f>
        <v>0.73995208402625412</v>
      </c>
      <c r="E14">
        <f>_xlfn.XLOOKUP($A14, 'liquid data sheet'!$A$2:$A$20, 'liquid data sheet'!B$2:B$20)</f>
        <v>58</v>
      </c>
      <c r="F14">
        <f>_xlfn.XLOOKUP($A14, 'liquid data sheet'!$A$2:$A$20, 'liquid data sheet'!C$2:C$20)</f>
        <v>39</v>
      </c>
      <c r="G14">
        <f>_xlfn.XLOOKUP($A14, 'liquid data sheet'!$A$2:$A$20, 'liquid data sheet'!D$2:D$20)</f>
        <v>19</v>
      </c>
      <c r="H14">
        <f t="shared" si="2"/>
        <v>0.69798244045211277</v>
      </c>
      <c r="I14">
        <f t="shared" si="3"/>
        <v>8.0798441328086987</v>
      </c>
      <c r="J14">
        <f t="shared" si="4"/>
        <v>0.48717948717948717</v>
      </c>
      <c r="K14">
        <f t="shared" si="5"/>
        <v>5.6395893262905004</v>
      </c>
      <c r="L14">
        <f t="shared" si="6"/>
        <v>65.283881210483159</v>
      </c>
      <c r="M14">
        <f t="shared" ref="M14" si="23">AVERAGE(C14:C16)</f>
        <v>0.73046625165082435</v>
      </c>
      <c r="N14">
        <f t="shared" ref="N14" si="24">_xlfn.STDEV.P(C14:C16)</f>
        <v>5.4343002101807633E-2</v>
      </c>
    </row>
    <row r="15" spans="1:14" x14ac:dyDescent="0.35">
      <c r="A15" t="s">
        <v>18</v>
      </c>
      <c r="B15">
        <v>45.438623708500003</v>
      </c>
      <c r="C15">
        <f t="shared" ref="C15:C16" si="25">RADIANS(B15)</f>
        <v>0.79305359128808117</v>
      </c>
      <c r="D15">
        <f t="shared" ref="D15:D16" si="26">COS(C15)</f>
        <v>0.7016729089870648</v>
      </c>
      <c r="E15">
        <f>_xlfn.XLOOKUP($A15, 'liquid data sheet'!$A$2:$A$20, 'liquid data sheet'!B$2:B$20)</f>
        <v>58</v>
      </c>
      <c r="F15">
        <f>_xlfn.XLOOKUP($A15, 'liquid data sheet'!$A$2:$A$20, 'liquid data sheet'!C$2:C$20)</f>
        <v>39</v>
      </c>
      <c r="G15">
        <f>_xlfn.XLOOKUP($A15, 'liquid data sheet'!$A$2:$A$20, 'liquid data sheet'!D$2:D$20)</f>
        <v>19</v>
      </c>
      <c r="H15">
        <f t="shared" si="2"/>
        <v>0.69798244045211277</v>
      </c>
      <c r="I15">
        <f t="shared" si="3"/>
        <v>7.9020864975906919</v>
      </c>
      <c r="J15">
        <f t="shared" si="4"/>
        <v>0.48717948717948717</v>
      </c>
      <c r="K15">
        <f t="shared" si="5"/>
        <v>5.5155176182520398</v>
      </c>
      <c r="L15">
        <f t="shared" si="6"/>
        <v>62.442971015405128</v>
      </c>
    </row>
    <row r="16" spans="1:14" x14ac:dyDescent="0.35">
      <c r="A16" s="1" t="s">
        <v>18</v>
      </c>
      <c r="B16" s="1">
        <v>37.846610205499999</v>
      </c>
      <c r="C16" s="1">
        <f t="shared" si="25"/>
        <v>0.66054795880486272</v>
      </c>
      <c r="D16" s="1">
        <f t="shared" si="26"/>
        <v>0.78965615013565194</v>
      </c>
      <c r="E16" s="1">
        <f>_xlfn.XLOOKUP($A16, 'liquid data sheet'!$A$2:$A$20, 'liquid data sheet'!B$2:B$20)</f>
        <v>58</v>
      </c>
      <c r="F16" s="1">
        <f>_xlfn.XLOOKUP($A16, 'liquid data sheet'!$A$2:$A$20, 'liquid data sheet'!C$2:C$20)</f>
        <v>39</v>
      </c>
      <c r="G16" s="1">
        <f>_xlfn.XLOOKUP($A16, 'liquid data sheet'!$A$2:$A$20, 'liquid data sheet'!D$2:D$20)</f>
        <v>19</v>
      </c>
      <c r="H16" s="1">
        <f t="shared" si="2"/>
        <v>0.69798244045211277</v>
      </c>
      <c r="I16" s="1">
        <f t="shared" si="3"/>
        <v>8.3106557227471107</v>
      </c>
      <c r="J16" s="1">
        <f t="shared" si="4"/>
        <v>0.48717948717948717</v>
      </c>
      <c r="K16" s="1">
        <f t="shared" si="5"/>
        <v>5.8006917631203452</v>
      </c>
      <c r="L16" s="1">
        <f t="shared" si="6"/>
        <v>69.066998542029296</v>
      </c>
    </row>
    <row r="17" spans="1:12" x14ac:dyDescent="0.35">
      <c r="A17" s="3" t="s">
        <v>19</v>
      </c>
      <c r="B17" s="3"/>
      <c r="C17" s="3"/>
      <c r="D17" s="3"/>
      <c r="E17" s="3"/>
      <c r="H17" s="3">
        <f>SUM(H2:H16)</f>
        <v>10.525020285237407</v>
      </c>
      <c r="I17" s="3">
        <f t="shared" ref="I17:L17" si="27">SUM(I2:I16)</f>
        <v>121.49664877666854</v>
      </c>
      <c r="J17" s="3">
        <f t="shared" si="27"/>
        <v>11.112070993437646</v>
      </c>
      <c r="K17" s="3">
        <f t="shared" si="27"/>
        <v>95.589396348649302</v>
      </c>
      <c r="L17" s="3">
        <f t="shared" si="27"/>
        <v>1014.5633654526362</v>
      </c>
    </row>
    <row r="18" spans="1:12" ht="13.9" customHeight="1" x14ac:dyDescent="0.35"/>
    <row r="22" spans="1:12" x14ac:dyDescent="0.35">
      <c r="A22" t="s">
        <v>20</v>
      </c>
      <c r="B22">
        <f>(I17*J17-H17*K17)/(COUNTA(A2:A16)*J17-H17*H17)</f>
        <v>6.1532773757218271</v>
      </c>
    </row>
    <row r="23" spans="1:12" x14ac:dyDescent="0.35">
      <c r="A23" t="s">
        <v>21</v>
      </c>
      <c r="B23">
        <f>(COUNTA(A2:A16)*K17-H17*I17)/(COUNTA(A2:A16)*J17-H17*H17)</f>
        <v>2.7741027902619879</v>
      </c>
    </row>
    <row r="26" spans="1:12" x14ac:dyDescent="0.35">
      <c r="A26" t="s">
        <v>5</v>
      </c>
      <c r="B26">
        <f>B22*B22</f>
        <v>37.862822462570094</v>
      </c>
    </row>
    <row r="27" spans="1:12" x14ac:dyDescent="0.35">
      <c r="A27" t="s">
        <v>6</v>
      </c>
      <c r="B27">
        <f>B23*B23</f>
        <v>7.6956462909393473</v>
      </c>
    </row>
    <row r="28" spans="1:12" x14ac:dyDescent="0.35">
      <c r="A28" t="s">
        <v>22</v>
      </c>
      <c r="B28">
        <f>SUM(B26:B27)</f>
        <v>45.558468753509445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A8CF52-07ED-4086-8277-D4110AD6B435}">
          <x14:formula1>
            <xm:f>'liquid data sheet'!$A$2:$A$10</xm:f>
          </x14:formula1>
          <xm:sqref>A2:A16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D29" sqref="D29"/>
    </sheetView>
  </sheetViews>
  <sheetFormatPr defaultRowHeight="14.5" x14ac:dyDescent="0.35"/>
  <cols>
    <col min="2" max="4" width="8.81640625" customWidth="1"/>
    <col min="8" max="10" width="8.81640625" customWidth="1"/>
  </cols>
  <sheetData>
    <row r="1" spans="1:1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23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24</v>
      </c>
    </row>
    <row r="2" spans="1:11" x14ac:dyDescent="0.35">
      <c r="A2" t="str">
        <f>'Data entry + OWRK'!A2</f>
        <v>Water</v>
      </c>
      <c r="B2">
        <f>_xlfn.XLOOKUP($A2, 'liquid data sheet'!$A$2:$A$20, 'liquid data sheet'!B$2:B$20)</f>
        <v>72.8</v>
      </c>
      <c r="C2">
        <f>_xlfn.XLOOKUP($A2, 'liquid data sheet'!$A$2:$A$20, 'liquid data sheet'!C$2:C$20)</f>
        <v>21.8</v>
      </c>
      <c r="D2">
        <f>_xlfn.XLOOKUP($A2, 'liquid data sheet'!$A$2:$A$20, 'liquid data sheet'!D$2:D$20)</f>
        <v>51</v>
      </c>
      <c r="E2">
        <f>_xlfn.XLOOKUP(A2, 'Data entry + OWRK'!$A$2:$A$16, 'Data entry + OWRK'!$B$2:$B$16)</f>
        <v>69.900000000000006</v>
      </c>
      <c r="F2">
        <f>SQRT(D2/C2)</f>
        <v>1.5295259204356111</v>
      </c>
      <c r="G2">
        <f>(1+_xlfn.XLOOKUP(A2, 'Data entry + OWRK'!$A$2:$A$16, 'Data entry + OWRK'!$D$2:$D$16))*B2/(2*SQRT(C2))</f>
        <v>10.4752024893972</v>
      </c>
      <c r="H2">
        <f>F2*F2</f>
        <v>2.3394495412844032</v>
      </c>
      <c r="I2">
        <f>F2*G2</f>
        <v>16.022093729344657</v>
      </c>
      <c r="J2">
        <f>G2*G2</f>
        <v>109.72986719387329</v>
      </c>
      <c r="K2" t="e">
        <f>_xlfn.XLOOKUP(A2, 'Data entry + OWRK'!$A$2:$A$14, 'Data entry + OWRK'!#REF!)</f>
        <v>#REF!</v>
      </c>
    </row>
    <row r="3" spans="1:11" x14ac:dyDescent="0.35">
      <c r="A3" t="s">
        <v>16</v>
      </c>
      <c r="B3">
        <f>_xlfn.XLOOKUP($A3, 'liquid data sheet'!$A$2:$A$20, 'liquid data sheet'!B$2:B$20)</f>
        <v>48</v>
      </c>
      <c r="C3">
        <f>_xlfn.XLOOKUP($A3, 'liquid data sheet'!$A$2:$A$20, 'liquid data sheet'!C$2:C$20)</f>
        <v>29</v>
      </c>
      <c r="D3">
        <f>_xlfn.XLOOKUP($A3, 'liquid data sheet'!$A$2:$A$20, 'liquid data sheet'!D$2:D$20)</f>
        <v>19</v>
      </c>
      <c r="E3">
        <f>_xlfn.XLOOKUP(A3, 'Data entry + OWRK'!$A$2:$A$16, 'Data entry + OWRK'!$B$2:$B$16)</f>
        <v>39.825226904000004</v>
      </c>
      <c r="F3">
        <f t="shared" ref="F3" si="0">SQRT(D3/C3)</f>
        <v>0.80942721340037949</v>
      </c>
      <c r="G3">
        <f>(1+_xlfn.XLOOKUP(A3, 'Data entry + OWRK'!$A$2:$A$16, 'Data entry + OWRK'!$D$2:$D$16))*B3/(2*SQRT(C3))</f>
        <v>7.8794317808926291</v>
      </c>
      <c r="H3">
        <f t="shared" ref="H3:H6" si="1">F3*F3</f>
        <v>0.65517241379310343</v>
      </c>
      <c r="I3">
        <f>F3*G3</f>
        <v>6.3778265095863098</v>
      </c>
      <c r="J3">
        <f t="shared" ref="J3:J6" si="2">G3*G3</f>
        <v>62.085445189740788</v>
      </c>
      <c r="K3" t="e">
        <f>_xlfn.XLOOKUP(A3, 'Data entry + OWRK'!$A$2:$A$14, 'Data entry + OWRK'!#REF!)</f>
        <v>#REF!</v>
      </c>
    </row>
    <row r="4" spans="1:11" x14ac:dyDescent="0.35">
      <c r="A4" t="s">
        <v>15</v>
      </c>
      <c r="B4">
        <f>_xlfn.XLOOKUP($A4, 'liquid data sheet'!$A$2:$A$20, 'liquid data sheet'!B$2:B$20)</f>
        <v>50.8</v>
      </c>
      <c r="C4">
        <f>_xlfn.XLOOKUP($A4, 'liquid data sheet'!$A$2:$A$20, 'liquid data sheet'!C$2:C$20)</f>
        <v>50.8</v>
      </c>
      <c r="D4">
        <f>_xlfn.XLOOKUP($A4, 'liquid data sheet'!$A$2:$A$20, 'liquid data sheet'!D$2:D$20)</f>
        <v>0</v>
      </c>
      <c r="E4">
        <f>_xlfn.XLOOKUP(A4, 'Data entry + OWRK'!$A$2:$A$16, 'Data entry + OWRK'!$B$2:$B$16)</f>
        <v>31.619092101</v>
      </c>
      <c r="F4">
        <f t="shared" ref="F4" si="3">SQRT(D4/C4)</f>
        <v>0</v>
      </c>
      <c r="G4">
        <f>(1+_xlfn.XLOOKUP(A4, 'Data entry + OWRK'!$A$2:$A$16, 'Data entry + OWRK'!$D$2:$D$16))*B4/(2*SQRT(C4))</f>
        <v>6.5983878666935851</v>
      </c>
      <c r="H4">
        <f t="shared" ref="H4" si="4">F4*F4</f>
        <v>0</v>
      </c>
      <c r="I4">
        <f>F4*G4</f>
        <v>0</v>
      </c>
      <c r="J4">
        <f t="shared" ref="J4" si="5">G4*G4</f>
        <v>43.538722439329121</v>
      </c>
      <c r="K4" t="e">
        <f>_xlfn.XLOOKUP(A4, 'Data entry + OWRK'!$A$2:$A$14, 'Data entry + OWRK'!#REF!)</f>
        <v>#REF!</v>
      </c>
    </row>
    <row r="5" spans="1:11" x14ac:dyDescent="0.35">
      <c r="A5" t="s">
        <v>18</v>
      </c>
      <c r="B5">
        <f>_xlfn.XLOOKUP($A5, 'liquid data sheet'!$A$2:$A$20, 'liquid data sheet'!B$2:B$20)</f>
        <v>58</v>
      </c>
      <c r="C5">
        <f>_xlfn.XLOOKUP($A5, 'liquid data sheet'!$A$2:$A$20, 'liquid data sheet'!C$2:C$20)</f>
        <v>39</v>
      </c>
      <c r="D5">
        <f>_xlfn.XLOOKUP($A5, 'liquid data sheet'!$A$2:$A$20, 'liquid data sheet'!D$2:D$20)</f>
        <v>19</v>
      </c>
      <c r="E5">
        <f>_xlfn.XLOOKUP(A5, 'Data entry + OWRK'!$A$2:$A$16, 'Data entry + OWRK'!$B$2:$B$16)</f>
        <v>42.272665975000002</v>
      </c>
      <c r="F5">
        <f t="shared" ref="F5" si="6">SQRT(D5/C5)</f>
        <v>0.69798244045211277</v>
      </c>
      <c r="G5">
        <f>(1+_xlfn.XLOOKUP(A5, 'Data entry + OWRK'!$A$2:$A$16, 'Data entry + OWRK'!$D$2:$D$16))*B5/(2*SQRT(C5))</f>
        <v>8.0798441328086987</v>
      </c>
      <c r="H5">
        <f t="shared" ref="H5" si="7">F5*F5</f>
        <v>0.48717948717948717</v>
      </c>
      <c r="I5">
        <f>F5*G5</f>
        <v>5.6395893262905004</v>
      </c>
      <c r="J5">
        <f t="shared" ref="J5" si="8">G5*G5</f>
        <v>65.283881210483159</v>
      </c>
      <c r="K5" t="e">
        <f>_xlfn.XLOOKUP(A5, 'Data entry + OWRK'!$A$2:$A$14, 'Data entry + OWRK'!#REF!)</f>
        <v>#REF!</v>
      </c>
    </row>
    <row r="6" spans="1:11" x14ac:dyDescent="0.35">
      <c r="A6" t="s">
        <v>17</v>
      </c>
      <c r="B6">
        <f>_xlfn.XLOOKUP($A6, 'liquid data sheet'!$A$2:$A$20, 'liquid data sheet'!B$2:B$20)</f>
        <v>44</v>
      </c>
      <c r="C6">
        <f>_xlfn.XLOOKUP($A6, 'liquid data sheet'!$A$2:$A$20, 'liquid data sheet'!C$2:C$20)</f>
        <v>36</v>
      </c>
      <c r="D6">
        <f>_xlfn.XLOOKUP($A6, 'liquid data sheet'!$A$2:$A$20, 'liquid data sheet'!D$2:D$20)</f>
        <v>8</v>
      </c>
      <c r="E6">
        <f>_xlfn.XLOOKUP(A6, 'Data entry + OWRK'!$A$2:$A$16, 'Data entry + OWRK'!$B$2:$B$16)</f>
        <v>27.171063123500002</v>
      </c>
      <c r="F6">
        <f>SQRT(D6/C6)</f>
        <v>0.47140452079103168</v>
      </c>
      <c r="G6">
        <f>(1+_xlfn.XLOOKUP(A6, 'Data entry + OWRK'!$A$2:$A$16, 'Data entry + OWRK'!$D$2:$D$16))*B6/(2*SQRT(C6))</f>
        <v>6.928706085805306</v>
      </c>
      <c r="H6">
        <f t="shared" si="1"/>
        <v>0.22222222222222221</v>
      </c>
      <c r="I6">
        <f t="shared" ref="I6" si="9">F6*G6</f>
        <v>3.266223372080955</v>
      </c>
      <c r="J6">
        <f t="shared" si="2"/>
        <v>48.006968023475487</v>
      </c>
      <c r="K6" t="e">
        <f>_xlfn.XLOOKUP(A6, 'Data entry + OWRK'!$A$2:$A$14, 'Data entry + OWRK'!#REF!)</f>
        <v>#REF!</v>
      </c>
    </row>
    <row r="7" spans="1:11" x14ac:dyDescent="0.35">
      <c r="A7" s="3" t="s">
        <v>19</v>
      </c>
      <c r="B7" s="3"/>
      <c r="C7" s="3"/>
      <c r="D7" s="3"/>
      <c r="E7" s="3"/>
      <c r="F7" s="3">
        <f>SUM(F2:F6)</f>
        <v>3.5083400950791348</v>
      </c>
      <c r="G7" s="3">
        <f>SUM(G2:G6)</f>
        <v>39.961572355597411</v>
      </c>
      <c r="H7" s="3">
        <f>SUM(H2:H6)</f>
        <v>3.7040236644792159</v>
      </c>
      <c r="I7" s="3">
        <f>SUM(I2:I6)</f>
        <v>31.305732937302423</v>
      </c>
      <c r="J7" s="3">
        <f>SUM(J2:J6)</f>
        <v>328.64488405690184</v>
      </c>
      <c r="K7" s="3"/>
    </row>
    <row r="12" spans="1:11" x14ac:dyDescent="0.35">
      <c r="A12" t="s">
        <v>20</v>
      </c>
      <c r="E12">
        <f>(G7*OWRK!H7-F7*I7)/(COUNTA(A2:A6)*H7-F7*F7)</f>
        <v>6.147696720510103</v>
      </c>
    </row>
    <row r="13" spans="1:11" x14ac:dyDescent="0.35">
      <c r="A13" t="s">
        <v>21</v>
      </c>
      <c r="E13">
        <f>(COUNTA(A2:A6)*I7-F7*G7)/(COUNTA(A2:A6)*H7-F7*F7)</f>
        <v>2.628903841444389</v>
      </c>
    </row>
    <row r="16" spans="1:11" x14ac:dyDescent="0.35">
      <c r="A16" t="s">
        <v>5</v>
      </c>
      <c r="E16">
        <f>E12*E12</f>
        <v>37.794174967370672</v>
      </c>
    </row>
    <row r="17" spans="1:5" x14ac:dyDescent="0.35">
      <c r="A17" t="s">
        <v>6</v>
      </c>
      <c r="E17">
        <f>E13*E13</f>
        <v>6.9111354075610656</v>
      </c>
    </row>
    <row r="18" spans="1:5" x14ac:dyDescent="0.35">
      <c r="A18" t="s">
        <v>22</v>
      </c>
      <c r="E18">
        <f>SUM(E16:E17)</f>
        <v>44.705310374931742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E095A9-FD34-4612-967E-CBCDACFA8FA5}">
          <x14:formula1>
            <xm:f>'liquid data sheet'!$A$2:$A$10</xm:f>
          </x14:formula1>
          <xm:sqref>A3:A6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40E4-9211-46E6-B460-44383B1647C3}">
  <dimension ref="A1:I44"/>
  <sheetViews>
    <sheetView zoomScale="70" zoomScaleNormal="70" workbookViewId="0">
      <selection activeCell="H31" sqref="H31"/>
    </sheetView>
  </sheetViews>
  <sheetFormatPr defaultRowHeight="14.5" x14ac:dyDescent="0.35"/>
  <cols>
    <col min="5" max="5" width="10.7265625" bestFit="1" customWidth="1"/>
    <col min="8" max="8" width="14.81640625" bestFit="1" customWidth="1"/>
  </cols>
  <sheetData>
    <row r="1" spans="1:9" x14ac:dyDescent="0.35">
      <c r="A1" s="4" t="s">
        <v>25</v>
      </c>
    </row>
    <row r="2" spans="1:9" x14ac:dyDescent="0.35">
      <c r="A2" t="s">
        <v>5</v>
      </c>
      <c r="B2">
        <f>'Data entry + OWRK'!$B26</f>
        <v>37.862822462570094</v>
      </c>
      <c r="E2" t="s">
        <v>26</v>
      </c>
      <c r="F2" s="1" t="s">
        <v>7</v>
      </c>
      <c r="G2" s="1" t="s">
        <v>8</v>
      </c>
      <c r="H2" s="1" t="s">
        <v>27</v>
      </c>
      <c r="I2" s="1" t="s">
        <v>28</v>
      </c>
    </row>
    <row r="3" spans="1:9" x14ac:dyDescent="0.35">
      <c r="A3" t="s">
        <v>6</v>
      </c>
      <c r="B3">
        <f>'Data entry + OWRK'!$B27</f>
        <v>7.6956462909393473</v>
      </c>
      <c r="F3">
        <f>'Data entry + OWRK'!$H$2</f>
        <v>1.5295259204356111</v>
      </c>
      <c r="G3">
        <f>AVERAGE('Data entry + OWRK'!$I$2:$I$4)</f>
        <v>10.673661382680107</v>
      </c>
      <c r="H3">
        <f>_xlfn.STDEV.P('Data entry + OWRK'!$I$2:$I$4)</f>
        <v>0.16007162738629596</v>
      </c>
      <c r="I3" t="s">
        <v>14</v>
      </c>
    </row>
    <row r="4" spans="1:9" x14ac:dyDescent="0.35">
      <c r="A4" t="s">
        <v>22</v>
      </c>
      <c r="B4">
        <f>'Data entry + OWRK'!$B28</f>
        <v>45.558468753509445</v>
      </c>
      <c r="F4">
        <f>'Data entry + OWRK'!$H$5</f>
        <v>0</v>
      </c>
      <c r="G4">
        <f>AVERAGE('Data entry + OWRK'!$H$5:$H$7)</f>
        <v>0</v>
      </c>
      <c r="H4">
        <f>_xlfn.STDEV.P('Data entry + OWRK'!$I$5:$I$7)</f>
        <v>7.2119425071579202E-2</v>
      </c>
      <c r="I4" t="s">
        <v>15</v>
      </c>
    </row>
    <row r="5" spans="1:9" x14ac:dyDescent="0.35">
      <c r="F5">
        <f>'Data entry + OWRK'!$H$8</f>
        <v>0.80942721340037949</v>
      </c>
      <c r="G5">
        <f>AVERAGE('Data entry + OWRK'!$H$8:$H$10)</f>
        <v>0.80942721340037949</v>
      </c>
      <c r="H5">
        <f>_xlfn.STDEV.P('Data entry + OWRK'!$I$8:$I$10)</f>
        <v>0.19850770917647151</v>
      </c>
      <c r="I5" t="s">
        <v>16</v>
      </c>
    </row>
    <row r="6" spans="1:9" x14ac:dyDescent="0.35">
      <c r="F6">
        <f>'Data entry + OWRK'!$H$11</f>
        <v>0.47140452079103168</v>
      </c>
      <c r="G6">
        <f>AVERAGE('Data entry + OWRK'!$H$11:$H$13)</f>
        <v>0.47140452079103162</v>
      </c>
      <c r="H6">
        <f>_xlfn.STDEV.P('Data entry + OWRK'!$I$11:$I$13)</f>
        <v>0.10308707710759921</v>
      </c>
      <c r="I6" t="s">
        <v>17</v>
      </c>
    </row>
    <row r="7" spans="1:9" x14ac:dyDescent="0.35">
      <c r="F7">
        <f>'Data entry + OWRK'!$H$14</f>
        <v>0.69798244045211277</v>
      </c>
      <c r="G7">
        <f>AVERAGE('Data entry + OWRK'!$I$14:$I$16)</f>
        <v>8.0975287843821668</v>
      </c>
      <c r="H7">
        <f>_xlfn.STDEV.P('Data entry + OWRK'!$I$14:$I$16)</f>
        <v>0.16726578273750503</v>
      </c>
      <c r="I7" t="s">
        <v>18</v>
      </c>
    </row>
    <row r="9" spans="1:9" x14ac:dyDescent="0.35">
      <c r="E9" t="s">
        <v>29</v>
      </c>
    </row>
    <row r="10" spans="1:9" x14ac:dyDescent="0.35">
      <c r="E10" t="s">
        <v>20</v>
      </c>
      <c r="F10">
        <f>'Data entry + OWRK'!B22</f>
        <v>6.1532773757218271</v>
      </c>
      <c r="G10" t="s">
        <v>30</v>
      </c>
    </row>
    <row r="11" spans="1:9" x14ac:dyDescent="0.35">
      <c r="E11" t="s">
        <v>21</v>
      </c>
      <c r="F11">
        <f>'Data entry + OWRK'!B23</f>
        <v>2.7741027902619879</v>
      </c>
      <c r="G11" t="s">
        <v>31</v>
      </c>
    </row>
    <row r="14" spans="1:9" x14ac:dyDescent="0.35">
      <c r="A14" s="4" t="s">
        <v>32</v>
      </c>
    </row>
    <row r="15" spans="1:9" x14ac:dyDescent="0.35">
      <c r="A15" t="s">
        <v>4</v>
      </c>
      <c r="B15">
        <f>Zisman!B15</f>
        <v>39.350975162775846</v>
      </c>
      <c r="E15" t="s">
        <v>26</v>
      </c>
      <c r="F15" s="1" t="s">
        <v>4</v>
      </c>
      <c r="G15" s="1" t="s">
        <v>3</v>
      </c>
      <c r="H15" s="1" t="s">
        <v>28</v>
      </c>
    </row>
    <row r="16" spans="1:9" x14ac:dyDescent="0.35">
      <c r="F16">
        <f>Zisman!B2</f>
        <v>72.8</v>
      </c>
      <c r="G16">
        <f>Zisman!D2</f>
        <v>0.34365969458561607</v>
      </c>
      <c r="H16" t="str">
        <f>Zisman!A2</f>
        <v>Water</v>
      </c>
    </row>
    <row r="17" spans="1:8" x14ac:dyDescent="0.35">
      <c r="F17">
        <f>Zisman!B3</f>
        <v>48</v>
      </c>
      <c r="G17">
        <f>Zisman!D3</f>
        <v>0.7680016136116723</v>
      </c>
      <c r="H17" t="str">
        <f>Zisman!A3</f>
        <v>Ethylene glycol</v>
      </c>
    </row>
    <row r="18" spans="1:8" x14ac:dyDescent="0.35">
      <c r="F18">
        <f>Zisman!B4</f>
        <v>50.8</v>
      </c>
      <c r="G18">
        <f>Zisman!D4</f>
        <v>0.85155228426434104</v>
      </c>
      <c r="H18" t="str">
        <f>Zisman!A4</f>
        <v>Diiodomethane</v>
      </c>
    </row>
    <row r="19" spans="1:8" x14ac:dyDescent="0.35">
      <c r="F19">
        <f>Zisman!B6</f>
        <v>44</v>
      </c>
      <c r="G19">
        <f>Zisman!D6</f>
        <v>0.88964711431053789</v>
      </c>
      <c r="H19" t="str">
        <f>Zisman!A6</f>
        <v>Dimethyl sulfoxide</v>
      </c>
    </row>
    <row r="31" spans="1:8" x14ac:dyDescent="0.35">
      <c r="A31" s="4" t="s">
        <v>33</v>
      </c>
      <c r="B31" s="5"/>
    </row>
    <row r="32" spans="1:8" x14ac:dyDescent="0.35">
      <c r="A32" s="2" t="s">
        <v>34</v>
      </c>
      <c r="B32" s="2"/>
      <c r="C32" s="2"/>
      <c r="D32" s="2"/>
      <c r="E32" s="2"/>
      <c r="F32" s="2"/>
      <c r="G32" s="2"/>
    </row>
    <row r="33" spans="1:7" x14ac:dyDescent="0.35">
      <c r="A33" s="2" t="s">
        <v>35</v>
      </c>
      <c r="B33" s="2"/>
      <c r="C33" s="2"/>
      <c r="D33" s="2"/>
      <c r="E33" s="2"/>
      <c r="F33" s="2"/>
      <c r="G33" s="2"/>
    </row>
    <row r="35" spans="1:7" x14ac:dyDescent="0.35">
      <c r="A35" s="1" t="s">
        <v>0</v>
      </c>
    </row>
    <row r="36" spans="1:7" x14ac:dyDescent="0.35">
      <c r="A36" t="s">
        <v>14</v>
      </c>
    </row>
    <row r="37" spans="1:7" x14ac:dyDescent="0.35">
      <c r="A37" t="s">
        <v>18</v>
      </c>
    </row>
    <row r="38" spans="1:7" x14ac:dyDescent="0.35">
      <c r="A38" t="s">
        <v>15</v>
      </c>
    </row>
    <row r="40" spans="1:7" x14ac:dyDescent="0.35">
      <c r="A40" t="s">
        <v>5</v>
      </c>
      <c r="B40">
        <f>'Acid-base'!B24</f>
        <v>43.070882895117521</v>
      </c>
    </row>
    <row r="41" spans="1:7" x14ac:dyDescent="0.35">
      <c r="A41" t="s">
        <v>6</v>
      </c>
      <c r="B41">
        <f>'Acid-base'!B25</f>
        <v>3.1138122402525212</v>
      </c>
    </row>
    <row r="42" spans="1:7" x14ac:dyDescent="0.35">
      <c r="A42" t="s">
        <v>36</v>
      </c>
      <c r="B42">
        <f>'Acid-base'!G16</f>
        <v>2.9911837183288261</v>
      </c>
    </row>
    <row r="43" spans="1:7" x14ac:dyDescent="0.35">
      <c r="A43" t="s">
        <v>37</v>
      </c>
      <c r="B43">
        <f>'Acid-base'!G17</f>
        <v>0.81036703029423762</v>
      </c>
    </row>
    <row r="44" spans="1:7" x14ac:dyDescent="0.35">
      <c r="A44" t="s">
        <v>22</v>
      </c>
      <c r="B44">
        <f>'Acid-base'!B26</f>
        <v>46.184695135370042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7F691C38-608D-48D9-8435-26C9A9BCF39C}">
          <x14:formula1>
            <xm:f>'Data entry + OWRK'!$A$2:$A$16</xm:f>
          </x14:formula1>
          <xm:sqref>A36</xm:sqref>
        </x14:dataValidation>
        <x14:dataValidation type="list" allowBlank="1" showInputMessage="1" showErrorMessage="1" xr:uid="{0DE0811B-595A-49F2-A2E4-DC97D9566D33}">
          <x14:formula1>
            <xm:f>'Data entry + OWRK'!$A$2:$A$16</xm:f>
          </x14:formula1>
          <xm:sqref>A37:A38</xm:sqref>
        </x14:dataValidation>
        <x14:dataValidation type="list" allowBlank="1" showInputMessage="1" showErrorMessage="1" xr:uid="{66A3B871-51B3-4A03-97C7-78E5D914B5B1}">
          <x14:formula1>
            <xm:f>'liquid data sheet'!$A$2:$A$10</xm:f>
          </x14:formula1>
          <xm:sqref>I3:I7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C15" sqref="C15"/>
    </sheetView>
  </sheetViews>
  <sheetFormatPr defaultRowHeight="14.5" x14ac:dyDescent="0.35"/>
  <cols>
    <col min="3" max="3" width="8.81640625" customWidth="1"/>
    <col min="5" max="7" width="9.1796875" customWidth="1"/>
  </cols>
  <sheetData>
    <row r="1" spans="1:7" x14ac:dyDescent="0.35">
      <c r="A1" s="1" t="s">
        <v>0</v>
      </c>
      <c r="B1" s="1" t="s">
        <v>4</v>
      </c>
      <c r="C1" s="1" t="s">
        <v>23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 x14ac:dyDescent="0.35">
      <c r="A2" t="str">
        <f>'Data entry + OWRK'!A2</f>
        <v>Water</v>
      </c>
      <c r="B2">
        <f>_xlfn.XLOOKUP($A2, 'liquid data sheet'!$A$2:$A$20, 'liquid data sheet'!B$2:B$20)</f>
        <v>72.8</v>
      </c>
      <c r="C2">
        <f>_xlfn.XLOOKUP(A2, 'Data entry + OWRK'!$A$2:$A$16, 'Data entry + OWRK'!$B$2:$B$16)</f>
        <v>69.900000000000006</v>
      </c>
      <c r="D2">
        <f>_xlfn.XLOOKUP(A2, 'Data entry + OWRK'!$A$2:$A$16, 'Data entry + OWRK'!$D$2:$D$16)</f>
        <v>0.34365969458561607</v>
      </c>
      <c r="E2">
        <f>B2*B2</f>
        <v>5299.8399999999992</v>
      </c>
      <c r="F2">
        <f>B2*D2</f>
        <v>25.018425765832848</v>
      </c>
      <c r="G2">
        <f>D2*D2</f>
        <v>0.11810198568267892</v>
      </c>
    </row>
    <row r="3" spans="1:7" x14ac:dyDescent="0.35">
      <c r="A3" t="s">
        <v>16</v>
      </c>
      <c r="B3">
        <f>_xlfn.XLOOKUP($A3, 'liquid data sheet'!$A$2:$A$20, 'liquid data sheet'!B$2:B$20)</f>
        <v>48</v>
      </c>
      <c r="C3">
        <f>_xlfn.XLOOKUP(A3, 'Data entry + OWRK'!$A$2:$A$16, 'Data entry + OWRK'!$B$2:$B$16)</f>
        <v>39.825226904000004</v>
      </c>
      <c r="D3">
        <f>_xlfn.XLOOKUP(A3, 'Data entry + OWRK'!$A$2:$A$16, 'Data entry + OWRK'!$D$2:$D$16)</f>
        <v>0.7680016136116723</v>
      </c>
      <c r="E3">
        <f t="shared" ref="E3" si="0">B3*B3</f>
        <v>2304</v>
      </c>
      <c r="F3">
        <f t="shared" ref="F3" si="1">B3*D3</f>
        <v>36.864077453360267</v>
      </c>
      <c r="G3">
        <f t="shared" ref="G3" si="2">D3*D3</f>
        <v>0.58982647851013237</v>
      </c>
    </row>
    <row r="4" spans="1:7" x14ac:dyDescent="0.35">
      <c r="A4" t="str">
        <f>'Data entry + OWRK'!A5</f>
        <v>Diiodomethane</v>
      </c>
      <c r="B4">
        <f>_xlfn.XLOOKUP($A4, 'liquid data sheet'!$A$2:$A$20, 'liquid data sheet'!B$2:B$20)</f>
        <v>50.8</v>
      </c>
      <c r="C4">
        <f>_xlfn.XLOOKUP(A4, 'Data entry + OWRK'!$A$2:$A$16, 'Data entry + OWRK'!$B$2:$B$16)</f>
        <v>31.619092101</v>
      </c>
      <c r="D4">
        <f>_xlfn.XLOOKUP(A4, 'Data entry + OWRK'!$A$2:$A$16, 'Data entry + OWRK'!$D$2:$D$16)</f>
        <v>0.85155228426434104</v>
      </c>
      <c r="E4">
        <f t="shared" ref="E4" si="3">B4*B4</f>
        <v>2580.64</v>
      </c>
      <c r="F4">
        <f t="shared" ref="F4" si="4">B4*D4</f>
        <v>43.258856040628523</v>
      </c>
      <c r="G4">
        <f t="shared" ref="G4" si="5">D4*D4</f>
        <v>0.72514129283581708</v>
      </c>
    </row>
    <row r="5" spans="1:7" x14ac:dyDescent="0.35">
      <c r="A5" t="s">
        <v>18</v>
      </c>
      <c r="B5">
        <f>_xlfn.XLOOKUP($A5, 'liquid data sheet'!$A$2:$A$20, 'liquid data sheet'!B$2:B$20)</f>
        <v>58</v>
      </c>
      <c r="C5">
        <f>_xlfn.XLOOKUP(A5, 'Data entry + OWRK'!$A$2:$A$16, 'Data entry + OWRK'!$B$2:$B$16)</f>
        <v>42.272665975000002</v>
      </c>
      <c r="D5">
        <f>_xlfn.XLOOKUP(A5, 'Data entry + OWRK'!$A$2:$A$16, 'Data entry + OWRK'!$D$2:$D$16)</f>
        <v>0.73995208402625412</v>
      </c>
      <c r="E5">
        <f t="shared" ref="E5" si="6">B5*B5</f>
        <v>3364</v>
      </c>
      <c r="F5">
        <f t="shared" ref="F5" si="7">B5*D5</f>
        <v>42.917220873522737</v>
      </c>
      <c r="G5">
        <f t="shared" ref="G5" si="8">D5*D5</f>
        <v>0.5475290866547966</v>
      </c>
    </row>
    <row r="6" spans="1:7" x14ac:dyDescent="0.35">
      <c r="A6" t="s">
        <v>17</v>
      </c>
      <c r="B6">
        <f>_xlfn.XLOOKUP($A6, 'liquid data sheet'!$A$2:$A$20, 'liquid data sheet'!B$2:B$20)</f>
        <v>44</v>
      </c>
      <c r="C6">
        <f>_xlfn.XLOOKUP(A6, 'Data entry + OWRK'!$A$2:$A$16, 'Data entry + OWRK'!$B$2:$B$16)</f>
        <v>27.171063123500002</v>
      </c>
      <c r="D6">
        <f>_xlfn.XLOOKUP(A6, 'Data entry + OWRK'!$A$2:$A$16, 'Data entry + OWRK'!$D$2:$D$16)</f>
        <v>0.88964711431053789</v>
      </c>
      <c r="E6">
        <f>B6*B6</f>
        <v>1936</v>
      </c>
      <c r="F6">
        <f>B6*D6</f>
        <v>39.144473029663665</v>
      </c>
      <c r="G6">
        <f>D6*D6</f>
        <v>0.79147198800106722</v>
      </c>
    </row>
    <row r="7" spans="1:7" x14ac:dyDescent="0.35">
      <c r="A7" s="3" t="s">
        <v>19</v>
      </c>
      <c r="B7" s="3">
        <f>SUM(B2:B6)</f>
        <v>273.60000000000002</v>
      </c>
      <c r="C7" s="3"/>
      <c r="D7" s="3">
        <f>SUM(D2:D6)</f>
        <v>3.5928127907984218</v>
      </c>
      <c r="E7" s="3">
        <f>SUM(E2:E6)</f>
        <v>15484.48</v>
      </c>
      <c r="F7" s="3">
        <f>SUM(F2:F6)</f>
        <v>187.20305316300804</v>
      </c>
      <c r="G7" s="3">
        <f>SUM(G2:G6)</f>
        <v>2.7720708316844922</v>
      </c>
    </row>
    <row r="11" spans="1:7" x14ac:dyDescent="0.35">
      <c r="A11" t="s">
        <v>20</v>
      </c>
      <c r="B11">
        <f>(D7*E7-B7*F7)/(COUNTA(A2:A6)*E7-B7*B7)</f>
        <v>1.7205946962171628</v>
      </c>
    </row>
    <row r="12" spans="1:7" x14ac:dyDescent="0.35">
      <c r="A12" t="s">
        <v>21</v>
      </c>
      <c r="B12">
        <f>(COUNTA(A2:A6)*F7-B7*D7)/(COUNTA(A2:A6)*E7-B7*B7)</f>
        <v>-1.8311990827073864E-2</v>
      </c>
    </row>
    <row r="15" spans="1:7" x14ac:dyDescent="0.35">
      <c r="A15" t="s">
        <v>4</v>
      </c>
      <c r="B15">
        <f>(1-B11)/B12</f>
        <v>39.350975162775846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716CEC-6F69-44B7-9629-95E999374BB8}">
          <x14:formula1>
            <xm:f>'liquid data sheet'!$A$2:$A$10</xm:f>
          </x14:formula1>
          <xm:sqref>A3 A5:A6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S26"/>
  <sheetViews>
    <sheetView workbookViewId="0">
      <selection activeCell="D11" sqref="D11"/>
    </sheetView>
  </sheetViews>
  <sheetFormatPr defaultRowHeight="14.5" x14ac:dyDescent="0.35"/>
  <cols>
    <col min="2" max="2" width="11" bestFit="1" customWidth="1"/>
  </cols>
  <sheetData>
    <row r="4" spans="1:19" x14ac:dyDescent="0.35">
      <c r="A4" s="1" t="s">
        <v>0</v>
      </c>
      <c r="B4" s="1" t="s">
        <v>4</v>
      </c>
      <c r="C4" s="1" t="s">
        <v>5</v>
      </c>
      <c r="D4" s="1" t="s">
        <v>6</v>
      </c>
      <c r="E4" s="1" t="s">
        <v>38</v>
      </c>
      <c r="F4" s="1" t="s">
        <v>39</v>
      </c>
      <c r="G4" s="1" t="s">
        <v>23</v>
      </c>
      <c r="H4" s="1" t="s">
        <v>3</v>
      </c>
    </row>
    <row r="5" spans="1:19" x14ac:dyDescent="0.35">
      <c r="A5" t="str">
        <f>'Results '!A36</f>
        <v>Water</v>
      </c>
      <c r="B5">
        <f>_xlfn.XLOOKUP('Results '!$A36, 'liquid data sheet'!$A$2:$A$20, 'liquid data sheet'!B$2:B$20)</f>
        <v>72.8</v>
      </c>
      <c r="C5">
        <f>_xlfn.XLOOKUP('Results '!$A36, 'liquid data sheet'!$A$2:$A$20, 'liquid data sheet'!C$2:C$20)</f>
        <v>21.8</v>
      </c>
      <c r="D5">
        <f>_xlfn.XLOOKUP('Results '!$A36, 'liquid data sheet'!$A$2:$A$20, 'liquid data sheet'!D$2:D$20)</f>
        <v>51</v>
      </c>
      <c r="E5">
        <f>_xlfn.XLOOKUP('Results '!$A36, 'liquid data sheet'!$A$2:$A$20, 'liquid data sheet'!E$2:E$20)</f>
        <v>25.5</v>
      </c>
      <c r="F5">
        <f>_xlfn.XLOOKUP('Results '!$A36, 'liquid data sheet'!$A$2:$A$20, 'liquid data sheet'!F$2:F$20)</f>
        <v>25.5</v>
      </c>
      <c r="G5">
        <f>_xlfn.XLOOKUP('Results '!A36, 'Data entry + OWRK'!$A$2:$A$20, 'Data entry + OWRK'!$M$2:$M$20)</f>
        <v>1.1926416555294586</v>
      </c>
      <c r="H5">
        <f>COS(G5)</f>
        <v>0.36920614731268442</v>
      </c>
    </row>
    <row r="6" spans="1:19" x14ac:dyDescent="0.35">
      <c r="A6" t="str">
        <f>'Results '!A37</f>
        <v>Formamide</v>
      </c>
      <c r="B6">
        <f>_xlfn.XLOOKUP('Results '!$A37, 'liquid data sheet'!$A$2:$A$20, 'liquid data sheet'!B$2:B$20)</f>
        <v>58</v>
      </c>
      <c r="C6">
        <f>_xlfn.XLOOKUP('Results '!$A37, 'liquid data sheet'!$A$2:$A$20, 'liquid data sheet'!C$2:C$20)</f>
        <v>39</v>
      </c>
      <c r="D6">
        <f>_xlfn.XLOOKUP('Results '!$A37, 'liquid data sheet'!$A$2:$A$20, 'liquid data sheet'!D$2:D$20)</f>
        <v>19</v>
      </c>
      <c r="E6">
        <f>_xlfn.XLOOKUP('Results '!$A37, 'liquid data sheet'!$A$2:$A$20, 'liquid data sheet'!E$2:E$20)</f>
        <v>2.2799999999999998</v>
      </c>
      <c r="F6">
        <f>_xlfn.XLOOKUP('Results '!$A37, 'liquid data sheet'!$A$2:$A$20, 'liquid data sheet'!F$2:F$20)</f>
        <v>39.6</v>
      </c>
      <c r="G6">
        <f>_xlfn.XLOOKUP('Results '!A37, 'Data entry + OWRK'!$A$2:$A$20, 'Data entry + OWRK'!$M$2:$M$20)</f>
        <v>0.73046625165082435</v>
      </c>
      <c r="H6">
        <f t="shared" ref="H6:H7" si="0">COS(G6)</f>
        <v>0.74486339229097631</v>
      </c>
    </row>
    <row r="7" spans="1:19" x14ac:dyDescent="0.35">
      <c r="A7" t="str">
        <f>'Results '!A38</f>
        <v>Diiodomethane</v>
      </c>
      <c r="B7">
        <f>_xlfn.XLOOKUP('Results '!$A38, 'liquid data sheet'!$A$2:$A$20, 'liquid data sheet'!B$2:B$20)</f>
        <v>50.8</v>
      </c>
      <c r="C7">
        <f>_xlfn.XLOOKUP('Results '!$A38, 'liquid data sheet'!$A$2:$A$20, 'liquid data sheet'!C$2:C$20)</f>
        <v>50.8</v>
      </c>
      <c r="D7">
        <f>_xlfn.XLOOKUP('Results '!$A38, 'liquid data sheet'!$A$2:$A$20, 'liquid data sheet'!D$2:D$20)</f>
        <v>0</v>
      </c>
      <c r="E7">
        <f>_xlfn.XLOOKUP('Results '!$A38, 'liquid data sheet'!$A$2:$A$20, 'liquid data sheet'!E$2:E$20)</f>
        <v>0</v>
      </c>
      <c r="F7">
        <f>_xlfn.XLOOKUP('Results '!$A38, 'liquid data sheet'!$A$2:$A$20, 'liquid data sheet'!F$2:F$20)</f>
        <v>0</v>
      </c>
      <c r="G7">
        <f>_xlfn.XLOOKUP('Results '!A38, 'Data entry + OWRK'!$A$2:$A$20, 'Data entry + OWRK'!$M$2:$M$20)</f>
        <v>0.57059894869223149</v>
      </c>
      <c r="H7">
        <f t="shared" si="0"/>
        <v>0.84157761226014005</v>
      </c>
    </row>
    <row r="10" spans="1:19" x14ac:dyDescent="0.35">
      <c r="B10">
        <f>2*SQRT(C5)</f>
        <v>9.3380940239430021</v>
      </c>
      <c r="C10">
        <f>2*SQRT(E5)</f>
        <v>10.099504938362077</v>
      </c>
      <c r="D10">
        <f>2*SQRT(F5)</f>
        <v>10.099504938362077</v>
      </c>
      <c r="G10">
        <f>B5*(1+H5)</f>
        <v>99.678207524363415</v>
      </c>
    </row>
    <row r="11" spans="1:19" x14ac:dyDescent="0.35">
      <c r="A11" t="s">
        <v>40</v>
      </c>
      <c r="B11">
        <f t="shared" ref="B11:B12" si="1">2*SQRT(C6)</f>
        <v>12.489995996796797</v>
      </c>
      <c r="C11">
        <f t="shared" ref="C11:D11" si="2">2*SQRT(E6)</f>
        <v>3.0199337741082997</v>
      </c>
      <c r="D11">
        <f t="shared" si="2"/>
        <v>12.58570617804182</v>
      </c>
      <c r="F11" t="s">
        <v>41</v>
      </c>
      <c r="G11">
        <f t="shared" ref="G11:G12" si="3">B6*(1+H6)</f>
        <v>101.20207675287662</v>
      </c>
    </row>
    <row r="12" spans="1:19" x14ac:dyDescent="0.35">
      <c r="B12">
        <f t="shared" si="1"/>
        <v>14.254823744964369</v>
      </c>
      <c r="C12">
        <f t="shared" ref="C12:D12" si="4">2*SQRT(E7)</f>
        <v>0</v>
      </c>
      <c r="D12">
        <f t="shared" si="4"/>
        <v>0</v>
      </c>
      <c r="G12">
        <f t="shared" si="3"/>
        <v>93.552142702815104</v>
      </c>
    </row>
    <row r="15" spans="1:19" x14ac:dyDescent="0.35">
      <c r="B15" cm="1">
        <f t="array" ref="B15:D17">MINVERSE(B10:D12)</f>
        <v>0</v>
      </c>
      <c r="C15">
        <v>0</v>
      </c>
      <c r="D15">
        <v>7.0151691658289217E-2</v>
      </c>
      <c r="G15" cm="1">
        <f t="array" ref="G15:G17">MMULT(B15:D17, G10:G12)</f>
        <v>6.5628410688601564</v>
      </c>
      <c r="H15" t="s">
        <v>42</v>
      </c>
      <c r="N15">
        <v>80</v>
      </c>
      <c r="O15">
        <v>150</v>
      </c>
      <c r="P15">
        <v>0</v>
      </c>
      <c r="S15">
        <v>3.5</v>
      </c>
    </row>
    <row r="16" spans="1:19" x14ac:dyDescent="0.35">
      <c r="A16" t="s">
        <v>43</v>
      </c>
      <c r="B16">
        <v>0.13027391330876856</v>
      </c>
      <c r="C16">
        <v>-0.1045393887469863</v>
      </c>
      <c r="D16">
        <v>6.2565835403379441E-3</v>
      </c>
      <c r="F16" t="s">
        <v>44</v>
      </c>
      <c r="G16">
        <v>2.9911837183288261</v>
      </c>
      <c r="H16" t="s">
        <v>45</v>
      </c>
      <c r="M16" t="s">
        <v>40</v>
      </c>
      <c r="N16">
        <v>52</v>
      </c>
      <c r="O16">
        <v>100</v>
      </c>
      <c r="P16">
        <v>0</v>
      </c>
      <c r="R16" t="s">
        <v>41</v>
      </c>
      <c r="S16">
        <v>2.2999999999999998</v>
      </c>
    </row>
    <row r="17" spans="1:19" x14ac:dyDescent="0.35">
      <c r="B17">
        <v>-3.1259159011101108E-2</v>
      </c>
      <c r="C17">
        <v>0.1045393887469863</v>
      </c>
      <c r="D17">
        <v>-7.1119475003016228E-2</v>
      </c>
      <c r="G17">
        <v>0.81036703029423762</v>
      </c>
      <c r="H17" t="s">
        <v>46</v>
      </c>
      <c r="N17">
        <v>0</v>
      </c>
      <c r="O17">
        <v>0</v>
      </c>
      <c r="P17">
        <v>0</v>
      </c>
      <c r="S17">
        <v>0</v>
      </c>
    </row>
    <row r="20" spans="1:19" x14ac:dyDescent="0.35">
      <c r="A20" t="s">
        <v>47</v>
      </c>
      <c r="B20">
        <f>B7*(1+H7)/(2*SQRT(C7))</f>
        <v>6.5628410688601564</v>
      </c>
      <c r="N20" t="e" cm="1">
        <f t="array" ref="N20">MINVERSE(N15:P17)</f>
        <v>#NUM!</v>
      </c>
      <c r="S20" t="e" cm="1">
        <f t="array" ref="S20">MMULT(N20:P22, S15:S17)</f>
        <v>#NUM!</v>
      </c>
    </row>
    <row r="21" spans="1:19" x14ac:dyDescent="0.35">
      <c r="M21" t="s">
        <v>43</v>
      </c>
      <c r="R21" t="s">
        <v>44</v>
      </c>
    </row>
    <row r="24" spans="1:19" x14ac:dyDescent="0.35">
      <c r="A24" t="s">
        <v>42</v>
      </c>
      <c r="B24">
        <f>B20*B20</f>
        <v>43.070882895117521</v>
      </c>
    </row>
    <row r="25" spans="1:19" x14ac:dyDescent="0.35">
      <c r="A25" t="s">
        <v>48</v>
      </c>
      <c r="B25">
        <f>2*SQRT(G16*G17)</f>
        <v>3.1138122402525212</v>
      </c>
    </row>
    <row r="26" spans="1:19" x14ac:dyDescent="0.35">
      <c r="A26" t="s">
        <v>49</v>
      </c>
      <c r="B26">
        <f>SUM(B24:B25)</f>
        <v>46.184695135370042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E0811B-595A-49F2-A2E4-DC97D9566D33}">
          <x14:formula1>
            <xm:f>'Data entry + OWRK'!$A$2:$A$16</xm:f>
          </x14:formula1>
          <xm:sqref>A8:A9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J5" sqref="J5"/>
    </sheetView>
  </sheetViews>
  <sheetFormatPr defaultRowHeight="14.5" x14ac:dyDescent="0.35"/>
  <cols>
    <col min="1" max="1" width="15" bestFit="1" customWidth="1"/>
  </cols>
  <sheetData>
    <row r="1" spans="1:16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38</v>
      </c>
      <c r="F1" s="1" t="s">
        <v>39</v>
      </c>
    </row>
    <row r="2" spans="1:16" x14ac:dyDescent="0.35">
      <c r="A2" t="s">
        <v>14</v>
      </c>
      <c r="B2">
        <v>72.8</v>
      </c>
      <c r="C2">
        <v>21.8</v>
      </c>
      <c r="D2">
        <v>51</v>
      </c>
      <c r="E2">
        <v>25.5</v>
      </c>
      <c r="F2">
        <v>25.5</v>
      </c>
      <c r="G2" t="s">
        <v>50</v>
      </c>
    </row>
    <row r="3" spans="1:16" x14ac:dyDescent="0.35">
      <c r="A3" t="s">
        <v>51</v>
      </c>
      <c r="B3">
        <v>20.14</v>
      </c>
      <c r="C3">
        <v>20.14</v>
      </c>
      <c r="D3">
        <v>0</v>
      </c>
      <c r="E3">
        <v>0</v>
      </c>
      <c r="F3">
        <v>0</v>
      </c>
      <c r="G3" t="s">
        <v>52</v>
      </c>
    </row>
    <row r="4" spans="1:16" x14ac:dyDescent="0.35">
      <c r="A4" t="s">
        <v>15</v>
      </c>
      <c r="B4">
        <v>50.8</v>
      </c>
      <c r="C4">
        <v>50.8</v>
      </c>
      <c r="D4">
        <v>0</v>
      </c>
      <c r="E4">
        <v>0</v>
      </c>
      <c r="F4">
        <v>0</v>
      </c>
      <c r="G4" t="s">
        <v>50</v>
      </c>
    </row>
    <row r="5" spans="1:16" x14ac:dyDescent="0.35">
      <c r="A5" t="s">
        <v>16</v>
      </c>
      <c r="B5">
        <v>48</v>
      </c>
      <c r="C5">
        <v>29</v>
      </c>
      <c r="D5">
        <v>19</v>
      </c>
      <c r="E5">
        <v>1.92</v>
      </c>
      <c r="F5">
        <v>47</v>
      </c>
      <c r="G5" t="s">
        <v>50</v>
      </c>
      <c r="N5" t="s">
        <v>53</v>
      </c>
      <c r="O5" t="s">
        <v>50</v>
      </c>
      <c r="P5" t="s">
        <v>54</v>
      </c>
    </row>
    <row r="6" spans="1:16" x14ac:dyDescent="0.35">
      <c r="A6" t="s">
        <v>55</v>
      </c>
      <c r="B6">
        <v>63.4</v>
      </c>
      <c r="C6">
        <v>34</v>
      </c>
      <c r="D6">
        <v>30</v>
      </c>
      <c r="E6">
        <v>3.92</v>
      </c>
      <c r="F6">
        <v>57.4</v>
      </c>
      <c r="G6" t="s">
        <v>56</v>
      </c>
      <c r="P6" t="s">
        <v>57</v>
      </c>
    </row>
    <row r="7" spans="1:16" x14ac:dyDescent="0.35">
      <c r="A7" t="s">
        <v>17</v>
      </c>
      <c r="B7">
        <v>44</v>
      </c>
      <c r="C7">
        <v>36</v>
      </c>
      <c r="D7">
        <v>8</v>
      </c>
      <c r="E7">
        <v>0.5</v>
      </c>
      <c r="F7">
        <v>32</v>
      </c>
      <c r="G7" t="s">
        <v>50</v>
      </c>
      <c r="P7" t="s">
        <v>58</v>
      </c>
    </row>
    <row r="8" spans="1:16" x14ac:dyDescent="0.35">
      <c r="A8" t="s">
        <v>18</v>
      </c>
      <c r="B8">
        <v>58</v>
      </c>
      <c r="C8">
        <v>39</v>
      </c>
      <c r="D8">
        <v>19</v>
      </c>
      <c r="E8">
        <v>2.2799999999999998</v>
      </c>
      <c r="F8">
        <v>39.6</v>
      </c>
      <c r="G8" t="s">
        <v>56</v>
      </c>
      <c r="P8" t="s">
        <v>59</v>
      </c>
    </row>
    <row r="12" spans="1:16" x14ac:dyDescent="0.35">
      <c r="O12" t="s">
        <v>56</v>
      </c>
      <c r="P12" t="s">
        <v>60</v>
      </c>
    </row>
    <row r="13" spans="1:16" x14ac:dyDescent="0.35">
      <c r="P13" t="s">
        <v>61</v>
      </c>
    </row>
    <row r="14" spans="1:16" x14ac:dyDescent="0.35">
      <c r="P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entry + OWRK</vt:lpstr>
      <vt:lpstr>OWRK</vt:lpstr>
      <vt:lpstr>Results </vt:lpstr>
      <vt:lpstr>Zisman</vt:lpstr>
      <vt:lpstr>Acid-base</vt:lpstr>
      <vt:lpstr>liquid data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Castor</dc:creator>
  <cp:keywords/>
  <dc:description/>
  <cp:lastModifiedBy>Carmen Torres</cp:lastModifiedBy>
  <cp:revision/>
  <dcterms:created xsi:type="dcterms:W3CDTF">2022-01-08T03:09:22Z</dcterms:created>
  <dcterms:modified xsi:type="dcterms:W3CDTF">2022-11-21T12:16:38Z</dcterms:modified>
  <cp:category/>
  <cp:contentStatus/>
</cp:coreProperties>
</file>