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eetasha\Desktop\"/>
    </mc:Choice>
  </mc:AlternateContent>
  <xr:revisionPtr revIDLastSave="0" documentId="12_ncr:500000_{04D36817-3790-49F0-B89C-D1E7E7EB3140}" xr6:coauthVersionLast="31" xr6:coauthVersionMax="32" xr10:uidLastSave="{00000000-0000-0000-0000-000000000000}"/>
  <bookViews>
    <workbookView xWindow="0" yWindow="0" windowWidth="19200" windowHeight="6960" firstSheet="1" activeTab="4" xr2:uid="{8E4CF535-E141-4969-9F9A-1DB602429819}"/>
  </bookViews>
  <sheets>
    <sheet name="Back End" sheetId="1" r:id="rId1"/>
    <sheet name="Sheet1" sheetId="5" r:id="rId2"/>
    <sheet name="Sheet4" sheetId="4" r:id="rId3"/>
    <sheet name="Secondary Research" sheetId="2" r:id="rId4"/>
    <sheet name="Original" sheetId="6" r:id="rId5"/>
    <sheet name="Front End" sheetId="14" r:id="rId6"/>
    <sheet name="Gross Margin Model" sheetId="11" r:id="rId7"/>
    <sheet name="Investment Model" sheetId="12" r:id="rId8"/>
    <sheet name="Revenue Model" sheetId="15" r:id="rId9"/>
    <sheet name="operating model" sheetId="16" r:id="rId10"/>
    <sheet name="Working Capital Sheet" sheetId="17" r:id="rId11"/>
    <sheet name="Assumptions" sheetId="13" r:id="rId12"/>
  </sheets>
  <externalReferences>
    <externalReference r:id="rId13"/>
    <externalReference r:id="rId1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1" i="6" l="1"/>
  <c r="Z11" i="6"/>
  <c r="AA11" i="6"/>
  <c r="AB11" i="6"/>
  <c r="AC11" i="6"/>
  <c r="AD11" i="6"/>
  <c r="AE11" i="6"/>
  <c r="AF11" i="6"/>
  <c r="X11" i="6"/>
  <c r="Y10" i="6"/>
  <c r="Z10" i="6"/>
  <c r="AA10" i="6"/>
  <c r="AB10" i="6"/>
  <c r="AC10" i="6"/>
  <c r="AD10" i="6"/>
  <c r="AE10" i="6"/>
  <c r="AF10" i="6"/>
  <c r="X10" i="6"/>
  <c r="AF9" i="6"/>
  <c r="AE9" i="6"/>
  <c r="AD9" i="6"/>
  <c r="AC9" i="6"/>
  <c r="AB9" i="6"/>
  <c r="AA9" i="6"/>
  <c r="Z9" i="6"/>
  <c r="Y9" i="6"/>
  <c r="X9" i="6"/>
  <c r="W9" i="6"/>
  <c r="Y8" i="6"/>
  <c r="Z8" i="6"/>
  <c r="AA8" i="6"/>
  <c r="AB8" i="6"/>
  <c r="AC8" i="6"/>
  <c r="AD8" i="6"/>
  <c r="AE8" i="6"/>
  <c r="AF8" i="6"/>
  <c r="W8" i="6"/>
  <c r="X8" i="6"/>
  <c r="Y6" i="6"/>
  <c r="Z6" i="6"/>
  <c r="AA6" i="6"/>
  <c r="AB6" i="6"/>
  <c r="AC6" i="6"/>
  <c r="AD6" i="6"/>
  <c r="AE6" i="6"/>
  <c r="AF6" i="6"/>
  <c r="X6" i="6"/>
  <c r="L30" i="6"/>
  <c r="F11" i="6" l="1"/>
  <c r="A27" i="6"/>
  <c r="N9" i="6" l="1"/>
  <c r="F6" i="6"/>
  <c r="F7" i="6" s="1"/>
  <c r="L18" i="6" l="1"/>
  <c r="L17" i="6"/>
  <c r="L13" i="6"/>
  <c r="L11" i="6"/>
  <c r="L26" i="6"/>
  <c r="L20" i="6"/>
  <c r="L21" i="6"/>
  <c r="L22" i="6"/>
  <c r="L23" i="6"/>
  <c r="L24" i="6"/>
  <c r="L19" i="6"/>
  <c r="L15" i="6"/>
  <c r="L16" i="6"/>
  <c r="L14" i="6"/>
  <c r="L12" i="6"/>
  <c r="L7" i="6"/>
  <c r="L8" i="6"/>
  <c r="L9" i="6"/>
  <c r="L10" i="6"/>
  <c r="L6" i="6"/>
  <c r="L5" i="6"/>
  <c r="H23" i="6"/>
  <c r="H25" i="6" s="1"/>
  <c r="C2" i="12" l="1"/>
  <c r="B5" i="16"/>
  <c r="B6" i="16"/>
  <c r="B8" i="16"/>
  <c r="B10" i="16"/>
  <c r="B12" i="16"/>
  <c r="B13" i="16"/>
  <c r="B14" i="16"/>
  <c r="B16" i="16"/>
  <c r="B17" i="16"/>
  <c r="B18" i="16"/>
  <c r="B4" i="16"/>
  <c r="B3" i="16"/>
  <c r="C8" i="17" l="1"/>
  <c r="B6" i="17"/>
  <c r="A19" i="16" l="1"/>
  <c r="A18" i="16"/>
  <c r="A17" i="16"/>
  <c r="A15" i="16"/>
  <c r="A13" i="16"/>
  <c r="A12" i="16"/>
  <c r="A11" i="16"/>
  <c r="A9" i="16"/>
  <c r="A8" i="16"/>
  <c r="A7" i="16"/>
  <c r="A6" i="16"/>
  <c r="A5" i="16"/>
  <c r="A4" i="16"/>
  <c r="A3" i="16"/>
  <c r="A1" i="16"/>
  <c r="F16" i="15" l="1"/>
  <c r="F18" i="15" s="1"/>
  <c r="C13" i="15"/>
  <c r="V15" i="6" l="1"/>
  <c r="V14" i="6"/>
  <c r="C8" i="12"/>
  <c r="C4" i="12"/>
  <c r="D7" i="14"/>
  <c r="C4" i="11"/>
  <c r="D6" i="14"/>
  <c r="D3" i="14"/>
  <c r="D2" i="14"/>
  <c r="D8" i="14" s="1"/>
  <c r="D4" i="14"/>
  <c r="F2" i="12"/>
  <c r="C6" i="12" s="1"/>
  <c r="C6" i="11"/>
  <c r="C8" i="11" s="1"/>
  <c r="C5" i="11"/>
  <c r="H27" i="6" l="1"/>
  <c r="B19" i="16" l="1"/>
  <c r="H14" i="6"/>
  <c r="B11" i="16" s="1"/>
  <c r="H10" i="6"/>
  <c r="B7" i="16" s="1"/>
  <c r="H12" i="6"/>
  <c r="B9" i="16" s="1"/>
  <c r="C9" i="6"/>
  <c r="C10" i="6" s="1"/>
  <c r="F9" i="5"/>
  <c r="B16" i="5"/>
  <c r="L13" i="5" s="1"/>
  <c r="H18" i="6" l="1"/>
  <c r="B15" i="16" s="1"/>
  <c r="C11" i="6"/>
  <c r="B13" i="6" s="1"/>
  <c r="F4" i="6" s="1"/>
  <c r="H11" i="4"/>
  <c r="H12" i="4" s="1"/>
  <c r="H13" i="4" s="1"/>
  <c r="C11" i="4"/>
  <c r="C12" i="4" s="1"/>
  <c r="C13" i="4" s="1"/>
  <c r="B16" i="6" l="1"/>
  <c r="B17" i="6" s="1"/>
  <c r="F9" i="6"/>
  <c r="F10" i="6" l="1"/>
  <c r="B6" i="15"/>
  <c r="P6" i="6" l="1"/>
  <c r="P10" i="6" s="1"/>
  <c r="R4" i="6" s="1"/>
  <c r="E2" i="12"/>
  <c r="C5" i="12" s="1"/>
  <c r="C7" i="12" s="1"/>
  <c r="R8" i="6"/>
  <c r="R14" i="6" s="1"/>
  <c r="R5" i="6" l="1"/>
  <c r="R15" i="6"/>
  <c r="R16" i="6" l="1"/>
  <c r="S16" i="6" s="1"/>
  <c r="V16" i="6" s="1"/>
  <c r="W6" i="6" s="1"/>
  <c r="W7" i="6" l="1"/>
  <c r="X7" i="6" s="1"/>
  <c r="Y7" i="6" s="1"/>
  <c r="Z7" i="6" s="1"/>
  <c r="AA7" i="6" s="1"/>
  <c r="AB7" i="6" s="1"/>
  <c r="AC7" i="6" s="1"/>
  <c r="AD7" i="6" s="1"/>
  <c r="AE7" i="6" s="1"/>
  <c r="AF7" i="6" s="1"/>
</calcChain>
</file>

<file path=xl/sharedStrings.xml><?xml version="1.0" encoding="utf-8"?>
<sst xmlns="http://schemas.openxmlformats.org/spreadsheetml/2006/main" count="334" uniqueCount="266">
  <si>
    <t>BACK END</t>
  </si>
  <si>
    <t>WHAT</t>
  </si>
  <si>
    <t>WHERE</t>
  </si>
  <si>
    <t>WHO</t>
  </si>
  <si>
    <t>HOW</t>
  </si>
  <si>
    <t>HOW MUCH</t>
  </si>
  <si>
    <t>Water</t>
  </si>
  <si>
    <t>Electricity</t>
  </si>
  <si>
    <t>Grocery(tea/coffee sachets)</t>
  </si>
  <si>
    <t>Housekeeping</t>
  </si>
  <si>
    <t>Laundry</t>
  </si>
  <si>
    <t>Cleaning supplies</t>
  </si>
  <si>
    <t>SERVICES</t>
  </si>
  <si>
    <t>PRODUCT</t>
  </si>
  <si>
    <t>Electical fixtures</t>
  </si>
  <si>
    <t>Plumbing equipment</t>
  </si>
  <si>
    <t>Toiletries</t>
  </si>
  <si>
    <t>Frequency of purchase (WHEN)</t>
  </si>
  <si>
    <t>Admin (Manager, Receptionist)</t>
  </si>
  <si>
    <t>Electrician</t>
  </si>
  <si>
    <t>Plumber</t>
  </si>
  <si>
    <t>Wifi (Internet)</t>
  </si>
  <si>
    <t>Commercial License of Service Apartments</t>
  </si>
  <si>
    <t>Inflow of business executives in Mumbai</t>
  </si>
  <si>
    <t>https://www.ndtv.com/india-news/worlds-highest-paid-expats-are-booking-a-passage-to-india-1817121?amp=1&amp;akamai-rum=off</t>
  </si>
  <si>
    <t>Newspaper</t>
  </si>
  <si>
    <t>Daily</t>
  </si>
  <si>
    <t>Airbnb positioned as serviced apartment</t>
  </si>
  <si>
    <t>https://www.roomlion.com/a/mumbai/goregaon-east/1477-serviced-apartment/11403.html?search%5BcheckIn%5D=08-Mar-18&amp;search%5BcheckOut%5D=15-Mar-18&amp;search%5Bguests%5D=2</t>
  </si>
  <si>
    <t>Security personnel</t>
  </si>
  <si>
    <t>Basic cutlery</t>
  </si>
  <si>
    <t>&lt;5 lakhs</t>
  </si>
  <si>
    <t>Property tax</t>
  </si>
  <si>
    <t>first aid kit</t>
  </si>
  <si>
    <t>CC Tv cameras</t>
  </si>
  <si>
    <t>Insurance (burglary, act of god, fire)</t>
  </si>
  <si>
    <t>Electornic Products (Induction cooker, TV, AC, Fridge, Microwave, coffe maker, water purifier)</t>
  </si>
  <si>
    <t>Wardrobe</t>
  </si>
  <si>
    <t>Mattresses</t>
  </si>
  <si>
    <t>Urbandoor</t>
  </si>
  <si>
    <t>Roomlion.com</t>
  </si>
  <si>
    <t>Lalco Residency</t>
  </si>
  <si>
    <t>Formula Service Department</t>
  </si>
  <si>
    <t>Higher returns than renting the place</t>
  </si>
  <si>
    <t>https://economictimes.indiatimes.com/wealth/real-estate/running-a-serviced-apartment-good-returns-but-is-it-worth-the-effort/articleshow/47700502.cms</t>
  </si>
  <si>
    <t>According to the report published, 4th edition of Global Serviced Apartments Industry, suggested that:-</t>
  </si>
  <si>
    <t>The need for serviced apartments is on the rise as compared to the total available supply because now the ever global and a multi country business create a unique kind of business activity which involves traveling.</t>
  </si>
  <si>
    <t>The investors are showing keen interest in the serviced apartment industry and therefore the emergence of new brands is on surge. Therefore this has opened up a whole new market where anyone can offer their services.</t>
  </si>
  <si>
    <t>https://www.gagalhome.com/upcoming-trends-of-the-serviced-apartment-industry/</t>
  </si>
  <si>
    <t>http://www.servicedapartmentsmumbai.com/about-serviced-apartment-mumbai/</t>
  </si>
  <si>
    <t>INSIGHTS</t>
  </si>
  <si>
    <t>COMPETTITION</t>
  </si>
  <si>
    <t>TRENDS</t>
  </si>
  <si>
    <t>Serviced Apartments Mumbai</t>
  </si>
  <si>
    <t>The landscape is titled towards luxury</t>
  </si>
  <si>
    <t>http://www.hospitalitybizindia.com/detailNews.aspx?aid=20884&amp;sid=5</t>
  </si>
  <si>
    <t>Therefore, it is pertinent to ask whether the line of distinction between these two parallel hospitality verticals is getting blurred or not? While promoters of the Serviced Apartment brands vehemently oppose such blurring of differences, they concede that they offer most of the services which are similar to a full-fledged hotel. In mature hospitality markets the differences between the two are more pronounced, service offerings are clearly demarcated and so is the target customer, says Nirupa Shankar, Director, Brigade Hospitality Services. However, in emerging markets like India, the story is different, she concedes. “In the Indian context, where the majority of the market is unorganised and the industry is still undergoing a metamorphosis, it’s a fine line that differentiates the two products, especially in the high-end segment. One will often see 5-star hotels catering to the long stay customer by offering kitchenettes, living room spaces, washers and dryers. One will also see serviced apartments offering daily housekeeping, restaurants, and in-room dining catering to the transient customer.” </t>
  </si>
  <si>
    <t>Taxation: difference in structure due to the way business is portrayed</t>
  </si>
  <si>
    <t>https://content.magicbricks.com/property-news/in-focus/tax-aspects-of-serviced-apartments/35247.html</t>
  </si>
  <si>
    <t>The Perch</t>
  </si>
  <si>
    <t>https://www.theperch.in/the-perch.html</t>
  </si>
  <si>
    <t>ABCs of starting service apartment</t>
  </si>
  <si>
    <t>https://www.expert-market.com/learn-how-to-start-a-service-apartment-business-plan/</t>
  </si>
  <si>
    <t>http://www.servicedapartmentnews.com/home/features/2017/4/4/the-challenges-of-starting-a-serviced-apartment-business/</t>
  </si>
  <si>
    <t>OLD (2017) Challenges - Compliance, marketing, listing</t>
  </si>
  <si>
    <t>Airbnb for serviced apartment</t>
  </si>
  <si>
    <t>(Basically furniture)</t>
  </si>
  <si>
    <t>This one lets you put up your apartment for rent (Airbnb concept)</t>
  </si>
  <si>
    <t>Competetors pricing</t>
  </si>
  <si>
    <t>Floors</t>
  </si>
  <si>
    <t>Flats per floor</t>
  </si>
  <si>
    <t>BHK</t>
  </si>
  <si>
    <t>Individuals per room</t>
  </si>
  <si>
    <t>Individuals per Flat</t>
  </si>
  <si>
    <t>Total Individuals Servicable</t>
  </si>
  <si>
    <t>Students</t>
  </si>
  <si>
    <t>Executives</t>
  </si>
  <si>
    <t>Individuals per Floor</t>
  </si>
  <si>
    <t>Pricing per Individual per day</t>
  </si>
  <si>
    <t>Total Income per Room</t>
  </si>
  <si>
    <t>Interior Designers</t>
  </si>
  <si>
    <t>Total Market Size</t>
  </si>
  <si>
    <t>Total No of students</t>
  </si>
  <si>
    <t>bed</t>
  </si>
  <si>
    <t>fan</t>
  </si>
  <si>
    <t>tubelight</t>
  </si>
  <si>
    <t>mattress</t>
  </si>
  <si>
    <t>AC</t>
  </si>
  <si>
    <t>chair</t>
  </si>
  <si>
    <t>wardrobe</t>
  </si>
  <si>
    <t>lamp</t>
  </si>
  <si>
    <t>study table</t>
  </si>
  <si>
    <t>switch boards</t>
  </si>
  <si>
    <t>side table</t>
  </si>
  <si>
    <t>TV</t>
  </si>
  <si>
    <t>Microwave</t>
  </si>
  <si>
    <t>Stove</t>
  </si>
  <si>
    <t>Water Purifier</t>
  </si>
  <si>
    <t>sofa</t>
  </si>
  <si>
    <t>Fridge</t>
  </si>
  <si>
    <t>Bathroom</t>
  </si>
  <si>
    <t>Utensils</t>
  </si>
  <si>
    <t>Printer</t>
  </si>
  <si>
    <t>pillows</t>
  </si>
  <si>
    <t>Linens</t>
  </si>
  <si>
    <t>Toileteries</t>
  </si>
  <si>
    <t>total sum</t>
  </si>
  <si>
    <t>How many stay away from Home?</t>
  </si>
  <si>
    <t>Male</t>
  </si>
  <si>
    <t>Females</t>
  </si>
  <si>
    <t>Total who stay outside</t>
  </si>
  <si>
    <t>Total Addressable Market</t>
  </si>
  <si>
    <t>Customer Spending Power</t>
  </si>
  <si>
    <t>On an average, how much does a student spend on rent or hostel monthly?</t>
  </si>
  <si>
    <t>per month</t>
  </si>
  <si>
    <t>Yearly expense on rent or hostel</t>
  </si>
  <si>
    <t>Total monthly expense spent on rent or hostel</t>
  </si>
  <si>
    <t>10 months only</t>
  </si>
  <si>
    <t>Potential Customers</t>
  </si>
  <si>
    <t>Max Capacity</t>
  </si>
  <si>
    <t>Monthly Rent</t>
  </si>
  <si>
    <t>Total Monthly Rent</t>
  </si>
  <si>
    <t>Annual Rent</t>
  </si>
  <si>
    <t>Security</t>
  </si>
  <si>
    <t>HouseKeeping</t>
  </si>
  <si>
    <t>Salaries</t>
  </si>
  <si>
    <t>Utility Bills</t>
  </si>
  <si>
    <t>Internet Service</t>
  </si>
  <si>
    <t>Gas Bill</t>
  </si>
  <si>
    <t>Cable Subscription</t>
  </si>
  <si>
    <t xml:space="preserve">Total </t>
  </si>
  <si>
    <t>Fixed cost</t>
  </si>
  <si>
    <t>One time cost</t>
  </si>
  <si>
    <t>Gross Margin</t>
  </si>
  <si>
    <t>Monthly Expenses</t>
  </si>
  <si>
    <t>Lease per month</t>
  </si>
  <si>
    <t>Friends</t>
  </si>
  <si>
    <t>Financial Investment</t>
  </si>
  <si>
    <t>Self</t>
  </si>
  <si>
    <t>To start the business</t>
  </si>
  <si>
    <t>Investment via NBFC</t>
  </si>
  <si>
    <t>Liscence fee</t>
  </si>
  <si>
    <t>Interest</t>
  </si>
  <si>
    <t>Years</t>
  </si>
  <si>
    <t>Months accounted to start a business</t>
  </si>
  <si>
    <t>One time cost + months x (VC + PC)</t>
  </si>
  <si>
    <t>Total fixed cost</t>
  </si>
  <si>
    <t>Breakeven  Months</t>
  </si>
  <si>
    <t>Cost/Month</t>
  </si>
  <si>
    <t>Price/Individual</t>
  </si>
  <si>
    <t>Total Cost</t>
  </si>
  <si>
    <t>Total Revenue</t>
  </si>
  <si>
    <t>Gross Profit Margin</t>
  </si>
  <si>
    <t>Expected demand (in terms of number of people)</t>
  </si>
  <si>
    <t>Hard Assests (One Time Cost)</t>
  </si>
  <si>
    <t>Lease Cost</t>
  </si>
  <si>
    <t>Lease/month</t>
  </si>
  <si>
    <t>No of months of total lease</t>
  </si>
  <si>
    <t>Hard Assests</t>
  </si>
  <si>
    <t>Development Activities</t>
  </si>
  <si>
    <t>Assumption:</t>
  </si>
  <si>
    <t>Occupancy rate is even throughout the year</t>
  </si>
  <si>
    <t>Front End</t>
  </si>
  <si>
    <t>Website (page on company website)</t>
  </si>
  <si>
    <t xml:space="preserve">Collaboration with University </t>
  </si>
  <si>
    <t>Word of Mouth</t>
  </si>
  <si>
    <t>Hoarding outside the building</t>
  </si>
  <si>
    <t>Social Media Marketing</t>
  </si>
  <si>
    <t>Yearly</t>
  </si>
  <si>
    <t>University doesn’t have a hostel</t>
  </si>
  <si>
    <t>Customers Expected</t>
  </si>
  <si>
    <t>Front End for 1st Year</t>
  </si>
  <si>
    <t>Rate</t>
  </si>
  <si>
    <t>Dgital Ad Campaigns</t>
  </si>
  <si>
    <t>Yearly Lease Cost</t>
  </si>
  <si>
    <t>Security Deposit</t>
  </si>
  <si>
    <t>Year</t>
  </si>
  <si>
    <t>Rate of Increase in Value</t>
  </si>
  <si>
    <t>Max Annual Rent</t>
  </si>
  <si>
    <t>Q. Who will buy? Why?</t>
  </si>
  <si>
    <t>Our target audience are female college students in Mumbai specifially in western mumbai i.e Andheri to Bandra.</t>
  </si>
  <si>
    <t>Female students would choose to stay in our service appartment because we provide  them a home away from home, with all the basic amenities like bed,cupboard,study table, side table.On top. of this we also provide additional amenities like personal bathroom,living room,kitchennette In western mumbai, there are about 169 colleges, who are in constant need for a place to stay. We charge on monthly basis, hence those students coming for diploma courses could also stay for a few months and do not need to pay on yearly basis in one go.</t>
  </si>
  <si>
    <t>Q. How much? Per month revenue generation</t>
  </si>
  <si>
    <t>Q. How soon?</t>
  </si>
  <si>
    <t>Q. At what price?</t>
  </si>
  <si>
    <t>If the occupant wishes to opt for single occupany room, they would be paying 60,000/- per month, whereas if they opt for general package(which includes two people sharing a room) they will pay 30,000/- per month.  The serviced apartment contains of two bedrooms, 1 kitchen and a living room. This per month package includes access to everywhere in the apartment, household charges, utility charges, toliteries,utensils and furnished apartment.</t>
  </si>
  <si>
    <t>Q. Cost of acquiring each customer?</t>
  </si>
  <si>
    <t>Marketing expenses</t>
  </si>
  <si>
    <t>Website self</t>
  </si>
  <si>
    <t>Website ads leading to our website</t>
  </si>
  <si>
    <t>No of customers in the begining of month</t>
  </si>
  <si>
    <t xml:space="preserve">at end </t>
  </si>
  <si>
    <t>hoardings</t>
  </si>
  <si>
    <t>Customer Churn Rate = (Customers beginning of month - Customers end of month) / Customers beginning of month</t>
  </si>
  <si>
    <t>collaboration with university</t>
  </si>
  <si>
    <t>2% commision</t>
  </si>
  <si>
    <t>social media marketing salary of intern</t>
  </si>
  <si>
    <t>Lifetime value of customer</t>
  </si>
  <si>
    <t>Average monthly revenue per customer ÷ monthly churn rate</t>
  </si>
  <si>
    <t>maximum amount of money spent to acquire each customer</t>
  </si>
  <si>
    <r>
      <t>The revenue generation will be monthly, depending on the current capacity of the serviced apartments. The occupants will pay the charges in the start of each month. We will keep contingency of around 10%</t>
    </r>
    <r>
      <rPr>
        <sz val="11"/>
        <color rgb="FFFF0000"/>
        <rFont val="Calibri (Body)"/>
      </rPr>
      <t xml:space="preserve"> </t>
    </r>
    <r>
      <rPr>
        <sz val="11"/>
        <color theme="1"/>
        <rFont val="Calibri (Body)"/>
      </rPr>
      <t>who will not be able to pay at ther end of each month, and would be allowed an extention of one month to pay their balance amount. Every occupant must say for min one month</t>
    </r>
  </si>
  <si>
    <t>Rs</t>
  </si>
  <si>
    <t>In days</t>
  </si>
  <si>
    <t>When will your customers pay? They will pay at the start of the month</t>
  </si>
  <si>
    <t>When will you pay to your supplier? End of  the month(1 month credit period)</t>
  </si>
  <si>
    <t>Suppliers are - housekeeping firm, security firm, etc</t>
  </si>
  <si>
    <t>How much cash will be tied up in inventory</t>
  </si>
  <si>
    <t>How many days inventory will be tied up</t>
  </si>
  <si>
    <t>How long is your operating cash cycle(Inventroy holding days + credit given - credit recieved)</t>
  </si>
  <si>
    <t>Operating Profit</t>
  </si>
  <si>
    <t>Net Profit</t>
  </si>
  <si>
    <t>Occupancy rate will only increase</t>
  </si>
  <si>
    <t>Once Occupancy rate reaches 100% with time, it will remain constant</t>
  </si>
  <si>
    <t>Topez security services,Bombay intelligence security,Ventage safety services,Delta security force,Strict facility services</t>
  </si>
  <si>
    <t>Hathway, cable, seven star,airtel,jio</t>
  </si>
  <si>
    <t>Urban clap</t>
  </si>
  <si>
    <t>White cleaners,Presto cleaners,elite cleaners</t>
  </si>
  <si>
    <t>Reliance</t>
  </si>
  <si>
    <t>Radiant hospitality service, cosmo hospitality services, supertek</t>
  </si>
  <si>
    <t>Advertisement in newspaper</t>
  </si>
  <si>
    <t>MCGM</t>
  </si>
  <si>
    <t>Juhu, andheri</t>
  </si>
  <si>
    <t>Andheri</t>
  </si>
  <si>
    <t>Anywhere</t>
  </si>
  <si>
    <t>Vile Parle</t>
  </si>
  <si>
    <t>Anywhere in Mumbai</t>
  </si>
  <si>
    <t>Opposite MPSTME</t>
  </si>
  <si>
    <t>Dmart</t>
  </si>
  <si>
    <t>Housekeeping firm gets their own supplies</t>
  </si>
  <si>
    <t>Nearest stores</t>
  </si>
  <si>
    <t>Vendor</t>
  </si>
  <si>
    <t>Godrej</t>
  </si>
  <si>
    <t>Local utensil store</t>
  </si>
  <si>
    <t>Medical store nearby</t>
  </si>
  <si>
    <t>Security firm in contract</t>
  </si>
  <si>
    <t>Local store</t>
  </si>
  <si>
    <t>godrej</t>
  </si>
  <si>
    <t>Direct company</t>
  </si>
  <si>
    <t>Store - versova</t>
  </si>
  <si>
    <t>store - versova</t>
  </si>
  <si>
    <t>No.of flats in a floor</t>
  </si>
  <si>
    <t>No.of floors</t>
  </si>
  <si>
    <t>Total Area to be leased</t>
  </si>
  <si>
    <t>per person</t>
  </si>
  <si>
    <t>per flat</t>
  </si>
  <si>
    <t>rate</t>
  </si>
  <si>
    <t>ASTERIA SHARED SERVICE APARTMENTS</t>
  </si>
  <si>
    <t>Area per flat</t>
  </si>
  <si>
    <t>No of People in a Flat</t>
  </si>
  <si>
    <t>Commission Rate</t>
  </si>
  <si>
    <t>People who stay with us</t>
  </si>
  <si>
    <t>Expected Audience</t>
  </si>
  <si>
    <t>Yearly Expense</t>
  </si>
  <si>
    <t>Crowd is rotating and hence occupancy is mantained throughout the year</t>
  </si>
  <si>
    <t>Cumulative Net Profit</t>
  </si>
  <si>
    <t>Year in which 100% occupancy Rate is achieved</t>
  </si>
  <si>
    <t>Lease period (in months)</t>
  </si>
  <si>
    <t>Leasing price per sq. feet</t>
  </si>
  <si>
    <t>Amount</t>
  </si>
  <si>
    <t>Final Return to be paid</t>
  </si>
  <si>
    <t>Legal Fees</t>
  </si>
  <si>
    <t>Maintenance Cost</t>
  </si>
  <si>
    <t>Tax</t>
  </si>
  <si>
    <t>Us</t>
  </si>
  <si>
    <t>Partner</t>
  </si>
  <si>
    <t>Profit after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</si>
</sst>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43" formatCode="_ * #,##0.00_ ;_ * \-#,##0.00_ ;_ * &quot;-&quot;??_ ;_ @_ "/>
    <numFmt numFmtId="164" formatCode="_ [$₹-4009]\ * #,##0_ ;_ [$₹-4009]\ * \-#,##0_ ;_ [$₹-4009]\ * &quot;-&quot;??_ ;_ @_ "/>
    <numFmt numFmtId="165" formatCode="_ &quot;₹&quot;\ * #,##0_ ;_ &quot;₹&quot;\ * \-#,##0_ ;_ &quot;₹&quot;\ * &quot;-&quot;??_ ;_ @_ "/>
  </numFmts>
  <fonts count="12">
    <font>
      <sz val="11"/>
      <color theme="1"/>
      <name val="Calibri"/>
      <family val="2"/>
      <scheme val="minor"/>
    </font>
    <font>
      <b/>
      <sz val="11"/>
      <color theme="1"/>
      <name val="Calibri"/>
      <family val="2"/>
      <scheme val="minor"/>
    </font>
    <font>
      <sz val="11"/>
      <color theme="0"/>
      <name val="Calibri"/>
      <family val="2"/>
      <scheme val="minor"/>
    </font>
    <font>
      <sz val="11"/>
      <color theme="4"/>
      <name val="Calibri"/>
      <family val="2"/>
      <scheme val="minor"/>
    </font>
    <font>
      <u/>
      <sz val="11"/>
      <color theme="10"/>
      <name val="Calibri"/>
      <family val="2"/>
      <scheme val="minor"/>
    </font>
    <font>
      <sz val="7"/>
      <color rgb="FF000000"/>
      <name val="Noto Sans"/>
    </font>
    <font>
      <sz val="6"/>
      <color rgb="FF444444"/>
      <name val="Arial"/>
      <family val="2"/>
    </font>
    <font>
      <b/>
      <sz val="12"/>
      <color theme="1"/>
      <name val="Calibri"/>
      <family val="2"/>
      <scheme val="minor"/>
    </font>
    <font>
      <sz val="11"/>
      <color theme="1"/>
      <name val="Calibri"/>
      <family val="2"/>
      <scheme val="minor"/>
    </font>
    <font>
      <sz val="11"/>
      <color rgb="FFFF0000"/>
      <name val="Calibri (Body)"/>
    </font>
    <font>
      <sz val="11"/>
      <color theme="1"/>
      <name val="Calibri (Body)"/>
    </font>
    <font>
      <b/>
      <sz val="16"/>
      <color theme="1"/>
      <name val="Calibri (Body)_x0000_"/>
    </font>
  </fonts>
  <fills count="15">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4" fillId="0" borderId="0" applyNumberFormat="0" applyFill="0" applyBorder="0" applyAlignment="0" applyProtection="0"/>
    <xf numFmtId="9" fontId="8" fillId="0" borderId="0" applyFont="0" applyFill="0" applyBorder="0" applyAlignment="0" applyProtection="0"/>
    <xf numFmtId="44" fontId="8" fillId="0" borderId="0" applyFont="0" applyFill="0" applyBorder="0" applyAlignment="0" applyProtection="0"/>
    <xf numFmtId="43" fontId="8" fillId="0" borderId="0" applyFont="0" applyFill="0" applyBorder="0" applyAlignment="0" applyProtection="0"/>
  </cellStyleXfs>
  <cellXfs count="75">
    <xf numFmtId="0" fontId="0" fillId="0" borderId="0" xfId="0"/>
    <xf numFmtId="0" fontId="3" fillId="0" borderId="0" xfId="0" applyFont="1"/>
    <xf numFmtId="0" fontId="4" fillId="0" borderId="0" xfId="1"/>
    <xf numFmtId="0" fontId="5" fillId="0" borderId="0" xfId="0" applyFont="1" applyAlignment="1">
      <alignment vertical="center" wrapText="1"/>
    </xf>
    <xf numFmtId="0" fontId="0" fillId="2" borderId="0" xfId="0" applyFill="1"/>
    <xf numFmtId="0" fontId="0" fillId="3" borderId="0" xfId="0" applyFill="1"/>
    <xf numFmtId="0" fontId="4" fillId="3" borderId="0" xfId="1" applyFill="1"/>
    <xf numFmtId="0" fontId="6" fillId="3" borderId="0" xfId="0" applyFont="1" applyFill="1"/>
    <xf numFmtId="0" fontId="2" fillId="4" borderId="0" xfId="0" applyFont="1" applyFill="1"/>
    <xf numFmtId="0" fontId="1" fillId="0" borderId="0" xfId="0" applyFont="1"/>
    <xf numFmtId="9" fontId="0" fillId="0" borderId="0" xfId="0" applyNumberFormat="1"/>
    <xf numFmtId="0" fontId="0" fillId="5" borderId="0" xfId="0" applyFill="1"/>
    <xf numFmtId="9" fontId="0" fillId="5" borderId="0" xfId="0" applyNumberFormat="1" applyFill="1"/>
    <xf numFmtId="0" fontId="0" fillId="6" borderId="0" xfId="0" applyFill="1"/>
    <xf numFmtId="0" fontId="1" fillId="6" borderId="0" xfId="0" applyFont="1" applyFill="1"/>
    <xf numFmtId="10" fontId="0" fillId="0" borderId="0" xfId="0" applyNumberFormat="1"/>
    <xf numFmtId="0" fontId="0" fillId="0" borderId="0" xfId="0" applyAlignment="1">
      <alignment horizontal="center" vertical="center"/>
    </xf>
    <xf numFmtId="0" fontId="0" fillId="0" borderId="0" xfId="0" applyAlignment="1">
      <alignment wrapText="1"/>
    </xf>
    <xf numFmtId="0" fontId="0" fillId="0" borderId="0" xfId="0" applyBorder="1" applyAlignment="1">
      <alignment wrapText="1"/>
    </xf>
    <xf numFmtId="0" fontId="0" fillId="0" borderId="0" xfId="0" applyAlignment="1"/>
    <xf numFmtId="0" fontId="0" fillId="5" borderId="0" xfId="0" applyFill="1" applyAlignment="1">
      <alignment horizontal="center"/>
    </xf>
    <xf numFmtId="0" fontId="0" fillId="7" borderId="0" xfId="0" applyFill="1"/>
    <xf numFmtId="0" fontId="1" fillId="7" borderId="0" xfId="0" applyFont="1" applyFill="1"/>
    <xf numFmtId="0" fontId="0" fillId="8" borderId="0" xfId="0" applyFill="1"/>
    <xf numFmtId="9" fontId="0" fillId="8" borderId="0" xfId="0" applyNumberFormat="1" applyFill="1"/>
    <xf numFmtId="0" fontId="0" fillId="9" borderId="0" xfId="0" applyFill="1"/>
    <xf numFmtId="0" fontId="1" fillId="9" borderId="0" xfId="0" applyFont="1" applyFill="1"/>
    <xf numFmtId="0" fontId="1" fillId="10" borderId="0" xfId="0" applyFont="1" applyFill="1"/>
    <xf numFmtId="0" fontId="0" fillId="10" borderId="0" xfId="0" applyFill="1"/>
    <xf numFmtId="0" fontId="1" fillId="11" borderId="0" xfId="0" applyFont="1" applyFill="1"/>
    <xf numFmtId="0" fontId="0" fillId="11" borderId="0" xfId="0" applyFill="1"/>
    <xf numFmtId="0" fontId="0" fillId="12" borderId="0" xfId="0" applyFill="1"/>
    <xf numFmtId="0" fontId="1" fillId="8" borderId="0" xfId="0" applyFont="1" applyFill="1"/>
    <xf numFmtId="0" fontId="0" fillId="14" borderId="0" xfId="0" applyFill="1"/>
    <xf numFmtId="0" fontId="3" fillId="0" borderId="0" xfId="0" applyFont="1" applyAlignment="1">
      <alignment wrapText="1"/>
    </xf>
    <xf numFmtId="9" fontId="0" fillId="11" borderId="0" xfId="0" applyNumberFormat="1" applyFill="1"/>
    <xf numFmtId="0" fontId="0" fillId="7" borderId="0" xfId="0" applyFill="1" applyAlignment="1"/>
    <xf numFmtId="0" fontId="0" fillId="6" borderId="0" xfId="0" applyFill="1" applyAlignment="1"/>
    <xf numFmtId="0" fontId="0" fillId="10" borderId="0" xfId="0" applyFill="1" applyAlignment="1"/>
    <xf numFmtId="9" fontId="0" fillId="11" borderId="0" xfId="0" applyNumberFormat="1" applyFill="1" applyAlignment="1">
      <alignment horizontal="center" vertical="center"/>
    </xf>
    <xf numFmtId="164" fontId="1" fillId="7" borderId="0" xfId="0" applyNumberFormat="1" applyFont="1" applyFill="1" applyAlignment="1"/>
    <xf numFmtId="164" fontId="1" fillId="9" borderId="0" xfId="0" applyNumberFormat="1" applyFont="1" applyFill="1"/>
    <xf numFmtId="165" fontId="1" fillId="10" borderId="0" xfId="3" applyNumberFormat="1" applyFont="1" applyFill="1"/>
    <xf numFmtId="165" fontId="1" fillId="11" borderId="0" xfId="3" applyNumberFormat="1" applyFont="1" applyFill="1"/>
    <xf numFmtId="165" fontId="0" fillId="14" borderId="0" xfId="3" applyNumberFormat="1" applyFont="1" applyFill="1"/>
    <xf numFmtId="165" fontId="0" fillId="12" borderId="0" xfId="3" applyNumberFormat="1" applyFont="1" applyFill="1"/>
    <xf numFmtId="165" fontId="0" fillId="0" borderId="1" xfId="3" applyNumberFormat="1" applyFont="1" applyBorder="1"/>
    <xf numFmtId="0" fontId="1" fillId="0" borderId="1" xfId="0" applyFont="1" applyBorder="1"/>
    <xf numFmtId="0" fontId="1" fillId="0" borderId="1" xfId="0" applyFont="1" applyBorder="1" applyAlignment="1">
      <alignment horizontal="center" vertical="center"/>
    </xf>
    <xf numFmtId="165" fontId="1" fillId="6" borderId="0" xfId="3" applyNumberFormat="1" applyFont="1" applyFill="1" applyAlignment="1"/>
    <xf numFmtId="165" fontId="1" fillId="8" borderId="0" xfId="3" applyNumberFormat="1" applyFont="1" applyFill="1"/>
    <xf numFmtId="165" fontId="8" fillId="8" borderId="0" xfId="3" applyNumberFormat="1" applyFont="1" applyFill="1"/>
    <xf numFmtId="165" fontId="8" fillId="10" borderId="0" xfId="3" applyNumberFormat="1" applyFont="1" applyFill="1"/>
    <xf numFmtId="165" fontId="8" fillId="11" borderId="0" xfId="3" applyNumberFormat="1" applyFont="1" applyFill="1"/>
    <xf numFmtId="0" fontId="0" fillId="13" borderId="1" xfId="0" applyFill="1" applyBorder="1"/>
    <xf numFmtId="9" fontId="0" fillId="13" borderId="1" xfId="2" applyFont="1" applyFill="1" applyBorder="1"/>
    <xf numFmtId="165" fontId="0" fillId="13" borderId="1" xfId="3" applyNumberFormat="1" applyFont="1" applyFill="1" applyBorder="1"/>
    <xf numFmtId="9" fontId="0" fillId="13" borderId="1" xfId="0" applyNumberFormat="1" applyFill="1" applyBorder="1"/>
    <xf numFmtId="2" fontId="0" fillId="13" borderId="1" xfId="2" applyNumberFormat="1" applyFont="1" applyFill="1" applyBorder="1"/>
    <xf numFmtId="9" fontId="0" fillId="7" borderId="0" xfId="0" applyNumberFormat="1" applyFill="1"/>
    <xf numFmtId="165" fontId="8" fillId="6" borderId="0" xfId="3" applyNumberFormat="1" applyFont="1" applyFill="1" applyAlignment="1"/>
    <xf numFmtId="0" fontId="1" fillId="0" borderId="0" xfId="0" applyFont="1" applyAlignment="1">
      <alignment horizontal="center"/>
    </xf>
    <xf numFmtId="0" fontId="1" fillId="0" borderId="1" xfId="0" applyFont="1" applyBorder="1" applyAlignment="1">
      <alignment horizontal="center"/>
    </xf>
    <xf numFmtId="0" fontId="0" fillId="6" borderId="0" xfId="0" applyFill="1" applyAlignment="1">
      <alignment horizontal="center"/>
    </xf>
    <xf numFmtId="0" fontId="1" fillId="6" borderId="0" xfId="0" applyFont="1" applyFill="1" applyAlignment="1">
      <alignment horizontal="center" vertical="center"/>
    </xf>
    <xf numFmtId="0" fontId="7" fillId="5" borderId="0" xfId="0" applyFont="1" applyFill="1" applyAlignment="1">
      <alignment horizontal="center"/>
    </xf>
    <xf numFmtId="0" fontId="11" fillId="0" borderId="0" xfId="0" applyFont="1" applyAlignment="1">
      <alignment horizontal="center"/>
    </xf>
    <xf numFmtId="0" fontId="0" fillId="0" borderId="0" xfId="0" applyAlignment="1">
      <alignment horizontal="center"/>
    </xf>
    <xf numFmtId="165" fontId="0" fillId="0" borderId="0" xfId="0" applyNumberFormat="1"/>
    <xf numFmtId="43" fontId="0" fillId="0" borderId="0" xfId="4" applyFont="1"/>
    <xf numFmtId="0" fontId="0" fillId="0" borderId="1" xfId="0" applyFont="1" applyBorder="1" applyAlignment="1">
      <alignment horizontal="center" vertical="center"/>
    </xf>
    <xf numFmtId="0" fontId="1" fillId="0" borderId="1" xfId="0" applyFont="1" applyFill="1" applyBorder="1"/>
    <xf numFmtId="165" fontId="0" fillId="0" borderId="1" xfId="0" applyNumberFormat="1" applyBorder="1"/>
    <xf numFmtId="0" fontId="1" fillId="0" borderId="2" xfId="0" applyFont="1" applyFill="1" applyBorder="1"/>
    <xf numFmtId="44" fontId="0" fillId="0" borderId="0" xfId="0" applyNumberFormat="1"/>
  </cellXfs>
  <cellStyles count="5">
    <cellStyle name="Comma" xfId="4" builtinId="3"/>
    <cellStyle name="Currency" xfId="3" builtinId="4"/>
    <cellStyle name="Hyperlink" xfId="1" builtinId="8"/>
    <cellStyle name="Normal" xfId="0" builtinId="0"/>
    <cellStyle name="Percent" xfId="2" builtinId="5"/>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sh/Downloads/Back%20End-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arsh/Downloads/Back%20En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nal"/>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nal"/>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hyperlink" Target="http://www.hospitalitybizindia.com/detailNews.aspx?aid=20884&amp;sid=5" TargetMode="External"/><Relationship Id="rId1" Type="http://schemas.openxmlformats.org/officeDocument/2006/relationships/hyperlink" Target="http://www.servicedapartmentsmumbai.com/about-serviced-apartment-mumbai/"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22D56-BE3E-4349-BA45-8B2164D8E31E}">
  <dimension ref="A1:G39"/>
  <sheetViews>
    <sheetView zoomScale="83" workbookViewId="0">
      <selection activeCell="C19" sqref="C19"/>
    </sheetView>
  </sheetViews>
  <sheetFormatPr defaultColWidth="8.81640625" defaultRowHeight="14.5"/>
  <cols>
    <col min="2" max="2" width="36.453125" bestFit="1" customWidth="1"/>
    <col min="3" max="3" width="27.1796875" bestFit="1" customWidth="1"/>
    <col min="4" max="4" width="13.81640625" customWidth="1"/>
    <col min="5" max="5" width="34.453125" customWidth="1"/>
    <col min="6" max="6" width="13.1796875" bestFit="1" customWidth="1"/>
    <col min="7" max="7" width="11.1796875" bestFit="1" customWidth="1"/>
  </cols>
  <sheetData>
    <row r="1" spans="1:7" s="9" customFormat="1">
      <c r="A1" s="61" t="s">
        <v>0</v>
      </c>
      <c r="B1" s="61"/>
      <c r="C1" s="61"/>
    </row>
    <row r="3" spans="1:7" s="8" customFormat="1">
      <c r="B3" s="8" t="s">
        <v>1</v>
      </c>
      <c r="C3" s="8" t="s">
        <v>17</v>
      </c>
      <c r="D3" s="8" t="s">
        <v>2</v>
      </c>
      <c r="E3" s="8" t="s">
        <v>3</v>
      </c>
      <c r="F3" s="8" t="s">
        <v>4</v>
      </c>
      <c r="G3" s="8" t="s">
        <v>5</v>
      </c>
    </row>
    <row r="5" spans="1:7">
      <c r="B5" t="s">
        <v>22</v>
      </c>
      <c r="C5">
        <v>1</v>
      </c>
    </row>
    <row r="6" spans="1:7">
      <c r="B6" t="s">
        <v>32</v>
      </c>
    </row>
    <row r="7" spans="1:7">
      <c r="B7" t="s">
        <v>35</v>
      </c>
      <c r="C7">
        <v>1</v>
      </c>
    </row>
    <row r="10" spans="1:7" s="4" customFormat="1">
      <c r="B10" s="4" t="s">
        <v>12</v>
      </c>
    </row>
    <row r="11" spans="1:7">
      <c r="B11" t="s">
        <v>6</v>
      </c>
      <c r="E11" t="s">
        <v>220</v>
      </c>
    </row>
    <row r="12" spans="1:7">
      <c r="B12" t="s">
        <v>7</v>
      </c>
      <c r="D12" t="s">
        <v>226</v>
      </c>
      <c r="E12" t="s">
        <v>217</v>
      </c>
    </row>
    <row r="13" spans="1:7" ht="29">
      <c r="B13" t="s">
        <v>9</v>
      </c>
      <c r="D13" t="s">
        <v>222</v>
      </c>
      <c r="E13" s="17" t="s">
        <v>218</v>
      </c>
    </row>
    <row r="14" spans="1:7">
      <c r="B14" t="s">
        <v>10</v>
      </c>
      <c r="D14" t="s">
        <v>221</v>
      </c>
      <c r="E14" t="s">
        <v>216</v>
      </c>
    </row>
    <row r="15" spans="1:7">
      <c r="B15" t="s">
        <v>18</v>
      </c>
      <c r="D15" t="s">
        <v>223</v>
      </c>
      <c r="E15" t="s">
        <v>219</v>
      </c>
    </row>
    <row r="16" spans="1:7">
      <c r="B16" t="s">
        <v>19</v>
      </c>
      <c r="D16" t="s">
        <v>215</v>
      </c>
      <c r="E16" t="s">
        <v>215</v>
      </c>
    </row>
    <row r="17" spans="1:6">
      <c r="B17" t="s">
        <v>20</v>
      </c>
      <c r="D17" t="s">
        <v>215</v>
      </c>
      <c r="E17" t="s">
        <v>215</v>
      </c>
    </row>
    <row r="18" spans="1:6">
      <c r="B18" t="s">
        <v>21</v>
      </c>
      <c r="D18" t="s">
        <v>224</v>
      </c>
      <c r="E18" t="s">
        <v>214</v>
      </c>
    </row>
    <row r="19" spans="1:6" ht="107" customHeight="1">
      <c r="B19" t="s">
        <v>29</v>
      </c>
      <c r="D19" t="s">
        <v>225</v>
      </c>
      <c r="E19" s="17" t="s">
        <v>213</v>
      </c>
    </row>
    <row r="23" spans="1:6" s="4" customFormat="1">
      <c r="B23" s="4" t="s">
        <v>13</v>
      </c>
    </row>
    <row r="24" spans="1:6">
      <c r="B24" t="s">
        <v>8</v>
      </c>
      <c r="E24" t="s">
        <v>227</v>
      </c>
      <c r="F24" t="s">
        <v>239</v>
      </c>
    </row>
    <row r="25" spans="1:6">
      <c r="B25" t="s">
        <v>11</v>
      </c>
      <c r="E25" t="s">
        <v>228</v>
      </c>
    </row>
    <row r="26" spans="1:6">
      <c r="B26" t="s">
        <v>14</v>
      </c>
      <c r="E26" t="s">
        <v>229</v>
      </c>
    </row>
    <row r="27" spans="1:6">
      <c r="B27" t="s">
        <v>15</v>
      </c>
      <c r="E27" t="s">
        <v>229</v>
      </c>
    </row>
    <row r="28" spans="1:6">
      <c r="B28" t="s">
        <v>16</v>
      </c>
      <c r="E28" t="s">
        <v>227</v>
      </c>
      <c r="F28" t="s">
        <v>238</v>
      </c>
    </row>
    <row r="29" spans="1:6">
      <c r="B29" t="s">
        <v>25</v>
      </c>
      <c r="C29" t="s">
        <v>26</v>
      </c>
      <c r="E29" t="s">
        <v>230</v>
      </c>
    </row>
    <row r="30" spans="1:6" ht="43.5">
      <c r="A30" t="s">
        <v>31</v>
      </c>
      <c r="B30" s="34" t="s">
        <v>36</v>
      </c>
      <c r="E30" t="s">
        <v>231</v>
      </c>
      <c r="F30" t="s">
        <v>237</v>
      </c>
    </row>
    <row r="31" spans="1:6">
      <c r="B31" s="1" t="s">
        <v>30</v>
      </c>
      <c r="E31" t="s">
        <v>232</v>
      </c>
    </row>
    <row r="32" spans="1:6">
      <c r="B32" t="s">
        <v>33</v>
      </c>
      <c r="E32" t="s">
        <v>233</v>
      </c>
    </row>
    <row r="33" spans="2:6">
      <c r="B33" t="s">
        <v>34</v>
      </c>
      <c r="C33">
        <v>1</v>
      </c>
      <c r="E33" t="s">
        <v>234</v>
      </c>
    </row>
    <row r="34" spans="2:6">
      <c r="B34" t="s">
        <v>37</v>
      </c>
      <c r="E34" t="s">
        <v>231</v>
      </c>
      <c r="F34" t="s">
        <v>237</v>
      </c>
    </row>
    <row r="35" spans="2:6">
      <c r="B35" t="s">
        <v>38</v>
      </c>
      <c r="E35" t="s">
        <v>235</v>
      </c>
    </row>
    <row r="36" spans="2:6">
      <c r="B36" t="s">
        <v>66</v>
      </c>
      <c r="E36" t="s">
        <v>236</v>
      </c>
      <c r="F36" t="s">
        <v>237</v>
      </c>
    </row>
    <row r="39" spans="2:6">
      <c r="B39" t="s">
        <v>80</v>
      </c>
    </row>
  </sheetData>
  <mergeCells count="1">
    <mergeCell ref="A1:C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D766F-DBC9-5841-875C-58C12D51E372}">
  <dimension ref="A1:B19"/>
  <sheetViews>
    <sheetView zoomScaleNormal="100" workbookViewId="0">
      <selection activeCell="B20" sqref="B20"/>
    </sheetView>
  </sheetViews>
  <sheetFormatPr defaultColWidth="10.90625" defaultRowHeight="14.5"/>
  <cols>
    <col min="1" max="1" width="22.81640625" customWidth="1"/>
  </cols>
  <sheetData>
    <row r="1" spans="1:2">
      <c r="A1" s="9" t="e">
        <f>[2]Original!L1</f>
        <v>#REF!</v>
      </c>
    </row>
    <row r="3" spans="1:2">
      <c r="A3" t="e">
        <f>[2]Original!L3</f>
        <v>#REF!</v>
      </c>
      <c r="B3">
        <f>Original!H6</f>
        <v>32000</v>
      </c>
    </row>
    <row r="4" spans="1:2">
      <c r="A4" t="e">
        <f>[2]Original!L4</f>
        <v>#REF!</v>
      </c>
      <c r="B4">
        <f>Original!H7</f>
        <v>25000</v>
      </c>
    </row>
    <row r="5" spans="1:2">
      <c r="A5" t="e">
        <f>[2]Original!L5</f>
        <v>#REF!</v>
      </c>
      <c r="B5">
        <f>Original!H8</f>
        <v>32000</v>
      </c>
    </row>
    <row r="6" spans="1:2">
      <c r="A6" t="e">
        <f>[2]Original!L6</f>
        <v>#REF!</v>
      </c>
      <c r="B6">
        <f>Original!H9</f>
        <v>0</v>
      </c>
    </row>
    <row r="7" spans="1:2">
      <c r="A7" t="e">
        <f>[2]Original!L7</f>
        <v>#REF!</v>
      </c>
      <c r="B7">
        <f>Original!H10</f>
        <v>70000</v>
      </c>
    </row>
    <row r="8" spans="1:2">
      <c r="A8" t="e">
        <f>[2]Original!L8</f>
        <v>#REF!</v>
      </c>
      <c r="B8">
        <f>Original!H11</f>
        <v>8000</v>
      </c>
    </row>
    <row r="9" spans="1:2">
      <c r="A9" t="e">
        <f>[2]Original!L9</f>
        <v>#REF!</v>
      </c>
      <c r="B9">
        <f>Original!H12</f>
        <v>4000</v>
      </c>
    </row>
    <row r="10" spans="1:2">
      <c r="B10">
        <f>Original!H13</f>
        <v>0</v>
      </c>
    </row>
    <row r="11" spans="1:2">
      <c r="A11" t="e">
        <f>[2]Original!L11</f>
        <v>#REF!</v>
      </c>
      <c r="B11">
        <f>Original!H14</f>
        <v>8000</v>
      </c>
    </row>
    <row r="12" spans="1:2">
      <c r="A12" t="e">
        <f>[2]Original!L12</f>
        <v>#REF!</v>
      </c>
      <c r="B12">
        <f>Original!H15</f>
        <v>10000</v>
      </c>
    </row>
    <row r="13" spans="1:2">
      <c r="A13" t="e">
        <f>[2]Original!L13</f>
        <v>#REF!</v>
      </c>
      <c r="B13">
        <f>Original!H16</f>
        <v>5000</v>
      </c>
    </row>
    <row r="14" spans="1:2">
      <c r="B14">
        <f>Original!H17</f>
        <v>0</v>
      </c>
    </row>
    <row r="15" spans="1:2">
      <c r="A15" t="e">
        <f>[2]Original!L15</f>
        <v>#REF!</v>
      </c>
      <c r="B15">
        <f>Original!H18</f>
        <v>194000</v>
      </c>
    </row>
    <row r="16" spans="1:2">
      <c r="B16" t="e">
        <f>Original!#REF!</f>
        <v>#REF!</v>
      </c>
    </row>
    <row r="17" spans="1:2">
      <c r="A17" t="e">
        <f>[2]Original!L17</f>
        <v>#REF!</v>
      </c>
      <c r="B17">
        <f>Original!H19</f>
        <v>0</v>
      </c>
    </row>
    <row r="18" spans="1:2">
      <c r="A18" t="e">
        <f>[2]Original!L18</f>
        <v>#REF!</v>
      </c>
      <c r="B18">
        <f>Original!H25</f>
        <v>0</v>
      </c>
    </row>
    <row r="19" spans="1:2">
      <c r="A19" t="e">
        <f>[2]Original!L19</f>
        <v>#REF!</v>
      </c>
      <c r="B19">
        <f>Original!H27</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5DD9F-1583-E241-9786-276AD397D2F2}">
  <dimension ref="A1:E8"/>
  <sheetViews>
    <sheetView workbookViewId="0">
      <selection activeCell="A15" sqref="A10:A15"/>
    </sheetView>
  </sheetViews>
  <sheetFormatPr defaultColWidth="8.81640625" defaultRowHeight="14.5"/>
  <cols>
    <col min="1" max="1" width="36.81640625" bestFit="1" customWidth="1"/>
    <col min="2" max="2" width="5.81640625" bestFit="1" customWidth="1"/>
    <col min="5" max="5" width="13" customWidth="1"/>
  </cols>
  <sheetData>
    <row r="1" spans="1:5">
      <c r="B1" t="s">
        <v>201</v>
      </c>
      <c r="C1" t="s">
        <v>202</v>
      </c>
    </row>
    <row r="2" spans="1:5" ht="29">
      <c r="A2" s="17" t="s">
        <v>203</v>
      </c>
      <c r="C2">
        <v>5</v>
      </c>
    </row>
    <row r="4" spans="1:5" ht="58">
      <c r="A4" s="17" t="s">
        <v>204</v>
      </c>
      <c r="C4">
        <v>30</v>
      </c>
      <c r="E4" s="17" t="s">
        <v>205</v>
      </c>
    </row>
    <row r="6" spans="1:5">
      <c r="A6" t="s">
        <v>206</v>
      </c>
      <c r="B6" t="e">
        <f>SUM([1]Original!M12,[1]Original!P4,[1]Original!P5,[1]Original!P14,[1]Original!P15,[1]Original!P21)*0.2</f>
        <v>#REF!</v>
      </c>
    </row>
    <row r="7" spans="1:5">
      <c r="A7" t="s">
        <v>207</v>
      </c>
      <c r="C7">
        <v>30</v>
      </c>
    </row>
    <row r="8" spans="1:5" ht="43.5">
      <c r="A8" s="17" t="s">
        <v>208</v>
      </c>
      <c r="C8">
        <f>C7+C2-C4</f>
        <v>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5D92F-81A5-442D-B9D3-F302CAF99994}">
  <dimension ref="A2:B7"/>
  <sheetViews>
    <sheetView workbookViewId="0">
      <selection activeCell="A8" sqref="A8"/>
    </sheetView>
  </sheetViews>
  <sheetFormatPr defaultColWidth="8.81640625" defaultRowHeight="14.5"/>
  <sheetData>
    <row r="2" spans="1:2">
      <c r="A2" t="s">
        <v>160</v>
      </c>
    </row>
    <row r="3" spans="1:2">
      <c r="A3">
        <v>1</v>
      </c>
      <c r="B3" t="s">
        <v>161</v>
      </c>
    </row>
    <row r="4" spans="1:2">
      <c r="A4">
        <v>2</v>
      </c>
      <c r="B4" t="s">
        <v>169</v>
      </c>
    </row>
    <row r="5" spans="1:2">
      <c r="A5">
        <v>3</v>
      </c>
      <c r="B5" t="s">
        <v>211</v>
      </c>
    </row>
    <row r="6" spans="1:2">
      <c r="A6">
        <v>4</v>
      </c>
      <c r="B6" t="s">
        <v>212</v>
      </c>
    </row>
    <row r="7" spans="1:2">
      <c r="A7">
        <v>5</v>
      </c>
      <c r="B7" t="s">
        <v>253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2F21F-FE0D-4425-B277-0BC771FF3D85}">
  <dimension ref="A1:N16"/>
  <sheetViews>
    <sheetView workbookViewId="0">
      <selection activeCell="I1" sqref="I1:J1"/>
    </sheetView>
  </sheetViews>
  <sheetFormatPr defaultColWidth="8.81640625" defaultRowHeight="14.5"/>
  <cols>
    <col min="1" max="1" width="12.36328125" bestFit="1" customWidth="1"/>
  </cols>
  <sheetData>
    <row r="1" spans="1:14">
      <c r="A1" t="s">
        <v>83</v>
      </c>
      <c r="B1">
        <v>350000</v>
      </c>
      <c r="E1" t="s">
        <v>94</v>
      </c>
      <c r="F1">
        <v>200000</v>
      </c>
      <c r="I1" t="s">
        <v>100</v>
      </c>
      <c r="J1">
        <v>200000</v>
      </c>
      <c r="M1" t="s">
        <v>105</v>
      </c>
      <c r="N1">
        <v>10000</v>
      </c>
    </row>
    <row r="2" spans="1:14">
      <c r="A2" t="s">
        <v>84</v>
      </c>
      <c r="B2">
        <v>50000</v>
      </c>
      <c r="E2" t="s">
        <v>99</v>
      </c>
      <c r="F2">
        <v>180000</v>
      </c>
    </row>
    <row r="3" spans="1:14">
      <c r="A3" t="s">
        <v>85</v>
      </c>
      <c r="B3">
        <v>30000</v>
      </c>
      <c r="E3" t="s">
        <v>95</v>
      </c>
      <c r="F3">
        <v>60000</v>
      </c>
    </row>
    <row r="4" spans="1:14">
      <c r="A4" t="s">
        <v>86</v>
      </c>
      <c r="B4">
        <v>250000</v>
      </c>
      <c r="E4" t="s">
        <v>96</v>
      </c>
      <c r="F4">
        <v>20000</v>
      </c>
    </row>
    <row r="5" spans="1:14">
      <c r="A5" t="s">
        <v>87</v>
      </c>
      <c r="B5">
        <v>400000</v>
      </c>
      <c r="E5" t="s">
        <v>97</v>
      </c>
      <c r="F5">
        <v>80000</v>
      </c>
    </row>
    <row r="6" spans="1:14">
      <c r="A6" t="s">
        <v>88</v>
      </c>
      <c r="B6">
        <v>50000</v>
      </c>
      <c r="E6" t="s">
        <v>101</v>
      </c>
      <c r="F6">
        <v>150000</v>
      </c>
    </row>
    <row r="7" spans="1:14">
      <c r="A7" t="s">
        <v>89</v>
      </c>
      <c r="B7">
        <v>350000</v>
      </c>
      <c r="E7" t="s">
        <v>102</v>
      </c>
      <c r="F7">
        <v>5000</v>
      </c>
    </row>
    <row r="8" spans="1:14">
      <c r="A8" t="s">
        <v>90</v>
      </c>
      <c r="B8">
        <v>25000</v>
      </c>
    </row>
    <row r="9" spans="1:14">
      <c r="A9" t="s">
        <v>91</v>
      </c>
      <c r="B9">
        <v>250000</v>
      </c>
      <c r="F9">
        <f>SUM(F1:F7)</f>
        <v>695000</v>
      </c>
    </row>
    <row r="10" spans="1:14">
      <c r="A10" t="s">
        <v>92</v>
      </c>
      <c r="B10">
        <v>100000</v>
      </c>
    </row>
    <row r="11" spans="1:14">
      <c r="A11" t="s">
        <v>93</v>
      </c>
      <c r="B11">
        <v>100000</v>
      </c>
    </row>
    <row r="12" spans="1:14">
      <c r="A12" t="s">
        <v>98</v>
      </c>
      <c r="B12">
        <v>400000</v>
      </c>
    </row>
    <row r="13" spans="1:14">
      <c r="A13" t="s">
        <v>103</v>
      </c>
      <c r="B13">
        <v>8000</v>
      </c>
      <c r="K13" t="s">
        <v>106</v>
      </c>
      <c r="L13">
        <f>B16+F9+J1+N1</f>
        <v>3318000</v>
      </c>
    </row>
    <row r="14" spans="1:14">
      <c r="A14" t="s">
        <v>104</v>
      </c>
      <c r="B14">
        <v>50000</v>
      </c>
    </row>
    <row r="16" spans="1:14">
      <c r="B16">
        <f>SUM(B1:B14)</f>
        <v>2413000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672A9-2FCC-481C-895E-6C4002BA8D24}">
  <dimension ref="B4:H15"/>
  <sheetViews>
    <sheetView workbookViewId="0">
      <selection activeCell="B20" sqref="B20"/>
    </sheetView>
  </sheetViews>
  <sheetFormatPr defaultColWidth="8.81640625" defaultRowHeight="14.5"/>
  <cols>
    <col min="2" max="2" width="25.36328125" bestFit="1" customWidth="1"/>
    <col min="7" max="7" width="23.453125" bestFit="1" customWidth="1"/>
  </cols>
  <sheetData>
    <row r="4" spans="2:8">
      <c r="B4" t="s">
        <v>75</v>
      </c>
      <c r="G4" t="s">
        <v>76</v>
      </c>
    </row>
    <row r="7" spans="2:8">
      <c r="B7" t="s">
        <v>69</v>
      </c>
      <c r="C7">
        <v>10</v>
      </c>
      <c r="G7" t="s">
        <v>69</v>
      </c>
      <c r="H7">
        <v>10</v>
      </c>
    </row>
    <row r="8" spans="2:8">
      <c r="B8" t="s">
        <v>70</v>
      </c>
      <c r="C8">
        <v>4</v>
      </c>
      <c r="G8" t="s">
        <v>70</v>
      </c>
      <c r="H8">
        <v>4</v>
      </c>
    </row>
    <row r="9" spans="2:8">
      <c r="B9" t="s">
        <v>71</v>
      </c>
      <c r="C9">
        <v>2</v>
      </c>
      <c r="G9" t="s">
        <v>71</v>
      </c>
      <c r="H9">
        <v>2</v>
      </c>
    </row>
    <row r="10" spans="2:8">
      <c r="B10" t="s">
        <v>72</v>
      </c>
      <c r="C10">
        <v>2</v>
      </c>
      <c r="G10" t="s">
        <v>72</v>
      </c>
      <c r="H10">
        <v>2</v>
      </c>
    </row>
    <row r="11" spans="2:8">
      <c r="B11" t="s">
        <v>73</v>
      </c>
      <c r="C11">
        <f>C10*C9</f>
        <v>4</v>
      </c>
      <c r="G11" t="s">
        <v>73</v>
      </c>
      <c r="H11">
        <f>H10*H9</f>
        <v>4</v>
      </c>
    </row>
    <row r="12" spans="2:8">
      <c r="B12" t="s">
        <v>77</v>
      </c>
      <c r="C12">
        <f>C11*C8</f>
        <v>16</v>
      </c>
      <c r="G12" t="s">
        <v>77</v>
      </c>
      <c r="H12">
        <f>H11*H8</f>
        <v>16</v>
      </c>
    </row>
    <row r="13" spans="2:8">
      <c r="B13" t="s">
        <v>74</v>
      </c>
      <c r="C13">
        <f>C12*C7</f>
        <v>160</v>
      </c>
      <c r="G13" t="s">
        <v>74</v>
      </c>
      <c r="H13">
        <f>H12*H7</f>
        <v>160</v>
      </c>
    </row>
    <row r="14" spans="2:8">
      <c r="B14" t="s">
        <v>78</v>
      </c>
      <c r="C14">
        <v>1000</v>
      </c>
    </row>
    <row r="15" spans="2:8">
      <c r="B15" t="s">
        <v>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6C768-B30C-4707-B56B-628ED533F030}">
  <dimension ref="B1:E24"/>
  <sheetViews>
    <sheetView topLeftCell="A14" workbookViewId="0">
      <selection activeCell="B20" sqref="B20"/>
    </sheetView>
  </sheetViews>
  <sheetFormatPr defaultColWidth="8.81640625" defaultRowHeight="14.5"/>
  <cols>
    <col min="2" max="2" width="59.453125" bestFit="1" customWidth="1"/>
  </cols>
  <sheetData>
    <row r="1" spans="2:5" s="4" customFormat="1">
      <c r="B1" s="4" t="s">
        <v>50</v>
      </c>
    </row>
    <row r="2" spans="2:5">
      <c r="B2" t="s">
        <v>23</v>
      </c>
      <c r="C2" t="s">
        <v>24</v>
      </c>
    </row>
    <row r="3" spans="2:5">
      <c r="B3" t="s">
        <v>27</v>
      </c>
      <c r="C3" t="s">
        <v>28</v>
      </c>
    </row>
    <row r="4" spans="2:5">
      <c r="B4" t="s">
        <v>43</v>
      </c>
      <c r="C4" t="s">
        <v>44</v>
      </c>
    </row>
    <row r="5" spans="2:5">
      <c r="B5" t="s">
        <v>67</v>
      </c>
      <c r="C5" s="2" t="s">
        <v>49</v>
      </c>
    </row>
    <row r="6" spans="2:5" s="5" customFormat="1">
      <c r="B6" s="5" t="s">
        <v>54</v>
      </c>
      <c r="C6" s="6" t="s">
        <v>55</v>
      </c>
      <c r="E6" s="7" t="s">
        <v>56</v>
      </c>
    </row>
    <row r="7" spans="2:5">
      <c r="B7" t="s">
        <v>57</v>
      </c>
      <c r="C7" t="s">
        <v>58</v>
      </c>
    </row>
    <row r="8" spans="2:5">
      <c r="B8" t="s">
        <v>61</v>
      </c>
      <c r="C8" t="s">
        <v>62</v>
      </c>
    </row>
    <row r="9" spans="2:5">
      <c r="B9" t="s">
        <v>64</v>
      </c>
      <c r="C9" t="s">
        <v>63</v>
      </c>
    </row>
    <row r="10" spans="2:5">
      <c r="B10" t="s">
        <v>68</v>
      </c>
      <c r="C10" t="s">
        <v>44</v>
      </c>
    </row>
    <row r="13" spans="2:5" s="4" customFormat="1">
      <c r="B13" s="4" t="s">
        <v>51</v>
      </c>
    </row>
    <row r="14" spans="2:5">
      <c r="B14" t="s">
        <v>39</v>
      </c>
      <c r="C14" t="s">
        <v>65</v>
      </c>
    </row>
    <row r="15" spans="2:5">
      <c r="B15" t="s">
        <v>40</v>
      </c>
    </row>
    <row r="16" spans="2:5">
      <c r="B16" t="s">
        <v>41</v>
      </c>
    </row>
    <row r="17" spans="2:3">
      <c r="B17" t="s">
        <v>42</v>
      </c>
    </row>
    <row r="18" spans="2:3">
      <c r="B18" t="s">
        <v>53</v>
      </c>
    </row>
    <row r="19" spans="2:3">
      <c r="B19" t="s">
        <v>59</v>
      </c>
      <c r="C19" t="s">
        <v>60</v>
      </c>
    </row>
    <row r="21" spans="2:3" s="4" customFormat="1">
      <c r="B21" s="4" t="s">
        <v>52</v>
      </c>
    </row>
    <row r="22" spans="2:3" ht="18" customHeight="1">
      <c r="B22" s="3" t="s">
        <v>45</v>
      </c>
      <c r="C22" t="s">
        <v>48</v>
      </c>
    </row>
    <row r="23" spans="2:3" ht="36" customHeight="1">
      <c r="B23" s="3" t="s">
        <v>46</v>
      </c>
    </row>
    <row r="24" spans="2:3" ht="36" customHeight="1">
      <c r="B24" s="3" t="s">
        <v>47</v>
      </c>
    </row>
  </sheetData>
  <hyperlinks>
    <hyperlink ref="C5" r:id="rId1" xr:uid="{8C24EBE7-EC2A-47EA-9F12-6A0E5E54AF36}"/>
    <hyperlink ref="C6" r:id="rId2" xr:uid="{DB31913D-DB70-4BDC-9BA4-C2DACFDDD54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68662-ADAA-490D-AD6A-B4C3B5732769}">
  <dimension ref="A2:AK30"/>
  <sheetViews>
    <sheetView tabSelected="1" topLeftCell="S2" zoomScale="110" zoomScaleNormal="100" workbookViewId="0">
      <selection activeCell="V10" sqref="V10"/>
    </sheetView>
  </sheetViews>
  <sheetFormatPr defaultColWidth="8.81640625" defaultRowHeight="14.5"/>
  <cols>
    <col min="1" max="1" width="22.453125" bestFit="1" customWidth="1"/>
    <col min="2" max="2" width="19.81640625" customWidth="1"/>
    <col min="3" max="3" width="12.6328125" customWidth="1"/>
    <col min="4" max="4" width="17.6328125" bestFit="1" customWidth="1"/>
    <col min="6" max="6" width="15.453125" bestFit="1" customWidth="1"/>
    <col min="7" max="7" width="24" customWidth="1"/>
    <col min="8" max="8" width="13.90625" bestFit="1" customWidth="1"/>
    <col min="9" max="9" width="12.453125" bestFit="1" customWidth="1"/>
    <col min="10" max="11" width="12.453125" hidden="1" customWidth="1"/>
    <col min="12" max="12" width="15.453125" bestFit="1" customWidth="1"/>
    <col min="13" max="13" width="31.453125" bestFit="1" customWidth="1"/>
    <col min="14" max="14" width="16.7265625" bestFit="1" customWidth="1"/>
    <col min="15" max="15" width="31.453125" hidden="1" customWidth="1"/>
    <col min="16" max="16" width="12.90625" bestFit="1" customWidth="1"/>
    <col min="17" max="17" width="32.36328125" bestFit="1" customWidth="1"/>
    <col min="18" max="19" width="15.1796875" bestFit="1" customWidth="1"/>
    <col min="20" max="21" width="9" bestFit="1" customWidth="1"/>
    <col min="22" max="22" width="18.7265625" bestFit="1" customWidth="1"/>
    <col min="23" max="24" width="15.81640625" bestFit="1" customWidth="1"/>
    <col min="25" max="25" width="14.36328125" bestFit="1" customWidth="1"/>
    <col min="26" max="32" width="15.1796875" bestFit="1" customWidth="1"/>
    <col min="33" max="33" width="13.6328125" bestFit="1" customWidth="1"/>
    <col min="37" max="37" width="11.81640625" bestFit="1" customWidth="1"/>
  </cols>
  <sheetData>
    <row r="2" spans="1:37" ht="20">
      <c r="A2" s="66" t="s">
        <v>246</v>
      </c>
      <c r="B2" s="67"/>
      <c r="C2" s="67"/>
      <c r="D2" s="67"/>
      <c r="E2" s="67"/>
      <c r="F2" s="67"/>
      <c r="G2" s="67"/>
      <c r="H2" s="67"/>
      <c r="I2" s="67"/>
      <c r="J2" s="67"/>
      <c r="K2" s="67"/>
      <c r="L2" s="67"/>
      <c r="M2" s="67"/>
      <c r="N2" s="67"/>
      <c r="O2" s="67"/>
      <c r="P2" s="67"/>
      <c r="Q2" s="67"/>
    </row>
    <row r="3" spans="1:37">
      <c r="V3" s="67" t="s">
        <v>255</v>
      </c>
      <c r="W3" s="67"/>
      <c r="X3" s="67"/>
      <c r="Y3">
        <v>2</v>
      </c>
    </row>
    <row r="4" spans="1:37">
      <c r="A4" s="63" t="s">
        <v>81</v>
      </c>
      <c r="B4" s="63"/>
      <c r="C4" s="13"/>
      <c r="D4" s="23" t="s">
        <v>118</v>
      </c>
      <c r="E4" s="24">
        <v>0.01</v>
      </c>
      <c r="F4" s="23">
        <f>ROUND(E4*B13,0)</f>
        <v>76</v>
      </c>
      <c r="G4" s="14" t="s">
        <v>134</v>
      </c>
      <c r="H4" s="13"/>
      <c r="I4" s="27" t="s">
        <v>132</v>
      </c>
      <c r="J4" s="27" t="s">
        <v>245</v>
      </c>
      <c r="K4" s="27"/>
      <c r="L4" s="28"/>
      <c r="M4" s="29" t="s">
        <v>162</v>
      </c>
      <c r="N4" s="29" t="s">
        <v>251</v>
      </c>
      <c r="O4" s="29" t="s">
        <v>249</v>
      </c>
      <c r="P4" s="29" t="s">
        <v>252</v>
      </c>
      <c r="Q4" s="31" t="s">
        <v>209</v>
      </c>
      <c r="R4" s="45">
        <f>F10-(H27*12+H18*12+P10)</f>
        <v>15426640</v>
      </c>
      <c r="W4" s="62" t="s">
        <v>176</v>
      </c>
      <c r="X4" s="62"/>
      <c r="Y4" s="62"/>
      <c r="Z4" s="62"/>
      <c r="AA4" s="62"/>
      <c r="AB4" s="62"/>
      <c r="AC4" s="62"/>
      <c r="AD4" s="62"/>
      <c r="AE4" s="62"/>
      <c r="AF4" s="62"/>
    </row>
    <row r="5" spans="1:37">
      <c r="A5" s="13"/>
      <c r="B5" s="64">
        <v>63000</v>
      </c>
      <c r="C5" s="64"/>
      <c r="D5" s="23" t="s">
        <v>248</v>
      </c>
      <c r="E5" s="23"/>
      <c r="F5" s="23">
        <v>4</v>
      </c>
      <c r="G5" s="13"/>
      <c r="H5" s="13"/>
      <c r="I5" s="28" t="s">
        <v>83</v>
      </c>
      <c r="J5" s="28">
        <v>3500</v>
      </c>
      <c r="K5" s="28" t="s">
        <v>243</v>
      </c>
      <c r="L5" s="52">
        <f>J5*$F$6</f>
        <v>280000</v>
      </c>
      <c r="M5" s="30" t="s">
        <v>163</v>
      </c>
      <c r="N5" s="39">
        <v>0.05</v>
      </c>
      <c r="O5" s="30"/>
      <c r="P5" s="53">
        <v>10000</v>
      </c>
      <c r="Q5" s="31" t="s">
        <v>210</v>
      </c>
      <c r="R5" s="45">
        <f>F10-(H27*12+H18*12+P10+L30)-(V14/U14)-(V15/U15)</f>
        <v>-12665360</v>
      </c>
      <c r="W5" s="48">
        <v>1</v>
      </c>
      <c r="X5" s="48">
        <v>2</v>
      </c>
      <c r="Y5" s="48">
        <v>3</v>
      </c>
      <c r="Z5" s="48">
        <v>4</v>
      </c>
      <c r="AA5" s="48">
        <v>5</v>
      </c>
      <c r="AB5" s="48">
        <v>6</v>
      </c>
      <c r="AC5" s="70">
        <v>7</v>
      </c>
      <c r="AD5" s="48">
        <v>8</v>
      </c>
      <c r="AE5" s="48">
        <v>9</v>
      </c>
      <c r="AF5" s="48">
        <v>10</v>
      </c>
      <c r="AG5" s="16"/>
      <c r="AH5" s="16"/>
      <c r="AI5" s="16"/>
      <c r="AJ5" s="16"/>
      <c r="AK5" s="16"/>
    </row>
    <row r="6" spans="1:37">
      <c r="A6" s="13" t="s">
        <v>82</v>
      </c>
      <c r="B6" s="64"/>
      <c r="C6" s="64"/>
      <c r="D6" s="23" t="s">
        <v>119</v>
      </c>
      <c r="E6" s="23"/>
      <c r="F6" s="23">
        <f>H21*H22*F5</f>
        <v>80</v>
      </c>
      <c r="G6" s="13" t="s">
        <v>123</v>
      </c>
      <c r="H6" s="60">
        <v>32000</v>
      </c>
      <c r="I6" s="28" t="s">
        <v>84</v>
      </c>
      <c r="J6" s="28">
        <v>2500</v>
      </c>
      <c r="K6" s="28" t="s">
        <v>244</v>
      </c>
      <c r="L6" s="52">
        <f>J6*$H$22*$H$21</f>
        <v>50000</v>
      </c>
      <c r="M6" s="30" t="s">
        <v>164</v>
      </c>
      <c r="N6" s="39">
        <v>0.7</v>
      </c>
      <c r="O6" s="35">
        <v>0.02</v>
      </c>
      <c r="P6" s="53">
        <f>F10*N6*O6</f>
        <v>255360</v>
      </c>
      <c r="Q6" s="33" t="s">
        <v>139</v>
      </c>
      <c r="R6" s="33"/>
      <c r="V6" s="47" t="s">
        <v>210</v>
      </c>
      <c r="W6" s="46">
        <f>R5</f>
        <v>-12665360</v>
      </c>
      <c r="X6" s="46">
        <f>(IF(X5&lt;$Y$3,$F$10*(1+$R$10)^X5,($F$11*(1+$R$10)^X5)))-(($H$18*12*(1+$R$10)^X5)+(($H$27*12*(1+$R$10)^X5)+$P$10*0.4)-(IF($U$14&gt;=X5,$V$14/$U$14,0))-(IF($U$15&gt;=X5,$V$15/$U$15,0)))+IF(X$5&gt;=$Y$3,$P$6,0)-$H$28</f>
        <v>24556336.000000004</v>
      </c>
      <c r="Y6" s="46">
        <f>(IF(Y5&lt;$Y$3,$F$10*(1+$R$10)^Y5,($F$11*(1+$R$10)^Y5)))-(($H$18*12*(1+$R$10)^Y5)+(($H$27*12*(1+$R$10)^Y5)+$P$10*0.4)-(IF($U$14&gt;=Y5,$V$14/$U$14,0))-(IF($U$15&gt;=Y5,$V$15/$U$15,0)))+IF(Y$5&gt;=$Y$3,$P$6,0)-$H$28</f>
        <v>26597848.000000007</v>
      </c>
      <c r="Z6" s="46">
        <f>(IF(Z5&lt;$Y$3,$F$10*(1+$R$10)^Z5,($F$11*(1+$R$10)^Z5)))-(($H$18*12*(1+$R$10)^Z5)+(($H$27*12*(1+$R$10)^Z5)+$P$10*0.4)-(IF($U$14&gt;=Z5,$V$14/$U$14,0))-(IF($U$15&gt;=Z5,$V$15/$U$15,0)))+IF(Z$5&gt;=$Y$3,$P$6,0)-$H$28</f>
        <v>28843511.200000007</v>
      </c>
      <c r="AA6" s="46">
        <f>(IF(AA5&lt;$Y$3,$F$10*(1+$R$10)^AA5,($F$11*(1+$R$10)^AA5)))-(($H$18*12*(1+$R$10)^AA5)+(($H$27*12*(1+$R$10)^AA5)+$P$10*0.4)-(IF($U$14&gt;=AA5,$V$14/$U$14,0))-(IF($U$15&gt;=AA5,$V$15/$U$15,0)))+IF(AA$5&gt;=$Y$3,$P$6,0)-$H$28</f>
        <v>31313740.72000001</v>
      </c>
      <c r="AB6" s="46">
        <f>(IF(AB5&lt;$Y$3,$F$10*(1+$R$10)^AB5,($F$11*(1+$R$10)^AB5)))-(($H$18*12*(1+$R$10)^AB5)+(($H$27*12*(1+$R$10)^AB5)+$P$10*0.4)-(IF($U$14&gt;=AB5,$V$14/$U$14,0))-(IF($U$15&gt;=AB5,$V$15/$U$15,0)))+IF(AB$5&gt;=$Y$3,$P$6,0)-$H$28</f>
        <v>29750993.192000017</v>
      </c>
      <c r="AC6" s="46">
        <f>(IF(AC5&lt;$Y$3,$F$10*(1+$R$10)^AC5,($F$11*(1+$R$10)^AC5)))-(($H$18*12*(1+$R$10)^AC5)+(($H$27*12*(1+$R$10)^AC5)+$P$10*0.4)-(IF($U$14&gt;=AC5,$V$14/$U$14,0))-(IF($U$15&gt;=AC5,$V$15/$U$15,0)))+IF(AC$5&gt;=$Y$3,$P$6,0)-$H$28</f>
        <v>32739970.91120002</v>
      </c>
      <c r="AD6" s="46">
        <f>(IF(AD5&lt;$Y$3,$F$10*(1+$R$10)^AD5,($F$11*(1+$R$10)^AD5)))-(($H$18*12*(1+$R$10)^AD5)+(($H$27*12*(1+$R$10)^AD5)+$P$10*0.4)-(IF($U$14&gt;=AD5,$V$14/$U$14,0))-(IF($U$15&gt;=AD5,$V$15/$U$15,0)))+IF(AD$5&gt;=$Y$3,$P$6,0)-$H$28</f>
        <v>36027846.40232002</v>
      </c>
      <c r="AE6" s="46">
        <f>(IF(AE5&lt;$Y$3,$F$10*(1+$R$10)^AE5,($F$11*(1+$R$10)^AE5)))-(($H$18*12*(1+$R$10)^AE5)+(($H$27*12*(1+$R$10)^AE5)+$P$10*0.4)-(IF($U$14&gt;=AE5,$V$14/$U$14,0))-(IF($U$15&gt;=AE5,$V$15/$U$15,0)))+IF(AE$5&gt;=$Y$3,$P$6,0)-$H$28</f>
        <v>39644509.442552023</v>
      </c>
      <c r="AF6" s="46">
        <f>(IF(AF5&lt;$Y$3,$F$10*(1+$R$10)^AF5,($F$11*(1+$R$10)^AF5)))-(($H$18*12*(1+$R$10)^AF5)+(($H$27*12*(1+$R$10)^AF5)+$P$10*0.4)-(IF($U$14&gt;=AF5,$V$14/$U$14,0))-(IF($U$15&gt;=AF5,$V$15/$U$15,0)))+IF(AF$5&gt;=$Y$3,$P$6,0)-$H$28</f>
        <v>43622838.786807232</v>
      </c>
      <c r="AG6" s="68"/>
    </row>
    <row r="7" spans="1:37">
      <c r="A7" s="13"/>
      <c r="B7" s="64"/>
      <c r="C7" s="64"/>
      <c r="D7" s="23" t="s">
        <v>250</v>
      </c>
      <c r="E7" s="23"/>
      <c r="F7" s="23">
        <f>IF(F4&gt;F6,F6,F4)</f>
        <v>76</v>
      </c>
      <c r="G7" s="13" t="s">
        <v>124</v>
      </c>
      <c r="H7" s="60">
        <v>25000</v>
      </c>
      <c r="I7" s="28" t="s">
        <v>85</v>
      </c>
      <c r="J7" s="28">
        <v>1500</v>
      </c>
      <c r="K7" s="28" t="s">
        <v>244</v>
      </c>
      <c r="L7" s="52">
        <f>J7*$H$22*$H$21</f>
        <v>30000</v>
      </c>
      <c r="M7" s="30" t="s">
        <v>167</v>
      </c>
      <c r="N7" s="39">
        <v>0.1</v>
      </c>
      <c r="O7" s="30"/>
      <c r="P7" s="53">
        <v>180000</v>
      </c>
      <c r="Q7" s="33" t="s">
        <v>144</v>
      </c>
      <c r="R7" s="33">
        <v>1</v>
      </c>
      <c r="V7" s="47" t="s">
        <v>254</v>
      </c>
      <c r="W7" s="46">
        <f>W6</f>
        <v>-12665360</v>
      </c>
      <c r="X7" s="46">
        <f>W7+X6</f>
        <v>11890976.000000004</v>
      </c>
      <c r="Y7" s="46">
        <f t="shared" ref="Y7:AF7" si="0">X7+Y6</f>
        <v>38488824.000000015</v>
      </c>
      <c r="Z7" s="46">
        <f t="shared" si="0"/>
        <v>67332335.200000018</v>
      </c>
      <c r="AA7" s="46">
        <f t="shared" si="0"/>
        <v>98646075.920000032</v>
      </c>
      <c r="AB7" s="46">
        <f t="shared" si="0"/>
        <v>128397069.11200005</v>
      </c>
      <c r="AC7" s="46">
        <f t="shared" si="0"/>
        <v>161137040.02320006</v>
      </c>
      <c r="AD7" s="46">
        <f t="shared" si="0"/>
        <v>197164886.42552009</v>
      </c>
      <c r="AE7" s="46">
        <f t="shared" si="0"/>
        <v>236809395.86807212</v>
      </c>
      <c r="AF7" s="46">
        <f t="shared" si="0"/>
        <v>280432234.65487933</v>
      </c>
    </row>
    <row r="8" spans="1:37">
      <c r="A8" s="20" t="s">
        <v>107</v>
      </c>
      <c r="B8" s="20"/>
      <c r="C8" s="11"/>
      <c r="D8" s="23" t="s">
        <v>120</v>
      </c>
      <c r="E8" s="23"/>
      <c r="F8" s="51">
        <v>20000</v>
      </c>
      <c r="G8" s="13" t="s">
        <v>125</v>
      </c>
      <c r="H8" s="60">
        <v>32000</v>
      </c>
      <c r="I8" s="28" t="s">
        <v>86</v>
      </c>
      <c r="J8" s="28">
        <v>12500</v>
      </c>
      <c r="K8" s="28" t="s">
        <v>244</v>
      </c>
      <c r="L8" s="52">
        <f>J8*$H$22*$H$21</f>
        <v>250000</v>
      </c>
      <c r="M8" s="30" t="s">
        <v>166</v>
      </c>
      <c r="N8" s="39">
        <v>0.05</v>
      </c>
      <c r="O8" s="30"/>
      <c r="P8" s="53">
        <v>10000</v>
      </c>
      <c r="Q8" s="33" t="s">
        <v>145</v>
      </c>
      <c r="R8" s="44">
        <f>L30+H18*R7+H25*R7</f>
        <v>24006000</v>
      </c>
      <c r="U8" s="10">
        <v>0.3</v>
      </c>
      <c r="V8" s="47" t="s">
        <v>262</v>
      </c>
      <c r="W8" s="72">
        <f>IF(W6&gt;0,$U$8*W6,0)</f>
        <v>0</v>
      </c>
      <c r="X8" s="72">
        <f>IF(X6&gt;0,$U$8*X6,0)</f>
        <v>7366900.8000000007</v>
      </c>
      <c r="Y8" s="72">
        <f t="shared" ref="Y8:AF8" si="1">IF(Y6&gt;0,$U$8*Y6,0)</f>
        <v>7979354.4000000022</v>
      </c>
      <c r="Z8" s="72">
        <f t="shared" si="1"/>
        <v>8653053.3600000013</v>
      </c>
      <c r="AA8" s="72">
        <f t="shared" si="1"/>
        <v>9394122.2160000019</v>
      </c>
      <c r="AB8" s="72">
        <f t="shared" si="1"/>
        <v>8925297.957600005</v>
      </c>
      <c r="AC8" s="72">
        <f t="shared" si="1"/>
        <v>9821991.2733600065</v>
      </c>
      <c r="AD8" s="72">
        <f t="shared" si="1"/>
        <v>10808353.920696005</v>
      </c>
      <c r="AE8" s="72">
        <f t="shared" si="1"/>
        <v>11893352.832765607</v>
      </c>
      <c r="AF8" s="72">
        <f t="shared" si="1"/>
        <v>13086851.636042168</v>
      </c>
    </row>
    <row r="9" spans="1:37">
      <c r="A9" s="11" t="s">
        <v>110</v>
      </c>
      <c r="B9" s="12">
        <v>0.3</v>
      </c>
      <c r="C9" s="11">
        <f>B5*B9</f>
        <v>18900</v>
      </c>
      <c r="D9" s="32" t="s">
        <v>121</v>
      </c>
      <c r="E9" s="32"/>
      <c r="F9" s="51">
        <f>IF(F4&gt;F6,F6*F8,F4*F8)</f>
        <v>1520000</v>
      </c>
      <c r="G9" s="14" t="s">
        <v>126</v>
      </c>
      <c r="H9" s="60"/>
      <c r="I9" s="28" t="s">
        <v>87</v>
      </c>
      <c r="J9" s="28">
        <v>20000</v>
      </c>
      <c r="K9" s="28" t="s">
        <v>244</v>
      </c>
      <c r="L9" s="52">
        <f>J9*$H$22*$H$21</f>
        <v>400000</v>
      </c>
      <c r="M9" s="30" t="s">
        <v>173</v>
      </c>
      <c r="N9" s="39">
        <f>1-SUM(N5:N8)</f>
        <v>9.9999999999999978E-2</v>
      </c>
      <c r="O9" s="30"/>
      <c r="P9" s="53">
        <v>30000</v>
      </c>
      <c r="V9" s="73" t="s">
        <v>265</v>
      </c>
      <c r="W9" s="72">
        <f>W6-W8</f>
        <v>-12665360</v>
      </c>
      <c r="X9" s="72">
        <f t="shared" ref="X9:AF9" si="2">X6-X8</f>
        <v>17189435.200000003</v>
      </c>
      <c r="Y9" s="72">
        <f t="shared" si="2"/>
        <v>18618493.600000005</v>
      </c>
      <c r="Z9" s="72">
        <f t="shared" si="2"/>
        <v>20190457.840000004</v>
      </c>
      <c r="AA9" s="72">
        <f t="shared" si="2"/>
        <v>21919618.504000008</v>
      </c>
      <c r="AB9" s="72">
        <f t="shared" si="2"/>
        <v>20825695.234400012</v>
      </c>
      <c r="AC9" s="72">
        <f t="shared" si="2"/>
        <v>22917979.637840014</v>
      </c>
      <c r="AD9" s="72">
        <f t="shared" si="2"/>
        <v>25219492.481624015</v>
      </c>
      <c r="AE9" s="72">
        <f t="shared" si="2"/>
        <v>27751156.609786414</v>
      </c>
      <c r="AF9" s="72">
        <f t="shared" si="2"/>
        <v>30535987.150765061</v>
      </c>
    </row>
    <row r="10" spans="1:37">
      <c r="A10" s="11" t="s">
        <v>108</v>
      </c>
      <c r="B10" s="12">
        <v>0.6</v>
      </c>
      <c r="C10" s="11">
        <f>C9*B10</f>
        <v>11340</v>
      </c>
      <c r="D10" s="32" t="s">
        <v>122</v>
      </c>
      <c r="E10" s="32"/>
      <c r="F10" s="51">
        <f>F9*12</f>
        <v>18240000</v>
      </c>
      <c r="G10" s="13" t="s">
        <v>7</v>
      </c>
      <c r="H10" s="60">
        <f>60000+10000</f>
        <v>70000</v>
      </c>
      <c r="I10" s="28" t="s">
        <v>88</v>
      </c>
      <c r="J10" s="28">
        <v>2500</v>
      </c>
      <c r="K10" s="28" t="s">
        <v>244</v>
      </c>
      <c r="L10" s="52">
        <f>J10*$H$22*$H$21</f>
        <v>50000</v>
      </c>
      <c r="M10" s="30"/>
      <c r="N10" s="30"/>
      <c r="O10" s="30"/>
      <c r="P10" s="43">
        <f>SUM(P5:P9)</f>
        <v>485360</v>
      </c>
      <c r="Q10" s="21" t="s">
        <v>177</v>
      </c>
      <c r="R10" s="59">
        <v>0.1</v>
      </c>
      <c r="U10" s="10">
        <v>0.49</v>
      </c>
      <c r="V10" s="71" t="s">
        <v>264</v>
      </c>
      <c r="W10" s="72">
        <v>0</v>
      </c>
      <c r="X10" s="72">
        <f>IF(X9&gt;15000000,X9*$U$10,7500000)</f>
        <v>8422823.2480000015</v>
      </c>
      <c r="Y10" s="72">
        <f t="shared" ref="Y10:AF10" si="3">IF(Y9&gt;15000000,Y9*$U$10,7500000)</f>
        <v>9123061.8640000019</v>
      </c>
      <c r="Z10" s="72">
        <f t="shared" si="3"/>
        <v>9893324.3416000009</v>
      </c>
      <c r="AA10" s="72">
        <f t="shared" si="3"/>
        <v>10740613.066960003</v>
      </c>
      <c r="AB10" s="72">
        <f t="shared" si="3"/>
        <v>10204590.664856005</v>
      </c>
      <c r="AC10" s="72">
        <f t="shared" si="3"/>
        <v>11229810.022541607</v>
      </c>
      <c r="AD10" s="72">
        <f t="shared" si="3"/>
        <v>12357551.315995768</v>
      </c>
      <c r="AE10" s="72">
        <f t="shared" si="3"/>
        <v>13598066.738795342</v>
      </c>
      <c r="AF10" s="72">
        <f t="shared" si="3"/>
        <v>14962633.70387488</v>
      </c>
    </row>
    <row r="11" spans="1:37">
      <c r="A11" s="11" t="s">
        <v>109</v>
      </c>
      <c r="B11" s="12">
        <v>0.4</v>
      </c>
      <c r="C11" s="11">
        <f>B11*C9</f>
        <v>7560</v>
      </c>
      <c r="D11" s="32" t="s">
        <v>178</v>
      </c>
      <c r="E11" s="32"/>
      <c r="F11" s="50">
        <f>F6*F8*12</f>
        <v>19200000</v>
      </c>
      <c r="G11" s="13" t="s">
        <v>6</v>
      </c>
      <c r="H11" s="60">
        <v>8000</v>
      </c>
      <c r="I11" s="28" t="s">
        <v>89</v>
      </c>
      <c r="J11" s="28">
        <v>3500</v>
      </c>
      <c r="K11" s="28" t="s">
        <v>243</v>
      </c>
      <c r="L11" s="52">
        <f>J11*$F$6</f>
        <v>280000</v>
      </c>
      <c r="U11" s="10">
        <v>0.51</v>
      </c>
      <c r="V11" s="71" t="s">
        <v>263</v>
      </c>
      <c r="W11" s="72">
        <v>0</v>
      </c>
      <c r="X11" s="72">
        <f>X9-X10</f>
        <v>8766611.9520000014</v>
      </c>
      <c r="Y11" s="72">
        <f t="shared" ref="Y11:AF11" si="4">Y9-Y10</f>
        <v>9495431.7360000033</v>
      </c>
      <c r="Z11" s="72">
        <f t="shared" si="4"/>
        <v>10297133.498400003</v>
      </c>
      <c r="AA11" s="72">
        <f t="shared" si="4"/>
        <v>11179005.437040005</v>
      </c>
      <c r="AB11" s="72">
        <f t="shared" si="4"/>
        <v>10621104.569544006</v>
      </c>
      <c r="AC11" s="72">
        <f t="shared" si="4"/>
        <v>11688169.615298407</v>
      </c>
      <c r="AD11" s="72">
        <f t="shared" si="4"/>
        <v>12861941.165628247</v>
      </c>
      <c r="AE11" s="72">
        <f t="shared" si="4"/>
        <v>14153089.870991072</v>
      </c>
      <c r="AF11" s="72">
        <f t="shared" si="4"/>
        <v>15573353.446890181</v>
      </c>
    </row>
    <row r="12" spans="1:37">
      <c r="A12" s="11"/>
      <c r="B12" s="11"/>
      <c r="C12" s="11"/>
      <c r="G12" s="13" t="s">
        <v>128</v>
      </c>
      <c r="H12" s="60">
        <f>200*4*5</f>
        <v>4000</v>
      </c>
      <c r="I12" s="28" t="s">
        <v>90</v>
      </c>
      <c r="J12" s="28">
        <v>1250</v>
      </c>
      <c r="K12" s="28" t="s">
        <v>244</v>
      </c>
      <c r="L12" s="52">
        <f>J12*$H$22*$H$21</f>
        <v>25000</v>
      </c>
      <c r="X12" s="74"/>
    </row>
    <row r="13" spans="1:37" ht="15.5">
      <c r="A13" s="11" t="s">
        <v>111</v>
      </c>
      <c r="B13" s="65">
        <f>C11</f>
        <v>7560</v>
      </c>
      <c r="C13" s="65"/>
      <c r="G13" s="13"/>
      <c r="H13" s="60"/>
      <c r="I13" s="28" t="s">
        <v>91</v>
      </c>
      <c r="J13" s="28">
        <v>2500</v>
      </c>
      <c r="K13" s="28" t="s">
        <v>243</v>
      </c>
      <c r="L13" s="52">
        <f>J13*$F$6</f>
        <v>200000</v>
      </c>
      <c r="Q13" s="54" t="s">
        <v>137</v>
      </c>
      <c r="R13" s="54"/>
      <c r="S13" s="54" t="s">
        <v>258</v>
      </c>
      <c r="T13" s="54" t="s">
        <v>142</v>
      </c>
      <c r="U13" s="54" t="s">
        <v>143</v>
      </c>
      <c r="V13" s="54" t="s">
        <v>259</v>
      </c>
    </row>
    <row r="14" spans="1:37">
      <c r="A14" s="22" t="s">
        <v>112</v>
      </c>
      <c r="B14" s="21"/>
      <c r="C14" s="21"/>
      <c r="G14" s="13" t="s">
        <v>129</v>
      </c>
      <c r="H14" s="60">
        <f>400*4*5</f>
        <v>8000</v>
      </c>
      <c r="I14" s="28" t="s">
        <v>92</v>
      </c>
      <c r="J14" s="28">
        <v>5000</v>
      </c>
      <c r="K14" s="28" t="s">
        <v>244</v>
      </c>
      <c r="L14" s="52">
        <f>J14*$H$22*$H$21</f>
        <v>100000</v>
      </c>
      <c r="Q14" s="54" t="s">
        <v>136</v>
      </c>
      <c r="R14" s="55">
        <f>S14/R8</f>
        <v>0.12496875781054737</v>
      </c>
      <c r="S14" s="56">
        <v>3000000</v>
      </c>
      <c r="T14" s="57">
        <v>0.06</v>
      </c>
      <c r="U14" s="58">
        <v>5</v>
      </c>
      <c r="V14" s="56">
        <f>S14+S14*T14*U14</f>
        <v>3900000</v>
      </c>
    </row>
    <row r="15" spans="1:37">
      <c r="A15" s="21" t="s">
        <v>113</v>
      </c>
      <c r="B15" s="21">
        <v>25000</v>
      </c>
      <c r="C15" s="21"/>
      <c r="G15" s="13" t="s">
        <v>105</v>
      </c>
      <c r="H15" s="60">
        <v>10000</v>
      </c>
      <c r="I15" s="28" t="s">
        <v>93</v>
      </c>
      <c r="J15" s="28">
        <v>5000</v>
      </c>
      <c r="K15" s="28" t="s">
        <v>244</v>
      </c>
      <c r="L15" s="52">
        <f>J15*$H$22*$H$21</f>
        <v>100000</v>
      </c>
      <c r="Q15" s="54" t="s">
        <v>140</v>
      </c>
      <c r="R15" s="55">
        <f>S15/R8</f>
        <v>0.41656252603515787</v>
      </c>
      <c r="S15" s="56">
        <v>10000000</v>
      </c>
      <c r="T15" s="57">
        <v>0.15</v>
      </c>
      <c r="U15" s="58">
        <v>5</v>
      </c>
      <c r="V15" s="56">
        <f t="shared" ref="V15:V16" si="5">S15+S15*T15*U15</f>
        <v>17500000</v>
      </c>
    </row>
    <row r="16" spans="1:37">
      <c r="A16" s="21" t="s">
        <v>116</v>
      </c>
      <c r="B16" s="21">
        <f>B15*B13</f>
        <v>189000000</v>
      </c>
      <c r="C16" s="21" t="s">
        <v>114</v>
      </c>
      <c r="G16" s="13" t="s">
        <v>127</v>
      </c>
      <c r="H16" s="60">
        <v>5000</v>
      </c>
      <c r="I16" s="28" t="s">
        <v>98</v>
      </c>
      <c r="J16" s="28">
        <v>20000</v>
      </c>
      <c r="K16" s="28" t="s">
        <v>244</v>
      </c>
      <c r="L16" s="52">
        <f>J16*$H$22*$H$21</f>
        <v>400000</v>
      </c>
      <c r="Q16" s="54" t="s">
        <v>138</v>
      </c>
      <c r="R16" s="55">
        <f>IF(1-SUM(R14:R15)&lt;0,0,1-SUM(R14:R15))</f>
        <v>0.45846871615429474</v>
      </c>
      <c r="S16" s="56">
        <f>R16*R8</f>
        <v>11006000</v>
      </c>
      <c r="T16" s="57">
        <v>0.1</v>
      </c>
      <c r="U16" s="54">
        <v>5</v>
      </c>
      <c r="V16" s="56">
        <f t="shared" si="5"/>
        <v>16509000</v>
      </c>
    </row>
    <row r="17" spans="1:21">
      <c r="A17" s="36" t="s">
        <v>115</v>
      </c>
      <c r="B17" s="40">
        <f>B16*10</f>
        <v>1890000000</v>
      </c>
      <c r="C17" s="36" t="s">
        <v>117</v>
      </c>
      <c r="G17" s="13"/>
      <c r="H17" s="13"/>
      <c r="I17" s="28" t="s">
        <v>103</v>
      </c>
      <c r="J17" s="28">
        <v>150</v>
      </c>
      <c r="K17" s="28" t="s">
        <v>243</v>
      </c>
      <c r="L17" s="52">
        <f>J17*$F$6</f>
        <v>12000</v>
      </c>
      <c r="S17" s="68"/>
      <c r="U17" s="9"/>
    </row>
    <row r="18" spans="1:21" s="19" customFormat="1">
      <c r="G18" s="37" t="s">
        <v>130</v>
      </c>
      <c r="H18" s="49">
        <f>SUM(H6:H16)</f>
        <v>194000</v>
      </c>
      <c r="I18" s="38" t="s">
        <v>104</v>
      </c>
      <c r="J18" s="38">
        <v>500</v>
      </c>
      <c r="K18" s="38" t="s">
        <v>243</v>
      </c>
      <c r="L18" s="52">
        <f>J18*$F$6</f>
        <v>40000</v>
      </c>
    </row>
    <row r="19" spans="1:21">
      <c r="G19" s="26" t="s">
        <v>131</v>
      </c>
      <c r="H19" s="26"/>
      <c r="I19" s="28" t="s">
        <v>94</v>
      </c>
      <c r="J19" s="28">
        <v>10000</v>
      </c>
      <c r="K19" s="28" t="s">
        <v>244</v>
      </c>
      <c r="L19" s="52">
        <f t="shared" ref="L19:L24" si="6">J19*$H$22*$H$21</f>
        <v>200000</v>
      </c>
    </row>
    <row r="20" spans="1:21">
      <c r="G20" s="25" t="s">
        <v>247</v>
      </c>
      <c r="H20" s="25">
        <v>650</v>
      </c>
      <c r="I20" s="28" t="s">
        <v>99</v>
      </c>
      <c r="J20" s="28">
        <v>9000</v>
      </c>
      <c r="K20" s="28" t="s">
        <v>244</v>
      </c>
      <c r="L20" s="52">
        <f t="shared" si="6"/>
        <v>180000</v>
      </c>
    </row>
    <row r="21" spans="1:21">
      <c r="G21" s="25" t="s">
        <v>240</v>
      </c>
      <c r="H21" s="25">
        <v>4</v>
      </c>
      <c r="I21" s="28" t="s">
        <v>95</v>
      </c>
      <c r="J21" s="28">
        <v>3000</v>
      </c>
      <c r="K21" s="28" t="s">
        <v>244</v>
      </c>
      <c r="L21" s="52">
        <f t="shared" si="6"/>
        <v>60000</v>
      </c>
    </row>
    <row r="22" spans="1:21">
      <c r="G22" s="25" t="s">
        <v>241</v>
      </c>
      <c r="H22" s="25">
        <v>5</v>
      </c>
      <c r="I22" s="28" t="s">
        <v>96</v>
      </c>
      <c r="J22" s="28">
        <v>1000</v>
      </c>
      <c r="K22" s="28" t="s">
        <v>244</v>
      </c>
      <c r="L22" s="52">
        <f t="shared" si="6"/>
        <v>20000</v>
      </c>
    </row>
    <row r="23" spans="1:21">
      <c r="G23" s="25" t="s">
        <v>242</v>
      </c>
      <c r="H23" s="25">
        <f>H20*H21*H22*1.35</f>
        <v>17550</v>
      </c>
      <c r="I23" s="28" t="s">
        <v>97</v>
      </c>
      <c r="J23" s="28">
        <v>4000</v>
      </c>
      <c r="K23" s="28" t="s">
        <v>244</v>
      </c>
      <c r="L23" s="52">
        <f t="shared" si="6"/>
        <v>80000</v>
      </c>
    </row>
    <row r="24" spans="1:21">
      <c r="G24" s="25" t="s">
        <v>257</v>
      </c>
      <c r="H24" s="25">
        <v>0</v>
      </c>
      <c r="I24" s="28" t="s">
        <v>101</v>
      </c>
      <c r="J24" s="28">
        <v>7500</v>
      </c>
      <c r="K24" s="28" t="s">
        <v>244</v>
      </c>
      <c r="L24" s="52">
        <f t="shared" si="6"/>
        <v>150000</v>
      </c>
    </row>
    <row r="25" spans="1:21">
      <c r="G25" s="25" t="s">
        <v>135</v>
      </c>
      <c r="H25" s="25">
        <f>ROUNDUP(H23*H24,1)</f>
        <v>0</v>
      </c>
      <c r="I25" s="28" t="s">
        <v>102</v>
      </c>
      <c r="J25" s="28"/>
      <c r="K25" s="28"/>
      <c r="L25" s="52">
        <v>5000</v>
      </c>
    </row>
    <row r="26" spans="1:21">
      <c r="G26" s="25" t="s">
        <v>256</v>
      </c>
      <c r="H26" s="25">
        <v>120</v>
      </c>
      <c r="I26" s="28" t="s">
        <v>100</v>
      </c>
      <c r="J26" s="28">
        <v>10000</v>
      </c>
      <c r="K26" s="28" t="s">
        <v>244</v>
      </c>
      <c r="L26" s="52">
        <f>J26*$H$22*$H$21</f>
        <v>200000</v>
      </c>
    </row>
    <row r="27" spans="1:21">
      <c r="A27" s="69">
        <f>1700000*12</f>
        <v>20400000</v>
      </c>
      <c r="G27" s="25" t="s">
        <v>146</v>
      </c>
      <c r="H27" s="41">
        <f>H25</f>
        <v>0</v>
      </c>
      <c r="I27" s="28" t="s">
        <v>141</v>
      </c>
      <c r="J27" s="28"/>
      <c r="K27" s="28"/>
      <c r="L27" s="52">
        <v>200000</v>
      </c>
    </row>
    <row r="28" spans="1:21">
      <c r="G28" s="25" t="s">
        <v>261</v>
      </c>
      <c r="H28" s="41">
        <v>200000</v>
      </c>
      <c r="I28" s="28" t="s">
        <v>175</v>
      </c>
      <c r="J28" s="28"/>
      <c r="K28" s="28"/>
      <c r="L28" s="52">
        <v>20000000</v>
      </c>
    </row>
    <row r="29" spans="1:21">
      <c r="I29" s="28" t="s">
        <v>260</v>
      </c>
      <c r="L29" s="52">
        <v>500000</v>
      </c>
      <c r="N29" s="9"/>
      <c r="O29" s="9"/>
      <c r="P29" s="9"/>
    </row>
    <row r="30" spans="1:21">
      <c r="I30" s="27" t="s">
        <v>130</v>
      </c>
      <c r="J30" s="27"/>
      <c r="K30" s="27"/>
      <c r="L30" s="42">
        <f>SUM(L5:L29)</f>
        <v>23812000</v>
      </c>
    </row>
  </sheetData>
  <mergeCells count="6">
    <mergeCell ref="W4:AF4"/>
    <mergeCell ref="A4:B4"/>
    <mergeCell ref="B5:C7"/>
    <mergeCell ref="B13:C13"/>
    <mergeCell ref="A2:Q2"/>
    <mergeCell ref="V3:X3"/>
  </mergeCells>
  <conditionalFormatting sqref="W6:AK6">
    <cfRule type="cellIs" dxfId="1" priority="2" operator="lessThan">
      <formula>0</formula>
    </cfRule>
    <cfRule type="cellIs" dxfId="0" priority="3" operator="greaterThan">
      <formula>0</formula>
    </cfRule>
    <cfRule type="colorScale" priority="4">
      <colorScale>
        <cfvo type="min"/>
        <cfvo type="percentile" val="50"/>
        <cfvo type="max"/>
        <color rgb="FFF8696B"/>
        <color rgb="FFFFEB84"/>
        <color rgb="FF63BE7B"/>
      </colorScale>
    </cfRule>
  </conditionalFormatting>
  <conditionalFormatting sqref="W7:AK7">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AF3EA-00CF-42DA-BB61-E4F2A4BC8DB3}">
  <dimension ref="A1:D8"/>
  <sheetViews>
    <sheetView workbookViewId="0">
      <selection activeCell="B7" sqref="B7"/>
    </sheetView>
  </sheetViews>
  <sheetFormatPr defaultColWidth="8.81640625" defaultRowHeight="14.5"/>
  <cols>
    <col min="1" max="1" width="39.36328125" bestFit="1" customWidth="1"/>
    <col min="3" max="3" width="17.81640625" bestFit="1" customWidth="1"/>
  </cols>
  <sheetData>
    <row r="1" spans="1:4">
      <c r="A1" s="9" t="s">
        <v>171</v>
      </c>
      <c r="B1" t="s">
        <v>172</v>
      </c>
      <c r="C1" t="s">
        <v>170</v>
      </c>
      <c r="D1" t="s">
        <v>168</v>
      </c>
    </row>
    <row r="2" spans="1:4">
      <c r="A2" t="s">
        <v>163</v>
      </c>
      <c r="B2">
        <v>10000</v>
      </c>
      <c r="C2">
        <v>5</v>
      </c>
      <c r="D2">
        <f>B2</f>
        <v>10000</v>
      </c>
    </row>
    <row r="3" spans="1:4">
      <c r="A3" t="s">
        <v>164</v>
      </c>
      <c r="B3" s="10">
        <v>0.02</v>
      </c>
      <c r="C3">
        <v>50</v>
      </c>
      <c r="D3">
        <f>C3*B3*300000</f>
        <v>300000</v>
      </c>
    </row>
    <row r="4" spans="1:4">
      <c r="A4" t="s">
        <v>167</v>
      </c>
      <c r="B4">
        <v>15000</v>
      </c>
      <c r="C4">
        <v>20</v>
      </c>
      <c r="D4">
        <f>B4*12</f>
        <v>180000</v>
      </c>
    </row>
    <row r="5" spans="1:4">
      <c r="A5" t="s">
        <v>165</v>
      </c>
      <c r="B5">
        <v>0</v>
      </c>
      <c r="D5">
        <v>0</v>
      </c>
    </row>
    <row r="6" spans="1:4">
      <c r="A6" t="s">
        <v>166</v>
      </c>
      <c r="B6">
        <v>10000</v>
      </c>
      <c r="C6">
        <v>5</v>
      </c>
      <c r="D6">
        <f>B6</f>
        <v>10000</v>
      </c>
    </row>
    <row r="7" spans="1:4">
      <c r="A7" t="s">
        <v>173</v>
      </c>
      <c r="B7">
        <v>10000</v>
      </c>
      <c r="D7">
        <f>B7*3</f>
        <v>30000</v>
      </c>
    </row>
    <row r="8" spans="1:4">
      <c r="D8" s="9">
        <f>SUM(D2:D7)</f>
        <v>530000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31043-ABA8-40B5-B454-39D227A6539A}">
  <dimension ref="A1:D8"/>
  <sheetViews>
    <sheetView workbookViewId="0">
      <selection activeCell="C9" sqref="C9"/>
    </sheetView>
  </sheetViews>
  <sheetFormatPr defaultColWidth="8.81640625" defaultRowHeight="14.5"/>
  <cols>
    <col min="1" max="1" width="13.81640625" bestFit="1" customWidth="1"/>
    <col min="2" max="3" width="17.1796875" bestFit="1" customWidth="1"/>
    <col min="4" max="4" width="42.36328125" bestFit="1" customWidth="1"/>
  </cols>
  <sheetData>
    <row r="1" spans="1:4">
      <c r="A1" t="s">
        <v>149</v>
      </c>
      <c r="B1" t="s">
        <v>148</v>
      </c>
      <c r="C1" t="s">
        <v>147</v>
      </c>
      <c r="D1" t="s">
        <v>153</v>
      </c>
    </row>
    <row r="2" spans="1:4">
      <c r="A2">
        <v>120</v>
      </c>
      <c r="B2">
        <v>100</v>
      </c>
      <c r="C2">
        <v>2</v>
      </c>
      <c r="D2">
        <v>5</v>
      </c>
    </row>
    <row r="4" spans="1:4">
      <c r="B4" t="s">
        <v>150</v>
      </c>
      <c r="C4">
        <f>B2*C2</f>
        <v>200</v>
      </c>
    </row>
    <row r="5" spans="1:4">
      <c r="B5" t="s">
        <v>151</v>
      </c>
      <c r="C5">
        <f>A2*D2</f>
        <v>600</v>
      </c>
    </row>
    <row r="6" spans="1:4">
      <c r="B6" t="s">
        <v>133</v>
      </c>
      <c r="C6">
        <f>C5-C4</f>
        <v>400</v>
      </c>
    </row>
    <row r="8" spans="1:4">
      <c r="B8" t="s">
        <v>152</v>
      </c>
      <c r="C8" s="15">
        <f>C6/C4</f>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86F4E-CA76-4BCC-8FE2-C41F3B3FBA2A}">
  <dimension ref="B1:F8"/>
  <sheetViews>
    <sheetView workbookViewId="0">
      <selection activeCell="C3" sqref="C3"/>
    </sheetView>
  </sheetViews>
  <sheetFormatPr defaultColWidth="8.81640625" defaultRowHeight="14.5"/>
  <cols>
    <col min="2" max="2" width="25.6328125" bestFit="1" customWidth="1"/>
    <col min="3" max="3" width="10.81640625" bestFit="1" customWidth="1"/>
    <col min="4" max="4" width="23.6328125" bestFit="1" customWidth="1"/>
    <col min="5" max="5" width="11.453125" bestFit="1" customWidth="1"/>
  </cols>
  <sheetData>
    <row r="1" spans="2:6">
      <c r="C1" t="s">
        <v>156</v>
      </c>
      <c r="D1" t="s">
        <v>157</v>
      </c>
      <c r="E1" t="s">
        <v>158</v>
      </c>
      <c r="F1" t="s">
        <v>159</v>
      </c>
    </row>
    <row r="2" spans="2:6">
      <c r="C2">
        <f>Original!H25</f>
        <v>0</v>
      </c>
      <c r="D2">
        <v>120</v>
      </c>
      <c r="E2">
        <f>SUM(Original!L5:L16,Original!L19:L25)</f>
        <v>2860000</v>
      </c>
      <c r="F2">
        <f>SUM(Original!L17,Original!L18,Original!L26)</f>
        <v>252000</v>
      </c>
    </row>
    <row r="4" spans="2:6">
      <c r="B4" t="s">
        <v>174</v>
      </c>
      <c r="C4">
        <f>C2*12</f>
        <v>0</v>
      </c>
    </row>
    <row r="5" spans="2:6">
      <c r="B5" t="s">
        <v>154</v>
      </c>
      <c r="C5">
        <f>E2</f>
        <v>2860000</v>
      </c>
    </row>
    <row r="6" spans="2:6">
      <c r="B6" t="s">
        <v>159</v>
      </c>
      <c r="C6">
        <f>F2</f>
        <v>252000</v>
      </c>
    </row>
    <row r="7" spans="2:6">
      <c r="C7">
        <f>SUM(C4:C6)</f>
        <v>3112000</v>
      </c>
    </row>
    <row r="8" spans="2:6">
      <c r="B8" t="s">
        <v>155</v>
      </c>
      <c r="C8">
        <f>C2*D2</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D0B06-88A4-CC45-86FB-AFDFB62116EE}">
  <dimension ref="B2:H19"/>
  <sheetViews>
    <sheetView topLeftCell="A13" zoomScale="154" workbookViewId="0">
      <selection activeCell="C15" sqref="C15"/>
    </sheetView>
  </sheetViews>
  <sheetFormatPr defaultColWidth="10.90625" defaultRowHeight="14.5"/>
  <cols>
    <col min="2" max="2" width="29.81640625" customWidth="1"/>
    <col min="3" max="3" width="33.36328125" customWidth="1"/>
  </cols>
  <sheetData>
    <row r="2" spans="2:8" ht="15" customHeight="1">
      <c r="B2" s="17" t="s">
        <v>179</v>
      </c>
      <c r="C2" s="17"/>
    </row>
    <row r="3" spans="2:8" ht="217.5">
      <c r="B3" s="18" t="s">
        <v>180</v>
      </c>
      <c r="C3" s="17" t="s">
        <v>181</v>
      </c>
    </row>
    <row r="5" spans="2:8">
      <c r="B5" s="19" t="s">
        <v>182</v>
      </c>
      <c r="C5" s="19"/>
    </row>
    <row r="6" spans="2:8">
      <c r="B6">
        <f>Original!F9</f>
        <v>1520000</v>
      </c>
    </row>
    <row r="7" spans="2:8">
      <c r="B7" s="19" t="s">
        <v>183</v>
      </c>
      <c r="C7" s="19"/>
    </row>
    <row r="8" spans="2:8" ht="186">
      <c r="B8" s="17" t="s">
        <v>200</v>
      </c>
    </row>
    <row r="9" spans="2:8">
      <c r="B9" s="19" t="s">
        <v>184</v>
      </c>
      <c r="C9" s="19"/>
    </row>
    <row r="10" spans="2:8" ht="217.5">
      <c r="B10" s="17" t="s">
        <v>185</v>
      </c>
    </row>
    <row r="11" spans="2:8">
      <c r="B11" s="19" t="s">
        <v>186</v>
      </c>
      <c r="C11" s="19"/>
      <c r="D11" s="19"/>
    </row>
    <row r="13" spans="2:8">
      <c r="B13" s="9" t="s">
        <v>187</v>
      </c>
      <c r="C13" s="9">
        <f>SUM(C14:C17)</f>
        <v>30000</v>
      </c>
    </row>
    <row r="14" spans="2:8">
      <c r="B14" t="s">
        <v>188</v>
      </c>
      <c r="C14">
        <v>10000</v>
      </c>
    </row>
    <row r="15" spans="2:8">
      <c r="B15" t="s">
        <v>189</v>
      </c>
      <c r="C15">
        <v>10000</v>
      </c>
      <c r="E15" t="s">
        <v>190</v>
      </c>
      <c r="F15" s="4">
        <v>40</v>
      </c>
      <c r="G15" t="s">
        <v>191</v>
      </c>
      <c r="H15" s="4">
        <v>35</v>
      </c>
    </row>
    <row r="16" spans="2:8" ht="55" customHeight="1">
      <c r="B16" t="s">
        <v>192</v>
      </c>
      <c r="C16">
        <v>10000</v>
      </c>
      <c r="E16" s="17" t="s">
        <v>193</v>
      </c>
      <c r="F16">
        <f>(F15-H15)/F15</f>
        <v>0.125</v>
      </c>
    </row>
    <row r="17" spans="2:6">
      <c r="B17" t="s">
        <v>194</v>
      </c>
      <c r="C17" t="s">
        <v>195</v>
      </c>
    </row>
    <row r="18" spans="2:6" ht="87">
      <c r="B18" s="17" t="s">
        <v>196</v>
      </c>
      <c r="C18">
        <v>15000</v>
      </c>
      <c r="D18" s="9" t="s">
        <v>197</v>
      </c>
      <c r="E18" s="17" t="s">
        <v>198</v>
      </c>
      <c r="F18" t="e">
        <f>[1]Original!J3/F16</f>
        <v>#REF!</v>
      </c>
    </row>
    <row r="19" spans="2:6">
      <c r="F19" t="s">
        <v>199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Back End</vt:lpstr>
      <vt:lpstr>Sheet1</vt:lpstr>
      <vt:lpstr>Sheet4</vt:lpstr>
      <vt:lpstr>Secondary Research</vt:lpstr>
      <vt:lpstr>Original</vt:lpstr>
      <vt:lpstr>Front End</vt:lpstr>
      <vt:lpstr>Gross Margin Model</vt:lpstr>
      <vt:lpstr>Investment Model</vt:lpstr>
      <vt:lpstr>Revenue Model</vt:lpstr>
      <vt:lpstr>operating model</vt:lpstr>
      <vt:lpstr>Working Capital Sheet</vt:lpstr>
      <vt:lpstr>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Meetasha</dc:creator>
  <cp:lastModifiedBy>Meetasha</cp:lastModifiedBy>
  <dcterms:created xsi:type="dcterms:W3CDTF">2018-03-07T03:41:35Z</dcterms:created>
  <dcterms:modified xsi:type="dcterms:W3CDTF">2018-04-05T10:28:23Z</dcterms:modified>
</cp:coreProperties>
</file>