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mandziej001\Desktop\FCU\SCRIPTS\predictive_qc_lion_king\model_training\results\PC\"/>
    </mc:Choice>
  </mc:AlternateContent>
  <xr:revisionPtr revIDLastSave="0" documentId="13_ncr:1_{18721E87-8B71-4522-B596-DDD9BB207CC7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summary_nn" sheetId="2" r:id="rId1"/>
    <sheet name="presentation" sheetId="5" r:id="rId2"/>
    <sheet name="cut offs" sheetId="6" r:id="rId3"/>
    <sheet name="summary" sheetId="1" state="hidden" r:id="rId4"/>
  </sheets>
  <definedNames>
    <definedName name="_xlnm._FilterDatabase" localSheetId="3" hidden="1">summary!$A$2:$AU$21</definedName>
    <definedName name="_xlnm._FilterDatabase" localSheetId="0" hidden="1">summary_nn!$A$2:$AC$11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2" l="1"/>
  <c r="AG11" i="2"/>
  <c r="AE11" i="2"/>
  <c r="AD11" i="2"/>
  <c r="E7" i="6" l="1"/>
  <c r="E6" i="6"/>
  <c r="E2" i="6"/>
  <c r="E3" i="6"/>
  <c r="E4" i="6"/>
  <c r="E8" i="6"/>
  <c r="E9" i="6"/>
  <c r="E10" i="6"/>
  <c r="E11" i="6"/>
  <c r="E12" i="6"/>
  <c r="E13" i="6"/>
  <c r="AH10" i="2"/>
  <c r="AE10" i="2"/>
  <c r="AD10" i="2"/>
  <c r="AG10" i="2"/>
  <c r="AE9" i="2"/>
  <c r="AD9" i="2"/>
  <c r="AH9" i="2"/>
  <c r="AI9" i="2" s="1"/>
  <c r="AG9" i="2"/>
  <c r="AH7" i="2"/>
  <c r="AG7" i="2"/>
  <c r="AE7" i="2"/>
  <c r="AD7" i="2"/>
  <c r="AF7" i="2"/>
  <c r="AG6" i="2"/>
  <c r="AI6" i="2" s="1"/>
  <c r="AD6" i="2"/>
  <c r="AF6" i="2" s="1"/>
  <c r="AI11" i="2"/>
  <c r="AH5" i="2"/>
  <c r="AG5" i="2"/>
  <c r="AE5" i="2"/>
  <c r="AF5" i="2" s="1"/>
  <c r="AD5" i="2"/>
  <c r="AI5" i="2"/>
  <c r="AH4" i="2"/>
  <c r="AH3" i="2"/>
  <c r="AI3" i="2" s="1"/>
  <c r="AG3" i="2"/>
  <c r="AE3" i="2"/>
  <c r="AD3" i="2"/>
  <c r="AF3" i="2"/>
  <c r="M13" i="5"/>
  <c r="L13" i="5"/>
  <c r="G13" i="5"/>
  <c r="H13" i="5" s="1"/>
  <c r="D13" i="5"/>
  <c r="M12" i="5"/>
  <c r="L12" i="5"/>
  <c r="G12" i="5"/>
  <c r="H12" i="5" s="1"/>
  <c r="D12" i="5"/>
  <c r="M11" i="5"/>
  <c r="L11" i="5"/>
  <c r="G11" i="5"/>
  <c r="H11" i="5" s="1"/>
  <c r="D11" i="5"/>
  <c r="M10" i="5"/>
  <c r="L10" i="5"/>
  <c r="G10" i="5"/>
  <c r="H10" i="5" s="1"/>
  <c r="D10" i="5"/>
  <c r="M9" i="5"/>
  <c r="L9" i="5"/>
  <c r="G9" i="5"/>
  <c r="H9" i="5" s="1"/>
  <c r="D9" i="5"/>
  <c r="M8" i="5"/>
  <c r="L8" i="5"/>
  <c r="G8" i="5"/>
  <c r="H8" i="5" s="1"/>
  <c r="D8" i="5"/>
  <c r="M7" i="5"/>
  <c r="L7" i="5"/>
  <c r="G7" i="5"/>
  <c r="H7" i="5" s="1"/>
  <c r="D7" i="5"/>
  <c r="M6" i="5"/>
  <c r="L6" i="5"/>
  <c r="G6" i="5"/>
  <c r="H6" i="5" s="1"/>
  <c r="D6" i="5"/>
  <c r="M5" i="5"/>
  <c r="L5" i="5"/>
  <c r="G5" i="5"/>
  <c r="H5" i="5" s="1"/>
  <c r="D5" i="5"/>
  <c r="M4" i="5"/>
  <c r="L4" i="5"/>
  <c r="G4" i="5"/>
  <c r="H4" i="5" s="1"/>
  <c r="D4" i="5"/>
  <c r="M3" i="5"/>
  <c r="L3" i="5"/>
  <c r="G3" i="5"/>
  <c r="H3" i="5" s="1"/>
  <c r="D3" i="5"/>
  <c r="F2" i="5"/>
  <c r="M2" i="5" s="1"/>
  <c r="E2" i="5"/>
  <c r="L2" i="5" s="1"/>
  <c r="G2" i="5"/>
  <c r="H2" i="5" s="1"/>
  <c r="AH8" i="2"/>
  <c r="AG8" i="2"/>
  <c r="AD8" i="2"/>
  <c r="AI10" i="2" l="1"/>
  <c r="AF10" i="2"/>
  <c r="AF9" i="2"/>
  <c r="AI7" i="2"/>
  <c r="AF11" i="2"/>
  <c r="D2" i="5"/>
  <c r="AI4" i="2"/>
  <c r="AG4" i="2"/>
  <c r="AE4" i="2"/>
  <c r="AD4" i="2"/>
  <c r="AE8" i="2"/>
  <c r="AI8" i="2"/>
  <c r="AH14" i="2"/>
  <c r="AG14" i="2"/>
  <c r="AI14" i="2" s="1"/>
  <c r="AE14" i="2"/>
  <c r="AD14" i="2"/>
  <c r="AE12" i="2"/>
  <c r="AE13" i="2"/>
  <c r="AH13" i="2"/>
  <c r="AG13" i="2"/>
  <c r="AI13" i="2" s="1"/>
  <c r="AD13" i="2"/>
  <c r="AG12" i="2"/>
  <c r="AI12" i="2" s="1"/>
  <c r="AH12" i="2"/>
  <c r="AD12" i="2"/>
  <c r="AF12" i="2" l="1"/>
  <c r="AF13" i="2"/>
  <c r="AF4" i="2"/>
  <c r="AF8" i="2"/>
  <c r="AF14" i="2"/>
  <c r="H3" i="2"/>
  <c r="G3" i="2"/>
  <c r="E13" i="2" l="1"/>
  <c r="F13" i="2" s="1"/>
  <c r="E12" i="2"/>
  <c r="I12" i="2"/>
  <c r="J14" i="2"/>
  <c r="I14" i="2"/>
  <c r="E14" i="2"/>
  <c r="F14" i="2" s="1"/>
  <c r="D14" i="2"/>
  <c r="J13" i="2"/>
  <c r="I13" i="2"/>
  <c r="D13" i="2"/>
  <c r="J12" i="2"/>
  <c r="D12" i="2" l="1"/>
  <c r="F12" i="2"/>
  <c r="I3" i="2"/>
  <c r="E5" i="2" l="1"/>
  <c r="E3" i="2"/>
  <c r="F3" i="2" s="1"/>
  <c r="J3" i="2"/>
  <c r="D3" i="2"/>
  <c r="D6" i="2"/>
  <c r="E10" i="2" l="1"/>
  <c r="E7" i="1"/>
  <c r="D11" i="2" l="1"/>
  <c r="D10" i="2"/>
  <c r="D9" i="2"/>
  <c r="D8" i="2"/>
  <c r="D7" i="2"/>
  <c r="D5" i="2"/>
  <c r="D4" i="2"/>
  <c r="E11" i="2" l="1"/>
  <c r="F11" i="2" s="1"/>
  <c r="E9" i="2"/>
  <c r="F9" i="2" s="1"/>
  <c r="E8" i="2"/>
  <c r="F8" i="2" s="1"/>
  <c r="E7" i="2"/>
  <c r="F7" i="2" s="1"/>
  <c r="E6" i="2"/>
  <c r="F5" i="2"/>
  <c r="E4" i="2"/>
  <c r="F4" i="2" s="1"/>
  <c r="J11" i="2"/>
  <c r="I11" i="2"/>
  <c r="J10" i="2"/>
  <c r="I10" i="2"/>
  <c r="F10" i="2"/>
  <c r="J9" i="2"/>
  <c r="I9" i="2"/>
  <c r="J8" i="2"/>
  <c r="I8" i="2"/>
  <c r="J7" i="2"/>
  <c r="I7" i="2"/>
  <c r="J6" i="2"/>
  <c r="I6" i="2"/>
  <c r="F6" i="2"/>
  <c r="J5" i="2"/>
  <c r="I5" i="2"/>
  <c r="J4" i="2"/>
  <c r="I4" i="2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</calcChain>
</file>

<file path=xl/sharedStrings.xml><?xml version="1.0" encoding="utf-8"?>
<sst xmlns="http://schemas.openxmlformats.org/spreadsheetml/2006/main" count="189" uniqueCount="68">
  <si>
    <t>category</t>
  </si>
  <si>
    <t>sample size</t>
  </si>
  <si>
    <t>train sample</t>
  </si>
  <si>
    <t>test sample</t>
  </si>
  <si>
    <t>neural networks</t>
  </si>
  <si>
    <t>auc train</t>
  </si>
  <si>
    <t>auc test</t>
  </si>
  <si>
    <t>model performance</t>
  </si>
  <si>
    <t>errors covered</t>
  </si>
  <si>
    <t>train 25%</t>
  </si>
  <si>
    <t>test 25%</t>
  </si>
  <si>
    <t>train 50%</t>
  </si>
  <si>
    <t>test 50%</t>
  </si>
  <si>
    <t>train 75%</t>
  </si>
  <si>
    <t>test 75%</t>
  </si>
  <si>
    <t>train 85%</t>
  </si>
  <si>
    <t>test 85%</t>
  </si>
  <si>
    <t>GBM</t>
  </si>
  <si>
    <t>CRF</t>
  </si>
  <si>
    <t>train 80%</t>
  </si>
  <si>
    <t>test 80%</t>
  </si>
  <si>
    <t>errors amount</t>
  </si>
  <si>
    <t>error [%] train</t>
  </si>
  <si>
    <t>error [%] test</t>
  </si>
  <si>
    <t>errors [%]</t>
  </si>
  <si>
    <t>errors amount train</t>
  </si>
  <si>
    <t>errors amount test</t>
  </si>
  <si>
    <t>Screening</t>
  </si>
  <si>
    <t>no</t>
  </si>
  <si>
    <t>category name</t>
  </si>
  <si>
    <t>full sample</t>
  </si>
  <si>
    <t>category summary</t>
  </si>
  <si>
    <t>Major</t>
  </si>
  <si>
    <t>Minor</t>
  </si>
  <si>
    <t>trimmed sample</t>
  </si>
  <si>
    <t>NN</t>
  </si>
  <si>
    <t>comments</t>
  </si>
  <si>
    <t>no of questions</t>
  </si>
  <si>
    <t>Documentation standard</t>
  </si>
  <si>
    <t>Risk factors</t>
  </si>
  <si>
    <t>ESR</t>
  </si>
  <si>
    <t>Client Outreach</t>
  </si>
  <si>
    <t>Relationship</t>
  </si>
  <si>
    <t>FATCA/CRS</t>
  </si>
  <si>
    <t>Control</t>
  </si>
  <si>
    <t>Critical</t>
  </si>
  <si>
    <t>logistic regression</t>
  </si>
  <si>
    <t>-</t>
  </si>
  <si>
    <t>errors no train</t>
  </si>
  <si>
    <t>errors no test</t>
  </si>
  <si>
    <t>errors no</t>
  </si>
  <si>
    <t>red</t>
  </si>
  <si>
    <t>amber</t>
  </si>
  <si>
    <t>green</t>
  </si>
  <si>
    <t>Office Due Diligence</t>
  </si>
  <si>
    <t>No.</t>
  </si>
  <si>
    <t>Category name</t>
  </si>
  <si>
    <t>No questions</t>
  </si>
  <si>
    <t>Sample size</t>
  </si>
  <si>
    <t>Train sample</t>
  </si>
  <si>
    <t>Test sample</t>
  </si>
  <si>
    <t>No errors</t>
  </si>
  <si>
    <t>Errors [%]</t>
  </si>
  <si>
    <t>AUC Test</t>
  </si>
  <si>
    <t>Train 75%</t>
  </si>
  <si>
    <t>Test 75%</t>
  </si>
  <si>
    <t>red treshold</t>
  </si>
  <si>
    <t>amber treshold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</si>
</sst>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9" fontId="0" fillId="0" borderId="0" xfId="0" applyNumberFormat="1"/>
    <xf numFmtId="10" fontId="0" fillId="0" borderId="0" xfId="0" applyNumberFormat="1" applyAlignment="1">
      <alignment horizontal="right"/>
    </xf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0" fontId="0" fillId="2" borderId="0" xfId="0" applyFill="1" applyBorder="1"/>
    <xf numFmtId="2" fontId="0" fillId="2" borderId="0" xfId="0" applyNumberFormat="1" applyFill="1" applyBorder="1"/>
    <xf numFmtId="1" fontId="0" fillId="2" borderId="0" xfId="0" applyNumberFormat="1" applyFill="1"/>
    <xf numFmtId="10" fontId="0" fillId="0" borderId="0" xfId="1" applyNumberFormat="1" applyFont="1"/>
    <xf numFmtId="10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1" fontId="0" fillId="3" borderId="0" xfId="0" applyNumberFormat="1" applyFill="1"/>
    <xf numFmtId="10" fontId="0" fillId="3" borderId="0" xfId="1" applyNumberFormat="1" applyFont="1" applyFill="1"/>
    <xf numFmtId="2" fontId="0" fillId="3" borderId="0" xfId="0" applyNumberFormat="1" applyFill="1" applyBorder="1"/>
    <xf numFmtId="2" fontId="0" fillId="3" borderId="0" xfId="0" applyNumberFormat="1" applyFill="1"/>
    <xf numFmtId="10" fontId="0" fillId="3" borderId="0" xfId="0" applyNumberFormat="1" applyFill="1" applyAlignment="1">
      <alignment horizontal="right"/>
    </xf>
    <xf numFmtId="0" fontId="0" fillId="4" borderId="0" xfId="0" applyFill="1"/>
    <xf numFmtId="10" fontId="0" fillId="4" borderId="0" xfId="0" applyNumberFormat="1" applyFill="1"/>
    <xf numFmtId="1" fontId="0" fillId="4" borderId="0" xfId="0" applyNumberFormat="1" applyFill="1"/>
    <xf numFmtId="10" fontId="0" fillId="4" borderId="0" xfId="1" applyNumberFormat="1" applyFont="1" applyFill="1"/>
    <xf numFmtId="2" fontId="0" fillId="4" borderId="0" xfId="0" applyNumberFormat="1" applyFill="1" applyBorder="1"/>
    <xf numFmtId="2" fontId="0" fillId="4" borderId="0" xfId="0" applyNumberFormat="1" applyFill="1"/>
    <xf numFmtId="10" fontId="0" fillId="4" borderId="0" xfId="0" applyNumberFormat="1" applyFill="1" applyAlignment="1">
      <alignment horizontal="right"/>
    </xf>
    <xf numFmtId="0" fontId="0" fillId="5" borderId="0" xfId="0" applyFill="1"/>
    <xf numFmtId="10" fontId="0" fillId="5" borderId="0" xfId="0" applyNumberFormat="1" applyFill="1"/>
    <xf numFmtId="1" fontId="0" fillId="5" borderId="0" xfId="0" applyNumberFormat="1" applyFill="1"/>
    <xf numFmtId="10" fontId="0" fillId="5" borderId="0" xfId="1" applyNumberFormat="1" applyFont="1" applyFill="1"/>
    <xf numFmtId="2" fontId="0" fillId="5" borderId="0" xfId="0" applyNumberFormat="1" applyFill="1" applyBorder="1"/>
    <xf numFmtId="2" fontId="0" fillId="5" borderId="0" xfId="0" applyNumberFormat="1" applyFill="1"/>
    <xf numFmtId="10" fontId="0" fillId="5" borderId="0" xfId="0" applyNumberFormat="1" applyFill="1" applyAlignment="1">
      <alignment horizontal="right"/>
    </xf>
    <xf numFmtId="0" fontId="0" fillId="6" borderId="0" xfId="0" applyFill="1"/>
    <xf numFmtId="10" fontId="0" fillId="6" borderId="0" xfId="1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Border="1"/>
    <xf numFmtId="9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10" fontId="0" fillId="0" borderId="0" xfId="1" applyNumberFormat="1" applyFont="1" applyFill="1"/>
    <xf numFmtId="2" fontId="0" fillId="0" borderId="0" xfId="0" applyNumberFormat="1" applyFill="1"/>
    <xf numFmtId="10" fontId="0" fillId="0" borderId="0" xfId="0" applyNumberFormat="1" applyFill="1" applyAlignment="1">
      <alignment horizontal="right"/>
    </xf>
    <xf numFmtId="164" fontId="0" fillId="0" borderId="0" xfId="0" applyNumberFormat="1" applyFill="1" applyBorder="1"/>
    <xf numFmtId="164" fontId="0" fillId="0" borderId="0" xfId="0" applyNumberFormat="1" applyFill="1"/>
    <xf numFmtId="164" fontId="0" fillId="5" borderId="0" xfId="0" applyNumberFormat="1" applyFill="1" applyBorder="1"/>
    <xf numFmtId="164" fontId="0" fillId="5" borderId="0" xfId="0" applyNumberFormat="1" applyFill="1"/>
    <xf numFmtId="0" fontId="0" fillId="7" borderId="0" xfId="0" applyFill="1"/>
    <xf numFmtId="10" fontId="0" fillId="7" borderId="0" xfId="0" applyNumberFormat="1" applyFill="1"/>
    <xf numFmtId="1" fontId="0" fillId="7" borderId="0" xfId="0" applyNumberFormat="1" applyFill="1"/>
    <xf numFmtId="10" fontId="0" fillId="7" borderId="0" xfId="1" applyNumberFormat="1" applyFont="1" applyFill="1"/>
    <xf numFmtId="164" fontId="0" fillId="7" borderId="0" xfId="0" applyNumberFormat="1" applyFill="1" applyBorder="1"/>
    <xf numFmtId="164" fontId="0" fillId="7" borderId="0" xfId="0" applyNumberFormat="1" applyFill="1"/>
    <xf numFmtId="10" fontId="0" fillId="7" borderId="0" xfId="0" applyNumberFormat="1" applyFill="1" applyAlignment="1">
      <alignment horizontal="right"/>
    </xf>
    <xf numFmtId="2" fontId="0" fillId="7" borderId="0" xfId="0" applyNumberFormat="1" applyFill="1"/>
    <xf numFmtId="10" fontId="0" fillId="6" borderId="0" xfId="0" applyNumberFormat="1" applyFill="1"/>
    <xf numFmtId="1" fontId="0" fillId="6" borderId="0" xfId="0" applyNumberFormat="1" applyFill="1"/>
    <xf numFmtId="164" fontId="0" fillId="6" borderId="0" xfId="0" applyNumberFormat="1" applyFill="1"/>
    <xf numFmtId="10" fontId="0" fillId="6" borderId="0" xfId="0" applyNumberFormat="1" applyFill="1" applyAlignment="1">
      <alignment horizontal="right"/>
    </xf>
    <xf numFmtId="2" fontId="0" fillId="6" borderId="0" xfId="0" applyNumberFormat="1" applyFill="1"/>
    <xf numFmtId="164" fontId="0" fillId="6" borderId="0" xfId="0" applyNumberFormat="1" applyFill="1" applyBorder="1"/>
    <xf numFmtId="0" fontId="0" fillId="6" borderId="1" xfId="0" applyFill="1" applyBorder="1"/>
    <xf numFmtId="1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1" applyNumberFormat="1" applyFont="1" applyFill="1" applyBorder="1"/>
    <xf numFmtId="0" fontId="0" fillId="0" borderId="1" xfId="0" applyFill="1" applyBorder="1"/>
    <xf numFmtId="1" fontId="0" fillId="0" borderId="1" xfId="0" applyNumberFormat="1" applyFill="1" applyBorder="1"/>
    <xf numFmtId="10" fontId="0" fillId="0" borderId="1" xfId="0" applyNumberFormat="1" applyFill="1" applyBorder="1"/>
    <xf numFmtId="10" fontId="0" fillId="0" borderId="1" xfId="1" applyNumberFormat="1" applyFont="1" applyFill="1" applyBorder="1"/>
    <xf numFmtId="0" fontId="0" fillId="6" borderId="2" xfId="0" applyFill="1" applyBorder="1"/>
    <xf numFmtId="1" fontId="0" fillId="6" borderId="2" xfId="0" applyNumberFormat="1" applyFill="1" applyBorder="1"/>
    <xf numFmtId="10" fontId="0" fillId="6" borderId="2" xfId="0" applyNumberFormat="1" applyFill="1" applyBorder="1"/>
    <xf numFmtId="10" fontId="0" fillId="6" borderId="2" xfId="1" applyNumberFormat="1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9" fontId="2" fillId="0" borderId="4" xfId="0" applyNumberFormat="1" applyFont="1" applyFill="1" applyBorder="1"/>
    <xf numFmtId="0" fontId="2" fillId="0" borderId="5" xfId="0" applyFont="1" applyFill="1" applyBorder="1"/>
    <xf numFmtId="2" fontId="0" fillId="6" borderId="2" xfId="0" applyNumberFormat="1" applyFill="1" applyBorder="1"/>
    <xf numFmtId="2" fontId="0" fillId="6" borderId="1" xfId="0" applyNumberFormat="1" applyFill="1" applyBorder="1"/>
    <xf numFmtId="2" fontId="0" fillId="0" borderId="1" xfId="0" applyNumberFormat="1" applyFill="1" applyBorder="1"/>
    <xf numFmtId="2" fontId="0" fillId="6" borderId="0" xfId="0" applyNumberFormat="1" applyFill="1" applyBorder="1"/>
    <xf numFmtId="2" fontId="0" fillId="0" borderId="0" xfId="0" applyNumberFormat="1" applyFill="1" applyBorder="1"/>
    <xf numFmtId="2" fontId="0" fillId="7" borderId="0" xfId="0" applyNumberFormat="1" applyFill="1" applyBorder="1"/>
    <xf numFmtId="165" fontId="0" fillId="0" borderId="0" xfId="0" applyNumberFormat="1"/>
    <xf numFmtId="0" fontId="0" fillId="0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CCE0-6B7C-4BF9-B24C-27D2AA145343}">
  <dimension ref="A1:AI16"/>
  <sheetViews>
    <sheetView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M1" sqref="M1:P1"/>
    </sheetView>
  </sheetViews>
  <sheetFormatPr defaultRowHeight="14.4" x14ac:dyDescent="0.3"/>
  <cols>
    <col min="1" max="1" width="3.109375" bestFit="1" customWidth="1"/>
    <col min="2" max="2" width="21.5546875" bestFit="1" customWidth="1"/>
    <col min="3" max="3" width="13.6640625" bestFit="1" customWidth="1"/>
    <col min="4" max="4" width="9.77734375" bestFit="1" customWidth="1"/>
    <col min="5" max="5" width="8.44140625" bestFit="1" customWidth="1"/>
    <col min="6" max="6" width="9.109375" customWidth="1"/>
    <col min="7" max="7" width="11" customWidth="1"/>
    <col min="8" max="8" width="10.33203125" customWidth="1"/>
    <col min="9" max="9" width="12.5546875" customWidth="1"/>
    <col min="10" max="10" width="12.6640625" customWidth="1"/>
    <col min="11" max="11" width="11.88671875" customWidth="1"/>
    <col min="12" max="12" width="12" customWidth="1"/>
    <col min="13" max="13" width="8.109375" customWidth="1"/>
    <col min="14" max="14" width="7.6640625" customWidth="1"/>
    <col min="15" max="15" width="8.88671875" customWidth="1"/>
    <col min="16" max="20" width="8.21875" customWidth="1"/>
    <col min="21" max="27" width="8.88671875" hidden="1" customWidth="1"/>
    <col min="28" max="28" width="11.88671875" hidden="1" customWidth="1"/>
    <col min="29" max="29" width="8.88671875" customWidth="1"/>
  </cols>
  <sheetData>
    <row r="1" spans="1:35" x14ac:dyDescent="0.3">
      <c r="A1" s="84" t="s">
        <v>31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 t="s">
        <v>4</v>
      </c>
      <c r="N1" s="84"/>
      <c r="O1" s="84"/>
      <c r="P1" s="84"/>
      <c r="Q1" s="84" t="s">
        <v>46</v>
      </c>
      <c r="R1" s="84"/>
      <c r="S1" s="84"/>
      <c r="T1" s="84"/>
      <c r="U1" s="84" t="s">
        <v>17</v>
      </c>
      <c r="V1" s="84"/>
      <c r="W1" s="84"/>
      <c r="X1" s="84"/>
      <c r="Y1" s="84" t="s">
        <v>18</v>
      </c>
      <c r="Z1" s="84"/>
      <c r="AA1" s="84"/>
      <c r="AB1" s="84"/>
      <c r="AC1" s="35"/>
    </row>
    <row r="2" spans="1:35" x14ac:dyDescent="0.3">
      <c r="A2" s="35" t="s">
        <v>28</v>
      </c>
      <c r="B2" s="35" t="s">
        <v>29</v>
      </c>
      <c r="C2" s="35" t="s">
        <v>37</v>
      </c>
      <c r="D2" s="35" t="s">
        <v>30</v>
      </c>
      <c r="E2" s="35" t="s">
        <v>50</v>
      </c>
      <c r="F2" s="35" t="s">
        <v>24</v>
      </c>
      <c r="G2" s="35" t="s">
        <v>2</v>
      </c>
      <c r="H2" s="35" t="s">
        <v>3</v>
      </c>
      <c r="I2" s="35" t="s">
        <v>22</v>
      </c>
      <c r="J2" s="35" t="s">
        <v>23</v>
      </c>
      <c r="K2" s="35" t="s">
        <v>48</v>
      </c>
      <c r="L2" s="35" t="s">
        <v>49</v>
      </c>
      <c r="M2" s="36" t="s">
        <v>5</v>
      </c>
      <c r="N2" s="35" t="s">
        <v>6</v>
      </c>
      <c r="O2" s="37" t="s">
        <v>13</v>
      </c>
      <c r="P2" s="35" t="s">
        <v>14</v>
      </c>
      <c r="Q2" s="36" t="s">
        <v>5</v>
      </c>
      <c r="R2" s="35" t="s">
        <v>6</v>
      </c>
      <c r="S2" s="37" t="s">
        <v>13</v>
      </c>
      <c r="T2" s="35" t="s">
        <v>14</v>
      </c>
      <c r="U2" s="35" t="s">
        <v>5</v>
      </c>
      <c r="V2" s="35" t="s">
        <v>6</v>
      </c>
      <c r="W2" s="37" t="s">
        <v>13</v>
      </c>
      <c r="X2" s="35" t="s">
        <v>14</v>
      </c>
      <c r="Y2" s="35" t="s">
        <v>5</v>
      </c>
      <c r="Z2" s="35" t="s">
        <v>6</v>
      </c>
      <c r="AA2" s="37" t="s">
        <v>13</v>
      </c>
      <c r="AB2" s="35" t="s">
        <v>14</v>
      </c>
      <c r="AC2" s="35" t="s">
        <v>36</v>
      </c>
      <c r="AD2" s="35" t="s">
        <v>51</v>
      </c>
      <c r="AE2" s="35" t="s">
        <v>52</v>
      </c>
      <c r="AF2" s="35" t="s">
        <v>53</v>
      </c>
    </row>
    <row r="3" spans="1:35" s="25" customFormat="1" x14ac:dyDescent="0.3">
      <c r="A3" s="25">
        <v>1</v>
      </c>
      <c r="B3" s="25" t="s">
        <v>38</v>
      </c>
      <c r="C3" s="25">
        <v>15</v>
      </c>
      <c r="D3" s="25">
        <f t="shared" ref="D3:D11" si="0">G3+H3</f>
        <v>1815</v>
      </c>
      <c r="E3" s="27">
        <f t="shared" ref="E3:E14" si="1">K3+L3</f>
        <v>605</v>
      </c>
      <c r="F3" s="26">
        <f t="shared" ref="F3:F14" si="2">E3/(G3+H3)</f>
        <v>0.33333333333333331</v>
      </c>
      <c r="G3" s="25">
        <f>496+982</f>
        <v>1478</v>
      </c>
      <c r="H3" s="25">
        <f>228+109</f>
        <v>337</v>
      </c>
      <c r="I3" s="28">
        <f t="shared" ref="I3:I14" si="3">K3/G3</f>
        <v>0.33558863328822736</v>
      </c>
      <c r="J3" s="28">
        <f t="shared" ref="J3:J14" si="4">L3/H3</f>
        <v>0.32344213649851633</v>
      </c>
      <c r="K3" s="25">
        <v>496</v>
      </c>
      <c r="L3" s="25">
        <v>109</v>
      </c>
      <c r="M3" s="29">
        <v>0.76569788450167497</v>
      </c>
      <c r="N3" s="30">
        <v>0.76404313536133905</v>
      </c>
      <c r="O3" s="28">
        <v>0.9274</v>
      </c>
      <c r="P3" s="28">
        <v>0.92659999999999998</v>
      </c>
      <c r="Q3" s="45" t="s">
        <v>47</v>
      </c>
      <c r="R3" s="46" t="s">
        <v>47</v>
      </c>
      <c r="S3" s="28"/>
      <c r="T3" s="28"/>
      <c r="U3" s="46">
        <v>0.78300000000000003</v>
      </c>
      <c r="V3" s="46">
        <v>0.94</v>
      </c>
      <c r="W3" s="28">
        <v>0.94579999999999997</v>
      </c>
      <c r="X3" s="28">
        <v>0.91300000000000003</v>
      </c>
      <c r="Y3" s="46">
        <v>0.75000900000000004</v>
      </c>
      <c r="Z3" s="46">
        <v>0.68231600000000003</v>
      </c>
      <c r="AA3" s="31">
        <v>0.93489999999999995</v>
      </c>
      <c r="AB3" s="31">
        <v>0.88700000000000001</v>
      </c>
      <c r="AC3" s="30"/>
      <c r="AD3" s="25">
        <f>ROUND(0.61*$L3,1)</f>
        <v>66.5</v>
      </c>
      <c r="AE3" s="25">
        <f>ROUND(0.33*$L3,1)</f>
        <v>36</v>
      </c>
      <c r="AF3" s="25">
        <f t="shared" ref="AF3:AF14" si="5">L3-AE3-AD3</f>
        <v>6.5</v>
      </c>
      <c r="AG3" s="25">
        <f>0.35*$H3</f>
        <v>117.94999999999999</v>
      </c>
      <c r="AH3" s="25">
        <f>0.39*$H3</f>
        <v>131.43</v>
      </c>
      <c r="AI3" s="25">
        <f t="shared" ref="AI3:AI12" si="6">H3-AG3-AH3</f>
        <v>87.62</v>
      </c>
    </row>
    <row r="4" spans="1:35" s="47" customFormat="1" x14ac:dyDescent="0.3">
      <c r="A4" s="47">
        <v>2</v>
      </c>
      <c r="B4" s="47" t="s">
        <v>39</v>
      </c>
      <c r="C4" s="47">
        <v>16</v>
      </c>
      <c r="D4" s="47">
        <f>G4+H4</f>
        <v>1815</v>
      </c>
      <c r="E4" s="49">
        <f t="shared" si="1"/>
        <v>100</v>
      </c>
      <c r="F4" s="48">
        <f t="shared" si="2"/>
        <v>5.5096418732782371E-2</v>
      </c>
      <c r="G4" s="47">
        <v>1452</v>
      </c>
      <c r="H4" s="47">
        <v>363</v>
      </c>
      <c r="I4" s="50">
        <f t="shared" si="3"/>
        <v>5.4407713498622591E-2</v>
      </c>
      <c r="J4" s="50">
        <f t="shared" si="4"/>
        <v>5.7851239669421489E-2</v>
      </c>
      <c r="K4" s="47">
        <v>79</v>
      </c>
      <c r="L4" s="47">
        <v>21</v>
      </c>
      <c r="M4" s="82">
        <v>0.82023103801156105</v>
      </c>
      <c r="N4" s="54">
        <v>0.81759955444165899</v>
      </c>
      <c r="O4" s="50">
        <v>0.97470000000000001</v>
      </c>
      <c r="P4" s="50">
        <v>1</v>
      </c>
      <c r="Q4" s="51">
        <v>0.85499726676384802</v>
      </c>
      <c r="R4" s="52">
        <v>0.78221574344023304</v>
      </c>
      <c r="S4" s="50"/>
      <c r="T4" s="50"/>
      <c r="U4" s="52">
        <v>0.83299999999999996</v>
      </c>
      <c r="V4" s="52">
        <v>0.745</v>
      </c>
      <c r="W4" s="50"/>
      <c r="X4" s="50"/>
      <c r="Y4" s="52">
        <v>0.840675109329446</v>
      </c>
      <c r="Z4" s="52">
        <v>0.75218658892128198</v>
      </c>
      <c r="AA4" s="53"/>
      <c r="AB4" s="53"/>
      <c r="AC4" s="54"/>
      <c r="AD4" s="47">
        <f>ROUND(0.76*$L4,1)</f>
        <v>16</v>
      </c>
      <c r="AE4" s="47">
        <f>ROUND(0.24*$L4,1)</f>
        <v>5</v>
      </c>
      <c r="AF4" s="47">
        <f t="shared" si="5"/>
        <v>0</v>
      </c>
      <c r="AG4" s="47">
        <f>0.24*$H4</f>
        <v>87.11999999999999</v>
      </c>
      <c r="AH4" s="47">
        <f>0.31*$H4</f>
        <v>112.53</v>
      </c>
      <c r="AI4" s="47">
        <f t="shared" si="6"/>
        <v>163.35</v>
      </c>
    </row>
    <row r="5" spans="1:35" s="32" customFormat="1" x14ac:dyDescent="0.3">
      <c r="A5" s="32">
        <v>3</v>
      </c>
      <c r="B5" s="32" t="s">
        <v>27</v>
      </c>
      <c r="C5" s="32">
        <v>8</v>
      </c>
      <c r="D5" s="32">
        <f t="shared" si="0"/>
        <v>1815</v>
      </c>
      <c r="E5" s="56">
        <f t="shared" si="1"/>
        <v>380</v>
      </c>
      <c r="F5" s="55">
        <f t="shared" si="2"/>
        <v>0.20936639118457301</v>
      </c>
      <c r="G5" s="32">
        <v>1479</v>
      </c>
      <c r="H5" s="32">
        <v>336</v>
      </c>
      <c r="I5" s="33">
        <f t="shared" si="3"/>
        <v>0.213657876943881</v>
      </c>
      <c r="J5" s="33">
        <f t="shared" si="4"/>
        <v>0.19047619047619047</v>
      </c>
      <c r="K5" s="32">
        <v>316</v>
      </c>
      <c r="L5" s="32">
        <v>64</v>
      </c>
      <c r="M5" s="59">
        <v>0.77181721214232002</v>
      </c>
      <c r="N5" s="59">
        <v>0.76694623161764697</v>
      </c>
      <c r="O5" s="33">
        <v>0.93989999999999996</v>
      </c>
      <c r="P5" s="33">
        <v>0.9375</v>
      </c>
      <c r="Q5" s="57" t="s">
        <v>47</v>
      </c>
      <c r="R5" s="57" t="s">
        <v>47</v>
      </c>
      <c r="S5" s="33"/>
      <c r="T5" s="33"/>
      <c r="U5" s="57">
        <v>0.75588286513490799</v>
      </c>
      <c r="V5" s="57">
        <v>0.74931066176470495</v>
      </c>
      <c r="W5" s="33"/>
      <c r="X5" s="33"/>
      <c r="Y5" s="57">
        <v>0.80397230320699697</v>
      </c>
      <c r="Z5" s="57">
        <v>0.74606413994169096</v>
      </c>
      <c r="AA5" s="58"/>
      <c r="AB5" s="58"/>
      <c r="AC5" s="59"/>
      <c r="AD5" s="32">
        <f>ROUND(0.67*$L5,1)</f>
        <v>42.9</v>
      </c>
      <c r="AE5" s="32">
        <f>ROUND(0.24*$L5,1)</f>
        <v>15.4</v>
      </c>
      <c r="AF5" s="32">
        <f t="shared" si="5"/>
        <v>5.7000000000000028</v>
      </c>
      <c r="AG5" s="32">
        <f>0.31*$H5</f>
        <v>104.16</v>
      </c>
      <c r="AH5" s="32">
        <f>0.29*$H5</f>
        <v>97.44</v>
      </c>
      <c r="AI5" s="32">
        <f t="shared" si="6"/>
        <v>134.4</v>
      </c>
    </row>
    <row r="6" spans="1:35" x14ac:dyDescent="0.3">
      <c r="A6" s="35">
        <v>4</v>
      </c>
      <c r="B6" s="35" t="s">
        <v>40</v>
      </c>
      <c r="C6" s="35">
        <v>3</v>
      </c>
      <c r="D6" s="35">
        <f t="shared" si="0"/>
        <v>1815</v>
      </c>
      <c r="E6" s="39">
        <f t="shared" si="1"/>
        <v>56</v>
      </c>
      <c r="F6" s="38">
        <f t="shared" si="2"/>
        <v>3.0853994490358128E-2</v>
      </c>
      <c r="G6" s="35">
        <v>1452</v>
      </c>
      <c r="H6" s="35">
        <v>363</v>
      </c>
      <c r="I6" s="40">
        <f t="shared" si="3"/>
        <v>2.9614325068870524E-2</v>
      </c>
      <c r="J6" s="40">
        <f t="shared" si="4"/>
        <v>3.5812672176308541E-2</v>
      </c>
      <c r="K6" s="35">
        <v>43</v>
      </c>
      <c r="L6" s="35">
        <v>13</v>
      </c>
      <c r="M6" s="81">
        <v>0.95285292224404505</v>
      </c>
      <c r="N6" s="41">
        <v>0.95142857142857096</v>
      </c>
      <c r="O6" s="40">
        <v>1</v>
      </c>
      <c r="P6" s="40">
        <v>1</v>
      </c>
      <c r="Q6" s="43">
        <v>0.93160248898278497</v>
      </c>
      <c r="R6" s="44">
        <v>0.93230769230769195</v>
      </c>
      <c r="S6" s="40">
        <v>1</v>
      </c>
      <c r="T6" s="40">
        <v>1</v>
      </c>
      <c r="U6" s="44">
        <v>0.95399999999999996</v>
      </c>
      <c r="V6" s="44">
        <v>0.96499999999999997</v>
      </c>
      <c r="W6" s="40"/>
      <c r="X6" s="40"/>
      <c r="Y6" s="44">
        <v>0.92712958225361797</v>
      </c>
      <c r="Z6" s="44">
        <v>0.95934065934065904</v>
      </c>
      <c r="AA6" s="42"/>
      <c r="AB6" s="42"/>
      <c r="AC6" s="41"/>
      <c r="AD6">
        <f>ROUND(1*$L6,1)</f>
        <v>13</v>
      </c>
      <c r="AF6">
        <f t="shared" si="5"/>
        <v>0</v>
      </c>
      <c r="AG6">
        <f>0.19*$H6</f>
        <v>68.97</v>
      </c>
      <c r="AI6">
        <f t="shared" si="6"/>
        <v>294.02999999999997</v>
      </c>
    </row>
    <row r="7" spans="1:35" x14ac:dyDescent="0.3">
      <c r="A7" s="35">
        <v>5</v>
      </c>
      <c r="B7" s="35" t="s">
        <v>41</v>
      </c>
      <c r="C7" s="35">
        <v>12</v>
      </c>
      <c r="D7" s="35">
        <f t="shared" si="0"/>
        <v>1815</v>
      </c>
      <c r="E7" s="39">
        <f t="shared" si="1"/>
        <v>22</v>
      </c>
      <c r="F7" s="38">
        <f t="shared" si="2"/>
        <v>1.2121212121212121E-2</v>
      </c>
      <c r="G7" s="35">
        <v>1452</v>
      </c>
      <c r="H7" s="35">
        <v>363</v>
      </c>
      <c r="I7" s="40">
        <f t="shared" si="3"/>
        <v>1.1019283746556474E-2</v>
      </c>
      <c r="J7" s="40">
        <f t="shared" si="4"/>
        <v>1.6528925619834711E-2</v>
      </c>
      <c r="K7" s="35">
        <v>16</v>
      </c>
      <c r="L7" s="35">
        <v>6</v>
      </c>
      <c r="M7" s="81">
        <v>0.78512360724233898</v>
      </c>
      <c r="N7" s="41">
        <v>0.79878618113912203</v>
      </c>
      <c r="O7" s="40">
        <v>0.9375</v>
      </c>
      <c r="P7" s="40">
        <v>1</v>
      </c>
      <c r="Q7" s="43">
        <v>0.733678621169916</v>
      </c>
      <c r="R7" s="44">
        <v>0.73085901027077504</v>
      </c>
      <c r="S7" s="40">
        <v>0.9375</v>
      </c>
      <c r="T7" s="40">
        <v>0.83330000000000004</v>
      </c>
      <c r="U7" s="44">
        <v>0.88900000000000001</v>
      </c>
      <c r="V7" s="44">
        <v>0.63100000000000001</v>
      </c>
      <c r="W7" s="40"/>
      <c r="X7" s="40"/>
      <c r="Y7" s="44">
        <v>0.87417305013927504</v>
      </c>
      <c r="Z7" s="44">
        <v>0.61391223155928998</v>
      </c>
      <c r="AA7" s="42"/>
      <c r="AB7" s="42"/>
      <c r="AC7" s="41"/>
      <c r="AD7">
        <f>ROUND(0.83*$L7,1)</f>
        <v>5</v>
      </c>
      <c r="AE7">
        <f>ROUND(0.17*$L7,1)</f>
        <v>1</v>
      </c>
      <c r="AF7">
        <f t="shared" si="5"/>
        <v>0</v>
      </c>
      <c r="AG7">
        <f>0.24*$H7</f>
        <v>87.11999999999999</v>
      </c>
      <c r="AH7" s="83">
        <f>0.6*$H7</f>
        <v>217.79999999999998</v>
      </c>
      <c r="AI7">
        <f t="shared" si="6"/>
        <v>58.080000000000013</v>
      </c>
    </row>
    <row r="8" spans="1:35" s="47" customFormat="1" x14ac:dyDescent="0.3">
      <c r="A8" s="47">
        <v>6</v>
      </c>
      <c r="B8" s="47" t="s">
        <v>42</v>
      </c>
      <c r="C8" s="47">
        <v>17</v>
      </c>
      <c r="D8" s="47">
        <f t="shared" si="0"/>
        <v>1815</v>
      </c>
      <c r="E8" s="49">
        <f t="shared" si="1"/>
        <v>126</v>
      </c>
      <c r="F8" s="48">
        <f t="shared" si="2"/>
        <v>6.9421487603305784E-2</v>
      </c>
      <c r="G8" s="47">
        <v>1452</v>
      </c>
      <c r="H8" s="47">
        <v>363</v>
      </c>
      <c r="I8" s="50">
        <f t="shared" si="3"/>
        <v>6.8181818181818177E-2</v>
      </c>
      <c r="J8" s="50">
        <f t="shared" si="4"/>
        <v>7.43801652892562E-2</v>
      </c>
      <c r="K8" s="47">
        <v>99</v>
      </c>
      <c r="L8" s="47">
        <v>27</v>
      </c>
      <c r="M8" s="82">
        <v>0.772402517413603</v>
      </c>
      <c r="N8" s="54">
        <v>0.76377865961199198</v>
      </c>
      <c r="O8" s="50">
        <v>0.95960000000000001</v>
      </c>
      <c r="P8" s="50">
        <v>0.96299999999999997</v>
      </c>
      <c r="Q8" s="51" t="s">
        <v>47</v>
      </c>
      <c r="R8" s="52" t="s">
        <v>47</v>
      </c>
      <c r="S8" s="50"/>
      <c r="T8" s="50"/>
      <c r="U8" s="52">
        <v>0.75938990794866601</v>
      </c>
      <c r="V8" s="52">
        <v>0.75705467372134005</v>
      </c>
      <c r="W8" s="50"/>
      <c r="X8" s="50"/>
      <c r="Y8" s="52"/>
      <c r="Z8" s="52"/>
      <c r="AA8" s="53"/>
      <c r="AB8" s="53"/>
      <c r="AC8" s="54"/>
      <c r="AD8" s="47">
        <f>ROUND(0.56*$L8,1)</f>
        <v>15.1</v>
      </c>
      <c r="AE8" s="47">
        <f>ROUND(0.26*$L8,1)</f>
        <v>7</v>
      </c>
      <c r="AF8" s="47">
        <f t="shared" si="5"/>
        <v>4.9000000000000004</v>
      </c>
      <c r="AG8" s="47">
        <f>0.15*$H8</f>
        <v>54.449999999999996</v>
      </c>
      <c r="AH8" s="47">
        <f>0.5*$H8</f>
        <v>181.5</v>
      </c>
      <c r="AI8" s="47">
        <f t="shared" si="6"/>
        <v>127.05000000000001</v>
      </c>
    </row>
    <row r="9" spans="1:35" s="47" customFormat="1" x14ac:dyDescent="0.3">
      <c r="A9" s="47">
        <v>7</v>
      </c>
      <c r="B9" s="47" t="s">
        <v>54</v>
      </c>
      <c r="C9" s="47">
        <v>2</v>
      </c>
      <c r="D9" s="47">
        <f t="shared" si="0"/>
        <v>1815</v>
      </c>
      <c r="E9" s="49">
        <f t="shared" si="1"/>
        <v>61</v>
      </c>
      <c r="F9" s="48">
        <f t="shared" si="2"/>
        <v>3.3608815426997243E-2</v>
      </c>
      <c r="G9" s="47">
        <v>1452</v>
      </c>
      <c r="H9" s="47">
        <v>363</v>
      </c>
      <c r="I9" s="50">
        <f t="shared" si="3"/>
        <v>3.3057851239669422E-2</v>
      </c>
      <c r="J9" s="50">
        <f t="shared" si="4"/>
        <v>3.5812672176308541E-2</v>
      </c>
      <c r="K9" s="47">
        <v>48</v>
      </c>
      <c r="L9" s="47">
        <v>13</v>
      </c>
      <c r="M9" s="82">
        <v>0.79668951804368404</v>
      </c>
      <c r="N9" s="54">
        <v>0.79978021978021896</v>
      </c>
      <c r="O9" s="50">
        <v>1</v>
      </c>
      <c r="P9" s="50">
        <v>1</v>
      </c>
      <c r="Q9" s="51">
        <v>0.71736263736263695</v>
      </c>
      <c r="R9" s="52">
        <v>0.71752581908831903</v>
      </c>
      <c r="S9" s="50">
        <v>0.9375</v>
      </c>
      <c r="T9" s="50">
        <v>1</v>
      </c>
      <c r="U9" s="52">
        <v>0.79400000000000004</v>
      </c>
      <c r="V9" s="52">
        <v>0.71399999999999997</v>
      </c>
      <c r="W9" s="50"/>
      <c r="X9" s="50"/>
      <c r="Y9" s="52">
        <v>0.77348943494776801</v>
      </c>
      <c r="Z9" s="52">
        <v>0.72043956043956003</v>
      </c>
      <c r="AA9" s="53"/>
      <c r="AB9" s="53"/>
      <c r="AC9" s="54"/>
      <c r="AD9" s="47">
        <f>ROUND(0.46*$L9,1)</f>
        <v>6</v>
      </c>
      <c r="AE9" s="47">
        <f>ROUND(0.54*$L9,1)</f>
        <v>7</v>
      </c>
      <c r="AF9" s="47">
        <f t="shared" si="5"/>
        <v>0</v>
      </c>
      <c r="AG9" s="47">
        <f>0.21*$H9</f>
        <v>76.23</v>
      </c>
      <c r="AH9" s="47">
        <f>0.4*$H9</f>
        <v>145.20000000000002</v>
      </c>
      <c r="AI9" s="47">
        <f t="shared" si="6"/>
        <v>141.56999999999996</v>
      </c>
    </row>
    <row r="10" spans="1:35" x14ac:dyDescent="0.3">
      <c r="A10" s="35">
        <v>8</v>
      </c>
      <c r="B10" s="35" t="s">
        <v>43</v>
      </c>
      <c r="C10" s="35">
        <v>6</v>
      </c>
      <c r="D10" s="35">
        <f t="shared" si="0"/>
        <v>1815</v>
      </c>
      <c r="E10" s="39">
        <f t="shared" si="1"/>
        <v>58</v>
      </c>
      <c r="F10" s="38">
        <f t="shared" si="2"/>
        <v>3.1955922865013774E-2</v>
      </c>
      <c r="G10" s="35">
        <v>1452</v>
      </c>
      <c r="H10" s="35">
        <v>363</v>
      </c>
      <c r="I10" s="40">
        <f t="shared" si="3"/>
        <v>3.0303030303030304E-2</v>
      </c>
      <c r="J10" s="40">
        <f t="shared" si="4"/>
        <v>3.8567493112947659E-2</v>
      </c>
      <c r="K10" s="35">
        <v>44</v>
      </c>
      <c r="L10" s="35">
        <v>14</v>
      </c>
      <c r="M10" s="81">
        <v>0.906976368801652</v>
      </c>
      <c r="N10" s="41">
        <v>0.90851412198116999</v>
      </c>
      <c r="O10" s="40">
        <v>1</v>
      </c>
      <c r="P10" s="40">
        <v>1</v>
      </c>
      <c r="Q10" s="43">
        <v>0.89810659865702402</v>
      </c>
      <c r="R10" s="44">
        <v>0.89807613589848501</v>
      </c>
      <c r="S10" s="40">
        <v>1</v>
      </c>
      <c r="T10" s="40">
        <v>1</v>
      </c>
      <c r="U10" s="44">
        <v>0.93200000000000005</v>
      </c>
      <c r="V10" s="44">
        <v>0.878</v>
      </c>
      <c r="W10" s="40"/>
      <c r="X10" s="40"/>
      <c r="Y10" s="44">
        <v>0.92403796487603296</v>
      </c>
      <c r="Z10" s="44">
        <v>0.86717151043798602</v>
      </c>
      <c r="AA10" s="42"/>
      <c r="AB10" s="42"/>
      <c r="AC10" s="41"/>
      <c r="AD10">
        <f>ROUND(0.71*$L10,1)</f>
        <v>9.9</v>
      </c>
      <c r="AE10">
        <f>ROUND(0.29*$L10,1)</f>
        <v>4.0999999999999996</v>
      </c>
      <c r="AF10">
        <f t="shared" si="5"/>
        <v>0</v>
      </c>
      <c r="AG10">
        <f>0.09*$H10</f>
        <v>32.67</v>
      </c>
      <c r="AH10">
        <f>0.4*$H10</f>
        <v>145.20000000000002</v>
      </c>
      <c r="AI10">
        <f t="shared" si="6"/>
        <v>185.12999999999997</v>
      </c>
    </row>
    <row r="11" spans="1:35" s="32" customFormat="1" x14ac:dyDescent="0.3">
      <c r="A11" s="32">
        <v>9</v>
      </c>
      <c r="B11" s="32" t="s">
        <v>44</v>
      </c>
      <c r="C11" s="32">
        <v>22</v>
      </c>
      <c r="D11" s="32">
        <f t="shared" si="0"/>
        <v>1815</v>
      </c>
      <c r="E11" s="56">
        <f t="shared" si="1"/>
        <v>119</v>
      </c>
      <c r="F11" s="55">
        <f t="shared" si="2"/>
        <v>6.5564738292011024E-2</v>
      </c>
      <c r="G11" s="32">
        <v>1452</v>
      </c>
      <c r="H11" s="32">
        <v>363</v>
      </c>
      <c r="I11" s="33">
        <f t="shared" si="3"/>
        <v>6.4738292011019286E-2</v>
      </c>
      <c r="J11" s="33">
        <f t="shared" si="4"/>
        <v>6.8870523415977963E-2</v>
      </c>
      <c r="K11" s="32">
        <v>94</v>
      </c>
      <c r="L11" s="32">
        <v>25</v>
      </c>
      <c r="M11" s="80">
        <v>0.76187603797825298</v>
      </c>
      <c r="N11" s="59">
        <v>0.75396449704141999</v>
      </c>
      <c r="O11" s="33">
        <v>0.93620000000000003</v>
      </c>
      <c r="P11" s="33">
        <v>0.96</v>
      </c>
      <c r="Q11" s="60">
        <v>0.74743051421050899</v>
      </c>
      <c r="R11" s="57">
        <v>0.67443786982248499</v>
      </c>
      <c r="S11" s="33"/>
      <c r="T11" s="33"/>
      <c r="U11" s="57"/>
      <c r="V11" s="57"/>
      <c r="W11" s="33"/>
      <c r="X11" s="33"/>
      <c r="Y11" s="57"/>
      <c r="Z11" s="57"/>
      <c r="AA11" s="58"/>
      <c r="AB11" s="58"/>
      <c r="AC11" s="59"/>
      <c r="AD11" s="32">
        <f>ROUND(0.52*$L11,1)</f>
        <v>13</v>
      </c>
      <c r="AE11" s="32">
        <f>ROUND(0.4*$L11,1)</f>
        <v>10</v>
      </c>
      <c r="AF11" s="32">
        <f t="shared" si="5"/>
        <v>2</v>
      </c>
      <c r="AG11" s="32">
        <f>0.19*$H11</f>
        <v>68.97</v>
      </c>
      <c r="AH11" s="32">
        <f>0.38*$H11</f>
        <v>137.94</v>
      </c>
      <c r="AI11" s="32">
        <f t="shared" si="6"/>
        <v>156.08999999999997</v>
      </c>
    </row>
    <row r="12" spans="1:35" s="32" customFormat="1" x14ac:dyDescent="0.3">
      <c r="A12" s="32">
        <v>10</v>
      </c>
      <c r="B12" s="32" t="s">
        <v>45</v>
      </c>
      <c r="D12" s="32">
        <f t="shared" ref="D12:D14" si="7">G12+H12</f>
        <v>1815</v>
      </c>
      <c r="E12" s="32">
        <f t="shared" si="1"/>
        <v>110</v>
      </c>
      <c r="F12" s="33">
        <f t="shared" si="2"/>
        <v>6.0606060606060608E-2</v>
      </c>
      <c r="G12" s="32">
        <v>1452</v>
      </c>
      <c r="H12" s="32">
        <v>363</v>
      </c>
      <c r="I12" s="33">
        <f t="shared" si="3"/>
        <v>5.9917355371900828E-2</v>
      </c>
      <c r="J12" s="33">
        <f t="shared" si="4"/>
        <v>6.3360881542699726E-2</v>
      </c>
      <c r="K12" s="32">
        <v>87</v>
      </c>
      <c r="L12" s="32">
        <v>23</v>
      </c>
      <c r="M12" s="59">
        <v>0.77525156835501596</v>
      </c>
      <c r="N12" s="59">
        <v>0.77647058823529402</v>
      </c>
      <c r="O12" s="55">
        <v>0.97699999999999998</v>
      </c>
      <c r="P12" s="55">
        <v>0.95650000000000002</v>
      </c>
      <c r="Q12" s="57" t="s">
        <v>47</v>
      </c>
      <c r="R12" s="57" t="s">
        <v>47</v>
      </c>
      <c r="S12" s="55"/>
      <c r="T12" s="55"/>
      <c r="U12" s="57">
        <v>0.84499999999999997</v>
      </c>
      <c r="V12" s="57">
        <v>0.68899999999999995</v>
      </c>
      <c r="Y12" s="57">
        <v>0.82605363984674296</v>
      </c>
      <c r="Z12" s="57">
        <v>0.67953964194373395</v>
      </c>
      <c r="AD12" s="59">
        <f>ROUND(0.7*$L12,1)</f>
        <v>16.100000000000001</v>
      </c>
      <c r="AE12" s="59">
        <f>ROUND(0.26*$L12,1)</f>
        <v>6</v>
      </c>
      <c r="AF12" s="59">
        <f t="shared" si="5"/>
        <v>0.89999999999999858</v>
      </c>
      <c r="AG12" s="59">
        <f>0.29*$H12</f>
        <v>105.27</v>
      </c>
      <c r="AH12" s="59">
        <f>0.4*$H12</f>
        <v>145.20000000000002</v>
      </c>
      <c r="AI12" s="59">
        <f t="shared" si="6"/>
        <v>112.53</v>
      </c>
    </row>
    <row r="13" spans="1:35" s="32" customFormat="1" x14ac:dyDescent="0.3">
      <c r="A13" s="32">
        <v>11</v>
      </c>
      <c r="B13" s="32" t="s">
        <v>32</v>
      </c>
      <c r="D13" s="32">
        <f t="shared" si="7"/>
        <v>1815</v>
      </c>
      <c r="E13" s="32">
        <f t="shared" si="1"/>
        <v>657</v>
      </c>
      <c r="F13" s="33">
        <f t="shared" si="2"/>
        <v>0.36198347107438017</v>
      </c>
      <c r="G13" s="32">
        <v>1480</v>
      </c>
      <c r="H13" s="32">
        <v>335</v>
      </c>
      <c r="I13" s="33">
        <f t="shared" si="3"/>
        <v>0.36486486486486486</v>
      </c>
      <c r="J13" s="33">
        <f t="shared" si="4"/>
        <v>0.34925373134328358</v>
      </c>
      <c r="K13" s="32">
        <v>540</v>
      </c>
      <c r="L13" s="32">
        <v>117</v>
      </c>
      <c r="M13" s="59">
        <v>0.78852442868400296</v>
      </c>
      <c r="N13" s="59">
        <v>0.78412922449619604</v>
      </c>
      <c r="O13" s="55">
        <v>0.92779999999999996</v>
      </c>
      <c r="P13" s="55">
        <v>0.93159999999999998</v>
      </c>
      <c r="Q13" s="57" t="s">
        <v>47</v>
      </c>
      <c r="R13" s="57" t="s">
        <v>47</v>
      </c>
      <c r="S13" s="55"/>
      <c r="T13" s="55"/>
      <c r="U13" s="57">
        <v>0.78100000000000003</v>
      </c>
      <c r="V13" s="57">
        <v>0.77100000000000002</v>
      </c>
      <c r="Y13" s="57">
        <v>0.74201241134751705</v>
      </c>
      <c r="Z13" s="57">
        <v>0.75625343056535699</v>
      </c>
      <c r="AD13" s="59">
        <f>ROUND(0.6*$L13,1)</f>
        <v>70.2</v>
      </c>
      <c r="AE13" s="59">
        <f>ROUND(0.33*$L13,1)</f>
        <v>38.6</v>
      </c>
      <c r="AF13" s="59">
        <f t="shared" si="5"/>
        <v>8.2000000000000028</v>
      </c>
      <c r="AG13" s="59">
        <f>0.34*$H13</f>
        <v>113.9</v>
      </c>
      <c r="AH13" s="59">
        <f>0.39*$H13</f>
        <v>130.65</v>
      </c>
      <c r="AI13" s="59">
        <f t="shared" ref="AI13:AI14" si="8">H13-AG13-AH13</f>
        <v>90.449999999999989</v>
      </c>
    </row>
    <row r="14" spans="1:35" s="32" customFormat="1" x14ac:dyDescent="0.3">
      <c r="A14" s="32">
        <v>12</v>
      </c>
      <c r="B14" s="32" t="s">
        <v>33</v>
      </c>
      <c r="D14" s="32">
        <f t="shared" si="7"/>
        <v>1815</v>
      </c>
      <c r="E14" s="32">
        <f t="shared" si="1"/>
        <v>566</v>
      </c>
      <c r="F14" s="33">
        <f t="shared" si="2"/>
        <v>0.31184573002754823</v>
      </c>
      <c r="G14" s="32">
        <v>1476</v>
      </c>
      <c r="H14" s="32">
        <v>339</v>
      </c>
      <c r="I14" s="33">
        <f t="shared" si="3"/>
        <v>0.3143631436314363</v>
      </c>
      <c r="J14" s="33">
        <f t="shared" si="4"/>
        <v>0.30088495575221241</v>
      </c>
      <c r="K14" s="32">
        <v>464</v>
      </c>
      <c r="L14" s="32">
        <v>102</v>
      </c>
      <c r="M14" s="59">
        <v>0.73142335082458698</v>
      </c>
      <c r="N14" s="59">
        <v>0.73181931000248202</v>
      </c>
      <c r="O14" s="55">
        <v>0.92669999999999997</v>
      </c>
      <c r="P14" s="55">
        <v>0.91180000000000005</v>
      </c>
      <c r="Q14" s="57" t="s">
        <v>47</v>
      </c>
      <c r="R14" s="57" t="s">
        <v>47</v>
      </c>
      <c r="S14" s="55"/>
      <c r="T14" s="55"/>
      <c r="U14" s="57">
        <v>0.77800000000000002</v>
      </c>
      <c r="V14" s="57">
        <v>0.70199999999999996</v>
      </c>
      <c r="Y14" s="57">
        <v>0.73032553325609895</v>
      </c>
      <c r="Z14" s="57">
        <v>0.676387854719947</v>
      </c>
      <c r="AD14" s="59">
        <f>ROUND(0.5*$L14,1)</f>
        <v>51</v>
      </c>
      <c r="AE14" s="59">
        <f>ROUND(0.43*$L14,1)</f>
        <v>43.9</v>
      </c>
      <c r="AF14" s="59">
        <f t="shared" si="5"/>
        <v>7.1000000000000014</v>
      </c>
      <c r="AG14" s="59">
        <f>0.28*$H14</f>
        <v>94.920000000000016</v>
      </c>
      <c r="AH14" s="59">
        <f>0.47*$H14</f>
        <v>159.32999999999998</v>
      </c>
      <c r="AI14" s="59">
        <f t="shared" si="8"/>
        <v>84.75</v>
      </c>
    </row>
    <row r="16" spans="1:35" x14ac:dyDescent="0.3">
      <c r="H16" s="34"/>
    </row>
  </sheetData>
  <mergeCells count="5">
    <mergeCell ref="A1:L1"/>
    <mergeCell ref="M1:P1"/>
    <mergeCell ref="U1:X1"/>
    <mergeCell ref="Y1:AB1"/>
    <mergeCell ref="Q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8543-7D36-48CD-8219-ABD73DB9793B}">
  <dimension ref="A1:T13"/>
  <sheetViews>
    <sheetView workbookViewId="0">
      <selection activeCell="P2" sqref="P2:P13"/>
    </sheetView>
  </sheetViews>
  <sheetFormatPr defaultRowHeight="14.4" x14ac:dyDescent="0.3"/>
  <cols>
    <col min="1" max="1" width="3.109375" bestFit="1" customWidth="1"/>
    <col min="2" max="2" width="21.5546875" bestFit="1" customWidth="1"/>
    <col min="3" max="3" width="11.6640625" bestFit="1" customWidth="1"/>
    <col min="4" max="4" width="10.33203125" bestFit="1" customWidth="1"/>
    <col min="5" max="5" width="11.33203125" bestFit="1" customWidth="1"/>
    <col min="6" max="6" width="10.6640625" bestFit="1" customWidth="1"/>
    <col min="13" max="13" width="11.88671875" bestFit="1" customWidth="1"/>
  </cols>
  <sheetData>
    <row r="1" spans="1:20" ht="15" thickBot="1" x14ac:dyDescent="0.35">
      <c r="A1" s="73" t="s">
        <v>55</v>
      </c>
      <c r="B1" s="74" t="s">
        <v>56</v>
      </c>
      <c r="C1" s="74" t="s">
        <v>57</v>
      </c>
      <c r="D1" s="74" t="s">
        <v>58</v>
      </c>
      <c r="E1" s="74" t="s">
        <v>59</v>
      </c>
      <c r="F1" s="74" t="s">
        <v>60</v>
      </c>
      <c r="G1" s="74" t="s">
        <v>61</v>
      </c>
      <c r="H1" s="74" t="s">
        <v>62</v>
      </c>
      <c r="I1" s="74" t="s">
        <v>63</v>
      </c>
      <c r="J1" s="75" t="s">
        <v>64</v>
      </c>
      <c r="K1" s="76" t="s">
        <v>65</v>
      </c>
      <c r="L1" s="35" t="s">
        <v>22</v>
      </c>
      <c r="M1" s="35" t="s">
        <v>23</v>
      </c>
      <c r="N1" s="35" t="s">
        <v>48</v>
      </c>
      <c r="O1" s="35" t="s">
        <v>49</v>
      </c>
      <c r="P1" s="36" t="s">
        <v>5</v>
      </c>
      <c r="Q1" s="36" t="s">
        <v>5</v>
      </c>
      <c r="R1" s="35" t="s">
        <v>6</v>
      </c>
      <c r="S1" s="37" t="s">
        <v>13</v>
      </c>
      <c r="T1" s="35" t="s">
        <v>14</v>
      </c>
    </row>
    <row r="2" spans="1:20" x14ac:dyDescent="0.3">
      <c r="A2" s="69">
        <v>1</v>
      </c>
      <c r="B2" s="69" t="s">
        <v>38</v>
      </c>
      <c r="C2" s="69">
        <v>15</v>
      </c>
      <c r="D2" s="69">
        <f t="shared" ref="D2:D13" si="0">E2+F2</f>
        <v>1815</v>
      </c>
      <c r="E2" s="69">
        <f>496+982</f>
        <v>1478</v>
      </c>
      <c r="F2" s="69">
        <f>228+109</f>
        <v>337</v>
      </c>
      <c r="G2" s="70">
        <f t="shared" ref="G2:G13" si="1">N2+O2</f>
        <v>605</v>
      </c>
      <c r="H2" s="71">
        <f t="shared" ref="H2:H13" si="2">G2/(E2+F2)</f>
        <v>0.33333333333333331</v>
      </c>
      <c r="I2" s="77">
        <v>0.76404313536133905</v>
      </c>
      <c r="J2" s="72">
        <v>0.9274</v>
      </c>
      <c r="K2" s="72">
        <v>0.92659999999999998</v>
      </c>
      <c r="L2" s="33">
        <f t="shared" ref="L2:L13" si="3">N2/E2</f>
        <v>0.33558863328822736</v>
      </c>
      <c r="M2" s="33">
        <f t="shared" ref="M2:M13" si="4">O2/F2</f>
        <v>0.32344213649851633</v>
      </c>
      <c r="N2" s="32">
        <v>496</v>
      </c>
      <c r="O2" s="32">
        <v>109</v>
      </c>
      <c r="P2" s="80">
        <v>0.76569788450167497</v>
      </c>
      <c r="Q2" s="60" t="s">
        <v>47</v>
      </c>
      <c r="R2" s="57" t="s">
        <v>47</v>
      </c>
      <c r="S2" s="33"/>
      <c r="T2" s="33"/>
    </row>
    <row r="3" spans="1:20" x14ac:dyDescent="0.3">
      <c r="A3" s="61">
        <v>2</v>
      </c>
      <c r="B3" s="61" t="s">
        <v>39</v>
      </c>
      <c r="C3" s="61">
        <v>16</v>
      </c>
      <c r="D3" s="61">
        <f t="shared" si="0"/>
        <v>1815</v>
      </c>
      <c r="E3" s="61">
        <v>1452</v>
      </c>
      <c r="F3" s="61">
        <v>363</v>
      </c>
      <c r="G3" s="62">
        <f t="shared" si="1"/>
        <v>100</v>
      </c>
      <c r="H3" s="63">
        <f t="shared" si="2"/>
        <v>5.5096418732782371E-2</v>
      </c>
      <c r="I3" s="78">
        <v>0.81759955444165899</v>
      </c>
      <c r="J3" s="64">
        <v>0.97470000000000001</v>
      </c>
      <c r="K3" s="64">
        <v>1</v>
      </c>
      <c r="L3" s="33">
        <f t="shared" si="3"/>
        <v>5.4407713498622591E-2</v>
      </c>
      <c r="M3" s="33">
        <f t="shared" si="4"/>
        <v>5.7851239669421489E-2</v>
      </c>
      <c r="N3" s="32">
        <v>79</v>
      </c>
      <c r="O3" s="32">
        <v>21</v>
      </c>
      <c r="P3" s="80">
        <v>0.82023103801156105</v>
      </c>
      <c r="Q3" s="60">
        <v>0.85499726676384802</v>
      </c>
      <c r="R3" s="57">
        <v>0.78221574344023304</v>
      </c>
      <c r="S3" s="33"/>
      <c r="T3" s="33"/>
    </row>
    <row r="4" spans="1:20" x14ac:dyDescent="0.3">
      <c r="A4" s="61">
        <v>3</v>
      </c>
      <c r="B4" s="61" t="s">
        <v>27</v>
      </c>
      <c r="C4" s="61">
        <v>8</v>
      </c>
      <c r="D4" s="61">
        <f t="shared" si="0"/>
        <v>1815</v>
      </c>
      <c r="E4" s="61">
        <v>1479</v>
      </c>
      <c r="F4" s="61">
        <v>336</v>
      </c>
      <c r="G4" s="62">
        <f t="shared" si="1"/>
        <v>380</v>
      </c>
      <c r="H4" s="63">
        <f t="shared" si="2"/>
        <v>0.20936639118457301</v>
      </c>
      <c r="I4" s="78">
        <v>0.76694623161764697</v>
      </c>
      <c r="J4" s="64">
        <v>0.93989999999999996</v>
      </c>
      <c r="K4" s="64">
        <v>0.9375</v>
      </c>
      <c r="L4" s="33">
        <f t="shared" si="3"/>
        <v>0.213657876943881</v>
      </c>
      <c r="M4" s="33">
        <f t="shared" si="4"/>
        <v>0.19047619047619047</v>
      </c>
      <c r="N4" s="32">
        <v>316</v>
      </c>
      <c r="O4" s="32">
        <v>64</v>
      </c>
      <c r="P4" s="59">
        <v>0.77181721214232002</v>
      </c>
      <c r="Q4" s="57" t="s">
        <v>47</v>
      </c>
      <c r="R4" s="57" t="s">
        <v>47</v>
      </c>
      <c r="S4" s="33"/>
      <c r="T4" s="33"/>
    </row>
    <row r="5" spans="1:20" x14ac:dyDescent="0.3">
      <c r="A5" s="65">
        <v>4</v>
      </c>
      <c r="B5" s="65" t="s">
        <v>40</v>
      </c>
      <c r="C5" s="65">
        <v>3</v>
      </c>
      <c r="D5" s="65">
        <f t="shared" si="0"/>
        <v>1815</v>
      </c>
      <c r="E5" s="65">
        <v>1452</v>
      </c>
      <c r="F5" s="65">
        <v>363</v>
      </c>
      <c r="G5" s="66">
        <f t="shared" si="1"/>
        <v>56</v>
      </c>
      <c r="H5" s="67">
        <f t="shared" si="2"/>
        <v>3.0853994490358128E-2</v>
      </c>
      <c r="I5" s="79">
        <v>0.95142857142857096</v>
      </c>
      <c r="J5" s="68">
        <v>1</v>
      </c>
      <c r="K5" s="68">
        <v>1</v>
      </c>
      <c r="L5" s="40">
        <f t="shared" si="3"/>
        <v>2.9614325068870524E-2</v>
      </c>
      <c r="M5" s="40">
        <f t="shared" si="4"/>
        <v>3.5812672176308541E-2</v>
      </c>
      <c r="N5" s="35">
        <v>43</v>
      </c>
      <c r="O5" s="35">
        <v>13</v>
      </c>
      <c r="P5" s="81">
        <v>0.95285292224404505</v>
      </c>
      <c r="Q5" s="43">
        <v>0.93160248898278497</v>
      </c>
      <c r="R5" s="44">
        <v>0.93230769230769195</v>
      </c>
      <c r="S5" s="40">
        <v>1</v>
      </c>
      <c r="T5" s="40">
        <v>1</v>
      </c>
    </row>
    <row r="6" spans="1:20" x14ac:dyDescent="0.3">
      <c r="A6" s="65">
        <v>5</v>
      </c>
      <c r="B6" s="65" t="s">
        <v>41</v>
      </c>
      <c r="C6" s="65">
        <v>12</v>
      </c>
      <c r="D6" s="65">
        <f t="shared" si="0"/>
        <v>1815</v>
      </c>
      <c r="E6" s="65">
        <v>1452</v>
      </c>
      <c r="F6" s="65">
        <v>363</v>
      </c>
      <c r="G6" s="66">
        <f t="shared" si="1"/>
        <v>22</v>
      </c>
      <c r="H6" s="67">
        <f t="shared" si="2"/>
        <v>1.2121212121212121E-2</v>
      </c>
      <c r="I6" s="79">
        <v>0.79878618113912203</v>
      </c>
      <c r="J6" s="68">
        <v>0.9375</v>
      </c>
      <c r="K6" s="68">
        <v>1</v>
      </c>
      <c r="L6" s="40">
        <f t="shared" si="3"/>
        <v>1.1019283746556474E-2</v>
      </c>
      <c r="M6" s="40">
        <f t="shared" si="4"/>
        <v>1.6528925619834711E-2</v>
      </c>
      <c r="N6" s="35">
        <v>16</v>
      </c>
      <c r="O6" s="35">
        <v>6</v>
      </c>
      <c r="P6" s="81">
        <v>0.78512360724233898</v>
      </c>
      <c r="Q6" s="43">
        <v>0.733678621169916</v>
      </c>
      <c r="R6" s="44">
        <v>0.73085901027077504</v>
      </c>
      <c r="S6" s="40">
        <v>0.9375</v>
      </c>
      <c r="T6" s="40">
        <v>0.83330000000000004</v>
      </c>
    </row>
    <row r="7" spans="1:20" x14ac:dyDescent="0.3">
      <c r="A7" s="61">
        <v>6</v>
      </c>
      <c r="B7" s="61" t="s">
        <v>42</v>
      </c>
      <c r="C7" s="61">
        <v>17</v>
      </c>
      <c r="D7" s="61">
        <f t="shared" si="0"/>
        <v>1815</v>
      </c>
      <c r="E7" s="61">
        <v>1452</v>
      </c>
      <c r="F7" s="61">
        <v>363</v>
      </c>
      <c r="G7" s="62">
        <f t="shared" si="1"/>
        <v>126</v>
      </c>
      <c r="H7" s="63">
        <f t="shared" si="2"/>
        <v>6.9421487603305784E-2</v>
      </c>
      <c r="I7" s="78">
        <v>0.76377865961199198</v>
      </c>
      <c r="J7" s="64">
        <v>0.95960000000000001</v>
      </c>
      <c r="K7" s="64">
        <v>0.96299999999999997</v>
      </c>
      <c r="L7" s="33">
        <f t="shared" si="3"/>
        <v>6.8181818181818177E-2</v>
      </c>
      <c r="M7" s="33">
        <f t="shared" si="4"/>
        <v>7.43801652892562E-2</v>
      </c>
      <c r="N7" s="32">
        <v>99</v>
      </c>
      <c r="O7" s="32">
        <v>27</v>
      </c>
      <c r="P7" s="80">
        <v>0.772402517413603</v>
      </c>
      <c r="Q7" s="60" t="s">
        <v>47</v>
      </c>
      <c r="R7" s="57" t="s">
        <v>47</v>
      </c>
      <c r="S7" s="33"/>
      <c r="T7" s="33"/>
    </row>
    <row r="8" spans="1:20" x14ac:dyDescent="0.3">
      <c r="A8" s="65">
        <v>7</v>
      </c>
      <c r="B8" s="65" t="s">
        <v>54</v>
      </c>
      <c r="C8" s="65">
        <v>2</v>
      </c>
      <c r="D8" s="65">
        <f t="shared" si="0"/>
        <v>1815</v>
      </c>
      <c r="E8" s="65">
        <v>1452</v>
      </c>
      <c r="F8" s="65">
        <v>363</v>
      </c>
      <c r="G8" s="66">
        <f t="shared" si="1"/>
        <v>61</v>
      </c>
      <c r="H8" s="67">
        <f t="shared" si="2"/>
        <v>3.3608815426997243E-2</v>
      </c>
      <c r="I8" s="79">
        <v>0.79978021978021896</v>
      </c>
      <c r="J8" s="68">
        <v>1</v>
      </c>
      <c r="K8" s="68">
        <v>1</v>
      </c>
      <c r="L8" s="40">
        <f t="shared" si="3"/>
        <v>3.3057851239669422E-2</v>
      </c>
      <c r="M8" s="40">
        <f t="shared" si="4"/>
        <v>3.5812672176308541E-2</v>
      </c>
      <c r="N8" s="35">
        <v>48</v>
      </c>
      <c r="O8" s="35">
        <v>13</v>
      </c>
      <c r="P8" s="81">
        <v>0.79668951804368404</v>
      </c>
      <c r="Q8" s="43">
        <v>0.71736263736263695</v>
      </c>
      <c r="R8" s="44">
        <v>0.71752581908831903</v>
      </c>
      <c r="S8" s="40">
        <v>0.9375</v>
      </c>
      <c r="T8" s="40">
        <v>1</v>
      </c>
    </row>
    <row r="9" spans="1:20" x14ac:dyDescent="0.3">
      <c r="A9" s="65">
        <v>8</v>
      </c>
      <c r="B9" s="65" t="s">
        <v>43</v>
      </c>
      <c r="C9" s="65">
        <v>6</v>
      </c>
      <c r="D9" s="65">
        <f t="shared" si="0"/>
        <v>1815</v>
      </c>
      <c r="E9" s="65">
        <v>1452</v>
      </c>
      <c r="F9" s="65">
        <v>363</v>
      </c>
      <c r="G9" s="66">
        <f t="shared" si="1"/>
        <v>58</v>
      </c>
      <c r="H9" s="67">
        <f t="shared" si="2"/>
        <v>3.1955922865013774E-2</v>
      </c>
      <c r="I9" s="79">
        <v>0.90851412198116999</v>
      </c>
      <c r="J9" s="68">
        <v>1</v>
      </c>
      <c r="K9" s="68">
        <v>1</v>
      </c>
      <c r="L9" s="40">
        <f t="shared" si="3"/>
        <v>3.0303030303030304E-2</v>
      </c>
      <c r="M9" s="40">
        <f t="shared" si="4"/>
        <v>3.8567493112947659E-2</v>
      </c>
      <c r="N9" s="35">
        <v>44</v>
      </c>
      <c r="O9" s="35">
        <v>14</v>
      </c>
      <c r="P9" s="81">
        <v>0.906976368801652</v>
      </c>
      <c r="Q9" s="43">
        <v>0.89810659865702402</v>
      </c>
      <c r="R9" s="44">
        <v>0.89807613589848501</v>
      </c>
      <c r="S9" s="40">
        <v>1</v>
      </c>
      <c r="T9" s="40">
        <v>1</v>
      </c>
    </row>
    <row r="10" spans="1:20" x14ac:dyDescent="0.3">
      <c r="A10" s="61">
        <v>9</v>
      </c>
      <c r="B10" s="61" t="s">
        <v>44</v>
      </c>
      <c r="C10" s="61">
        <v>22</v>
      </c>
      <c r="D10" s="61">
        <f t="shared" si="0"/>
        <v>1815</v>
      </c>
      <c r="E10" s="61">
        <v>1452</v>
      </c>
      <c r="F10" s="61">
        <v>363</v>
      </c>
      <c r="G10" s="62">
        <f t="shared" si="1"/>
        <v>119</v>
      </c>
      <c r="H10" s="63">
        <f t="shared" si="2"/>
        <v>6.5564738292011024E-2</v>
      </c>
      <c r="I10" s="78">
        <v>0.76591715976331298</v>
      </c>
      <c r="J10" s="64">
        <v>0.95740000000000003</v>
      </c>
      <c r="K10" s="64">
        <v>0.92</v>
      </c>
      <c r="L10" s="33">
        <f t="shared" si="3"/>
        <v>6.4738292011019286E-2</v>
      </c>
      <c r="M10" s="33">
        <f t="shared" si="4"/>
        <v>6.8870523415977963E-2</v>
      </c>
      <c r="N10" s="32">
        <v>94</v>
      </c>
      <c r="O10" s="32">
        <v>25</v>
      </c>
      <c r="P10" s="80">
        <v>0.75500579701062198</v>
      </c>
      <c r="Q10" s="60">
        <v>0.74743051421050899</v>
      </c>
      <c r="R10" s="57">
        <v>0.67443786982248499</v>
      </c>
      <c r="S10" s="33"/>
      <c r="T10" s="33"/>
    </row>
    <row r="11" spans="1:20" x14ac:dyDescent="0.3">
      <c r="A11" s="61">
        <v>10</v>
      </c>
      <c r="B11" s="61" t="s">
        <v>45</v>
      </c>
      <c r="C11" s="61"/>
      <c r="D11" s="61">
        <f t="shared" si="0"/>
        <v>1815</v>
      </c>
      <c r="E11" s="61">
        <v>1452</v>
      </c>
      <c r="F11" s="61">
        <v>363</v>
      </c>
      <c r="G11" s="61">
        <f t="shared" si="1"/>
        <v>110</v>
      </c>
      <c r="H11" s="64">
        <f t="shared" si="2"/>
        <v>6.0606060606060608E-2</v>
      </c>
      <c r="I11" s="78">
        <v>0.77647058823529402</v>
      </c>
      <c r="J11" s="63">
        <v>0.97699999999999998</v>
      </c>
      <c r="K11" s="63">
        <v>0.95650000000000002</v>
      </c>
      <c r="L11" s="33">
        <f t="shared" si="3"/>
        <v>5.9917355371900828E-2</v>
      </c>
      <c r="M11" s="33">
        <f t="shared" si="4"/>
        <v>6.3360881542699726E-2</v>
      </c>
      <c r="N11" s="32">
        <v>87</v>
      </c>
      <c r="O11" s="32">
        <v>23</v>
      </c>
      <c r="P11" s="59">
        <v>0.77525156835501596</v>
      </c>
      <c r="Q11" s="57" t="s">
        <v>47</v>
      </c>
      <c r="R11" s="57" t="s">
        <v>47</v>
      </c>
      <c r="S11" s="55"/>
      <c r="T11" s="55"/>
    </row>
    <row r="12" spans="1:20" x14ac:dyDescent="0.3">
      <c r="A12" s="61">
        <v>11</v>
      </c>
      <c r="B12" s="61" t="s">
        <v>32</v>
      </c>
      <c r="C12" s="61"/>
      <c r="D12" s="61">
        <f t="shared" si="0"/>
        <v>1815</v>
      </c>
      <c r="E12" s="61">
        <v>1480</v>
      </c>
      <c r="F12" s="61">
        <v>335</v>
      </c>
      <c r="G12" s="61">
        <f t="shared" si="1"/>
        <v>657</v>
      </c>
      <c r="H12" s="64">
        <f t="shared" si="2"/>
        <v>0.36198347107438017</v>
      </c>
      <c r="I12" s="78">
        <v>0.78412922449619604</v>
      </c>
      <c r="J12" s="63">
        <v>0.92779999999999996</v>
      </c>
      <c r="K12" s="63">
        <v>0.93159999999999998</v>
      </c>
      <c r="L12" s="33">
        <f t="shared" si="3"/>
        <v>0.36486486486486486</v>
      </c>
      <c r="M12" s="33">
        <f t="shared" si="4"/>
        <v>0.34925373134328358</v>
      </c>
      <c r="N12" s="32">
        <v>540</v>
      </c>
      <c r="O12" s="32">
        <v>117</v>
      </c>
      <c r="P12" s="59">
        <v>0.78852442868400296</v>
      </c>
      <c r="Q12" s="57" t="s">
        <v>47</v>
      </c>
      <c r="R12" s="57" t="s">
        <v>47</v>
      </c>
      <c r="S12" s="55"/>
      <c r="T12" s="55"/>
    </row>
    <row r="13" spans="1:20" x14ac:dyDescent="0.3">
      <c r="A13" s="61">
        <v>12</v>
      </c>
      <c r="B13" s="61" t="s">
        <v>33</v>
      </c>
      <c r="C13" s="61"/>
      <c r="D13" s="61">
        <f t="shared" si="0"/>
        <v>1815</v>
      </c>
      <c r="E13" s="61">
        <v>1476</v>
      </c>
      <c r="F13" s="61">
        <v>339</v>
      </c>
      <c r="G13" s="61">
        <f t="shared" si="1"/>
        <v>566</v>
      </c>
      <c r="H13" s="64">
        <f t="shared" si="2"/>
        <v>0.31184573002754823</v>
      </c>
      <c r="I13" s="78">
        <v>0.73181931000248202</v>
      </c>
      <c r="J13" s="63">
        <v>0.92669999999999997</v>
      </c>
      <c r="K13" s="63">
        <v>0.91180000000000005</v>
      </c>
      <c r="L13" s="33">
        <f t="shared" si="3"/>
        <v>0.3143631436314363</v>
      </c>
      <c r="M13" s="33">
        <f t="shared" si="4"/>
        <v>0.30088495575221241</v>
      </c>
      <c r="N13" s="32">
        <v>464</v>
      </c>
      <c r="O13" s="32">
        <v>102</v>
      </c>
      <c r="P13" s="59">
        <v>0.73142335082458698</v>
      </c>
      <c r="Q13" s="57" t="s">
        <v>47</v>
      </c>
      <c r="R13" s="57" t="s">
        <v>47</v>
      </c>
      <c r="S13" s="55"/>
      <c r="T13" s="5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D34E-E2C4-41EE-9B50-D59B6F2FC2F7}">
  <dimension ref="A1:G13"/>
  <sheetViews>
    <sheetView tabSelected="1" workbookViewId="0">
      <selection activeCell="F6" sqref="F6"/>
    </sheetView>
  </sheetViews>
  <sheetFormatPr defaultRowHeight="14.4" x14ac:dyDescent="0.3"/>
  <cols>
    <col min="1" max="1" width="3.109375" bestFit="1" customWidth="1"/>
    <col min="2" max="2" width="21.5546875" bestFit="1" customWidth="1"/>
    <col min="6" max="6" width="18.77734375" bestFit="1" customWidth="1"/>
    <col min="7" max="7" width="22.5546875" bestFit="1" customWidth="1"/>
    <col min="8" max="8" width="11.21875" bestFit="1" customWidth="1"/>
  </cols>
  <sheetData>
    <row r="1" spans="1:7" x14ac:dyDescent="0.3">
      <c r="A1" t="s">
        <v>28</v>
      </c>
      <c r="B1" t="s">
        <v>29</v>
      </c>
      <c r="C1" t="s">
        <v>51</v>
      </c>
      <c r="D1" t="s">
        <v>52</v>
      </c>
      <c r="E1" t="s">
        <v>53</v>
      </c>
      <c r="F1" t="s">
        <v>66</v>
      </c>
      <c r="G1" t="s">
        <v>67</v>
      </c>
    </row>
    <row r="2" spans="1:7" x14ac:dyDescent="0.3">
      <c r="A2">
        <v>1</v>
      </c>
      <c r="B2" t="s">
        <v>38</v>
      </c>
      <c r="C2">
        <v>0.35</v>
      </c>
      <c r="D2">
        <v>0.74</v>
      </c>
      <c r="E2">
        <f>1-(D2-C2)-C2</f>
        <v>0.26</v>
      </c>
      <c r="F2">
        <v>0.55690669999999898</v>
      </c>
      <c r="G2">
        <v>0.30826696999999997</v>
      </c>
    </row>
    <row r="3" spans="1:7" x14ac:dyDescent="0.3">
      <c r="A3">
        <v>2</v>
      </c>
      <c r="B3" t="s">
        <v>39</v>
      </c>
      <c r="C3">
        <v>0.24</v>
      </c>
      <c r="D3">
        <v>0.55000000000000004</v>
      </c>
      <c r="E3">
        <f t="shared" ref="E3:E13" si="0">1-(D3-C3)-C3</f>
        <v>0.44999999999999996</v>
      </c>
      <c r="F3">
        <v>0.64775530000000003</v>
      </c>
      <c r="G3">
        <v>0.42777939999999998</v>
      </c>
    </row>
    <row r="4" spans="1:7" x14ac:dyDescent="0.3">
      <c r="A4">
        <v>3</v>
      </c>
      <c r="B4" t="s">
        <v>27</v>
      </c>
      <c r="C4">
        <v>0.31</v>
      </c>
      <c r="D4">
        <v>0.6</v>
      </c>
      <c r="E4">
        <f t="shared" si="0"/>
        <v>0.39999999999999997</v>
      </c>
      <c r="F4">
        <v>0.62333952999999998</v>
      </c>
      <c r="G4">
        <v>0.39834662999999998</v>
      </c>
    </row>
    <row r="5" spans="1:7" x14ac:dyDescent="0.3">
      <c r="A5">
        <v>4</v>
      </c>
      <c r="B5" t="s">
        <v>40</v>
      </c>
      <c r="C5">
        <v>0.13</v>
      </c>
      <c r="E5">
        <v>0.87</v>
      </c>
      <c r="F5">
        <v>0.50835609999999998</v>
      </c>
      <c r="G5" s="88"/>
    </row>
    <row r="6" spans="1:7" x14ac:dyDescent="0.3">
      <c r="A6">
        <v>5</v>
      </c>
      <c r="B6" t="s">
        <v>41</v>
      </c>
      <c r="C6">
        <v>0.25</v>
      </c>
      <c r="D6">
        <v>0.72</v>
      </c>
      <c r="E6">
        <f t="shared" si="0"/>
        <v>0.28000000000000003</v>
      </c>
      <c r="F6">
        <v>0.51226110000000002</v>
      </c>
      <c r="G6">
        <v>0.25886276000000003</v>
      </c>
    </row>
    <row r="7" spans="1:7" x14ac:dyDescent="0.3">
      <c r="A7">
        <v>6</v>
      </c>
      <c r="B7" t="s">
        <v>42</v>
      </c>
      <c r="C7">
        <v>0.15</v>
      </c>
      <c r="D7">
        <v>0.65</v>
      </c>
      <c r="E7">
        <f t="shared" si="0"/>
        <v>0.35</v>
      </c>
      <c r="F7">
        <v>0.58224419999999899</v>
      </c>
      <c r="G7">
        <v>0.25290403</v>
      </c>
    </row>
    <row r="8" spans="1:7" x14ac:dyDescent="0.3">
      <c r="A8">
        <v>7</v>
      </c>
      <c r="B8" t="s">
        <v>54</v>
      </c>
      <c r="C8">
        <v>0.19</v>
      </c>
      <c r="D8">
        <v>0.55000000000000004</v>
      </c>
      <c r="E8">
        <f t="shared" si="0"/>
        <v>0.4499999999999999</v>
      </c>
      <c r="F8">
        <v>0.57715059999999996</v>
      </c>
      <c r="G8">
        <v>0.33475840000000001</v>
      </c>
    </row>
    <row r="9" spans="1:7" x14ac:dyDescent="0.3">
      <c r="A9">
        <v>8</v>
      </c>
      <c r="B9" t="s">
        <v>43</v>
      </c>
      <c r="C9">
        <v>0.13</v>
      </c>
      <c r="D9">
        <v>0.28000000000000003</v>
      </c>
      <c r="E9">
        <f t="shared" si="0"/>
        <v>0.72</v>
      </c>
      <c r="F9">
        <v>0.59944176999999998</v>
      </c>
      <c r="G9">
        <v>0.33166911999999998</v>
      </c>
    </row>
    <row r="10" spans="1:7" x14ac:dyDescent="0.3">
      <c r="A10">
        <v>9</v>
      </c>
      <c r="B10" t="s">
        <v>44</v>
      </c>
      <c r="C10">
        <v>0.19</v>
      </c>
      <c r="D10">
        <v>0.56999999999999995</v>
      </c>
      <c r="E10">
        <f t="shared" si="0"/>
        <v>0.4300000000000001</v>
      </c>
      <c r="F10">
        <v>0.59459114000000002</v>
      </c>
      <c r="G10">
        <v>0.44301444000000001</v>
      </c>
    </row>
    <row r="11" spans="1:7" x14ac:dyDescent="0.3">
      <c r="A11">
        <v>10</v>
      </c>
      <c r="B11" t="s">
        <v>45</v>
      </c>
      <c r="C11">
        <v>0.28999999999999998</v>
      </c>
      <c r="D11">
        <v>0.69</v>
      </c>
      <c r="E11">
        <f t="shared" si="0"/>
        <v>0.31000000000000011</v>
      </c>
      <c r="F11">
        <v>0.61495703000000002</v>
      </c>
      <c r="G11">
        <v>0.17293781</v>
      </c>
    </row>
    <row r="12" spans="1:7" x14ac:dyDescent="0.3">
      <c r="A12">
        <v>11</v>
      </c>
      <c r="B12" t="s">
        <v>32</v>
      </c>
      <c r="C12">
        <v>0.34</v>
      </c>
      <c r="D12">
        <v>0.73</v>
      </c>
      <c r="E12">
        <f t="shared" si="0"/>
        <v>0.27000000000000007</v>
      </c>
      <c r="F12">
        <v>0.56462449999999997</v>
      </c>
      <c r="G12">
        <v>0.3968853</v>
      </c>
    </row>
    <row r="13" spans="1:7" x14ac:dyDescent="0.3">
      <c r="A13">
        <v>12</v>
      </c>
      <c r="B13" t="s">
        <v>33</v>
      </c>
      <c r="C13">
        <v>0.28999999999999998</v>
      </c>
      <c r="D13">
        <v>0.76</v>
      </c>
      <c r="E13">
        <f t="shared" si="0"/>
        <v>0.24000000000000005</v>
      </c>
      <c r="F13">
        <v>0.51761780000000002</v>
      </c>
      <c r="G13">
        <v>0.24204813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22"/>
  <sheetViews>
    <sheetView workbookViewId="0">
      <pane xSplit="1" ySplit="4" topLeftCell="D5" activePane="bottomRight" state="frozen"/>
      <selection pane="topRight" activeCell="B1" sqref="B1"/>
      <selection pane="bottomLeft" activeCell="A4" sqref="A4"/>
      <selection pane="bottomRight" activeCell="AU12" sqref="AU12"/>
    </sheetView>
  </sheetViews>
  <sheetFormatPr defaultRowHeight="14.4" x14ac:dyDescent="0.3"/>
  <cols>
    <col min="1" max="1" width="2.88671875" customWidth="1"/>
    <col min="2" max="2" width="11" bestFit="1" customWidth="1"/>
    <col min="3" max="3" width="10.33203125" bestFit="1" customWidth="1"/>
    <col min="4" max="4" width="9.109375" style="3" bestFit="1" customWidth="1"/>
    <col min="5" max="5" width="12.6640625" style="3" bestFit="1" customWidth="1"/>
    <col min="6" max="6" width="12.5546875" bestFit="1" customWidth="1"/>
    <col min="7" max="7" width="17" bestFit="1" customWidth="1"/>
    <col min="8" max="8" width="11.88671875" bestFit="1" customWidth="1"/>
    <col min="9" max="9" width="16.33203125" bestFit="1" customWidth="1"/>
    <col min="10" max="10" width="8.109375" style="6" bestFit="1" customWidth="1"/>
    <col min="11" max="11" width="7.44140625" style="3" bestFit="1" customWidth="1"/>
    <col min="12" max="12" width="8.88671875" hidden="1" customWidth="1"/>
    <col min="13" max="13" width="10.88671875" hidden="1" customWidth="1"/>
    <col min="14" max="19" width="8.88671875" hidden="1" customWidth="1"/>
    <col min="20" max="20" width="8.109375" customWidth="1"/>
    <col min="21" max="21" width="7.44140625" customWidth="1"/>
    <col min="22" max="31" width="8.88671875" hidden="1" customWidth="1"/>
    <col min="32" max="32" width="8.109375" style="3" customWidth="1"/>
    <col min="33" max="33" width="7.44140625" style="3" customWidth="1"/>
    <col min="34" max="43" width="8.88671875" hidden="1" customWidth="1"/>
    <col min="44" max="44" width="6.109375" customWidth="1"/>
    <col min="45" max="45" width="6.5546875" customWidth="1"/>
    <col min="46" max="49" width="7.21875" customWidth="1"/>
  </cols>
  <sheetData>
    <row r="1" spans="1:16382" x14ac:dyDescent="0.3">
      <c r="J1" s="85" t="s">
        <v>34</v>
      </c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R1" s="86" t="s">
        <v>30</v>
      </c>
      <c r="AS1" s="86"/>
      <c r="AT1" s="86"/>
      <c r="AU1" s="86"/>
      <c r="AV1" s="86"/>
      <c r="AW1" s="86"/>
    </row>
    <row r="2" spans="1:16382" x14ac:dyDescent="0.3">
      <c r="J2" s="86" t="s">
        <v>4</v>
      </c>
      <c r="K2" s="86"/>
      <c r="L2" s="86"/>
      <c r="M2" s="86"/>
      <c r="N2" s="86"/>
      <c r="O2" s="86"/>
      <c r="P2" s="86"/>
      <c r="Q2" s="86"/>
      <c r="R2" s="86"/>
      <c r="S2" s="86"/>
      <c r="T2" s="86" t="s">
        <v>17</v>
      </c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 t="s">
        <v>18</v>
      </c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 t="s">
        <v>35</v>
      </c>
      <c r="AS2" s="86"/>
      <c r="AT2" s="86" t="s">
        <v>17</v>
      </c>
      <c r="AU2" s="86"/>
      <c r="AV2" s="86" t="s">
        <v>18</v>
      </c>
      <c r="AW2" s="86"/>
    </row>
    <row r="3" spans="1:16382" x14ac:dyDescent="0.3">
      <c r="B3" s="86" t="s">
        <v>1</v>
      </c>
      <c r="C3" s="86"/>
      <c r="D3" s="86"/>
      <c r="E3" s="86"/>
      <c r="F3" s="86"/>
      <c r="G3" s="86"/>
      <c r="H3" s="86"/>
      <c r="I3" s="86"/>
      <c r="J3" s="87" t="s">
        <v>7</v>
      </c>
      <c r="K3" s="87"/>
      <c r="L3" s="86" t="s">
        <v>8</v>
      </c>
      <c r="M3" s="86"/>
      <c r="N3" s="86"/>
      <c r="O3" s="86"/>
      <c r="P3" s="86"/>
      <c r="Q3" s="86"/>
      <c r="R3" s="86"/>
      <c r="S3" s="86"/>
      <c r="T3" s="86" t="s">
        <v>7</v>
      </c>
      <c r="U3" s="86"/>
      <c r="V3" s="86" t="s">
        <v>8</v>
      </c>
      <c r="W3" s="86"/>
      <c r="X3" s="86"/>
      <c r="Y3" s="86"/>
      <c r="Z3" s="86"/>
      <c r="AA3" s="86"/>
      <c r="AB3" s="86"/>
      <c r="AC3" s="86"/>
      <c r="AD3" s="86"/>
      <c r="AE3" s="86"/>
      <c r="AF3" s="87" t="s">
        <v>7</v>
      </c>
      <c r="AG3" s="87"/>
      <c r="AH3" s="86" t="s">
        <v>8</v>
      </c>
      <c r="AI3" s="86"/>
      <c r="AJ3" s="86"/>
      <c r="AK3" s="86"/>
      <c r="AL3" s="86"/>
      <c r="AM3" s="86"/>
      <c r="AN3" s="86"/>
      <c r="AO3" s="86"/>
      <c r="AP3" s="86"/>
      <c r="AQ3" s="86"/>
      <c r="AR3" s="87" t="s">
        <v>7</v>
      </c>
      <c r="AS3" s="87"/>
      <c r="AT3" s="84" t="s">
        <v>7</v>
      </c>
      <c r="AU3" s="84"/>
      <c r="AV3" s="87" t="s">
        <v>7</v>
      </c>
      <c r="AW3" s="87"/>
    </row>
    <row r="4" spans="1:16382" x14ac:dyDescent="0.3">
      <c r="A4" t="s">
        <v>0</v>
      </c>
      <c r="B4" t="s">
        <v>2</v>
      </c>
      <c r="C4" t="s">
        <v>3</v>
      </c>
      <c r="D4" s="3" t="s">
        <v>24</v>
      </c>
      <c r="E4" s="3" t="s">
        <v>21</v>
      </c>
      <c r="F4" t="s">
        <v>22</v>
      </c>
      <c r="G4" t="s">
        <v>25</v>
      </c>
      <c r="H4" t="s">
        <v>23</v>
      </c>
      <c r="I4" t="s">
        <v>26</v>
      </c>
      <c r="J4" s="6" t="s">
        <v>5</v>
      </c>
      <c r="K4" s="3" t="s">
        <v>6</v>
      </c>
      <c r="L4" s="1" t="s">
        <v>9</v>
      </c>
      <c r="M4" t="s">
        <v>10</v>
      </c>
      <c r="N4" s="1" t="s">
        <v>11</v>
      </c>
      <c r="O4" t="s">
        <v>12</v>
      </c>
      <c r="P4" s="1" t="s">
        <v>13</v>
      </c>
      <c r="Q4" t="s">
        <v>14</v>
      </c>
      <c r="R4" s="1" t="s">
        <v>15</v>
      </c>
      <c r="S4" t="s">
        <v>16</v>
      </c>
      <c r="T4" t="s">
        <v>5</v>
      </c>
      <c r="U4" t="s">
        <v>6</v>
      </c>
      <c r="V4" s="1" t="s">
        <v>9</v>
      </c>
      <c r="W4" t="s">
        <v>10</v>
      </c>
      <c r="X4" s="1" t="s">
        <v>11</v>
      </c>
      <c r="Y4" t="s">
        <v>12</v>
      </c>
      <c r="Z4" s="1" t="s">
        <v>13</v>
      </c>
      <c r="AA4" t="s">
        <v>14</v>
      </c>
      <c r="AB4" s="1" t="s">
        <v>19</v>
      </c>
      <c r="AC4" t="s">
        <v>20</v>
      </c>
      <c r="AD4" s="1" t="s">
        <v>15</v>
      </c>
      <c r="AE4" t="s">
        <v>16</v>
      </c>
      <c r="AF4" s="3" t="s">
        <v>5</v>
      </c>
      <c r="AG4" s="3" t="s">
        <v>6</v>
      </c>
      <c r="AH4" s="1" t="s">
        <v>9</v>
      </c>
      <c r="AI4" t="s">
        <v>10</v>
      </c>
      <c r="AJ4" s="1" t="s">
        <v>11</v>
      </c>
      <c r="AK4" t="s">
        <v>12</v>
      </c>
      <c r="AL4" s="1" t="s">
        <v>13</v>
      </c>
      <c r="AM4" t="s">
        <v>14</v>
      </c>
      <c r="AN4" s="1" t="s">
        <v>19</v>
      </c>
      <c r="AO4" t="s">
        <v>20</v>
      </c>
      <c r="AP4" s="1" t="s">
        <v>15</v>
      </c>
      <c r="AQ4" t="s">
        <v>16</v>
      </c>
      <c r="AT4" t="s">
        <v>5</v>
      </c>
      <c r="AU4" t="s">
        <v>6</v>
      </c>
      <c r="AV4" s="3" t="s">
        <v>5</v>
      </c>
      <c r="AW4" s="3" t="s">
        <v>6</v>
      </c>
    </row>
    <row r="5" spans="1:16382" x14ac:dyDescent="0.3">
      <c r="A5">
        <v>1</v>
      </c>
      <c r="B5">
        <v>1115</v>
      </c>
      <c r="C5">
        <v>236</v>
      </c>
      <c r="D5" s="10">
        <f>E5/(B5+C5)</f>
        <v>0.32050333086602517</v>
      </c>
      <c r="E5" s="8">
        <v>433</v>
      </c>
      <c r="F5" s="9">
        <f>G5/B5</f>
        <v>0.32466367713004485</v>
      </c>
      <c r="G5">
        <v>362</v>
      </c>
      <c r="H5" s="9">
        <f>I5/C5</f>
        <v>0.30084745762711862</v>
      </c>
      <c r="I5">
        <v>71</v>
      </c>
      <c r="J5" s="7">
        <v>0.69883638157947903</v>
      </c>
      <c r="K5" s="4">
        <v>0.70081781008632404</v>
      </c>
      <c r="L5" s="5">
        <v>0.39500000000000002</v>
      </c>
      <c r="M5" s="5">
        <v>0.40849999999999997</v>
      </c>
      <c r="N5" s="5">
        <v>0.70169999999999999</v>
      </c>
      <c r="O5" s="5">
        <v>0.71830000000000005</v>
      </c>
      <c r="P5" s="5">
        <v>0.88119999999999998</v>
      </c>
      <c r="Q5" s="5">
        <v>0.88729999999999998</v>
      </c>
      <c r="R5" s="5">
        <v>0.94479999999999997</v>
      </c>
      <c r="S5" s="5">
        <v>0.91549999999999998</v>
      </c>
      <c r="T5" s="5">
        <v>0.71</v>
      </c>
      <c r="U5" s="5">
        <v>0.66</v>
      </c>
      <c r="V5" s="5">
        <v>0.43369999999999997</v>
      </c>
      <c r="W5" s="5">
        <v>0.38030000000000003</v>
      </c>
      <c r="X5" s="5">
        <v>0.67400000000000004</v>
      </c>
      <c r="Y5" s="5">
        <v>0.66200000000000003</v>
      </c>
      <c r="Z5" s="5">
        <v>0.89229999999999998</v>
      </c>
      <c r="AA5" s="5">
        <v>0.85919999999999996</v>
      </c>
      <c r="AB5" s="5">
        <v>0.91710000000000003</v>
      </c>
      <c r="AC5" s="5">
        <v>0.85919999999999996</v>
      </c>
      <c r="AD5" s="5">
        <v>0.94479999999999997</v>
      </c>
      <c r="AE5" s="5">
        <v>0.88729999999999998</v>
      </c>
      <c r="AF5" s="4">
        <v>0.68079766710078204</v>
      </c>
      <c r="AG5" s="4">
        <v>0.67487505679236703</v>
      </c>
      <c r="AH5" s="2">
        <v>0.45579999999999998</v>
      </c>
      <c r="AI5" s="2">
        <v>0.32390000000000002</v>
      </c>
      <c r="AJ5" s="2">
        <v>0.70989999999999998</v>
      </c>
      <c r="AK5" s="2">
        <v>0.69010000000000005</v>
      </c>
      <c r="AL5" s="2">
        <v>0.91159999999999997</v>
      </c>
      <c r="AM5" s="2">
        <v>0.9718</v>
      </c>
      <c r="AN5" s="2">
        <v>0.94750000000000001</v>
      </c>
      <c r="AO5" s="2">
        <v>0.9718</v>
      </c>
      <c r="AP5" s="2">
        <v>0.96689999999999998</v>
      </c>
      <c r="AQ5" s="2">
        <v>0.9718</v>
      </c>
    </row>
    <row r="6" spans="1:16382" x14ac:dyDescent="0.3">
      <c r="A6">
        <v>2</v>
      </c>
      <c r="B6">
        <v>1117</v>
      </c>
      <c r="C6">
        <v>234</v>
      </c>
      <c r="D6" s="10">
        <f t="shared" ref="D6:D21" si="0">E6/(B6+C6)</f>
        <v>0.2990377498149519</v>
      </c>
      <c r="E6" s="8">
        <v>404</v>
      </c>
      <c r="F6" s="9">
        <f t="shared" ref="F6:F21" si="1">G6/B6</f>
        <v>0.30349149507609668</v>
      </c>
      <c r="G6">
        <v>339</v>
      </c>
      <c r="H6" s="9">
        <f t="shared" ref="H6:H21" si="2">I6/C6</f>
        <v>0.27777777777777779</v>
      </c>
      <c r="I6">
        <v>65</v>
      </c>
      <c r="J6" s="7">
        <v>0.68</v>
      </c>
      <c r="K6" s="4">
        <v>0.69</v>
      </c>
      <c r="L6" s="5">
        <v>0.39439999999999997</v>
      </c>
      <c r="M6" s="5">
        <v>0.40060000000000001</v>
      </c>
      <c r="N6" s="5">
        <v>0.66200000000000003</v>
      </c>
      <c r="O6" s="5">
        <v>0.67130000000000001</v>
      </c>
      <c r="P6" s="5">
        <v>0.92959999999999998</v>
      </c>
      <c r="Q6" s="5">
        <v>0.90329999999999999</v>
      </c>
      <c r="R6" s="5">
        <v>0.9577</v>
      </c>
      <c r="S6" s="5">
        <v>0.94750000000000001</v>
      </c>
      <c r="T6" s="5">
        <v>0.68</v>
      </c>
      <c r="U6" s="5">
        <v>0.57999999999999996</v>
      </c>
      <c r="V6" s="5">
        <v>0.4012</v>
      </c>
      <c r="W6" s="5">
        <v>0.30769999999999997</v>
      </c>
      <c r="X6" s="5">
        <v>0.66080000000000005</v>
      </c>
      <c r="Y6" s="5">
        <v>0.53849999999999998</v>
      </c>
      <c r="Z6" s="5">
        <v>0.88200000000000001</v>
      </c>
      <c r="AA6" s="5">
        <v>0.8</v>
      </c>
      <c r="AB6" s="5">
        <v>0.89970000000000006</v>
      </c>
      <c r="AC6" s="5">
        <v>0.83079999999999998</v>
      </c>
      <c r="AD6" s="5">
        <v>0.93220000000000003</v>
      </c>
      <c r="AE6" s="5">
        <v>0.87690000000000001</v>
      </c>
      <c r="AF6" s="4">
        <v>0.59122551584503003</v>
      </c>
      <c r="AG6" s="4">
        <v>0.59289940828402299</v>
      </c>
      <c r="AH6" s="2">
        <v>0.34810000000000002</v>
      </c>
      <c r="AI6" s="2">
        <v>0.4</v>
      </c>
      <c r="AJ6" s="2">
        <v>0.65490000000000004</v>
      </c>
      <c r="AK6" s="2">
        <v>0.56920000000000004</v>
      </c>
      <c r="AL6" s="2">
        <v>0.85250000000000004</v>
      </c>
      <c r="AM6" s="2">
        <v>0.8</v>
      </c>
      <c r="AN6" s="2">
        <v>0.89380000000000004</v>
      </c>
      <c r="AO6" s="2">
        <v>0.81540000000000001</v>
      </c>
      <c r="AP6" s="2">
        <v>0.92920000000000003</v>
      </c>
      <c r="AQ6" s="2">
        <v>0.84619999999999995</v>
      </c>
      <c r="AR6" s="5">
        <v>0.66</v>
      </c>
      <c r="AS6" s="5">
        <v>0.67</v>
      </c>
      <c r="AT6" s="5">
        <v>0.72099999999999997</v>
      </c>
      <c r="AU6" s="5">
        <v>0.58699999999999997</v>
      </c>
      <c r="AV6" s="5">
        <v>0.63699518106951403</v>
      </c>
      <c r="AW6" s="5">
        <v>0.63248364916987998</v>
      </c>
    </row>
    <row r="7" spans="1:16382" s="18" customFormat="1" x14ac:dyDescent="0.3">
      <c r="A7" s="18">
        <v>3</v>
      </c>
      <c r="B7" s="18">
        <v>583</v>
      </c>
      <c r="C7" s="18">
        <v>146</v>
      </c>
      <c r="D7" s="19">
        <f t="shared" si="0"/>
        <v>0.10699588477366255</v>
      </c>
      <c r="E7" s="20">
        <f>G7+I7</f>
        <v>78</v>
      </c>
      <c r="F7" s="21">
        <f t="shared" si="1"/>
        <v>0.10463121783876501</v>
      </c>
      <c r="G7" s="18">
        <v>61</v>
      </c>
      <c r="H7" s="21">
        <f t="shared" si="2"/>
        <v>0.11643835616438356</v>
      </c>
      <c r="I7" s="18">
        <v>17</v>
      </c>
      <c r="J7" s="22">
        <v>0.76017900204043698</v>
      </c>
      <c r="K7" s="23">
        <v>0.75675675675675602</v>
      </c>
      <c r="L7" s="23"/>
      <c r="M7" s="23"/>
      <c r="N7" s="23"/>
      <c r="O7" s="23"/>
      <c r="P7" s="23"/>
      <c r="Q7" s="23"/>
      <c r="R7" s="23"/>
      <c r="S7" s="23"/>
      <c r="T7" s="23">
        <v>0.85499999999999998</v>
      </c>
      <c r="U7" s="23">
        <v>0.61799999999999999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>
        <v>0.7631</v>
      </c>
      <c r="AG7" s="23">
        <v>0.59389999999999998</v>
      </c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3">
        <v>0.76017900204043698</v>
      </c>
      <c r="AS7" s="23">
        <v>0.75675675675675602</v>
      </c>
      <c r="AT7" s="23">
        <v>0.85499999999999998</v>
      </c>
      <c r="AU7" s="23">
        <v>0.61799999999999999</v>
      </c>
      <c r="AV7" s="23">
        <v>0.7631</v>
      </c>
      <c r="AW7" s="23">
        <v>0.59389999999999998</v>
      </c>
    </row>
    <row r="8" spans="1:16382" x14ac:dyDescent="0.3">
      <c r="A8">
        <v>4</v>
      </c>
      <c r="B8">
        <v>1114</v>
      </c>
      <c r="C8">
        <v>236</v>
      </c>
      <c r="D8" s="10">
        <f t="shared" si="0"/>
        <v>0.20296296296296296</v>
      </c>
      <c r="E8" s="8">
        <v>274</v>
      </c>
      <c r="F8" s="9">
        <f t="shared" si="1"/>
        <v>0.21005385996409337</v>
      </c>
      <c r="G8">
        <v>234</v>
      </c>
      <c r="H8" s="9">
        <f t="shared" si="2"/>
        <v>0.16949152542372881</v>
      </c>
      <c r="I8">
        <v>40</v>
      </c>
      <c r="J8" s="7">
        <v>0.68985042735042701</v>
      </c>
      <c r="K8" s="4">
        <v>0.70025510204081598</v>
      </c>
      <c r="L8" s="5"/>
      <c r="M8" s="5"/>
      <c r="N8" s="5"/>
      <c r="O8" s="5"/>
      <c r="P8" s="5"/>
      <c r="Q8" s="5"/>
      <c r="R8" s="5"/>
      <c r="S8" s="5"/>
      <c r="T8" s="5">
        <v>0.71199980574980581</v>
      </c>
      <c r="U8" s="5">
        <v>0.60108418367346927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4">
        <v>0.65895493395493399</v>
      </c>
      <c r="AG8" s="4">
        <v>0.63596938775510203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5"/>
      <c r="AS8" s="5"/>
      <c r="AT8" s="5"/>
      <c r="AU8" s="5"/>
      <c r="AV8" s="5"/>
      <c r="AW8" s="5"/>
    </row>
    <row r="9" spans="1:16382" x14ac:dyDescent="0.3">
      <c r="A9">
        <v>5</v>
      </c>
      <c r="B9">
        <v>1097</v>
      </c>
      <c r="C9">
        <v>232</v>
      </c>
      <c r="D9" s="10">
        <f t="shared" si="0"/>
        <v>0.31527464258841231</v>
      </c>
      <c r="E9" s="8">
        <v>419</v>
      </c>
      <c r="F9" s="9">
        <f t="shared" si="1"/>
        <v>0.32087511394712853</v>
      </c>
      <c r="G9">
        <v>352</v>
      </c>
      <c r="H9" s="9">
        <f t="shared" si="2"/>
        <v>0.28879310344827586</v>
      </c>
      <c r="I9">
        <v>67</v>
      </c>
      <c r="J9" s="7">
        <v>0.69803615009151898</v>
      </c>
      <c r="K9" s="4">
        <v>0.700859339665309</v>
      </c>
      <c r="L9" s="5"/>
      <c r="M9" s="5"/>
      <c r="N9" s="5"/>
      <c r="O9" s="5"/>
      <c r="P9" s="5"/>
      <c r="Q9" s="5"/>
      <c r="R9" s="5"/>
      <c r="S9" s="5"/>
      <c r="T9" s="5">
        <v>0.71</v>
      </c>
      <c r="U9" s="5">
        <v>0.68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4">
        <v>0.66513117754728401</v>
      </c>
      <c r="AG9" s="4">
        <v>0.66196291270918095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5"/>
      <c r="AS9" s="5"/>
      <c r="AT9" s="5"/>
      <c r="AU9" s="5"/>
      <c r="AV9" s="5"/>
      <c r="AW9" s="5"/>
    </row>
    <row r="10" spans="1:16382" s="18" customFormat="1" x14ac:dyDescent="0.3">
      <c r="A10" s="18">
        <v>6</v>
      </c>
      <c r="B10" s="18">
        <v>1080</v>
      </c>
      <c r="C10" s="18">
        <v>226</v>
      </c>
      <c r="D10" s="19">
        <f t="shared" si="0"/>
        <v>0.10566615620214395</v>
      </c>
      <c r="E10" s="20">
        <v>138</v>
      </c>
      <c r="F10" s="21">
        <f t="shared" si="1"/>
        <v>0.11944444444444445</v>
      </c>
      <c r="G10" s="18">
        <v>129</v>
      </c>
      <c r="H10" s="21">
        <f t="shared" si="2"/>
        <v>3.9823008849557522E-2</v>
      </c>
      <c r="I10" s="18">
        <v>9</v>
      </c>
      <c r="J10" s="22">
        <v>0.84355105600795499</v>
      </c>
      <c r="K10" s="23">
        <v>0.85816692268305095</v>
      </c>
      <c r="L10" s="23"/>
      <c r="M10" s="23"/>
      <c r="N10" s="23"/>
      <c r="O10" s="23"/>
      <c r="P10" s="23"/>
      <c r="Q10" s="23"/>
      <c r="R10" s="23"/>
      <c r="S10" s="23"/>
      <c r="T10" s="23">
        <v>0.83899999999999997</v>
      </c>
      <c r="U10" s="23">
        <v>0.81499999999999995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>
        <v>0.800878715998663</v>
      </c>
      <c r="AG10" s="23">
        <v>0.78136200716845805</v>
      </c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3"/>
      <c r="AS10" s="23"/>
      <c r="AT10" s="23"/>
      <c r="AU10" s="23"/>
      <c r="AV10" s="23"/>
      <c r="AW10" s="23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</row>
    <row r="11" spans="1:16382" x14ac:dyDescent="0.3">
      <c r="A11">
        <v>7</v>
      </c>
      <c r="B11">
        <v>1115</v>
      </c>
      <c r="C11">
        <v>235</v>
      </c>
      <c r="D11" s="10">
        <f t="shared" si="0"/>
        <v>0.49185185185185187</v>
      </c>
      <c r="E11" s="8">
        <v>664</v>
      </c>
      <c r="F11" s="9">
        <f t="shared" si="1"/>
        <v>0.47623318385650226</v>
      </c>
      <c r="G11">
        <v>531</v>
      </c>
      <c r="H11" s="9">
        <f t="shared" si="2"/>
        <v>0.48085106382978721</v>
      </c>
      <c r="I11">
        <v>113</v>
      </c>
      <c r="J11" s="7">
        <v>0.747155792895286</v>
      </c>
      <c r="K11" s="4">
        <v>0.72414043232264602</v>
      </c>
      <c r="L11" s="5"/>
      <c r="M11" s="5"/>
      <c r="N11" s="5"/>
      <c r="O11" s="5"/>
      <c r="P11" s="5"/>
      <c r="Q11" s="5"/>
      <c r="R11" s="5"/>
      <c r="S11" s="5"/>
      <c r="T11" s="5">
        <v>0.74299999999999999</v>
      </c>
      <c r="U11" s="5">
        <v>0.68400000000000005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4">
        <v>0.71585822820731104</v>
      </c>
      <c r="AG11" s="4">
        <v>0.70658639199187501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5"/>
      <c r="AS11" s="5"/>
      <c r="AT11" s="5"/>
      <c r="AU11" s="5"/>
      <c r="AV11" s="5"/>
      <c r="AW11" s="5"/>
    </row>
    <row r="12" spans="1:16382" s="18" customFormat="1" x14ac:dyDescent="0.3">
      <c r="A12" s="18">
        <v>8</v>
      </c>
      <c r="B12" s="18">
        <v>1076</v>
      </c>
      <c r="C12" s="18">
        <v>270</v>
      </c>
      <c r="D12" s="19">
        <f t="shared" si="0"/>
        <v>3.6404160475482915E-2</v>
      </c>
      <c r="E12" s="20">
        <v>49</v>
      </c>
      <c r="F12" s="21">
        <f t="shared" si="1"/>
        <v>3.1598513011152414E-2</v>
      </c>
      <c r="G12" s="18">
        <v>34</v>
      </c>
      <c r="H12" s="21">
        <f t="shared" si="2"/>
        <v>5.5555555555555552E-2</v>
      </c>
      <c r="I12" s="18">
        <v>15</v>
      </c>
      <c r="J12" s="22">
        <v>0.72995583211853499</v>
      </c>
      <c r="K12" s="23">
        <v>0.72959511568123403</v>
      </c>
      <c r="L12" s="23"/>
      <c r="M12" s="23"/>
      <c r="N12" s="23"/>
      <c r="O12" s="23"/>
      <c r="P12" s="23"/>
      <c r="Q12" s="23"/>
      <c r="R12" s="23"/>
      <c r="S12" s="23"/>
      <c r="T12" s="23">
        <v>0.90400000000000003</v>
      </c>
      <c r="U12" s="23">
        <v>0.58499999999999996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>
        <v>0.78779496443491004</v>
      </c>
      <c r="AG12" s="23">
        <v>0.60104575163398599</v>
      </c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3">
        <v>0.72995583211853499</v>
      </c>
      <c r="AS12" s="23">
        <v>0.72959511568123403</v>
      </c>
      <c r="AT12" s="23">
        <v>0.92</v>
      </c>
      <c r="AU12" s="23">
        <v>0.56899999999999995</v>
      </c>
      <c r="AV12" s="23">
        <v>0.777224168316616</v>
      </c>
      <c r="AW12" s="23">
        <v>0.678984575835475</v>
      </c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</row>
    <row r="13" spans="1:16382" s="18" customFormat="1" x14ac:dyDescent="0.3">
      <c r="A13" s="18">
        <v>9</v>
      </c>
      <c r="B13" s="18">
        <v>1087</v>
      </c>
      <c r="C13" s="18">
        <v>243</v>
      </c>
      <c r="D13" s="19">
        <f t="shared" si="0"/>
        <v>2.3308270676691729E-2</v>
      </c>
      <c r="E13" s="20">
        <v>31</v>
      </c>
      <c r="F13" s="21">
        <f t="shared" si="1"/>
        <v>2.0239190432382703E-2</v>
      </c>
      <c r="G13" s="18">
        <v>22</v>
      </c>
      <c r="H13" s="21">
        <f t="shared" si="2"/>
        <v>3.7037037037037035E-2</v>
      </c>
      <c r="I13" s="18">
        <v>9</v>
      </c>
      <c r="J13" s="22">
        <v>0.77788461538461495</v>
      </c>
      <c r="K13" s="23">
        <v>0.78426286208387297</v>
      </c>
      <c r="L13" s="23"/>
      <c r="M13" s="23"/>
      <c r="N13" s="23"/>
      <c r="O13" s="23"/>
      <c r="P13" s="23"/>
      <c r="Q13" s="23"/>
      <c r="R13" s="23"/>
      <c r="S13" s="23"/>
      <c r="T13" s="23">
        <v>0.91</v>
      </c>
      <c r="U13" s="23">
        <v>0.59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>
        <v>0.81761363636363604</v>
      </c>
      <c r="AG13" s="23">
        <v>0.68612191958495405</v>
      </c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</row>
    <row r="14" spans="1:16382" s="25" customFormat="1" x14ac:dyDescent="0.3">
      <c r="A14" s="25">
        <v>10</v>
      </c>
      <c r="B14" s="25">
        <v>1116</v>
      </c>
      <c r="C14" s="25">
        <v>238</v>
      </c>
      <c r="D14" s="26">
        <f t="shared" si="0"/>
        <v>0.15435745937961595</v>
      </c>
      <c r="E14" s="27">
        <v>209</v>
      </c>
      <c r="F14" s="28">
        <f t="shared" si="1"/>
        <v>0.16487455197132617</v>
      </c>
      <c r="G14" s="25">
        <v>184</v>
      </c>
      <c r="H14" s="28">
        <f t="shared" si="2"/>
        <v>0.10504201680672269</v>
      </c>
      <c r="I14" s="25">
        <v>25</v>
      </c>
      <c r="J14" s="29">
        <v>0.82339872177645002</v>
      </c>
      <c r="K14" s="30">
        <v>0.82460093896713604</v>
      </c>
      <c r="L14" s="30"/>
      <c r="M14" s="30"/>
      <c r="N14" s="30"/>
      <c r="O14" s="30"/>
      <c r="P14" s="30"/>
      <c r="Q14" s="30"/>
      <c r="R14" s="30"/>
      <c r="S14" s="30"/>
      <c r="T14" s="30">
        <v>0.8</v>
      </c>
      <c r="U14" s="30">
        <v>0.8</v>
      </c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>
        <v>0.8</v>
      </c>
      <c r="AG14" s="30">
        <v>0.77</v>
      </c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</row>
    <row r="15" spans="1:16382" s="18" customFormat="1" x14ac:dyDescent="0.3">
      <c r="A15" s="18">
        <v>11</v>
      </c>
      <c r="B15" s="18">
        <v>1113</v>
      </c>
      <c r="C15" s="18">
        <v>237</v>
      </c>
      <c r="D15" s="19">
        <f t="shared" si="0"/>
        <v>9.6296296296296297E-2</v>
      </c>
      <c r="E15" s="20">
        <v>130</v>
      </c>
      <c r="F15" s="21">
        <f t="shared" si="1"/>
        <v>0.10871518418688229</v>
      </c>
      <c r="G15" s="18">
        <v>121</v>
      </c>
      <c r="H15" s="21">
        <f t="shared" si="2"/>
        <v>3.7974683544303799E-2</v>
      </c>
      <c r="I15" s="18">
        <v>9</v>
      </c>
      <c r="J15" s="23">
        <v>0.70659614434008899</v>
      </c>
      <c r="K15" s="18">
        <v>0.70982667450058701</v>
      </c>
      <c r="L15" s="23"/>
      <c r="M15" s="23"/>
      <c r="N15" s="23"/>
      <c r="O15" s="23"/>
      <c r="P15" s="23"/>
      <c r="Q15" s="23"/>
      <c r="R15" s="23"/>
      <c r="S15" s="23"/>
      <c r="T15" s="23">
        <v>0.77</v>
      </c>
      <c r="U15" s="23">
        <v>0.71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>
        <v>0.72</v>
      </c>
      <c r="AG15" s="23">
        <v>0.75</v>
      </c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3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</row>
    <row r="16" spans="1:16382" s="25" customFormat="1" x14ac:dyDescent="0.3">
      <c r="A16" s="25">
        <v>12</v>
      </c>
      <c r="B16" s="25">
        <v>1113</v>
      </c>
      <c r="C16" s="25">
        <v>237</v>
      </c>
      <c r="D16" s="26">
        <f t="shared" si="0"/>
        <v>0.52444444444444449</v>
      </c>
      <c r="E16" s="27">
        <v>708</v>
      </c>
      <c r="F16" s="28">
        <f t="shared" si="1"/>
        <v>0.52380952380952384</v>
      </c>
      <c r="G16" s="25">
        <v>583</v>
      </c>
      <c r="H16" s="28">
        <f t="shared" si="2"/>
        <v>0.52742616033755274</v>
      </c>
      <c r="I16" s="25">
        <v>125</v>
      </c>
      <c r="J16" s="29">
        <v>0.87008317421275705</v>
      </c>
      <c r="K16" s="30">
        <v>0.87008317421275705</v>
      </c>
      <c r="L16" s="30"/>
      <c r="M16" s="30"/>
      <c r="N16" s="30"/>
      <c r="O16" s="30"/>
      <c r="P16" s="30"/>
      <c r="Q16" s="30"/>
      <c r="R16" s="30"/>
      <c r="S16" s="30"/>
      <c r="T16" s="30">
        <v>0.87</v>
      </c>
      <c r="U16" s="30">
        <v>0.87</v>
      </c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>
        <v>0.86</v>
      </c>
      <c r="AG16" s="30">
        <v>0.85</v>
      </c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</row>
    <row r="17" spans="1:16382" s="18" customFormat="1" x14ac:dyDescent="0.3">
      <c r="A17" s="18">
        <v>13</v>
      </c>
      <c r="B17" s="18">
        <v>1094</v>
      </c>
      <c r="C17" s="18">
        <v>240</v>
      </c>
      <c r="D17" s="19">
        <f t="shared" si="0"/>
        <v>6.2218890554722642E-2</v>
      </c>
      <c r="E17" s="20">
        <v>83</v>
      </c>
      <c r="F17" s="21">
        <f t="shared" si="1"/>
        <v>7.1297989031078604E-2</v>
      </c>
      <c r="G17" s="18">
        <v>78</v>
      </c>
      <c r="H17" s="21">
        <f t="shared" si="2"/>
        <v>2.0833333333333332E-2</v>
      </c>
      <c r="I17" s="18">
        <v>5</v>
      </c>
      <c r="J17" s="22">
        <v>0.77348364848364803</v>
      </c>
      <c r="K17" s="23">
        <v>0.76044568245125299</v>
      </c>
      <c r="L17" s="23"/>
      <c r="M17" s="23"/>
      <c r="N17" s="23"/>
      <c r="O17" s="23"/>
      <c r="P17" s="23"/>
      <c r="Q17" s="23"/>
      <c r="R17" s="23"/>
      <c r="S17" s="23"/>
      <c r="T17" s="23">
        <v>0.81299999999999994</v>
      </c>
      <c r="U17" s="23">
        <v>0.71899999999999997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>
        <v>0.742397617397617</v>
      </c>
      <c r="AG17" s="23">
        <v>0.68457066731258298</v>
      </c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18">
        <v>0.77348364848364803</v>
      </c>
      <c r="AS17" s="18">
        <v>0.76044568245125299</v>
      </c>
      <c r="AT17" s="23">
        <v>0.81299999999999994</v>
      </c>
      <c r="AU17" s="23">
        <v>0.71899999999999997</v>
      </c>
      <c r="AV17" s="23">
        <v>0.742397617397617</v>
      </c>
      <c r="AW17" s="23">
        <v>0.68457066731258298</v>
      </c>
      <c r="AZ17"/>
      <c r="BA17"/>
      <c r="BB17">
        <v>0.81299999999999994</v>
      </c>
      <c r="BC17">
        <v>0.71899999999999997</v>
      </c>
      <c r="BD17"/>
      <c r="BE17"/>
      <c r="BF17"/>
      <c r="BG17"/>
      <c r="BH17"/>
      <c r="BI17"/>
      <c r="BJ17"/>
      <c r="BK17"/>
      <c r="BL17"/>
      <c r="BM17"/>
      <c r="BN17">
        <v>0.742397617397617</v>
      </c>
      <c r="BO17">
        <v>0.68457066731258298</v>
      </c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</row>
    <row r="18" spans="1:16382" s="25" customFormat="1" x14ac:dyDescent="0.3">
      <c r="A18" s="25">
        <v>14</v>
      </c>
      <c r="B18" s="25">
        <v>1100</v>
      </c>
      <c r="C18" s="25">
        <v>234</v>
      </c>
      <c r="D18" s="26">
        <f t="shared" si="0"/>
        <v>0.32983508245877063</v>
      </c>
      <c r="E18" s="27">
        <v>440</v>
      </c>
      <c r="F18" s="28">
        <f t="shared" si="1"/>
        <v>0.33454545454545453</v>
      </c>
      <c r="G18" s="25">
        <v>368</v>
      </c>
      <c r="H18" s="28">
        <f t="shared" si="2"/>
        <v>0.30769230769230771</v>
      </c>
      <c r="I18" s="25">
        <v>72</v>
      </c>
      <c r="J18" s="29">
        <v>0.92399100142551605</v>
      </c>
      <c r="K18" s="30">
        <v>0.92485425240054797</v>
      </c>
      <c r="L18" s="30"/>
      <c r="M18" s="30"/>
      <c r="N18" s="30"/>
      <c r="O18" s="30"/>
      <c r="P18" s="30"/>
      <c r="Q18" s="30"/>
      <c r="R18" s="30"/>
      <c r="S18" s="30"/>
      <c r="T18" s="30">
        <v>0.90300000000000002</v>
      </c>
      <c r="U18" s="30">
        <v>0.90300000000000002</v>
      </c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>
        <v>0.91</v>
      </c>
      <c r="AG18" s="30">
        <v>0.88</v>
      </c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</row>
    <row r="19" spans="1:16382" s="11" customFormat="1" x14ac:dyDescent="0.3">
      <c r="A19" s="11">
        <v>15</v>
      </c>
      <c r="B19" s="11">
        <v>866</v>
      </c>
      <c r="C19" s="11">
        <v>173</v>
      </c>
      <c r="D19" s="12">
        <f t="shared" si="0"/>
        <v>0.15303176130895091</v>
      </c>
      <c r="E19" s="13">
        <v>159</v>
      </c>
      <c r="F19" s="14">
        <f t="shared" si="1"/>
        <v>0.16628175519630484</v>
      </c>
      <c r="G19" s="11">
        <v>144</v>
      </c>
      <c r="H19" s="14">
        <f t="shared" si="2"/>
        <v>8.6705202312138727E-2</v>
      </c>
      <c r="I19" s="11">
        <v>15</v>
      </c>
      <c r="J19" s="15">
        <v>0.87343701908279403</v>
      </c>
      <c r="K19" s="16">
        <v>0.86962025316455605</v>
      </c>
      <c r="L19" s="16"/>
      <c r="M19" s="16"/>
      <c r="N19" s="16"/>
      <c r="O19" s="16"/>
      <c r="P19" s="16"/>
      <c r="Q19" s="16"/>
      <c r="R19" s="16"/>
      <c r="S19" s="16"/>
      <c r="T19" s="16">
        <v>0.83199999999999996</v>
      </c>
      <c r="U19" s="16">
        <v>0.84399999999999997</v>
      </c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>
        <v>0.77450754078177897</v>
      </c>
      <c r="AG19" s="16">
        <v>0.81751054852320604</v>
      </c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</row>
    <row r="20" spans="1:16382" s="25" customFormat="1" x14ac:dyDescent="0.3">
      <c r="A20" s="25">
        <v>17</v>
      </c>
      <c r="B20" s="25">
        <v>1110</v>
      </c>
      <c r="C20" s="25">
        <v>224</v>
      </c>
      <c r="D20" s="26">
        <f t="shared" si="0"/>
        <v>0.42278860569715143</v>
      </c>
      <c r="E20" s="27">
        <v>564</v>
      </c>
      <c r="F20" s="28">
        <f t="shared" si="1"/>
        <v>0.42702702702702705</v>
      </c>
      <c r="G20" s="25">
        <v>474</v>
      </c>
      <c r="H20" s="28">
        <f t="shared" si="2"/>
        <v>0.4017857142857143</v>
      </c>
      <c r="I20" s="25">
        <v>90</v>
      </c>
      <c r="J20" s="29">
        <v>0.87626217392458094</v>
      </c>
      <c r="K20" s="30">
        <v>0.87189054726368098</v>
      </c>
      <c r="L20" s="30"/>
      <c r="M20" s="30"/>
      <c r="N20" s="30"/>
      <c r="O20" s="30"/>
      <c r="P20" s="30"/>
      <c r="Q20" s="30"/>
      <c r="R20" s="30"/>
      <c r="S20" s="30"/>
      <c r="T20" s="30">
        <v>0.88100000000000001</v>
      </c>
      <c r="U20" s="30">
        <v>0.84399999999999997</v>
      </c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>
        <v>0.84918265530875903</v>
      </c>
      <c r="AG20" s="30">
        <v>0.84481757877280195</v>
      </c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</row>
    <row r="21" spans="1:16382" s="25" customFormat="1" x14ac:dyDescent="0.3">
      <c r="A21" s="25">
        <v>18</v>
      </c>
      <c r="B21" s="25">
        <v>1096</v>
      </c>
      <c r="C21" s="25">
        <v>238</v>
      </c>
      <c r="D21" s="26">
        <f t="shared" si="0"/>
        <v>0.17541229385307347</v>
      </c>
      <c r="E21" s="27">
        <v>234</v>
      </c>
      <c r="F21" s="28">
        <f t="shared" si="1"/>
        <v>0.17974452554744524</v>
      </c>
      <c r="G21" s="25">
        <v>197</v>
      </c>
      <c r="H21" s="28">
        <f t="shared" si="2"/>
        <v>0.1134453781512605</v>
      </c>
      <c r="I21" s="25">
        <v>27</v>
      </c>
      <c r="J21" s="29">
        <v>0.82522599843029198</v>
      </c>
      <c r="K21" s="30">
        <v>0.82008074425136002</v>
      </c>
      <c r="L21" s="30"/>
      <c r="M21" s="30"/>
      <c r="N21" s="30"/>
      <c r="O21" s="30"/>
      <c r="P21" s="30"/>
      <c r="Q21" s="30"/>
      <c r="R21" s="30"/>
      <c r="S21" s="30"/>
      <c r="T21" s="30">
        <v>0.81399999999999995</v>
      </c>
      <c r="U21" s="30">
        <v>0.77400000000000002</v>
      </c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>
        <v>0.76692094430924396</v>
      </c>
      <c r="AG21" s="30">
        <v>0.78146392838335899</v>
      </c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</row>
    <row r="22" spans="1:16382" x14ac:dyDescent="0.3">
      <c r="J22" s="7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/>
      <c r="AG22" s="4"/>
    </row>
  </sheetData>
  <mergeCells count="18">
    <mergeCell ref="B3:I3"/>
    <mergeCell ref="AH3:AQ3"/>
    <mergeCell ref="AF2:AQ2"/>
    <mergeCell ref="AF3:AG3"/>
    <mergeCell ref="J3:K3"/>
    <mergeCell ref="L3:S3"/>
    <mergeCell ref="J2:S2"/>
    <mergeCell ref="T3:U3"/>
    <mergeCell ref="T2:AE2"/>
    <mergeCell ref="V3:AE3"/>
    <mergeCell ref="J1:AG1"/>
    <mergeCell ref="AR1:AW1"/>
    <mergeCell ref="AT2:AU2"/>
    <mergeCell ref="AR3:AS3"/>
    <mergeCell ref="AT3:AU3"/>
    <mergeCell ref="AV3:AW3"/>
    <mergeCell ref="AR2:AS2"/>
    <mergeCell ref="AV2:AW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summary_nn</vt:lpstr>
      <vt:lpstr>presentation</vt:lpstr>
      <vt:lpstr>cut offs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Mandziej</dc:creator>
  <cp:lastModifiedBy>Marcin Mandziej</cp:lastModifiedBy>
  <dcterms:created xsi:type="dcterms:W3CDTF">2015-06-05T18:17:20Z</dcterms:created>
  <dcterms:modified xsi:type="dcterms:W3CDTF">2020-06-24T14:17:52Z</dcterms:modified>
</cp:coreProperties>
</file>