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showInkAnnotation="0" defaultThemeVersion="124226"/>
  <xr:revisionPtr revIDLastSave="0" documentId="13_ncr:1_{C48318DF-6F6F-4873-9A19-8F1CD1E1A57C}" xr6:coauthVersionLast="45" xr6:coauthVersionMax="45" xr10:uidLastSave="{00000000-0000-0000-0000-000000000000}"/>
  <bookViews>
    <workbookView xWindow="30720" yWindow="2610" windowWidth="20025" windowHeight="11385" tabRatio="783" xr2:uid="{00000000-000D-0000-FFFF-FFFF00000000}"/>
  </bookViews>
  <sheets>
    <sheet name="Instructions" sheetId="33" r:id="rId1"/>
    <sheet name="Exp. Data Collection" sheetId="14" r:id="rId2"/>
    <sheet name="Exp. Data Processing" sheetId="10" r:id="rId3"/>
    <sheet name="Model Fitting" sheetId="31" r:id="rId4"/>
  </sheets>
  <definedNames>
    <definedName name="Average_SSE" comment="Average of ellipsometric parameters normalized sum of squared errors." localSheetId="3">'Model Fitting'!$C$35</definedName>
    <definedName name="d1_Max">'Model Fitting'!$B$26</definedName>
    <definedName name="d1_Min">'Model Fitting'!$A$26</definedName>
    <definedName name="d1_Thickness">'Model Fitting'!$B$31</definedName>
    <definedName name="k1_extinction">'Model Fitting'!$B$30</definedName>
    <definedName name="k1_Max">'Model Fitting'!$B$21</definedName>
    <definedName name="k1_Min">'Model Fitting'!$A$21</definedName>
    <definedName name="n1_Index">'Model Fitting'!$B$29</definedName>
    <definedName name="n1_Max">'Model Fitting'!$B$16</definedName>
    <definedName name="n1_Min">'Model Fitting'!$A$16</definedName>
    <definedName name="solver_adj" localSheetId="3" hidden="1">'Model Fitting'!$B$29,'Model Fitting'!$B$30,'Model Fitting'!$B$31</definedName>
    <definedName name="solver_cvg" localSheetId="3" hidden="1">0.0001</definedName>
    <definedName name="solver_drv" localSheetId="3" hidden="1">2</definedName>
    <definedName name="solver_eng" localSheetId="2" hidden="1">1</definedName>
    <definedName name="solver_eng" localSheetId="3" hidden="1">3</definedName>
    <definedName name="solver_est" localSheetId="3" hidden="1">1</definedName>
    <definedName name="solver_itr" localSheetId="3" hidden="1">2147483647</definedName>
    <definedName name="solver_lhs1" localSheetId="3" hidden="1">'Model Fitting'!$B$31</definedName>
    <definedName name="solver_lhs2" localSheetId="3" hidden="1">'Model Fitting'!$B$31</definedName>
    <definedName name="solver_lhs3" localSheetId="3" hidden="1">'Model Fitting'!$B$31</definedName>
    <definedName name="solver_lhs4" localSheetId="3" hidden="1">'Model Fitting'!$B$30</definedName>
    <definedName name="solver_lhs5" localSheetId="3" hidden="1">'Model Fitting'!$B$30</definedName>
    <definedName name="solver_lhs6" localSheetId="3" hidden="1">'Model Fitting'!$B$29</definedName>
    <definedName name="solver_lhs7" localSheetId="3" hidden="1">'Model Fitting'!$B$29</definedName>
    <definedName name="solver_lhs8" localSheetId="3" hidden="1">'Model Fitting'!$B$29</definedName>
    <definedName name="solver_lhs9" localSheetId="3" hidden="1">'Model Fitting'!#REF!</definedName>
    <definedName name="solver_lin" localSheetId="3" hidden="1">2</definedName>
    <definedName name="solver_mip" localSheetId="3" hidden="1">2147483647</definedName>
    <definedName name="solver_mni" localSheetId="3" hidden="1">45</definedName>
    <definedName name="solver_mrt" localSheetId="3" hidden="1">0.5</definedName>
    <definedName name="solver_msl" localSheetId="3" hidden="1">1</definedName>
    <definedName name="solver_neg" localSheetId="2" hidden="1">1</definedName>
    <definedName name="solver_neg" localSheetId="3" hidden="1">1</definedName>
    <definedName name="solver_nod" localSheetId="3" hidden="1">2147483647</definedName>
    <definedName name="solver_num" localSheetId="2" hidden="1">0</definedName>
    <definedName name="solver_num" localSheetId="3" hidden="1">7</definedName>
    <definedName name="solver_nwt" localSheetId="3" hidden="1">1</definedName>
    <definedName name="solver_opt" localSheetId="2" hidden="1">'Exp. Data Processing'!$J$11</definedName>
    <definedName name="solver_opt" localSheetId="3" hidden="1">'Model Fitting'!$C$35</definedName>
    <definedName name="solver_pre" localSheetId="3" hidden="1">0.000001</definedName>
    <definedName name="solver_rbv" localSheetId="3" hidden="1">2</definedName>
    <definedName name="solver_rel1" localSheetId="3" hidden="1">1</definedName>
    <definedName name="solver_rel2" localSheetId="3" hidden="1">4</definedName>
    <definedName name="solver_rel3" localSheetId="3" hidden="1">3</definedName>
    <definedName name="solver_rel4" localSheetId="3" hidden="1">1</definedName>
    <definedName name="solver_rel5" localSheetId="3" hidden="1">3</definedName>
    <definedName name="solver_rel6" localSheetId="3" hidden="1">1</definedName>
    <definedName name="solver_rel7" localSheetId="3" hidden="1">3</definedName>
    <definedName name="solver_rel8" localSheetId="3" hidden="1">3</definedName>
    <definedName name="solver_rel9" localSheetId="3" hidden="1">3</definedName>
    <definedName name="solver_rhs1" localSheetId="3" hidden="1">d1_Max</definedName>
    <definedName name="solver_rhs2" localSheetId="3" hidden="1">integer</definedName>
    <definedName name="solver_rhs3" localSheetId="3" hidden="1">d1_Min</definedName>
    <definedName name="solver_rhs4" localSheetId="3" hidden="1">k1_Max</definedName>
    <definedName name="solver_rhs5" localSheetId="3" hidden="1">k1_Min</definedName>
    <definedName name="solver_rhs6" localSheetId="3" hidden="1">n1_Max</definedName>
    <definedName name="solver_rhs7" localSheetId="3" hidden="1">n1_Min</definedName>
    <definedName name="solver_rhs8" localSheetId="3" hidden="1">n1_Min</definedName>
    <definedName name="solver_rhs9" localSheetId="3" hidden="1">0</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50</definedName>
    <definedName name="solver_tim" localSheetId="3" hidden="1">2147483647</definedName>
    <definedName name="solver_tol" localSheetId="3" hidden="1">0.01</definedName>
    <definedName name="solver_typ" localSheetId="2" hidden="1">1</definedName>
    <definedName name="solver_typ" localSheetId="3" hidden="1">2</definedName>
    <definedName name="solver_val" localSheetId="2" hidden="1">0</definedName>
    <definedName name="solver_val" localSheetId="3" hidden="1">0</definedName>
    <definedName name="solver_ver" localSheetId="2" hidden="1">3</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4" i="31" l="1"/>
  <c r="D134" i="31"/>
  <c r="C134" i="31"/>
  <c r="B134" i="31"/>
  <c r="A134" i="31"/>
  <c r="F133" i="31"/>
  <c r="E133" i="31"/>
  <c r="D133" i="31"/>
  <c r="C133" i="31"/>
  <c r="B133" i="31"/>
  <c r="F134" i="31" l="1"/>
  <c r="B43" i="31" l="1"/>
  <c r="B44" i="31"/>
  <c r="B45" i="31"/>
  <c r="B46" i="31"/>
  <c r="B47" i="31"/>
  <c r="B48" i="31"/>
  <c r="B49" i="31"/>
  <c r="B50" i="31"/>
  <c r="B51" i="31"/>
  <c r="B52" i="31"/>
  <c r="B53" i="31"/>
  <c r="B54" i="31"/>
  <c r="B55" i="31"/>
  <c r="B56" i="31"/>
  <c r="B57" i="31"/>
  <c r="B58" i="31"/>
  <c r="B59" i="31"/>
  <c r="B60" i="31"/>
  <c r="B62" i="31"/>
  <c r="B63" i="31"/>
  <c r="B64" i="31"/>
  <c r="B65" i="31"/>
  <c r="B67" i="31"/>
  <c r="B68" i="31"/>
  <c r="B69" i="31"/>
  <c r="B70" i="31"/>
  <c r="B72" i="31"/>
  <c r="B73" i="31"/>
  <c r="B74" i="31"/>
  <c r="B75" i="31"/>
  <c r="B77" i="31"/>
  <c r="B78" i="31"/>
  <c r="B79" i="31"/>
  <c r="B80" i="31"/>
  <c r="B82" i="31"/>
  <c r="B83" i="31"/>
  <c r="B84" i="31"/>
  <c r="B85" i="31"/>
  <c r="B87" i="31"/>
  <c r="B88" i="31"/>
  <c r="B89" i="31"/>
  <c r="B90" i="31"/>
  <c r="B92" i="31"/>
  <c r="B93" i="31"/>
  <c r="B94" i="31"/>
  <c r="B95" i="31"/>
  <c r="B97" i="31"/>
  <c r="B98" i="31"/>
  <c r="B99" i="31"/>
  <c r="B100" i="31"/>
  <c r="B102" i="31"/>
  <c r="B103" i="31"/>
  <c r="B104" i="31"/>
  <c r="B105" i="31"/>
  <c r="B107" i="31"/>
  <c r="B108" i="31"/>
  <c r="B109" i="31"/>
  <c r="B110" i="31"/>
  <c r="B112" i="31"/>
  <c r="B113" i="31"/>
  <c r="B114" i="31"/>
  <c r="B115" i="31"/>
  <c r="B117" i="31"/>
  <c r="B118" i="31"/>
  <c r="B119" i="31"/>
  <c r="B120" i="31"/>
  <c r="B121" i="31"/>
  <c r="B122" i="31"/>
  <c r="B123" i="31"/>
  <c r="B124" i="31"/>
  <c r="B125" i="31"/>
  <c r="B126" i="31"/>
  <c r="B127" i="31"/>
  <c r="B128" i="31"/>
  <c r="B129" i="31"/>
  <c r="B130" i="31"/>
  <c r="B42" i="31"/>
  <c r="A43" i="31"/>
  <c r="A44" i="31"/>
  <c r="A45" i="31"/>
  <c r="A46" i="31"/>
  <c r="A47" i="31"/>
  <c r="A48" i="31"/>
  <c r="A49" i="31"/>
  <c r="A50" i="31"/>
  <c r="A51" i="31"/>
  <c r="A52" i="31"/>
  <c r="A53" i="31"/>
  <c r="A54" i="31"/>
  <c r="A55" i="31"/>
  <c r="A56" i="31"/>
  <c r="A57" i="31"/>
  <c r="A58" i="31"/>
  <c r="A59" i="31"/>
  <c r="A60" i="31"/>
  <c r="A62" i="31"/>
  <c r="A63" i="31"/>
  <c r="A64" i="31"/>
  <c r="A65" i="31"/>
  <c r="A67" i="31"/>
  <c r="A68" i="31"/>
  <c r="A69" i="31"/>
  <c r="A70" i="31"/>
  <c r="A72" i="31"/>
  <c r="A73" i="31"/>
  <c r="A74" i="31"/>
  <c r="A75" i="31"/>
  <c r="A77" i="31"/>
  <c r="A78" i="31"/>
  <c r="A79" i="31"/>
  <c r="A80" i="31"/>
  <c r="A82" i="31"/>
  <c r="A83" i="31"/>
  <c r="A84" i="31"/>
  <c r="A85" i="31"/>
  <c r="A87" i="31"/>
  <c r="A88" i="31"/>
  <c r="A89" i="31"/>
  <c r="A90" i="31"/>
  <c r="A92" i="31"/>
  <c r="A93" i="31"/>
  <c r="A94" i="31"/>
  <c r="A95" i="31"/>
  <c r="A97" i="31"/>
  <c r="A98" i="31"/>
  <c r="A99" i="31"/>
  <c r="A100" i="31"/>
  <c r="A102" i="31"/>
  <c r="A103" i="31"/>
  <c r="A104" i="31"/>
  <c r="A105" i="31"/>
  <c r="A107" i="31"/>
  <c r="A108" i="31"/>
  <c r="A109" i="31"/>
  <c r="A110" i="31"/>
  <c r="A112" i="31"/>
  <c r="A113" i="31"/>
  <c r="A114" i="31"/>
  <c r="A115" i="31"/>
  <c r="A117" i="31"/>
  <c r="A118" i="31"/>
  <c r="A119" i="31"/>
  <c r="A120" i="31"/>
  <c r="A121" i="31"/>
  <c r="A122" i="31"/>
  <c r="A123" i="31"/>
  <c r="A124" i="31"/>
  <c r="A125" i="31"/>
  <c r="A126" i="31"/>
  <c r="A127" i="31"/>
  <c r="A128" i="31"/>
  <c r="A129" i="31"/>
  <c r="A130" i="31"/>
  <c r="A42" i="31"/>
  <c r="C33" i="10" l="1"/>
  <c r="B111" i="31" s="1"/>
  <c r="B32" i="10"/>
  <c r="A106" i="31" s="1"/>
  <c r="B31" i="10"/>
  <c r="A101" i="31" s="1"/>
  <c r="G10" i="14"/>
  <c r="H10" i="14" s="1"/>
  <c r="G18" i="14"/>
  <c r="H18" i="14" s="1"/>
  <c r="G16" i="14"/>
  <c r="H16" i="14" s="1"/>
  <c r="G14" i="14"/>
  <c r="H14" i="14" s="1"/>
  <c r="G12" i="14"/>
  <c r="H12" i="14" s="1"/>
  <c r="H30" i="14"/>
  <c r="G20" i="14"/>
  <c r="H20" i="14" s="1"/>
  <c r="G22" i="14"/>
  <c r="H22" i="14" s="1"/>
  <c r="G24" i="14"/>
  <c r="H24" i="14" s="1"/>
  <c r="G26" i="14"/>
  <c r="H26" i="14" s="1"/>
  <c r="C31" i="10" s="1"/>
  <c r="B101" i="31" s="1"/>
  <c r="G28" i="14"/>
  <c r="H28" i="14" s="1"/>
  <c r="C32" i="10" s="1"/>
  <c r="B106" i="31" s="1"/>
  <c r="G30" i="14"/>
  <c r="G32" i="14"/>
  <c r="H32" i="14" s="1"/>
  <c r="C34" i="10" s="1"/>
  <c r="B116" i="31" s="1"/>
  <c r="D31" i="10" l="1"/>
  <c r="D32" i="10"/>
  <c r="B24" i="10" l="1"/>
  <c r="A66" i="31" s="1"/>
  <c r="C5" i="31" l="1"/>
  <c r="C7" i="31" l="1"/>
  <c r="C6" i="31"/>
  <c r="B28" i="10" l="1"/>
  <c r="A86" i="31" s="1"/>
  <c r="B29" i="10"/>
  <c r="A91" i="31" s="1"/>
  <c r="B27" i="10"/>
  <c r="A81" i="31" s="1"/>
  <c r="C28" i="10"/>
  <c r="B86" i="31" s="1"/>
  <c r="B30" i="10"/>
  <c r="A96" i="31" s="1"/>
  <c r="D28" i="10" l="1"/>
  <c r="B34" i="10"/>
  <c r="A116" i="31" s="1"/>
  <c r="B33" i="10"/>
  <c r="A111" i="31" s="1"/>
  <c r="D34" i="10" l="1"/>
  <c r="D33" i="10"/>
  <c r="P42" i="31"/>
  <c r="O54" i="31"/>
  <c r="T54" i="31" s="1"/>
  <c r="O55" i="31"/>
  <c r="T55" i="31" s="1"/>
  <c r="O56" i="31"/>
  <c r="T56" i="31" s="1"/>
  <c r="O57" i="31"/>
  <c r="T57" i="31" s="1"/>
  <c r="O58" i="31"/>
  <c r="T58" i="31" s="1"/>
  <c r="O59" i="31"/>
  <c r="T59" i="31" s="1"/>
  <c r="O60" i="31"/>
  <c r="T60" i="31" s="1"/>
  <c r="O61" i="31"/>
  <c r="T61" i="31" s="1"/>
  <c r="O62" i="31"/>
  <c r="T62" i="31" s="1"/>
  <c r="O76" i="31"/>
  <c r="T76" i="31" s="1"/>
  <c r="O77" i="31"/>
  <c r="T77" i="31" s="1"/>
  <c r="O78" i="31"/>
  <c r="T78" i="31" s="1"/>
  <c r="O84" i="31"/>
  <c r="T84" i="31" s="1"/>
  <c r="O85" i="31"/>
  <c r="T85" i="31" s="1"/>
  <c r="O86" i="31"/>
  <c r="O87" i="31"/>
  <c r="T87" i="31" s="1"/>
  <c r="O88" i="31"/>
  <c r="T88" i="31" s="1"/>
  <c r="O89" i="31"/>
  <c r="T89" i="31" s="1"/>
  <c r="O91" i="31"/>
  <c r="T91" i="31" s="1"/>
  <c r="O92" i="31"/>
  <c r="T92" i="31" s="1"/>
  <c r="O93" i="31"/>
  <c r="T93" i="31" s="1"/>
  <c r="O94" i="31"/>
  <c r="T94" i="31" s="1"/>
  <c r="O109" i="31"/>
  <c r="T109" i="31" s="1"/>
  <c r="O110" i="31"/>
  <c r="T110" i="31" s="1"/>
  <c r="O117" i="31"/>
  <c r="T117" i="31" s="1"/>
  <c r="O118" i="31"/>
  <c r="T118" i="31" s="1"/>
  <c r="O119" i="31"/>
  <c r="T119" i="31" s="1"/>
  <c r="O120" i="31"/>
  <c r="T120" i="31" s="1"/>
  <c r="O121" i="31"/>
  <c r="T121" i="31" s="1"/>
  <c r="O122" i="31"/>
  <c r="T122" i="31" s="1"/>
  <c r="O123" i="31"/>
  <c r="T123" i="31" s="1"/>
  <c r="O124" i="31"/>
  <c r="T124" i="31" s="1"/>
  <c r="O125" i="31"/>
  <c r="T125" i="31" s="1"/>
  <c r="O126" i="31"/>
  <c r="T126" i="31" s="1"/>
  <c r="O42" i="31"/>
  <c r="T42" i="31" s="1"/>
  <c r="O65" i="31"/>
  <c r="T65" i="31" s="1"/>
  <c r="O66" i="31"/>
  <c r="T66" i="31" s="1"/>
  <c r="O69" i="31"/>
  <c r="T69" i="31" s="1"/>
  <c r="O70" i="31"/>
  <c r="T70" i="31" s="1"/>
  <c r="O71" i="31"/>
  <c r="T71" i="31" s="1"/>
  <c r="O72" i="31"/>
  <c r="T72" i="31" s="1"/>
  <c r="O73" i="31"/>
  <c r="T73" i="31" s="1"/>
  <c r="O74" i="31"/>
  <c r="T74" i="31" s="1"/>
  <c r="O75" i="31"/>
  <c r="T75" i="31" s="1"/>
  <c r="O81" i="31"/>
  <c r="T81" i="31" s="1"/>
  <c r="O90" i="31"/>
  <c r="T90" i="31" s="1"/>
  <c r="O97" i="31"/>
  <c r="T97" i="31" s="1"/>
  <c r="O101" i="31"/>
  <c r="O102" i="31"/>
  <c r="T102" i="31" s="1"/>
  <c r="O103" i="31"/>
  <c r="T103" i="31" s="1"/>
  <c r="O104" i="31"/>
  <c r="T104" i="31" s="1"/>
  <c r="O105" i="31"/>
  <c r="T105" i="31" s="1"/>
  <c r="O106" i="31"/>
  <c r="T106" i="31" s="1"/>
  <c r="O107" i="31"/>
  <c r="T107" i="31" s="1"/>
  <c r="O44" i="31"/>
  <c r="T44" i="31" s="1"/>
  <c r="O45" i="31"/>
  <c r="T45" i="31" s="1"/>
  <c r="O46" i="31"/>
  <c r="T46" i="31" s="1"/>
  <c r="O47" i="31"/>
  <c r="T47" i="31" s="1"/>
  <c r="O48" i="31"/>
  <c r="T48" i="31" s="1"/>
  <c r="O49" i="31"/>
  <c r="T49" i="31" s="1"/>
  <c r="O50" i="31"/>
  <c r="T50" i="31" s="1"/>
  <c r="O53" i="31"/>
  <c r="T53" i="31" s="1"/>
  <c r="G42" i="31"/>
  <c r="H42" i="31"/>
  <c r="I42" i="31"/>
  <c r="J42" i="31"/>
  <c r="K42" i="31"/>
  <c r="L42" i="31"/>
  <c r="M42" i="31"/>
  <c r="G43" i="31"/>
  <c r="H43" i="31"/>
  <c r="I43" i="31"/>
  <c r="J43" i="31"/>
  <c r="K43" i="31"/>
  <c r="L43" i="31"/>
  <c r="M43" i="31"/>
  <c r="O43" i="31"/>
  <c r="T43" i="31" s="1"/>
  <c r="P43" i="31"/>
  <c r="G44" i="31"/>
  <c r="H44" i="31"/>
  <c r="I44" i="31"/>
  <c r="J44" i="31"/>
  <c r="K44" i="31"/>
  <c r="L44" i="31"/>
  <c r="M44" i="31"/>
  <c r="P44" i="31"/>
  <c r="G45" i="31"/>
  <c r="H45" i="31"/>
  <c r="I45" i="31"/>
  <c r="J45" i="31"/>
  <c r="K45" i="31"/>
  <c r="L45" i="31"/>
  <c r="M45" i="31"/>
  <c r="P45" i="31"/>
  <c r="G46" i="31"/>
  <c r="H46" i="31"/>
  <c r="I46" i="31"/>
  <c r="J46" i="31"/>
  <c r="K46" i="31"/>
  <c r="L46" i="31"/>
  <c r="M46" i="31"/>
  <c r="P46" i="31"/>
  <c r="G47" i="31"/>
  <c r="H47" i="31"/>
  <c r="I47" i="31"/>
  <c r="J47" i="31"/>
  <c r="K47" i="31"/>
  <c r="L47" i="31"/>
  <c r="M47" i="31"/>
  <c r="P47" i="31"/>
  <c r="G48" i="31"/>
  <c r="H48" i="31"/>
  <c r="I48" i="31"/>
  <c r="J48" i="31"/>
  <c r="K48" i="31"/>
  <c r="L48" i="31"/>
  <c r="M48" i="31"/>
  <c r="P48" i="31"/>
  <c r="G49" i="31"/>
  <c r="H49" i="31"/>
  <c r="I49" i="31"/>
  <c r="J49" i="31"/>
  <c r="K49" i="31"/>
  <c r="L49" i="31"/>
  <c r="M49" i="31"/>
  <c r="P49" i="31"/>
  <c r="G50" i="31"/>
  <c r="H50" i="31"/>
  <c r="I50" i="31"/>
  <c r="J50" i="31"/>
  <c r="K50" i="31"/>
  <c r="L50" i="31"/>
  <c r="M50" i="31"/>
  <c r="P50" i="31"/>
  <c r="G51" i="31"/>
  <c r="H51" i="31"/>
  <c r="I51" i="31"/>
  <c r="J51" i="31"/>
  <c r="K51" i="31"/>
  <c r="L51" i="31"/>
  <c r="M51" i="31"/>
  <c r="O51" i="31"/>
  <c r="T51" i="31" s="1"/>
  <c r="P51" i="31"/>
  <c r="G52" i="31"/>
  <c r="H52" i="31"/>
  <c r="I52" i="31"/>
  <c r="J52" i="31"/>
  <c r="K52" i="31"/>
  <c r="L52" i="31"/>
  <c r="M52" i="31"/>
  <c r="O52" i="31"/>
  <c r="T52" i="31" s="1"/>
  <c r="P52" i="31"/>
  <c r="G53" i="31"/>
  <c r="H53" i="31"/>
  <c r="I53" i="31"/>
  <c r="J53" i="31"/>
  <c r="K53" i="31"/>
  <c r="L53" i="31"/>
  <c r="M53" i="31"/>
  <c r="P53" i="31"/>
  <c r="G54" i="31"/>
  <c r="H54" i="31"/>
  <c r="I54" i="31"/>
  <c r="J54" i="31"/>
  <c r="K54" i="31"/>
  <c r="L54" i="31"/>
  <c r="M54" i="31"/>
  <c r="P54" i="31"/>
  <c r="G55" i="31"/>
  <c r="H55" i="31"/>
  <c r="I55" i="31"/>
  <c r="J55" i="31"/>
  <c r="K55" i="31"/>
  <c r="L55" i="31"/>
  <c r="M55" i="31"/>
  <c r="P55" i="31"/>
  <c r="G56" i="31"/>
  <c r="H56" i="31"/>
  <c r="I56" i="31"/>
  <c r="J56" i="31"/>
  <c r="K56" i="31"/>
  <c r="L56" i="31"/>
  <c r="M56" i="31"/>
  <c r="P56" i="31"/>
  <c r="G57" i="31"/>
  <c r="H57" i="31"/>
  <c r="I57" i="31"/>
  <c r="J57" i="31"/>
  <c r="K57" i="31"/>
  <c r="L57" i="31"/>
  <c r="M57" i="31"/>
  <c r="P57" i="31"/>
  <c r="G58" i="31"/>
  <c r="H58" i="31"/>
  <c r="I58" i="31"/>
  <c r="J58" i="31"/>
  <c r="K58" i="31"/>
  <c r="L58" i="31"/>
  <c r="M58" i="31"/>
  <c r="P58" i="31"/>
  <c r="G59" i="31"/>
  <c r="H59" i="31"/>
  <c r="I59" i="31"/>
  <c r="J59" i="31"/>
  <c r="K59" i="31"/>
  <c r="L59" i="31"/>
  <c r="M59" i="31"/>
  <c r="P59" i="31"/>
  <c r="G60" i="31"/>
  <c r="H60" i="31"/>
  <c r="I60" i="31"/>
  <c r="J60" i="31"/>
  <c r="K60" i="31"/>
  <c r="L60" i="31"/>
  <c r="M60" i="31"/>
  <c r="P60" i="31"/>
  <c r="G61" i="31"/>
  <c r="H61" i="31"/>
  <c r="I61" i="31"/>
  <c r="J61" i="31"/>
  <c r="K61" i="31"/>
  <c r="L61" i="31"/>
  <c r="M61" i="31"/>
  <c r="P61" i="31"/>
  <c r="G62" i="31"/>
  <c r="H62" i="31"/>
  <c r="I62" i="31"/>
  <c r="J62" i="31"/>
  <c r="K62" i="31"/>
  <c r="L62" i="31"/>
  <c r="M62" i="31"/>
  <c r="P62" i="31"/>
  <c r="G63" i="31"/>
  <c r="H63" i="31"/>
  <c r="I63" i="31"/>
  <c r="J63" i="31"/>
  <c r="K63" i="31"/>
  <c r="L63" i="31"/>
  <c r="M63" i="31"/>
  <c r="O63" i="31"/>
  <c r="T63" i="31" s="1"/>
  <c r="P63" i="31"/>
  <c r="G64" i="31"/>
  <c r="H64" i="31"/>
  <c r="I64" i="31"/>
  <c r="J64" i="31"/>
  <c r="K64" i="31"/>
  <c r="L64" i="31"/>
  <c r="M64" i="31"/>
  <c r="O64" i="31"/>
  <c r="T64" i="31" s="1"/>
  <c r="P64" i="31"/>
  <c r="G65" i="31"/>
  <c r="H65" i="31"/>
  <c r="I65" i="31"/>
  <c r="J65" i="31"/>
  <c r="K65" i="31"/>
  <c r="L65" i="31"/>
  <c r="M65" i="31"/>
  <c r="P65" i="31"/>
  <c r="G66" i="31"/>
  <c r="H66" i="31"/>
  <c r="I66" i="31"/>
  <c r="J66" i="31"/>
  <c r="K66" i="31"/>
  <c r="L66" i="31"/>
  <c r="M66" i="31"/>
  <c r="P66" i="31"/>
  <c r="G67" i="31"/>
  <c r="H67" i="31"/>
  <c r="I67" i="31"/>
  <c r="J67" i="31"/>
  <c r="K67" i="31"/>
  <c r="L67" i="31"/>
  <c r="M67" i="31"/>
  <c r="O67" i="31"/>
  <c r="T67" i="31" s="1"/>
  <c r="P67" i="31"/>
  <c r="G68" i="31"/>
  <c r="H68" i="31"/>
  <c r="I68" i="31"/>
  <c r="J68" i="31"/>
  <c r="K68" i="31"/>
  <c r="L68" i="31"/>
  <c r="M68" i="31"/>
  <c r="O68" i="31"/>
  <c r="T68" i="31" s="1"/>
  <c r="P68" i="31"/>
  <c r="G69" i="31"/>
  <c r="H69" i="31"/>
  <c r="I69" i="31"/>
  <c r="J69" i="31"/>
  <c r="K69" i="31"/>
  <c r="L69" i="31"/>
  <c r="M69" i="31"/>
  <c r="P69" i="31"/>
  <c r="G70" i="31"/>
  <c r="H70" i="31"/>
  <c r="I70" i="31"/>
  <c r="J70" i="31"/>
  <c r="K70" i="31"/>
  <c r="L70" i="31"/>
  <c r="M70" i="31"/>
  <c r="P70" i="31"/>
  <c r="G71" i="31"/>
  <c r="H71" i="31"/>
  <c r="I71" i="31"/>
  <c r="J71" i="31"/>
  <c r="K71" i="31"/>
  <c r="L71" i="31"/>
  <c r="M71" i="31"/>
  <c r="P71" i="31"/>
  <c r="G72" i="31"/>
  <c r="H72" i="31"/>
  <c r="I72" i="31"/>
  <c r="J72" i="31"/>
  <c r="K72" i="31"/>
  <c r="L72" i="31"/>
  <c r="M72" i="31"/>
  <c r="P72" i="31"/>
  <c r="G73" i="31"/>
  <c r="H73" i="31"/>
  <c r="I73" i="31"/>
  <c r="J73" i="31"/>
  <c r="K73" i="31"/>
  <c r="L73" i="31"/>
  <c r="M73" i="31"/>
  <c r="P73" i="31"/>
  <c r="G74" i="31"/>
  <c r="H74" i="31"/>
  <c r="I74" i="31"/>
  <c r="J74" i="31"/>
  <c r="K74" i="31"/>
  <c r="L74" i="31"/>
  <c r="M74" i="31"/>
  <c r="P74" i="31"/>
  <c r="G75" i="31"/>
  <c r="H75" i="31"/>
  <c r="I75" i="31"/>
  <c r="J75" i="31"/>
  <c r="K75" i="31"/>
  <c r="L75" i="31"/>
  <c r="M75" i="31"/>
  <c r="P75" i="31"/>
  <c r="G76" i="31"/>
  <c r="H76" i="31"/>
  <c r="I76" i="31"/>
  <c r="J76" i="31"/>
  <c r="K76" i="31"/>
  <c r="L76" i="31"/>
  <c r="M76" i="31"/>
  <c r="P76" i="31"/>
  <c r="G77" i="31"/>
  <c r="H77" i="31"/>
  <c r="I77" i="31"/>
  <c r="J77" i="31"/>
  <c r="K77" i="31"/>
  <c r="L77" i="31"/>
  <c r="M77" i="31"/>
  <c r="P77" i="31"/>
  <c r="G78" i="31"/>
  <c r="H78" i="31"/>
  <c r="I78" i="31"/>
  <c r="J78" i="31"/>
  <c r="K78" i="31"/>
  <c r="L78" i="31"/>
  <c r="M78" i="31"/>
  <c r="P78" i="31"/>
  <c r="G79" i="31"/>
  <c r="H79" i="31"/>
  <c r="I79" i="31"/>
  <c r="J79" i="31"/>
  <c r="K79" i="31"/>
  <c r="L79" i="31"/>
  <c r="M79" i="31"/>
  <c r="O79" i="31"/>
  <c r="T79" i="31" s="1"/>
  <c r="P79" i="31"/>
  <c r="G80" i="31"/>
  <c r="H80" i="31"/>
  <c r="I80" i="31"/>
  <c r="J80" i="31"/>
  <c r="K80" i="31"/>
  <c r="L80" i="31"/>
  <c r="M80" i="31"/>
  <c r="O80" i="31"/>
  <c r="T80" i="31" s="1"/>
  <c r="P80" i="31"/>
  <c r="G81" i="31"/>
  <c r="H81" i="31"/>
  <c r="I81" i="31"/>
  <c r="J81" i="31"/>
  <c r="K81" i="31"/>
  <c r="L81" i="31"/>
  <c r="M81" i="31"/>
  <c r="P81" i="31"/>
  <c r="G82" i="31"/>
  <c r="H82" i="31"/>
  <c r="I82" i="31"/>
  <c r="J82" i="31"/>
  <c r="K82" i="31"/>
  <c r="L82" i="31"/>
  <c r="M82" i="31"/>
  <c r="O82" i="31"/>
  <c r="T82" i="31" s="1"/>
  <c r="P82" i="31"/>
  <c r="G83" i="31"/>
  <c r="H83" i="31"/>
  <c r="I83" i="31"/>
  <c r="J83" i="31"/>
  <c r="K83" i="31"/>
  <c r="L83" i="31"/>
  <c r="M83" i="31"/>
  <c r="O83" i="31"/>
  <c r="T83" i="31" s="1"/>
  <c r="P83" i="31"/>
  <c r="G84" i="31"/>
  <c r="H84" i="31"/>
  <c r="I84" i="31"/>
  <c r="J84" i="31"/>
  <c r="K84" i="31"/>
  <c r="L84" i="31"/>
  <c r="M84" i="31"/>
  <c r="P84" i="31"/>
  <c r="G85" i="31"/>
  <c r="H85" i="31"/>
  <c r="I85" i="31"/>
  <c r="J85" i="31"/>
  <c r="K85" i="31"/>
  <c r="L85" i="31"/>
  <c r="M85" i="31"/>
  <c r="P85" i="31"/>
  <c r="G86" i="31"/>
  <c r="H86" i="31"/>
  <c r="I86" i="31"/>
  <c r="J86" i="31"/>
  <c r="K86" i="31"/>
  <c r="L86" i="31"/>
  <c r="M86" i="31"/>
  <c r="P86" i="31"/>
  <c r="G87" i="31"/>
  <c r="H87" i="31"/>
  <c r="I87" i="31"/>
  <c r="J87" i="31"/>
  <c r="K87" i="31"/>
  <c r="L87" i="31"/>
  <c r="M87" i="31"/>
  <c r="P87" i="31"/>
  <c r="G88" i="31"/>
  <c r="H88" i="31"/>
  <c r="I88" i="31"/>
  <c r="J88" i="31"/>
  <c r="K88" i="31"/>
  <c r="L88" i="31"/>
  <c r="M88" i="31"/>
  <c r="P88" i="31"/>
  <c r="G89" i="31"/>
  <c r="H89" i="31"/>
  <c r="I89" i="31"/>
  <c r="J89" i="31"/>
  <c r="K89" i="31"/>
  <c r="L89" i="31"/>
  <c r="M89" i="31"/>
  <c r="P89" i="31"/>
  <c r="G90" i="31"/>
  <c r="H90" i="31"/>
  <c r="I90" i="31"/>
  <c r="J90" i="31"/>
  <c r="K90" i="31"/>
  <c r="L90" i="31"/>
  <c r="M90" i="31"/>
  <c r="P90" i="31"/>
  <c r="G91" i="31"/>
  <c r="H91" i="31"/>
  <c r="I91" i="31"/>
  <c r="J91" i="31"/>
  <c r="K91" i="31"/>
  <c r="L91" i="31"/>
  <c r="M91" i="31"/>
  <c r="P91" i="31"/>
  <c r="G92" i="31"/>
  <c r="H92" i="31"/>
  <c r="I92" i="31"/>
  <c r="J92" i="31"/>
  <c r="K92" i="31"/>
  <c r="L92" i="31"/>
  <c r="M92" i="31"/>
  <c r="P92" i="31"/>
  <c r="G93" i="31"/>
  <c r="H93" i="31"/>
  <c r="I93" i="31"/>
  <c r="J93" i="31"/>
  <c r="K93" i="31"/>
  <c r="L93" i="31"/>
  <c r="M93" i="31"/>
  <c r="P93" i="31"/>
  <c r="G94" i="31"/>
  <c r="H94" i="31"/>
  <c r="I94" i="31"/>
  <c r="J94" i="31"/>
  <c r="K94" i="31"/>
  <c r="L94" i="31"/>
  <c r="M94" i="31"/>
  <c r="P94" i="31"/>
  <c r="G95" i="31"/>
  <c r="H95" i="31"/>
  <c r="I95" i="31"/>
  <c r="J95" i="31"/>
  <c r="K95" i="31"/>
  <c r="L95" i="31"/>
  <c r="M95" i="31"/>
  <c r="O95" i="31"/>
  <c r="T95" i="31" s="1"/>
  <c r="P95" i="31"/>
  <c r="G96" i="31"/>
  <c r="H96" i="31"/>
  <c r="I96" i="31"/>
  <c r="J96" i="31"/>
  <c r="K96" i="31"/>
  <c r="L96" i="31"/>
  <c r="M96" i="31"/>
  <c r="O96" i="31"/>
  <c r="T96" i="31" s="1"/>
  <c r="P96" i="31"/>
  <c r="G97" i="31"/>
  <c r="H97" i="31"/>
  <c r="I97" i="31"/>
  <c r="J97" i="31"/>
  <c r="K97" i="31"/>
  <c r="L97" i="31"/>
  <c r="M97" i="31"/>
  <c r="P97" i="31"/>
  <c r="G98" i="31"/>
  <c r="H98" i="31"/>
  <c r="I98" i="31"/>
  <c r="J98" i="31"/>
  <c r="K98" i="31"/>
  <c r="L98" i="31"/>
  <c r="M98" i="31"/>
  <c r="O98" i="31"/>
  <c r="P98" i="31"/>
  <c r="G99" i="31"/>
  <c r="H99" i="31"/>
  <c r="I99" i="31"/>
  <c r="J99" i="31"/>
  <c r="K99" i="31"/>
  <c r="L99" i="31"/>
  <c r="M99" i="31"/>
  <c r="O99" i="31"/>
  <c r="T99" i="31" s="1"/>
  <c r="P99" i="31"/>
  <c r="G100" i="31"/>
  <c r="H100" i="31"/>
  <c r="I100" i="31"/>
  <c r="J100" i="31"/>
  <c r="K100" i="31"/>
  <c r="L100" i="31"/>
  <c r="M100" i="31"/>
  <c r="O100" i="31"/>
  <c r="T100" i="31" s="1"/>
  <c r="P100" i="31"/>
  <c r="G101" i="31"/>
  <c r="H101" i="31"/>
  <c r="I101" i="31"/>
  <c r="J101" i="31"/>
  <c r="K101" i="31"/>
  <c r="L101" i="31"/>
  <c r="M101" i="31"/>
  <c r="P101" i="31"/>
  <c r="G102" i="31"/>
  <c r="H102" i="31"/>
  <c r="I102" i="31"/>
  <c r="J102" i="31"/>
  <c r="K102" i="31"/>
  <c r="L102" i="31"/>
  <c r="M102" i="31"/>
  <c r="P102" i="31"/>
  <c r="G103" i="31"/>
  <c r="H103" i="31"/>
  <c r="I103" i="31"/>
  <c r="J103" i="31"/>
  <c r="K103" i="31"/>
  <c r="L103" i="31"/>
  <c r="M103" i="31"/>
  <c r="P103" i="31"/>
  <c r="G104" i="31"/>
  <c r="H104" i="31"/>
  <c r="I104" i="31"/>
  <c r="J104" i="31"/>
  <c r="K104" i="31"/>
  <c r="L104" i="31"/>
  <c r="M104" i="31"/>
  <c r="P104" i="31"/>
  <c r="G105" i="31"/>
  <c r="H105" i="31"/>
  <c r="I105" i="31"/>
  <c r="J105" i="31"/>
  <c r="K105" i="31"/>
  <c r="L105" i="31"/>
  <c r="M105" i="31"/>
  <c r="P105" i="31"/>
  <c r="G106" i="31"/>
  <c r="H106" i="31"/>
  <c r="I106" i="31"/>
  <c r="J106" i="31"/>
  <c r="K106" i="31"/>
  <c r="L106" i="31"/>
  <c r="M106" i="31"/>
  <c r="P106" i="31"/>
  <c r="G107" i="31"/>
  <c r="H107" i="31"/>
  <c r="I107" i="31"/>
  <c r="J107" i="31"/>
  <c r="K107" i="31"/>
  <c r="L107" i="31"/>
  <c r="M107" i="31"/>
  <c r="P107" i="31"/>
  <c r="G108" i="31"/>
  <c r="H108" i="31"/>
  <c r="I108" i="31"/>
  <c r="J108" i="31"/>
  <c r="K108" i="31"/>
  <c r="L108" i="31"/>
  <c r="M108" i="31"/>
  <c r="O108" i="31"/>
  <c r="T108" i="31" s="1"/>
  <c r="P108" i="31"/>
  <c r="G109" i="31"/>
  <c r="H109" i="31"/>
  <c r="I109" i="31"/>
  <c r="J109" i="31"/>
  <c r="K109" i="31"/>
  <c r="L109" i="31"/>
  <c r="M109" i="31"/>
  <c r="P109" i="31"/>
  <c r="G110" i="31"/>
  <c r="H110" i="31"/>
  <c r="I110" i="31"/>
  <c r="J110" i="31"/>
  <c r="K110" i="31"/>
  <c r="L110" i="31"/>
  <c r="M110" i="31"/>
  <c r="P110" i="31"/>
  <c r="G111" i="31"/>
  <c r="H111" i="31"/>
  <c r="I111" i="31"/>
  <c r="J111" i="31"/>
  <c r="K111" i="31"/>
  <c r="L111" i="31"/>
  <c r="M111" i="31"/>
  <c r="O111" i="31"/>
  <c r="T111" i="31" s="1"/>
  <c r="P111" i="31"/>
  <c r="G112" i="31"/>
  <c r="H112" i="31"/>
  <c r="I112" i="31"/>
  <c r="J112" i="31"/>
  <c r="K112" i="31"/>
  <c r="L112" i="31"/>
  <c r="M112" i="31"/>
  <c r="O112" i="31"/>
  <c r="T112" i="31" s="1"/>
  <c r="P112" i="31"/>
  <c r="G113" i="31"/>
  <c r="H113" i="31"/>
  <c r="I113" i="31"/>
  <c r="J113" i="31"/>
  <c r="K113" i="31"/>
  <c r="L113" i="31"/>
  <c r="M113" i="31"/>
  <c r="O113" i="31"/>
  <c r="T113" i="31" s="1"/>
  <c r="P113" i="31"/>
  <c r="G114" i="31"/>
  <c r="H114" i="31"/>
  <c r="I114" i="31"/>
  <c r="J114" i="31"/>
  <c r="K114" i="31"/>
  <c r="L114" i="31"/>
  <c r="M114" i="31"/>
  <c r="O114" i="31"/>
  <c r="T114" i="31" s="1"/>
  <c r="P114" i="31"/>
  <c r="G115" i="31"/>
  <c r="H115" i="31"/>
  <c r="I115" i="31"/>
  <c r="J115" i="31"/>
  <c r="K115" i="31"/>
  <c r="L115" i="31"/>
  <c r="M115" i="31"/>
  <c r="O115" i="31"/>
  <c r="T115" i="31" s="1"/>
  <c r="P115" i="31"/>
  <c r="G116" i="31"/>
  <c r="H116" i="31"/>
  <c r="I116" i="31"/>
  <c r="J116" i="31"/>
  <c r="K116" i="31"/>
  <c r="L116" i="31"/>
  <c r="M116" i="31"/>
  <c r="O116" i="31"/>
  <c r="T116" i="31" s="1"/>
  <c r="P116" i="31"/>
  <c r="G117" i="31"/>
  <c r="H117" i="31"/>
  <c r="I117" i="31"/>
  <c r="J117" i="31"/>
  <c r="K117" i="31"/>
  <c r="L117" i="31"/>
  <c r="M117" i="31"/>
  <c r="P117" i="31"/>
  <c r="G118" i="31"/>
  <c r="H118" i="31"/>
  <c r="I118" i="31"/>
  <c r="J118" i="31"/>
  <c r="K118" i="31"/>
  <c r="L118" i="31"/>
  <c r="M118" i="31"/>
  <c r="P118" i="31"/>
  <c r="G119" i="31"/>
  <c r="H119" i="31"/>
  <c r="I119" i="31"/>
  <c r="J119" i="31"/>
  <c r="K119" i="31"/>
  <c r="L119" i="31"/>
  <c r="M119" i="31"/>
  <c r="P119" i="31"/>
  <c r="G120" i="31"/>
  <c r="H120" i="31"/>
  <c r="I120" i="31"/>
  <c r="J120" i="31"/>
  <c r="K120" i="31"/>
  <c r="L120" i="31"/>
  <c r="M120" i="31"/>
  <c r="P120" i="31"/>
  <c r="G121" i="31"/>
  <c r="H121" i="31"/>
  <c r="I121" i="31"/>
  <c r="J121" i="31"/>
  <c r="K121" i="31"/>
  <c r="L121" i="31"/>
  <c r="M121" i="31"/>
  <c r="P121" i="31"/>
  <c r="G122" i="31"/>
  <c r="H122" i="31"/>
  <c r="I122" i="31"/>
  <c r="J122" i="31"/>
  <c r="K122" i="31"/>
  <c r="L122" i="31"/>
  <c r="M122" i="31"/>
  <c r="P122" i="31"/>
  <c r="G123" i="31"/>
  <c r="H123" i="31"/>
  <c r="I123" i="31"/>
  <c r="J123" i="31"/>
  <c r="K123" i="31"/>
  <c r="L123" i="31"/>
  <c r="M123" i="31"/>
  <c r="P123" i="31"/>
  <c r="G124" i="31"/>
  <c r="H124" i="31"/>
  <c r="I124" i="31"/>
  <c r="J124" i="31"/>
  <c r="K124" i="31"/>
  <c r="L124" i="31"/>
  <c r="M124" i="31"/>
  <c r="P124" i="31"/>
  <c r="G125" i="31"/>
  <c r="H125" i="31"/>
  <c r="I125" i="31"/>
  <c r="J125" i="31"/>
  <c r="K125" i="31"/>
  <c r="L125" i="31"/>
  <c r="M125" i="31"/>
  <c r="P125" i="31"/>
  <c r="G126" i="31"/>
  <c r="H126" i="31"/>
  <c r="I126" i="31"/>
  <c r="J126" i="31"/>
  <c r="K126" i="31"/>
  <c r="L126" i="31"/>
  <c r="M126" i="31"/>
  <c r="P126" i="31"/>
  <c r="G127" i="31"/>
  <c r="H127" i="31"/>
  <c r="I127" i="31"/>
  <c r="J127" i="31"/>
  <c r="K127" i="31"/>
  <c r="L127" i="31"/>
  <c r="M127" i="31"/>
  <c r="O127" i="31"/>
  <c r="T127" i="31" s="1"/>
  <c r="P127" i="31"/>
  <c r="G128" i="31"/>
  <c r="H128" i="31"/>
  <c r="I128" i="31"/>
  <c r="J128" i="31"/>
  <c r="K128" i="31"/>
  <c r="L128" i="31"/>
  <c r="M128" i="31"/>
  <c r="O128" i="31"/>
  <c r="T128" i="31" s="1"/>
  <c r="P128" i="31"/>
  <c r="G129" i="31"/>
  <c r="H129" i="31"/>
  <c r="I129" i="31"/>
  <c r="J129" i="31"/>
  <c r="K129" i="31"/>
  <c r="L129" i="31"/>
  <c r="M129" i="31"/>
  <c r="O129" i="31"/>
  <c r="T129" i="31" s="1"/>
  <c r="P129" i="31"/>
  <c r="G130" i="31"/>
  <c r="H130" i="31"/>
  <c r="I130" i="31"/>
  <c r="J130" i="31"/>
  <c r="K130" i="31"/>
  <c r="L130" i="31"/>
  <c r="M130" i="31"/>
  <c r="O130" i="31"/>
  <c r="T130" i="31" s="1"/>
  <c r="P130" i="31"/>
  <c r="C30" i="10"/>
  <c r="B96" i="31" s="1"/>
  <c r="C29" i="10"/>
  <c r="B91" i="31" s="1"/>
  <c r="D30" i="10" l="1"/>
  <c r="D29" i="10"/>
  <c r="C23" i="10"/>
  <c r="B61" i="31" s="1"/>
  <c r="B23" i="10"/>
  <c r="A61" i="31" s="1"/>
  <c r="C24" i="10"/>
  <c r="B66" i="31" s="1"/>
  <c r="C26" i="10"/>
  <c r="B76" i="31" s="1"/>
  <c r="B26" i="10"/>
  <c r="A76" i="31" s="1"/>
  <c r="C27" i="10"/>
  <c r="B81" i="31" s="1"/>
  <c r="B25" i="10"/>
  <c r="A71" i="31" s="1"/>
  <c r="C25" i="10"/>
  <c r="B71" i="31" s="1"/>
  <c r="S45" i="31"/>
  <c r="Q54" i="31"/>
  <c r="R50" i="31"/>
  <c r="S47" i="31"/>
  <c r="S126" i="31"/>
  <c r="Q130" i="31"/>
  <c r="S63" i="31"/>
  <c r="Q125" i="31"/>
  <c r="S114" i="31"/>
  <c r="S54" i="31"/>
  <c r="R49" i="31"/>
  <c r="Q44" i="31"/>
  <c r="R42" i="31"/>
  <c r="S51" i="31"/>
  <c r="S46" i="31"/>
  <c r="S71" i="31"/>
  <c r="S118" i="31"/>
  <c r="S111" i="31"/>
  <c r="R65" i="31"/>
  <c r="Q101" i="31"/>
  <c r="S105" i="31"/>
  <c r="Q109" i="31"/>
  <c r="R84" i="31"/>
  <c r="R77" i="31"/>
  <c r="Q42" i="31"/>
  <c r="R69" i="31"/>
  <c r="Q66" i="31"/>
  <c r="R101" i="31"/>
  <c r="Q80" i="31"/>
  <c r="Q121" i="31"/>
  <c r="Q105" i="31"/>
  <c r="S78" i="31"/>
  <c r="Q61" i="31"/>
  <c r="R52" i="31"/>
  <c r="S50" i="31"/>
  <c r="S55" i="31"/>
  <c r="R57" i="31"/>
  <c r="S127" i="31"/>
  <c r="Q129" i="31"/>
  <c r="R127" i="31"/>
  <c r="Q106" i="31"/>
  <c r="S130" i="31"/>
  <c r="S123" i="31"/>
  <c r="R118" i="31"/>
  <c r="R98" i="31"/>
  <c r="R61" i="31"/>
  <c r="Q82" i="31"/>
  <c r="S83" i="31"/>
  <c r="Q94" i="31"/>
  <c r="S90" i="31"/>
  <c r="Q57" i="31"/>
  <c r="Q50" i="31"/>
  <c r="R48" i="31"/>
  <c r="Q92" i="31"/>
  <c r="Q85" i="31"/>
  <c r="R83" i="31"/>
  <c r="Q78" i="31"/>
  <c r="Q55" i="31"/>
  <c r="Q62" i="31"/>
  <c r="Q53" i="31"/>
  <c r="R130" i="31"/>
  <c r="R109" i="31"/>
  <c r="Q95" i="31"/>
  <c r="S91" i="31"/>
  <c r="Q116" i="31"/>
  <c r="Q65" i="31"/>
  <c r="Q58" i="31"/>
  <c r="Q107" i="31"/>
  <c r="S66" i="31"/>
  <c r="R54" i="31"/>
  <c r="S115" i="31"/>
  <c r="S94" i="31"/>
  <c r="S86" i="31"/>
  <c r="S79" i="31"/>
  <c r="Q124" i="31"/>
  <c r="Q97" i="31"/>
  <c r="R74" i="31"/>
  <c r="Q69" i="31"/>
  <c r="S58" i="31"/>
  <c r="R45" i="31"/>
  <c r="Q102" i="31"/>
  <c r="S98" i="31"/>
  <c r="R93" i="31"/>
  <c r="R86" i="31"/>
  <c r="Q81" i="31"/>
  <c r="S77" i="31"/>
  <c r="Q74" i="31"/>
  <c r="S70" i="31"/>
  <c r="Q117" i="31"/>
  <c r="R107" i="31"/>
  <c r="Q93" i="31"/>
  <c r="R105" i="31"/>
  <c r="Q98" i="31"/>
  <c r="R89" i="31"/>
  <c r="R82" i="31"/>
  <c r="S59" i="31"/>
  <c r="Q103" i="31"/>
  <c r="Q96" i="31"/>
  <c r="Q89" i="31"/>
  <c r="Q46" i="31"/>
  <c r="R85" i="31"/>
  <c r="R121" i="31"/>
  <c r="S119" i="31"/>
  <c r="Q113" i="31"/>
  <c r="R111" i="31"/>
  <c r="Q108" i="31"/>
  <c r="S102" i="31"/>
  <c r="R78" i="31"/>
  <c r="S62" i="31"/>
  <c r="R90" i="31"/>
  <c r="S67" i="31"/>
  <c r="R126" i="31"/>
  <c r="R110" i="31"/>
  <c r="Q126" i="31"/>
  <c r="Q118" i="31"/>
  <c r="V118" i="31" s="1"/>
  <c r="S103" i="31"/>
  <c r="S75" i="31"/>
  <c r="S43" i="31"/>
  <c r="R129" i="31"/>
  <c r="R113" i="31"/>
  <c r="S88" i="31"/>
  <c r="R70" i="31"/>
  <c r="Q115" i="31"/>
  <c r="S122" i="31"/>
  <c r="Q77" i="31"/>
  <c r="R62" i="31"/>
  <c r="Q59" i="31"/>
  <c r="R53" i="31"/>
  <c r="Q45" i="31"/>
  <c r="Q90" i="31"/>
  <c r="Q70" i="31"/>
  <c r="Q123" i="31"/>
  <c r="V123" i="31" s="1"/>
  <c r="Q43" i="31"/>
  <c r="S125" i="31"/>
  <c r="R122" i="31"/>
  <c r="S117" i="31"/>
  <c r="R114" i="31"/>
  <c r="S99" i="31"/>
  <c r="R73" i="31"/>
  <c r="Q48" i="31"/>
  <c r="Q122" i="31"/>
  <c r="S120" i="31"/>
  <c r="R99" i="31"/>
  <c r="S74" i="31"/>
  <c r="Q73" i="31"/>
  <c r="R63" i="31"/>
  <c r="R46" i="31"/>
  <c r="S42" i="31"/>
  <c r="S107" i="31"/>
  <c r="R94" i="31"/>
  <c r="R81" i="31"/>
  <c r="R66" i="31"/>
  <c r="R44" i="31"/>
  <c r="U44" i="31" s="1"/>
  <c r="W44" i="31" s="1"/>
  <c r="S110" i="31"/>
  <c r="Q104" i="31"/>
  <c r="S95" i="31"/>
  <c r="S87" i="31"/>
  <c r="Q86" i="31"/>
  <c r="S82" i="31"/>
  <c r="R58" i="31"/>
  <c r="Q49" i="31"/>
  <c r="T86" i="31"/>
  <c r="S128" i="31"/>
  <c r="R123" i="31"/>
  <c r="R115" i="31"/>
  <c r="S112" i="31"/>
  <c r="R91" i="31"/>
  <c r="Q84" i="31"/>
  <c r="Q127" i="31"/>
  <c r="S124" i="31"/>
  <c r="R119" i="31"/>
  <c r="S116" i="31"/>
  <c r="Q111" i="31"/>
  <c r="S106" i="31"/>
  <c r="S96" i="31"/>
  <c r="S92" i="31"/>
  <c r="S81" i="31"/>
  <c r="R67" i="31"/>
  <c r="Q63" i="31"/>
  <c r="R56" i="31"/>
  <c r="Q52" i="31"/>
  <c r="S49" i="31"/>
  <c r="R128" i="31"/>
  <c r="Q119" i="31"/>
  <c r="R112" i="31"/>
  <c r="S109" i="31"/>
  <c r="R102" i="31"/>
  <c r="Q88" i="31"/>
  <c r="R71" i="31"/>
  <c r="R60" i="31"/>
  <c r="Q56" i="31"/>
  <c r="S53" i="31"/>
  <c r="R124" i="31"/>
  <c r="R116" i="31"/>
  <c r="S100" i="31"/>
  <c r="R96" i="31"/>
  <c r="S129" i="31"/>
  <c r="Q128" i="31"/>
  <c r="R120" i="31"/>
  <c r="S113" i="31"/>
  <c r="Q112" i="31"/>
  <c r="R106" i="31"/>
  <c r="Q99" i="31"/>
  <c r="S89" i="31"/>
  <c r="R75" i="31"/>
  <c r="Q71" i="31"/>
  <c r="R64" i="31"/>
  <c r="Q60" i="31"/>
  <c r="S57" i="31"/>
  <c r="R43" i="31"/>
  <c r="S121" i="31"/>
  <c r="V121" i="31" s="1"/>
  <c r="Q120" i="31"/>
  <c r="R103" i="31"/>
  <c r="R100" i="31"/>
  <c r="R97" i="31"/>
  <c r="R79" i="31"/>
  <c r="Q75" i="31"/>
  <c r="R68" i="31"/>
  <c r="Q64" i="31"/>
  <c r="S61" i="31"/>
  <c r="V61" i="31" s="1"/>
  <c r="R47" i="31"/>
  <c r="R125" i="31"/>
  <c r="R117" i="31"/>
  <c r="Q100" i="31"/>
  <c r="Q79" i="31"/>
  <c r="R72" i="31"/>
  <c r="Q68" i="31"/>
  <c r="S65" i="31"/>
  <c r="R51" i="31"/>
  <c r="R104" i="31"/>
  <c r="S101" i="31"/>
  <c r="R76" i="31"/>
  <c r="Q72" i="31"/>
  <c r="S69" i="31"/>
  <c r="R55" i="31"/>
  <c r="Q110" i="31"/>
  <c r="S108" i="31"/>
  <c r="Q87" i="31"/>
  <c r="R80" i="31"/>
  <c r="Q76" i="31"/>
  <c r="S73" i="31"/>
  <c r="R59" i="31"/>
  <c r="Q114" i="31"/>
  <c r="T101" i="31"/>
  <c r="T98" i="31"/>
  <c r="S104" i="31"/>
  <c r="S97" i="31"/>
  <c r="R92" i="31"/>
  <c r="S72" i="31"/>
  <c r="S56" i="31"/>
  <c r="Q91" i="31"/>
  <c r="S80" i="31"/>
  <c r="S68" i="31"/>
  <c r="S52" i="31"/>
  <c r="Q67" i="31"/>
  <c r="Q51" i="31"/>
  <c r="R95" i="31"/>
  <c r="R87" i="31"/>
  <c r="S84" i="31"/>
  <c r="R88" i="31"/>
  <c r="S85" i="31"/>
  <c r="S64" i="31"/>
  <c r="S48" i="31"/>
  <c r="Q47" i="31"/>
  <c r="Q83" i="31"/>
  <c r="S76" i="31"/>
  <c r="R108" i="31"/>
  <c r="S93" i="31"/>
  <c r="S60" i="31"/>
  <c r="S44" i="31"/>
  <c r="V87" i="31" l="1"/>
  <c r="V130" i="31"/>
  <c r="D24" i="10"/>
  <c r="D25" i="10"/>
  <c r="D26" i="10"/>
  <c r="D27" i="10"/>
  <c r="D23" i="10"/>
  <c r="V111" i="31"/>
  <c r="V54" i="31"/>
  <c r="U94" i="31"/>
  <c r="X94" i="31" s="1"/>
  <c r="U54" i="31"/>
  <c r="AA54" i="31" s="1"/>
  <c r="U66" i="31"/>
  <c r="W66" i="31" s="1"/>
  <c r="V129" i="31"/>
  <c r="V63" i="31"/>
  <c r="V66" i="31"/>
  <c r="V62" i="31"/>
  <c r="V51" i="31"/>
  <c r="U49" i="31"/>
  <c r="W49" i="31" s="1"/>
  <c r="V126" i="31"/>
  <c r="U115" i="31"/>
  <c r="X115" i="31" s="1"/>
  <c r="V95" i="31"/>
  <c r="V78" i="31"/>
  <c r="U80" i="31"/>
  <c r="AA80" i="31" s="1"/>
  <c r="U123" i="31"/>
  <c r="Y123" i="31" s="1"/>
  <c r="V42" i="31"/>
  <c r="U119" i="31"/>
  <c r="U106" i="31"/>
  <c r="X106" i="31" s="1"/>
  <c r="U98" i="31"/>
  <c r="AA98" i="31" s="1"/>
  <c r="U50" i="31"/>
  <c r="W50" i="31" s="1"/>
  <c r="V55" i="31"/>
  <c r="V81" i="31"/>
  <c r="V103" i="31"/>
  <c r="V77" i="31"/>
  <c r="V94" i="31"/>
  <c r="U81" i="31"/>
  <c r="X81" i="31" s="1"/>
  <c r="V59" i="31"/>
  <c r="U130" i="31"/>
  <c r="X130" i="31" s="1"/>
  <c r="U109" i="31"/>
  <c r="W109" i="31" s="1"/>
  <c r="V86" i="31"/>
  <c r="U125" i="31"/>
  <c r="X125" i="31" s="1"/>
  <c r="V53" i="31"/>
  <c r="V70" i="31"/>
  <c r="V89" i="31"/>
  <c r="U53" i="31"/>
  <c r="X53" i="31" s="1"/>
  <c r="V109" i="31"/>
  <c r="V125" i="31"/>
  <c r="V127" i="31"/>
  <c r="U85" i="31"/>
  <c r="AA85" i="31" s="1"/>
  <c r="V79" i="31"/>
  <c r="U103" i="31"/>
  <c r="AA103" i="31" s="1"/>
  <c r="V67" i="31"/>
  <c r="V98" i="31"/>
  <c r="V102" i="31"/>
  <c r="V46" i="31"/>
  <c r="V120" i="31"/>
  <c r="U84" i="31"/>
  <c r="W84" i="31" s="1"/>
  <c r="V119" i="31"/>
  <c r="V107" i="31"/>
  <c r="V99" i="31"/>
  <c r="V58" i="31"/>
  <c r="U107" i="31"/>
  <c r="X107" i="31" s="1"/>
  <c r="U56" i="31"/>
  <c r="W56" i="31" s="1"/>
  <c r="U46" i="31"/>
  <c r="W46" i="31" s="1"/>
  <c r="U63" i="31"/>
  <c r="AA63" i="31" s="1"/>
  <c r="V71" i="31"/>
  <c r="V92" i="31"/>
  <c r="V115" i="31"/>
  <c r="V122" i="31"/>
  <c r="U118" i="31"/>
  <c r="AA118" i="31" s="1"/>
  <c r="U102" i="31"/>
  <c r="W102" i="31" s="1"/>
  <c r="U129" i="31"/>
  <c r="X129" i="31" s="1"/>
  <c r="U113" i="31"/>
  <c r="W113" i="31" s="1"/>
  <c r="U52" i="31"/>
  <c r="X52" i="31" s="1"/>
  <c r="U114" i="31"/>
  <c r="X114" i="31" s="1"/>
  <c r="U101" i="31"/>
  <c r="W101" i="31" s="1"/>
  <c r="U78" i="31"/>
  <c r="X78" i="31" s="1"/>
  <c r="V73" i="31"/>
  <c r="U43" i="31"/>
  <c r="X43" i="31" s="1"/>
  <c r="U59" i="31"/>
  <c r="W59" i="31" s="1"/>
  <c r="U75" i="31"/>
  <c r="W75" i="31" s="1"/>
  <c r="U77" i="31"/>
  <c r="X77" i="31" s="1"/>
  <c r="V113" i="31"/>
  <c r="U61" i="31"/>
  <c r="W61" i="31" s="1"/>
  <c r="V110" i="31"/>
  <c r="V100" i="31"/>
  <c r="U55" i="31"/>
  <c r="W55" i="31" s="1"/>
  <c r="V82" i="31"/>
  <c r="V49" i="31"/>
  <c r="U82" i="31"/>
  <c r="AA82" i="31" s="1"/>
  <c r="U64" i="31"/>
  <c r="W64" i="31" s="1"/>
  <c r="U104" i="31"/>
  <c r="AA104" i="31" s="1"/>
  <c r="U48" i="31"/>
  <c r="W48" i="31" s="1"/>
  <c r="V105" i="31"/>
  <c r="U68" i="31"/>
  <c r="X68" i="31" s="1"/>
  <c r="V69" i="31"/>
  <c r="V65" i="31"/>
  <c r="U121" i="31"/>
  <c r="AA121" i="31" s="1"/>
  <c r="V88" i="31"/>
  <c r="U57" i="31"/>
  <c r="X57" i="31" s="1"/>
  <c r="U72" i="31"/>
  <c r="W72" i="31" s="1"/>
  <c r="U97" i="31"/>
  <c r="W97" i="31" s="1"/>
  <c r="V74" i="31"/>
  <c r="U112" i="31"/>
  <c r="W112" i="31" s="1"/>
  <c r="U42" i="31"/>
  <c r="X42" i="31" s="1"/>
  <c r="U116" i="31"/>
  <c r="X116" i="31" s="1"/>
  <c r="U65" i="31"/>
  <c r="U110" i="31"/>
  <c r="X110" i="31" s="1"/>
  <c r="V106" i="31"/>
  <c r="U126" i="31"/>
  <c r="X126" i="31" s="1"/>
  <c r="V124" i="31"/>
  <c r="U60" i="31"/>
  <c r="W60" i="31" s="1"/>
  <c r="U58" i="31"/>
  <c r="U105" i="31"/>
  <c r="W105" i="31" s="1"/>
  <c r="V75" i="31"/>
  <c r="V50" i="31"/>
  <c r="U69" i="31"/>
  <c r="AA69" i="31" s="1"/>
  <c r="U73" i="31"/>
  <c r="W73" i="31" s="1"/>
  <c r="U89" i="31"/>
  <c r="AA89" i="31" s="1"/>
  <c r="U93" i="31"/>
  <c r="X93" i="31" s="1"/>
  <c r="V43" i="31"/>
  <c r="U120" i="31"/>
  <c r="W120" i="31" s="1"/>
  <c r="U128" i="31"/>
  <c r="W128" i="31" s="1"/>
  <c r="U76" i="31"/>
  <c r="X76" i="31" s="1"/>
  <c r="V90" i="31"/>
  <c r="U99" i="31"/>
  <c r="W99" i="31" s="1"/>
  <c r="V116" i="31"/>
  <c r="V117" i="31"/>
  <c r="U122" i="31"/>
  <c r="X122" i="31" s="1"/>
  <c r="V57" i="31"/>
  <c r="U124" i="31"/>
  <c r="X124" i="31" s="1"/>
  <c r="U86" i="31"/>
  <c r="W86" i="31" s="1"/>
  <c r="U111" i="31"/>
  <c r="W111" i="31" s="1"/>
  <c r="V128" i="31"/>
  <c r="U45" i="31"/>
  <c r="AA45" i="31" s="1"/>
  <c r="V45" i="31"/>
  <c r="U79" i="31"/>
  <c r="V108" i="31"/>
  <c r="U70" i="31"/>
  <c r="W70" i="31" s="1"/>
  <c r="U62" i="31"/>
  <c r="W62" i="31" s="1"/>
  <c r="V101" i="31"/>
  <c r="U71" i="31"/>
  <c r="V114" i="31"/>
  <c r="U74" i="31"/>
  <c r="U127" i="31"/>
  <c r="AA127" i="31" s="1"/>
  <c r="V112" i="31"/>
  <c r="U90" i="31"/>
  <c r="W90" i="31" s="1"/>
  <c r="X44" i="31"/>
  <c r="V96" i="31"/>
  <c r="U96" i="31"/>
  <c r="X96" i="31" s="1"/>
  <c r="AA44" i="31"/>
  <c r="U67" i="31"/>
  <c r="U117" i="31"/>
  <c r="W117" i="31" s="1"/>
  <c r="U100" i="31"/>
  <c r="U47" i="31"/>
  <c r="V91" i="31"/>
  <c r="V47" i="31"/>
  <c r="V56" i="31"/>
  <c r="V76" i="31"/>
  <c r="U83" i="31"/>
  <c r="W83" i="31" s="1"/>
  <c r="V85" i="31"/>
  <c r="V84" i="31"/>
  <c r="V52" i="31"/>
  <c r="V60" i="31"/>
  <c r="U88" i="31"/>
  <c r="AA88" i="31" s="1"/>
  <c r="U87" i="31"/>
  <c r="Y87" i="31" s="1"/>
  <c r="V83" i="31"/>
  <c r="U91" i="31"/>
  <c r="X91" i="31" s="1"/>
  <c r="U95" i="31"/>
  <c r="Y95" i="31" s="1"/>
  <c r="V72" i="31"/>
  <c r="V68" i="31"/>
  <c r="V48" i="31"/>
  <c r="V93" i="31"/>
  <c r="U51" i="31"/>
  <c r="X51" i="31" s="1"/>
  <c r="V97" i="31"/>
  <c r="U108" i="31"/>
  <c r="W108" i="31" s="1"/>
  <c r="V104" i="31"/>
  <c r="V44" i="31"/>
  <c r="Z44" i="31" s="1"/>
  <c r="V64" i="31"/>
  <c r="V80" i="31"/>
  <c r="U92" i="31"/>
  <c r="Y119" i="31" l="1"/>
  <c r="AA115" i="31"/>
  <c r="Z94" i="31"/>
  <c r="W94" i="31"/>
  <c r="W115" i="31"/>
  <c r="Z85" i="31"/>
  <c r="AA94" i="31"/>
  <c r="Y94" i="31"/>
  <c r="X85" i="31"/>
  <c r="AA109" i="31"/>
  <c r="X109" i="31"/>
  <c r="X49" i="31"/>
  <c r="AA49" i="31"/>
  <c r="W85" i="31"/>
  <c r="W80" i="31"/>
  <c r="AA114" i="31"/>
  <c r="Z80" i="31"/>
  <c r="X80" i="31"/>
  <c r="Y49" i="31"/>
  <c r="X63" i="31"/>
  <c r="Y63" i="31"/>
  <c r="W63" i="31"/>
  <c r="Z63" i="31"/>
  <c r="W68" i="31"/>
  <c r="Y115" i="31"/>
  <c r="AA119" i="31"/>
  <c r="Z123" i="31"/>
  <c r="AA123" i="31"/>
  <c r="AA84" i="31"/>
  <c r="Z68" i="31"/>
  <c r="AA68" i="31"/>
  <c r="W119" i="31"/>
  <c r="X123" i="31"/>
  <c r="W52" i="31"/>
  <c r="W114" i="31"/>
  <c r="W123" i="31"/>
  <c r="AA125" i="31"/>
  <c r="Z52" i="31"/>
  <c r="AA52" i="31"/>
  <c r="X119" i="31"/>
  <c r="Z119" i="31"/>
  <c r="X55" i="31"/>
  <c r="Z48" i="31"/>
  <c r="Z66" i="31"/>
  <c r="X98" i="31"/>
  <c r="Y66" i="31"/>
  <c r="X66" i="31"/>
  <c r="AA66" i="31"/>
  <c r="W98" i="31"/>
  <c r="Z54" i="31"/>
  <c r="X60" i="31"/>
  <c r="AA55" i="31"/>
  <c r="AA106" i="31"/>
  <c r="W54" i="31"/>
  <c r="Y54" i="31"/>
  <c r="W106" i="31"/>
  <c r="X54" i="31"/>
  <c r="Y106" i="31"/>
  <c r="Y113" i="31"/>
  <c r="Y98" i="31"/>
  <c r="AA50" i="31"/>
  <c r="X50" i="31"/>
  <c r="Y50" i="31"/>
  <c r="W110" i="31"/>
  <c r="Z104" i="31"/>
  <c r="X104" i="31"/>
  <c r="W104" i="31"/>
  <c r="Z67" i="31"/>
  <c r="Z115" i="31"/>
  <c r="W81" i="31"/>
  <c r="AA81" i="31"/>
  <c r="Y81" i="31"/>
  <c r="Z81" i="31"/>
  <c r="Z98" i="31"/>
  <c r="AA126" i="31"/>
  <c r="W130" i="31"/>
  <c r="AA130" i="31"/>
  <c r="W126" i="31"/>
  <c r="Z130" i="31"/>
  <c r="Y130" i="31"/>
  <c r="Y60" i="31"/>
  <c r="Y59" i="31"/>
  <c r="AA60" i="31"/>
  <c r="Z129" i="31"/>
  <c r="AA129" i="31"/>
  <c r="Z106" i="31"/>
  <c r="Y84" i="31"/>
  <c r="AA113" i="31"/>
  <c r="W124" i="31"/>
  <c r="X84" i="31"/>
  <c r="W125" i="31"/>
  <c r="Z114" i="31"/>
  <c r="Y109" i="31"/>
  <c r="X113" i="31"/>
  <c r="Y53" i="31"/>
  <c r="Y78" i="31"/>
  <c r="Z78" i="31"/>
  <c r="W53" i="31"/>
  <c r="Y58" i="31"/>
  <c r="Z53" i="31"/>
  <c r="AA101" i="31"/>
  <c r="X101" i="31"/>
  <c r="Y121" i="31"/>
  <c r="Z101" i="31"/>
  <c r="AA53" i="31"/>
  <c r="Z125" i="31"/>
  <c r="Z57" i="31"/>
  <c r="Z124" i="31"/>
  <c r="W57" i="31"/>
  <c r="Y125" i="31"/>
  <c r="AA124" i="31"/>
  <c r="Z109" i="31"/>
  <c r="AA110" i="31"/>
  <c r="Z77" i="31"/>
  <c r="Y126" i="31"/>
  <c r="W43" i="31"/>
  <c r="AA43" i="31"/>
  <c r="Z43" i="31"/>
  <c r="Z59" i="31"/>
  <c r="Y92" i="31"/>
  <c r="X103" i="31"/>
  <c r="Z71" i="31"/>
  <c r="Y75" i="31"/>
  <c r="Z79" i="31"/>
  <c r="X59" i="31"/>
  <c r="AA59" i="31"/>
  <c r="Y102" i="31"/>
  <c r="Z55" i="31"/>
  <c r="Y93" i="31"/>
  <c r="X75" i="31"/>
  <c r="Z113" i="31"/>
  <c r="AA93" i="31"/>
  <c r="W77" i="31"/>
  <c r="Y103" i="31"/>
  <c r="W103" i="31"/>
  <c r="Z75" i="31"/>
  <c r="W93" i="31"/>
  <c r="AA75" i="31"/>
  <c r="Z103" i="31"/>
  <c r="Y77" i="31"/>
  <c r="Y71" i="31"/>
  <c r="AA77" i="31"/>
  <c r="Z110" i="31"/>
  <c r="Z102" i="31"/>
  <c r="Y118" i="31"/>
  <c r="Y110" i="31"/>
  <c r="W118" i="31"/>
  <c r="AA116" i="31"/>
  <c r="Z118" i="31"/>
  <c r="X118" i="31"/>
  <c r="Y120" i="31"/>
  <c r="X128" i="31"/>
  <c r="X102" i="31"/>
  <c r="AA102" i="31"/>
  <c r="AA64" i="31"/>
  <c r="AA128" i="31"/>
  <c r="X56" i="31"/>
  <c r="AA107" i="31"/>
  <c r="W107" i="31"/>
  <c r="W78" i="31"/>
  <c r="Y107" i="31"/>
  <c r="AA56" i="31"/>
  <c r="Y56" i="31"/>
  <c r="Z107" i="31"/>
  <c r="Z121" i="31"/>
  <c r="Y46" i="31"/>
  <c r="Z46" i="31"/>
  <c r="X121" i="31"/>
  <c r="Y101" i="31"/>
  <c r="X46" i="31"/>
  <c r="AA46" i="31"/>
  <c r="W121" i="31"/>
  <c r="W89" i="31"/>
  <c r="Y129" i="31"/>
  <c r="Z120" i="31"/>
  <c r="AA120" i="31"/>
  <c r="W129" i="31"/>
  <c r="AC44" i="31"/>
  <c r="Z64" i="31"/>
  <c r="Z89" i="31"/>
  <c r="X120" i="31"/>
  <c r="X89" i="31"/>
  <c r="X64" i="31"/>
  <c r="Y61" i="31"/>
  <c r="Z61" i="31"/>
  <c r="Z72" i="31"/>
  <c r="AA78" i="31"/>
  <c r="X61" i="31"/>
  <c r="AA61" i="31"/>
  <c r="AA72" i="31"/>
  <c r="W122" i="31"/>
  <c r="Z116" i="31"/>
  <c r="Z73" i="31"/>
  <c r="Y116" i="31"/>
  <c r="W116" i="31"/>
  <c r="X71" i="31"/>
  <c r="X73" i="31"/>
  <c r="Y74" i="31"/>
  <c r="AA71" i="31"/>
  <c r="Y128" i="31"/>
  <c r="AA73" i="31"/>
  <c r="Y73" i="31"/>
  <c r="Y97" i="31"/>
  <c r="AA97" i="31"/>
  <c r="Y65" i="31"/>
  <c r="X97" i="31"/>
  <c r="Z128" i="31"/>
  <c r="Y89" i="31"/>
  <c r="X72" i="31"/>
  <c r="Y55" i="31"/>
  <c r="AA57" i="31"/>
  <c r="Y57" i="31"/>
  <c r="Z56" i="31"/>
  <c r="AA48" i="31"/>
  <c r="Z49" i="31"/>
  <c r="X48" i="31"/>
  <c r="Z42" i="31"/>
  <c r="Y42" i="31"/>
  <c r="AA42" i="31"/>
  <c r="Z117" i="31"/>
  <c r="Z50" i="31"/>
  <c r="AA111" i="31"/>
  <c r="X70" i="31"/>
  <c r="Y70" i="31"/>
  <c r="AA70" i="31"/>
  <c r="Y124" i="31"/>
  <c r="Z70" i="31"/>
  <c r="AA122" i="31"/>
  <c r="Z99" i="31"/>
  <c r="Z112" i="31"/>
  <c r="AA99" i="31"/>
  <c r="X69" i="31"/>
  <c r="X112" i="31"/>
  <c r="AA112" i="31"/>
  <c r="Z69" i="31"/>
  <c r="Z86" i="31"/>
  <c r="Y86" i="31"/>
  <c r="Y99" i="31"/>
  <c r="X62" i="31"/>
  <c r="X86" i="31"/>
  <c r="W69" i="31"/>
  <c r="Y69" i="31"/>
  <c r="AA86" i="31"/>
  <c r="Y112" i="31"/>
  <c r="X99" i="31"/>
  <c r="Y43" i="31"/>
  <c r="W42" i="31"/>
  <c r="Y82" i="31"/>
  <c r="Y127" i="31"/>
  <c r="X82" i="31"/>
  <c r="Z74" i="31"/>
  <c r="Z82" i="31"/>
  <c r="X79" i="31"/>
  <c r="W79" i="31"/>
  <c r="W82" i="31"/>
  <c r="Y67" i="31"/>
  <c r="Y79" i="31"/>
  <c r="X67" i="31"/>
  <c r="AA67" i="31"/>
  <c r="W127" i="31"/>
  <c r="Z62" i="31"/>
  <c r="AA79" i="31"/>
  <c r="Z105" i="31"/>
  <c r="Y105" i="31"/>
  <c r="AA58" i="31"/>
  <c r="X58" i="31"/>
  <c r="W76" i="31"/>
  <c r="AA76" i="31"/>
  <c r="Y117" i="31"/>
  <c r="X65" i="31"/>
  <c r="AA65" i="31"/>
  <c r="Z65" i="31"/>
  <c r="AA105" i="31"/>
  <c r="W71" i="31"/>
  <c r="Z76" i="31"/>
  <c r="Y76" i="31"/>
  <c r="AA87" i="31"/>
  <c r="Z122" i="31"/>
  <c r="W65" i="31"/>
  <c r="X105" i="31"/>
  <c r="Y122" i="31"/>
  <c r="W58" i="31"/>
  <c r="X127" i="31"/>
  <c r="Z127" i="31"/>
  <c r="Z126" i="31"/>
  <c r="Z58" i="31"/>
  <c r="Z111" i="31"/>
  <c r="Y45" i="31"/>
  <c r="W45" i="31"/>
  <c r="Y111" i="31"/>
  <c r="X111" i="31"/>
  <c r="Z45" i="31"/>
  <c r="Y52" i="31"/>
  <c r="X45" i="31"/>
  <c r="Y62" i="31"/>
  <c r="X87" i="31"/>
  <c r="Z84" i="31"/>
  <c r="Y80" i="31"/>
  <c r="Z108" i="31"/>
  <c r="X74" i="31"/>
  <c r="AA74" i="31"/>
  <c r="W74" i="31"/>
  <c r="Y114" i="31"/>
  <c r="Y104" i="31"/>
  <c r="AA62" i="31"/>
  <c r="AA117" i="31"/>
  <c r="X90" i="31"/>
  <c r="AA90" i="31"/>
  <c r="Z90" i="31"/>
  <c r="Y90" i="31"/>
  <c r="Y68" i="31"/>
  <c r="Y44" i="31"/>
  <c r="AB44" i="31" s="1"/>
  <c r="X92" i="31"/>
  <c r="W87" i="31"/>
  <c r="Y72" i="31"/>
  <c r="Z88" i="31"/>
  <c r="W88" i="31"/>
  <c r="W96" i="31"/>
  <c r="Z96" i="31"/>
  <c r="AA96" i="31"/>
  <c r="W67" i="31"/>
  <c r="Z92" i="31"/>
  <c r="Z60" i="31"/>
  <c r="W51" i="31"/>
  <c r="X117" i="31"/>
  <c r="Y96" i="31"/>
  <c r="Y48" i="31"/>
  <c r="X83" i="31"/>
  <c r="W100" i="31"/>
  <c r="Y100" i="31"/>
  <c r="X100" i="31"/>
  <c r="AA100" i="31"/>
  <c r="Z100" i="31"/>
  <c r="W92" i="31"/>
  <c r="Z95" i="31"/>
  <c r="Z87" i="31"/>
  <c r="W95" i="31"/>
  <c r="Y83" i="31"/>
  <c r="Z83" i="31"/>
  <c r="AA83" i="31"/>
  <c r="X108" i="31"/>
  <c r="Z97" i="31"/>
  <c r="Y88" i="31"/>
  <c r="X88" i="31"/>
  <c r="Z91" i="31"/>
  <c r="Y91" i="31"/>
  <c r="AA91" i="31"/>
  <c r="W91" i="31"/>
  <c r="Y64" i="31"/>
  <c r="X95" i="31"/>
  <c r="Y47" i="31"/>
  <c r="Z47" i="31"/>
  <c r="W47" i="31"/>
  <c r="AA47" i="31"/>
  <c r="AA95" i="31"/>
  <c r="Y51" i="31"/>
  <c r="Z51" i="31"/>
  <c r="AA51" i="31"/>
  <c r="Z93" i="31"/>
  <c r="X47" i="31"/>
  <c r="Y108" i="31"/>
  <c r="AA108" i="31"/>
  <c r="Y85" i="31"/>
  <c r="AA92" i="31"/>
  <c r="AC94" i="31" l="1"/>
  <c r="AC85" i="31"/>
  <c r="AC115" i="31"/>
  <c r="AB85" i="31"/>
  <c r="AB115" i="31"/>
  <c r="AB94" i="31"/>
  <c r="AB49" i="31"/>
  <c r="AB80" i="31"/>
  <c r="AC49" i="31"/>
  <c r="AB109" i="31"/>
  <c r="AC109" i="31"/>
  <c r="AB63" i="31"/>
  <c r="AB55" i="31"/>
  <c r="AC114" i="31"/>
  <c r="AC63" i="31"/>
  <c r="AC80" i="31"/>
  <c r="AB119" i="31"/>
  <c r="AB98" i="31"/>
  <c r="AC123" i="31"/>
  <c r="AB68" i="31"/>
  <c r="AC68" i="31"/>
  <c r="AB123" i="31"/>
  <c r="AB84" i="31"/>
  <c r="AB104" i="31"/>
  <c r="AB114" i="31"/>
  <c r="AC78" i="31"/>
  <c r="AB52" i="31"/>
  <c r="AC55" i="31"/>
  <c r="AC129" i="31"/>
  <c r="AC106" i="31"/>
  <c r="AC52" i="31"/>
  <c r="AC110" i="31"/>
  <c r="AC119" i="31"/>
  <c r="AC125" i="31"/>
  <c r="AC54" i="31"/>
  <c r="AB66" i="31"/>
  <c r="AB50" i="31"/>
  <c r="AC98" i="31"/>
  <c r="AC66" i="31"/>
  <c r="AB54" i="31"/>
  <c r="AC50" i="31"/>
  <c r="AC104" i="31"/>
  <c r="AB103" i="31"/>
  <c r="AB81" i="31"/>
  <c r="AB106" i="31"/>
  <c r="AB124" i="31"/>
  <c r="AC103" i="31"/>
  <c r="AB113" i="31"/>
  <c r="AC126" i="31"/>
  <c r="AB110" i="31"/>
  <c r="AB60" i="31"/>
  <c r="AC60" i="31"/>
  <c r="AC124" i="31"/>
  <c r="AC81" i="31"/>
  <c r="AC130" i="31"/>
  <c r="AC113" i="31"/>
  <c r="AC84" i="31"/>
  <c r="AB126" i="31"/>
  <c r="AB130" i="31"/>
  <c r="AB75" i="31"/>
  <c r="AB125" i="31"/>
  <c r="AC57" i="31"/>
  <c r="AC53" i="31"/>
  <c r="AB129" i="31"/>
  <c r="AC118" i="31"/>
  <c r="AB121" i="31"/>
  <c r="AC101" i="31"/>
  <c r="AC77" i="31"/>
  <c r="AB53" i="31"/>
  <c r="AB43" i="31"/>
  <c r="AB78" i="31"/>
  <c r="AB89" i="31"/>
  <c r="AB101" i="31"/>
  <c r="AC43" i="31"/>
  <c r="AB102" i="31"/>
  <c r="AB46" i="31"/>
  <c r="AC121" i="31"/>
  <c r="AC59" i="31"/>
  <c r="AB59" i="31"/>
  <c r="AC116" i="31"/>
  <c r="AB118" i="31"/>
  <c r="AB56" i="31"/>
  <c r="AB93" i="31"/>
  <c r="AC93" i="31"/>
  <c r="AC120" i="31"/>
  <c r="AD44" i="31"/>
  <c r="AC102" i="31"/>
  <c r="AC75" i="31"/>
  <c r="AB77" i="31"/>
  <c r="AC89" i="31"/>
  <c r="AC128" i="31"/>
  <c r="AB120" i="31"/>
  <c r="AB128" i="31"/>
  <c r="AB64" i="31"/>
  <c r="AC56" i="31"/>
  <c r="AB107" i="31"/>
  <c r="AB71" i="31"/>
  <c r="AC107" i="31"/>
  <c r="AC46" i="31"/>
  <c r="AB61" i="31"/>
  <c r="AC71" i="31"/>
  <c r="AC97" i="31"/>
  <c r="AC69" i="31"/>
  <c r="AC70" i="31"/>
  <c r="AB72" i="31"/>
  <c r="AC72" i="31"/>
  <c r="AC73" i="31"/>
  <c r="AC61" i="31"/>
  <c r="AC64" i="31"/>
  <c r="AB73" i="31"/>
  <c r="AC112" i="31"/>
  <c r="AB116" i="31"/>
  <c r="AC76" i="31"/>
  <c r="AB70" i="31"/>
  <c r="AC67" i="31"/>
  <c r="AB111" i="31"/>
  <c r="AB42" i="31"/>
  <c r="AB99" i="31"/>
  <c r="AC42" i="31"/>
  <c r="AC48" i="31"/>
  <c r="AB112" i="31"/>
  <c r="AB67" i="31"/>
  <c r="AB105" i="31"/>
  <c r="AC105" i="31"/>
  <c r="AB69" i="31"/>
  <c r="AB97" i="31"/>
  <c r="AB79" i="31"/>
  <c r="AB117" i="31"/>
  <c r="AC99" i="31"/>
  <c r="AB86" i="31"/>
  <c r="AB76" i="31"/>
  <c r="AB57" i="31"/>
  <c r="AB88" i="31"/>
  <c r="AB122" i="31"/>
  <c r="AC79" i="31"/>
  <c r="AC122" i="31"/>
  <c r="AC82" i="31"/>
  <c r="AB58" i="31"/>
  <c r="AB127" i="31"/>
  <c r="AB82" i="31"/>
  <c r="AC86" i="31"/>
  <c r="AC127" i="31"/>
  <c r="AC111" i="31"/>
  <c r="AC87" i="31"/>
  <c r="AB87" i="31"/>
  <c r="AB45" i="31"/>
  <c r="AB62" i="31"/>
  <c r="AC58" i="31"/>
  <c r="AB65" i="31"/>
  <c r="AC65" i="31"/>
  <c r="AC45" i="31"/>
  <c r="AC62" i="31"/>
  <c r="AC88" i="31"/>
  <c r="AC74" i="31"/>
  <c r="AB74" i="31"/>
  <c r="AB96" i="31"/>
  <c r="AC96" i="31"/>
  <c r="AB90" i="31"/>
  <c r="AC90" i="31"/>
  <c r="AC117" i="31"/>
  <c r="AB48" i="31"/>
  <c r="AB100" i="31"/>
  <c r="AC100" i="31"/>
  <c r="AB47" i="31"/>
  <c r="AC47" i="31"/>
  <c r="AB91" i="31"/>
  <c r="AC91" i="31"/>
  <c r="AB83" i="31"/>
  <c r="AC83" i="31"/>
  <c r="AB51" i="31"/>
  <c r="AC51" i="31"/>
  <c r="AB95" i="31"/>
  <c r="AC95" i="31"/>
  <c r="AB92" i="31"/>
  <c r="AC92" i="31"/>
  <c r="AB108" i="31"/>
  <c r="AC108" i="31"/>
  <c r="AD94" i="31" l="1"/>
  <c r="AF94" i="31" s="1"/>
  <c r="AD115" i="31"/>
  <c r="AD85" i="31"/>
  <c r="AD119" i="31"/>
  <c r="AE119" i="31" s="1"/>
  <c r="AG119" i="31" s="1"/>
  <c r="C119" i="31" s="1"/>
  <c r="E119" i="31" s="1"/>
  <c r="AD49" i="31"/>
  <c r="AD80" i="31"/>
  <c r="AE80" i="31" s="1"/>
  <c r="AG80" i="31" s="1"/>
  <c r="C80" i="31" s="1"/>
  <c r="E80" i="31" s="1"/>
  <c r="AD109" i="31"/>
  <c r="AD63" i="31"/>
  <c r="AD55" i="31"/>
  <c r="AD114" i="31"/>
  <c r="AD106" i="31"/>
  <c r="AE106" i="31" s="1"/>
  <c r="AG106" i="31" s="1"/>
  <c r="E32" i="10" s="1"/>
  <c r="AD78" i="31"/>
  <c r="AD68" i="31"/>
  <c r="AD84" i="31"/>
  <c r="AF84" i="31" s="1"/>
  <c r="AH84" i="31" s="1"/>
  <c r="AD129" i="31"/>
  <c r="AF129" i="31" s="1"/>
  <c r="AH129" i="31" s="1"/>
  <c r="AD123" i="31"/>
  <c r="AE123" i="31" s="1"/>
  <c r="AG123" i="31" s="1"/>
  <c r="C123" i="31" s="1"/>
  <c r="E123" i="31" s="1"/>
  <c r="AD98" i="31"/>
  <c r="AE98" i="31" s="1"/>
  <c r="AG98" i="31" s="1"/>
  <c r="C98" i="31" s="1"/>
  <c r="E98" i="31" s="1"/>
  <c r="AD125" i="31"/>
  <c r="AF125" i="31" s="1"/>
  <c r="AH125" i="31" s="1"/>
  <c r="AD93" i="31"/>
  <c r="AD104" i="31"/>
  <c r="AD66" i="31"/>
  <c r="AF66" i="31" s="1"/>
  <c r="AH66" i="31" s="1"/>
  <c r="AD60" i="31"/>
  <c r="AD52" i="31"/>
  <c r="AF52" i="31" s="1"/>
  <c r="AH52" i="31" s="1"/>
  <c r="AD50" i="31"/>
  <c r="AF50" i="31" s="1"/>
  <c r="AH50" i="31" s="1"/>
  <c r="AD43" i="31"/>
  <c r="AF43" i="31" s="1"/>
  <c r="AH43" i="31" s="1"/>
  <c r="AD110" i="31"/>
  <c r="AD118" i="31"/>
  <c r="AD124" i="31"/>
  <c r="AF124" i="31" s="1"/>
  <c r="AH124" i="31" s="1"/>
  <c r="AD57" i="31"/>
  <c r="AD56" i="31"/>
  <c r="AE56" i="31" s="1"/>
  <c r="AG56" i="31" s="1"/>
  <c r="C56" i="31" s="1"/>
  <c r="E56" i="31" s="1"/>
  <c r="AD89" i="31"/>
  <c r="AD103" i="31"/>
  <c r="AD54" i="31"/>
  <c r="AD126" i="31"/>
  <c r="AD113" i="31"/>
  <c r="AD81" i="31"/>
  <c r="AD130" i="31"/>
  <c r="AF130" i="31" s="1"/>
  <c r="AH130" i="31" s="1"/>
  <c r="AD75" i="31"/>
  <c r="AE75" i="31" s="1"/>
  <c r="AG75" i="31" s="1"/>
  <c r="C75" i="31" s="1"/>
  <c r="E75" i="31" s="1"/>
  <c r="AD102" i="31"/>
  <c r="AD121" i="31"/>
  <c r="AD101" i="31"/>
  <c r="AD53" i="31"/>
  <c r="AF53" i="31" s="1"/>
  <c r="AH53" i="31" s="1"/>
  <c r="AD97" i="31"/>
  <c r="AF97" i="31" s="1"/>
  <c r="AH97" i="31" s="1"/>
  <c r="AD46" i="31"/>
  <c r="AD120" i="31"/>
  <c r="AD77" i="31"/>
  <c r="AD72" i="31"/>
  <c r="AD116" i="31"/>
  <c r="AD59" i="31"/>
  <c r="AD76" i="31"/>
  <c r="AD111" i="31"/>
  <c r="AF111" i="31" s="1"/>
  <c r="AH111" i="31" s="1"/>
  <c r="F33" i="10" s="1"/>
  <c r="AD67" i="31"/>
  <c r="AD69" i="31"/>
  <c r="AD70" i="31"/>
  <c r="AE70" i="31" s="1"/>
  <c r="AG70" i="31" s="1"/>
  <c r="C70" i="31" s="1"/>
  <c r="E70" i="31" s="1"/>
  <c r="AD88" i="31"/>
  <c r="AD64" i="31"/>
  <c r="AF44" i="31"/>
  <c r="AH44" i="31" s="1"/>
  <c r="AE44" i="31"/>
  <c r="AG44" i="31" s="1"/>
  <c r="C44" i="31" s="1"/>
  <c r="E44" i="31" s="1"/>
  <c r="AD128" i="31"/>
  <c r="AE128" i="31" s="1"/>
  <c r="AG128" i="31" s="1"/>
  <c r="C128" i="31" s="1"/>
  <c r="E128" i="31" s="1"/>
  <c r="AD107" i="31"/>
  <c r="AD71" i="31"/>
  <c r="AD61" i="31"/>
  <c r="AE61" i="31" s="1"/>
  <c r="AG61" i="31" s="1"/>
  <c r="AD117" i="31"/>
  <c r="AD48" i="31"/>
  <c r="AD112" i="31"/>
  <c r="AE112" i="31" s="1"/>
  <c r="AG112" i="31" s="1"/>
  <c r="C112" i="31" s="1"/>
  <c r="E112" i="31" s="1"/>
  <c r="AD79" i="31"/>
  <c r="AD42" i="31"/>
  <c r="AD73" i="31"/>
  <c r="AD87" i="31"/>
  <c r="AD105" i="31"/>
  <c r="AD99" i="31"/>
  <c r="AF99" i="31" s="1"/>
  <c r="AH99" i="31" s="1"/>
  <c r="AD86" i="31"/>
  <c r="AE86" i="31" s="1"/>
  <c r="AG86" i="31" s="1"/>
  <c r="AD122" i="31"/>
  <c r="AF122" i="31" s="1"/>
  <c r="AH122" i="31" s="1"/>
  <c r="AD96" i="31"/>
  <c r="AD127" i="31"/>
  <c r="AD58" i="31"/>
  <c r="AF58" i="31" s="1"/>
  <c r="AH58" i="31" s="1"/>
  <c r="AD82" i="31"/>
  <c r="AF82" i="31" s="1"/>
  <c r="AH82" i="31" s="1"/>
  <c r="AD45" i="31"/>
  <c r="AE45" i="31" s="1"/>
  <c r="AG45" i="31" s="1"/>
  <c r="C45" i="31" s="1"/>
  <c r="E45" i="31" s="1"/>
  <c r="AD62" i="31"/>
  <c r="AD74" i="31"/>
  <c r="AD65" i="31"/>
  <c r="AD90" i="31"/>
  <c r="AD100" i="31"/>
  <c r="AE100" i="31" s="1"/>
  <c r="AG100" i="31" s="1"/>
  <c r="C100" i="31" s="1"/>
  <c r="E100" i="31" s="1"/>
  <c r="AD47" i="31"/>
  <c r="AD92" i="31"/>
  <c r="AF92" i="31" s="1"/>
  <c r="AH92" i="31" s="1"/>
  <c r="AD51" i="31"/>
  <c r="AD95" i="31"/>
  <c r="AD83" i="31"/>
  <c r="AD91" i="31"/>
  <c r="AD108" i="31"/>
  <c r="H32" i="10" l="1"/>
  <c r="AH94" i="31"/>
  <c r="D94" i="31" s="1"/>
  <c r="F94" i="31" s="1"/>
  <c r="AE109" i="31"/>
  <c r="AG109" i="31" s="1"/>
  <c r="C109" i="31" s="1"/>
  <c r="E109" i="31" s="1"/>
  <c r="AF109" i="31"/>
  <c r="AF49" i="31"/>
  <c r="AE85" i="31"/>
  <c r="AG85" i="31" s="1"/>
  <c r="C85" i="31" s="1"/>
  <c r="E85" i="31" s="1"/>
  <c r="AE94" i="31"/>
  <c r="AG94" i="31" s="1"/>
  <c r="C94" i="31" s="1"/>
  <c r="E94" i="31" s="1"/>
  <c r="AE115" i="31"/>
  <c r="AG115" i="31" s="1"/>
  <c r="C115" i="31" s="1"/>
  <c r="E115" i="31" s="1"/>
  <c r="AF115" i="31"/>
  <c r="AF80" i="31"/>
  <c r="AF55" i="31"/>
  <c r="AE55" i="31"/>
  <c r="AG55" i="31" s="1"/>
  <c r="C55" i="31" s="1"/>
  <c r="E55" i="31" s="1"/>
  <c r="AF85" i="31"/>
  <c r="AE114" i="31"/>
  <c r="AG114" i="31" s="1"/>
  <c r="C114" i="31" s="1"/>
  <c r="E114" i="31" s="1"/>
  <c r="AF114" i="31"/>
  <c r="AE84" i="31"/>
  <c r="AG84" i="31" s="1"/>
  <c r="C84" i="31" s="1"/>
  <c r="E84" i="31" s="1"/>
  <c r="AE129" i="31"/>
  <c r="AG129" i="31" s="1"/>
  <c r="C129" i="31" s="1"/>
  <c r="E129" i="31" s="1"/>
  <c r="AF119" i="31"/>
  <c r="AF106" i="31"/>
  <c r="C106" i="31"/>
  <c r="AE78" i="31"/>
  <c r="AG78" i="31" s="1"/>
  <c r="C78" i="31" s="1"/>
  <c r="E78" i="31" s="1"/>
  <c r="AE49" i="31"/>
  <c r="AG49" i="31" s="1"/>
  <c r="C49" i="31" s="1"/>
  <c r="E49" i="31" s="1"/>
  <c r="D92" i="31"/>
  <c r="F92" i="31" s="1"/>
  <c r="D122" i="31"/>
  <c r="F122" i="31" s="1"/>
  <c r="D44" i="31"/>
  <c r="F44" i="31" s="1"/>
  <c r="AF47" i="31"/>
  <c r="AH47" i="31" s="1"/>
  <c r="AE47" i="31"/>
  <c r="AG47" i="31" s="1"/>
  <c r="C47" i="31" s="1"/>
  <c r="E47" i="31" s="1"/>
  <c r="D97" i="31"/>
  <c r="F97" i="31" s="1"/>
  <c r="D53" i="31"/>
  <c r="F53" i="31" s="1"/>
  <c r="D84" i="31"/>
  <c r="F84" i="31" s="1"/>
  <c r="D124" i="31"/>
  <c r="F124" i="31" s="1"/>
  <c r="D43" i="31"/>
  <c r="F43" i="31" s="1"/>
  <c r="D50" i="31"/>
  <c r="F50" i="31" s="1"/>
  <c r="D99" i="31"/>
  <c r="F99" i="31" s="1"/>
  <c r="D130" i="31"/>
  <c r="F130" i="31" s="1"/>
  <c r="D52" i="31"/>
  <c r="F52" i="31" s="1"/>
  <c r="D66" i="31"/>
  <c r="F66" i="31" s="1"/>
  <c r="D82" i="31"/>
  <c r="F82" i="31" s="1"/>
  <c r="D58" i="31"/>
  <c r="F58" i="31" s="1"/>
  <c r="D129" i="31"/>
  <c r="F129" i="31" s="1"/>
  <c r="D125" i="31"/>
  <c r="F125" i="31" s="1"/>
  <c r="AF98" i="31"/>
  <c r="AH98" i="31" s="1"/>
  <c r="AE42" i="31"/>
  <c r="AG42" i="31" s="1"/>
  <c r="C42" i="31" s="1"/>
  <c r="E42" i="31" s="1"/>
  <c r="AE63" i="31"/>
  <c r="AG63" i="31" s="1"/>
  <c r="C63" i="31" s="1"/>
  <c r="E63" i="31" s="1"/>
  <c r="AF63" i="31"/>
  <c r="AH63" i="31" s="1"/>
  <c r="AF104" i="31"/>
  <c r="AH104" i="31" s="1"/>
  <c r="AE125" i="31"/>
  <c r="AG125" i="31" s="1"/>
  <c r="C125" i="31" s="1"/>
  <c r="E125" i="31" s="1"/>
  <c r="AF93" i="31"/>
  <c r="AH93" i="31" s="1"/>
  <c r="AE93" i="31"/>
  <c r="AG93" i="31" s="1"/>
  <c r="C93" i="31" s="1"/>
  <c r="E93" i="31" s="1"/>
  <c r="AF123" i="31"/>
  <c r="AH123" i="31" s="1"/>
  <c r="AF60" i="31"/>
  <c r="AH60" i="31" s="1"/>
  <c r="AE104" i="31"/>
  <c r="AG104" i="31" s="1"/>
  <c r="C104" i="31" s="1"/>
  <c r="E104" i="31" s="1"/>
  <c r="AE60" i="31"/>
  <c r="AG60" i="31" s="1"/>
  <c r="C60" i="31" s="1"/>
  <c r="E60" i="31" s="1"/>
  <c r="AF78" i="31"/>
  <c r="AH78" i="31" s="1"/>
  <c r="AE68" i="31"/>
  <c r="AG68" i="31" s="1"/>
  <c r="C68" i="31" s="1"/>
  <c r="E68" i="31" s="1"/>
  <c r="AE50" i="31"/>
  <c r="AG50" i="31" s="1"/>
  <c r="C50" i="31" s="1"/>
  <c r="E50" i="31" s="1"/>
  <c r="AE43" i="31"/>
  <c r="AG43" i="31" s="1"/>
  <c r="C43" i="31" s="1"/>
  <c r="E43" i="31" s="1"/>
  <c r="AF68" i="31"/>
  <c r="AH68" i="31" s="1"/>
  <c r="AE110" i="31"/>
  <c r="AG110" i="31" s="1"/>
  <c r="C110" i="31" s="1"/>
  <c r="E110" i="31" s="1"/>
  <c r="AF57" i="31"/>
  <c r="AH57" i="31" s="1"/>
  <c r="AE124" i="31"/>
  <c r="AG124" i="31" s="1"/>
  <c r="C124" i="31" s="1"/>
  <c r="E124" i="31" s="1"/>
  <c r="AF118" i="31"/>
  <c r="AH118" i="31" s="1"/>
  <c r="AF72" i="31"/>
  <c r="AH72" i="31" s="1"/>
  <c r="AE52" i="31"/>
  <c r="AG52" i="31" s="1"/>
  <c r="C52" i="31" s="1"/>
  <c r="E52" i="31" s="1"/>
  <c r="AE66" i="31"/>
  <c r="AG66" i="31" s="1"/>
  <c r="C66" i="31" s="1"/>
  <c r="E66" i="31" s="1"/>
  <c r="AF56" i="31"/>
  <c r="AH56" i="31" s="1"/>
  <c r="AE102" i="31"/>
  <c r="AG102" i="31" s="1"/>
  <c r="AE72" i="31"/>
  <c r="AG72" i="31" s="1"/>
  <c r="C72" i="31" s="1"/>
  <c r="E72" i="31" s="1"/>
  <c r="AF75" i="31"/>
  <c r="AH75" i="31" s="1"/>
  <c r="AE57" i="31"/>
  <c r="AG57" i="31" s="1"/>
  <c r="C57" i="31" s="1"/>
  <c r="E57" i="31" s="1"/>
  <c r="AE89" i="31"/>
  <c r="AG89" i="31" s="1"/>
  <c r="C89" i="31" s="1"/>
  <c r="E89" i="31" s="1"/>
  <c r="AF89" i="31"/>
  <c r="AH89" i="31" s="1"/>
  <c r="AE103" i="31"/>
  <c r="AG103" i="31" s="1"/>
  <c r="AF103" i="31"/>
  <c r="AH103" i="31" s="1"/>
  <c r="AE118" i="31"/>
  <c r="AG118" i="31" s="1"/>
  <c r="C118" i="31" s="1"/>
  <c r="E118" i="31" s="1"/>
  <c r="AF110" i="31"/>
  <c r="AH110" i="31" s="1"/>
  <c r="AE77" i="31"/>
  <c r="AG77" i="31" s="1"/>
  <c r="C77" i="31" s="1"/>
  <c r="E77" i="31" s="1"/>
  <c r="AF102" i="31"/>
  <c r="AH102" i="31" s="1"/>
  <c r="AE111" i="31"/>
  <c r="AG111" i="31" s="1"/>
  <c r="AF126" i="31"/>
  <c r="AH126" i="31" s="1"/>
  <c r="AE126" i="31"/>
  <c r="AG126" i="31" s="1"/>
  <c r="C126" i="31" s="1"/>
  <c r="E126" i="31" s="1"/>
  <c r="AF81" i="31"/>
  <c r="AH81" i="31" s="1"/>
  <c r="AF113" i="31"/>
  <c r="AH113" i="31" s="1"/>
  <c r="AF70" i="31"/>
  <c r="AH70" i="31" s="1"/>
  <c r="AE113" i="31"/>
  <c r="AG113" i="31" s="1"/>
  <c r="C113" i="31" s="1"/>
  <c r="E113" i="31" s="1"/>
  <c r="AF54" i="31"/>
  <c r="AH54" i="31" s="1"/>
  <c r="AE54" i="31"/>
  <c r="AG54" i="31" s="1"/>
  <c r="C54" i="31" s="1"/>
  <c r="E54" i="31" s="1"/>
  <c r="AE121" i="31"/>
  <c r="AG121" i="31" s="1"/>
  <c r="AE81" i="31"/>
  <c r="AG81" i="31" s="1"/>
  <c r="C81" i="31" s="1"/>
  <c r="AE130" i="31"/>
  <c r="AG130" i="31" s="1"/>
  <c r="C130" i="31" s="1"/>
  <c r="E130" i="31" s="1"/>
  <c r="AF61" i="31"/>
  <c r="AH61" i="31" s="1"/>
  <c r="AF101" i="31"/>
  <c r="AH101" i="31" s="1"/>
  <c r="F31" i="10" s="1"/>
  <c r="I31" i="10" s="1"/>
  <c r="AE101" i="31"/>
  <c r="AG101" i="31" s="1"/>
  <c r="E31" i="10" s="1"/>
  <c r="AE120" i="31"/>
  <c r="AG120" i="31" s="1"/>
  <c r="C120" i="31" s="1"/>
  <c r="E120" i="31" s="1"/>
  <c r="AE53" i="31"/>
  <c r="AG53" i="31" s="1"/>
  <c r="C53" i="31" s="1"/>
  <c r="E53" i="31" s="1"/>
  <c r="AF59" i="31"/>
  <c r="AH59" i="31" s="1"/>
  <c r="AF120" i="31"/>
  <c r="AH120" i="31" s="1"/>
  <c r="AF121" i="31"/>
  <c r="AH121" i="31" s="1"/>
  <c r="AE97" i="31"/>
  <c r="AG97" i="31" s="1"/>
  <c r="C97" i="31" s="1"/>
  <c r="E97" i="31" s="1"/>
  <c r="AE46" i="31"/>
  <c r="AF67" i="31"/>
  <c r="AH67" i="31" s="1"/>
  <c r="AE67" i="31"/>
  <c r="AG67" i="31" s="1"/>
  <c r="C67" i="31" s="1"/>
  <c r="E67" i="31" s="1"/>
  <c r="C86" i="31"/>
  <c r="E28" i="10"/>
  <c r="D111" i="31"/>
  <c r="C61" i="31"/>
  <c r="E61" i="31" s="1"/>
  <c r="E23" i="10"/>
  <c r="AF46" i="31"/>
  <c r="AH46" i="31" s="1"/>
  <c r="AE59" i="31"/>
  <c r="AG59" i="31" s="1"/>
  <c r="C59" i="31" s="1"/>
  <c r="E59" i="31" s="1"/>
  <c r="AE116" i="31"/>
  <c r="AG116" i="31" s="1"/>
  <c r="E34" i="10" s="1"/>
  <c r="AF112" i="31"/>
  <c r="AH112" i="31" s="1"/>
  <c r="AF116" i="31"/>
  <c r="AH116" i="31" s="1"/>
  <c r="F34" i="10" s="1"/>
  <c r="AF77" i="31"/>
  <c r="AH77" i="31" s="1"/>
  <c r="AE76" i="31"/>
  <c r="AG76" i="31" s="1"/>
  <c r="AF76" i="31"/>
  <c r="AH76" i="31" s="1"/>
  <c r="AF88" i="31"/>
  <c r="AH88" i="31" s="1"/>
  <c r="AE88" i="31"/>
  <c r="AG88" i="31" s="1"/>
  <c r="C88" i="31" s="1"/>
  <c r="E88" i="31" s="1"/>
  <c r="AE71" i="31"/>
  <c r="AG71" i="31" s="1"/>
  <c r="AF64" i="31"/>
  <c r="AH64" i="31" s="1"/>
  <c r="AE64" i="31"/>
  <c r="AG64" i="31" s="1"/>
  <c r="C64" i="31" s="1"/>
  <c r="E64" i="31" s="1"/>
  <c r="AF128" i="31"/>
  <c r="AH128" i="31" s="1"/>
  <c r="AE105" i="31"/>
  <c r="AG105" i="31" s="1"/>
  <c r="C105" i="31" s="1"/>
  <c r="E105" i="31" s="1"/>
  <c r="AE69" i="31"/>
  <c r="AG69" i="31" s="1"/>
  <c r="C69" i="31" s="1"/>
  <c r="E69" i="31" s="1"/>
  <c r="AF69" i="31"/>
  <c r="AH69" i="31" s="1"/>
  <c r="AE117" i="31"/>
  <c r="AG117" i="31" s="1"/>
  <c r="C117" i="31" s="1"/>
  <c r="E117" i="31" s="1"/>
  <c r="AF48" i="31"/>
  <c r="AH48" i="31" s="1"/>
  <c r="AF87" i="31"/>
  <c r="AH87" i="31" s="1"/>
  <c r="AF71" i="31"/>
  <c r="AH71" i="31" s="1"/>
  <c r="AE87" i="31"/>
  <c r="AG87" i="31" s="1"/>
  <c r="C87" i="31" s="1"/>
  <c r="E87" i="31" s="1"/>
  <c r="AE107" i="31"/>
  <c r="AG107" i="31" s="1"/>
  <c r="C107" i="31" s="1"/>
  <c r="E107" i="31" s="1"/>
  <c r="AF107" i="31"/>
  <c r="AH107" i="31" s="1"/>
  <c r="AF117" i="31"/>
  <c r="AH117" i="31" s="1"/>
  <c r="AF79" i="31"/>
  <c r="AH79" i="31" s="1"/>
  <c r="AF74" i="31"/>
  <c r="AH74" i="31" s="1"/>
  <c r="AE48" i="31"/>
  <c r="AG48" i="31" s="1"/>
  <c r="C48" i="31" s="1"/>
  <c r="E48" i="31" s="1"/>
  <c r="AE79" i="31"/>
  <c r="AG79" i="31" s="1"/>
  <c r="C79" i="31" s="1"/>
  <c r="E79" i="31" s="1"/>
  <c r="AF42" i="31"/>
  <c r="AH42" i="31" s="1"/>
  <c r="AF73" i="31"/>
  <c r="AH73" i="31" s="1"/>
  <c r="AE73" i="31"/>
  <c r="AG73" i="31" s="1"/>
  <c r="C73" i="31" s="1"/>
  <c r="E73" i="31" s="1"/>
  <c r="AF96" i="31"/>
  <c r="AH96" i="31" s="1"/>
  <c r="AF105" i="31"/>
  <c r="AH105" i="31" s="1"/>
  <c r="AE58" i="31"/>
  <c r="AG58" i="31" s="1"/>
  <c r="C58" i="31" s="1"/>
  <c r="E58" i="31" s="1"/>
  <c r="AE99" i="31"/>
  <c r="AG99" i="31" s="1"/>
  <c r="AE122" i="31"/>
  <c r="AG122" i="31" s="1"/>
  <c r="C122" i="31" s="1"/>
  <c r="E122" i="31" s="1"/>
  <c r="AE96" i="31"/>
  <c r="AG96" i="31" s="1"/>
  <c r="AF86" i="31"/>
  <c r="AH86" i="31" s="1"/>
  <c r="AE74" i="31"/>
  <c r="AG74" i="31" s="1"/>
  <c r="C74" i="31" s="1"/>
  <c r="E74" i="31" s="1"/>
  <c r="AF62" i="31"/>
  <c r="AH62" i="31" s="1"/>
  <c r="AE62" i="31"/>
  <c r="AG62" i="31" s="1"/>
  <c r="C62" i="31" s="1"/>
  <c r="E62" i="31" s="1"/>
  <c r="AE82" i="31"/>
  <c r="AG82" i="31" s="1"/>
  <c r="C82" i="31" s="1"/>
  <c r="E82" i="31" s="1"/>
  <c r="AF127" i="31"/>
  <c r="AH127" i="31" s="1"/>
  <c r="AE127" i="31"/>
  <c r="AF45" i="31"/>
  <c r="AH45" i="31" s="1"/>
  <c r="AE65" i="31"/>
  <c r="AG65" i="31" s="1"/>
  <c r="C65" i="31" s="1"/>
  <c r="E65" i="31" s="1"/>
  <c r="AF65" i="31"/>
  <c r="AH65" i="31" s="1"/>
  <c r="AF100" i="31"/>
  <c r="AH100" i="31" s="1"/>
  <c r="AE90" i="31"/>
  <c r="AG90" i="31" s="1"/>
  <c r="C90" i="31" s="1"/>
  <c r="E90" i="31" s="1"/>
  <c r="AF90" i="31"/>
  <c r="AH90" i="31" s="1"/>
  <c r="AE92" i="31"/>
  <c r="AG92" i="31" s="1"/>
  <c r="C92" i="31" s="1"/>
  <c r="E92" i="31" s="1"/>
  <c r="AF108" i="31"/>
  <c r="AH108" i="31" s="1"/>
  <c r="AE108" i="31"/>
  <c r="AG108" i="31" s="1"/>
  <c r="C108" i="31" s="1"/>
  <c r="E108" i="31" s="1"/>
  <c r="AE91" i="31"/>
  <c r="AG91" i="31" s="1"/>
  <c r="AF91" i="31"/>
  <c r="AH91" i="31" s="1"/>
  <c r="AE83" i="31"/>
  <c r="AG83" i="31" s="1"/>
  <c r="C83" i="31" s="1"/>
  <c r="E83" i="31" s="1"/>
  <c r="AF83" i="31"/>
  <c r="AH83" i="31" s="1"/>
  <c r="AE95" i="31"/>
  <c r="AG95" i="31" s="1"/>
  <c r="C95" i="31" s="1"/>
  <c r="E95" i="31" s="1"/>
  <c r="AF95" i="31"/>
  <c r="AH95" i="31" s="1"/>
  <c r="AE51" i="31"/>
  <c r="AG51" i="31" s="1"/>
  <c r="AF51" i="31"/>
  <c r="AH51" i="31" s="1"/>
  <c r="G34" i="10" l="1"/>
  <c r="G31" i="10"/>
  <c r="H31" i="10"/>
  <c r="C111" i="31"/>
  <c r="E33" i="10"/>
  <c r="H34" i="10"/>
  <c r="H28" i="10"/>
  <c r="H23" i="10"/>
  <c r="C102" i="31"/>
  <c r="E102" i="31" s="1"/>
  <c r="C103" i="31"/>
  <c r="E103" i="31" s="1"/>
  <c r="C99" i="31"/>
  <c r="E99" i="31" s="1"/>
  <c r="AH119" i="31"/>
  <c r="D119" i="31" s="1"/>
  <c r="F119" i="31" s="1"/>
  <c r="AH114" i="31"/>
  <c r="D114" i="31" s="1"/>
  <c r="F114" i="31" s="1"/>
  <c r="AH49" i="31"/>
  <c r="D49" i="31" s="1"/>
  <c r="F49" i="31" s="1"/>
  <c r="AH85" i="31"/>
  <c r="D85" i="31" s="1"/>
  <c r="F85" i="31" s="1"/>
  <c r="AH109" i="31"/>
  <c r="D109" i="31" s="1"/>
  <c r="F109" i="31" s="1"/>
  <c r="AH55" i="31"/>
  <c r="D55" i="31" s="1"/>
  <c r="F55" i="31" s="1"/>
  <c r="AH106" i="31"/>
  <c r="AH80" i="31"/>
  <c r="D80" i="31" s="1"/>
  <c r="F80" i="31" s="1"/>
  <c r="AH115" i="31"/>
  <c r="D115" i="31" s="1"/>
  <c r="F115" i="31" s="1"/>
  <c r="F24" i="10"/>
  <c r="D87" i="31"/>
  <c r="F87" i="31" s="1"/>
  <c r="D126" i="31"/>
  <c r="F126" i="31" s="1"/>
  <c r="D48" i="31"/>
  <c r="F48" i="31" s="1"/>
  <c r="D46" i="31"/>
  <c r="F46" i="31" s="1"/>
  <c r="D118" i="31"/>
  <c r="F118" i="31" s="1"/>
  <c r="D74" i="31"/>
  <c r="F74" i="31" s="1"/>
  <c r="D88" i="31"/>
  <c r="F88" i="31" s="1"/>
  <c r="D100" i="31"/>
  <c r="F100" i="31" s="1"/>
  <c r="D62" i="31"/>
  <c r="F62" i="31" s="1"/>
  <c r="D79" i="31"/>
  <c r="F79" i="31" s="1"/>
  <c r="D102" i="31"/>
  <c r="F102" i="31" s="1"/>
  <c r="D75" i="31"/>
  <c r="F75" i="31" s="1"/>
  <c r="D121" i="31"/>
  <c r="F121" i="31" s="1"/>
  <c r="D54" i="31"/>
  <c r="F54" i="31" s="1"/>
  <c r="D104" i="31"/>
  <c r="F104" i="31" s="1"/>
  <c r="D65" i="31"/>
  <c r="F65" i="31" s="1"/>
  <c r="D69" i="31"/>
  <c r="F69" i="31" s="1"/>
  <c r="D120" i="31"/>
  <c r="F120" i="31" s="1"/>
  <c r="D78" i="31"/>
  <c r="F78" i="31" s="1"/>
  <c r="D63" i="31"/>
  <c r="F63" i="31" s="1"/>
  <c r="D59" i="31"/>
  <c r="F59" i="31" s="1"/>
  <c r="D70" i="31"/>
  <c r="F70" i="31" s="1"/>
  <c r="D57" i="31"/>
  <c r="F57" i="31" s="1"/>
  <c r="D105" i="31"/>
  <c r="F105" i="31" s="1"/>
  <c r="D113" i="31"/>
  <c r="F113" i="31" s="1"/>
  <c r="D47" i="31"/>
  <c r="F47" i="31" s="1"/>
  <c r="D117" i="31"/>
  <c r="F117" i="31" s="1"/>
  <c r="D110" i="31"/>
  <c r="F110" i="31" s="1"/>
  <c r="D83" i="31"/>
  <c r="F83" i="31" s="1"/>
  <c r="D107" i="31"/>
  <c r="F107" i="31" s="1"/>
  <c r="D77" i="31"/>
  <c r="F77" i="31" s="1"/>
  <c r="F27" i="10"/>
  <c r="D56" i="31"/>
  <c r="F56" i="31" s="1"/>
  <c r="D60" i="31"/>
  <c r="F60" i="31" s="1"/>
  <c r="D128" i="31"/>
  <c r="F128" i="31" s="1"/>
  <c r="D103" i="31"/>
  <c r="F103" i="31" s="1"/>
  <c r="D95" i="31"/>
  <c r="F95" i="31" s="1"/>
  <c r="D45" i="31"/>
  <c r="F45" i="31" s="1"/>
  <c r="D112" i="31"/>
  <c r="F112" i="31" s="1"/>
  <c r="D67" i="31"/>
  <c r="F67" i="31" s="1"/>
  <c r="D68" i="31"/>
  <c r="F68" i="31" s="1"/>
  <c r="D98" i="31"/>
  <c r="F98" i="31" s="1"/>
  <c r="D73" i="31"/>
  <c r="F73" i="31" s="1"/>
  <c r="AG46" i="31"/>
  <c r="C46" i="31" s="1"/>
  <c r="E46" i="31" s="1"/>
  <c r="D89" i="31"/>
  <c r="F89" i="31" s="1"/>
  <c r="D123" i="31"/>
  <c r="F123" i="31" s="1"/>
  <c r="D108" i="31"/>
  <c r="F108" i="31" s="1"/>
  <c r="D90" i="31"/>
  <c r="F90" i="31" s="1"/>
  <c r="D42" i="31"/>
  <c r="F42" i="31" s="1"/>
  <c r="F23" i="10"/>
  <c r="D64" i="31"/>
  <c r="F64" i="31" s="1"/>
  <c r="D72" i="31"/>
  <c r="F72" i="31" s="1"/>
  <c r="D93" i="31"/>
  <c r="F93" i="31" s="1"/>
  <c r="E24" i="10"/>
  <c r="H24" i="10" s="1"/>
  <c r="C121" i="31"/>
  <c r="E121" i="31" s="1"/>
  <c r="C101" i="31"/>
  <c r="E27" i="10"/>
  <c r="C76" i="31"/>
  <c r="E76" i="31" s="1"/>
  <c r="E26" i="10"/>
  <c r="H26" i="10" s="1"/>
  <c r="D91" i="31"/>
  <c r="F29" i="10"/>
  <c r="C91" i="31"/>
  <c r="E29" i="10"/>
  <c r="H29" i="10" s="1"/>
  <c r="D71" i="31"/>
  <c r="F71" i="31" s="1"/>
  <c r="F25" i="10"/>
  <c r="D116" i="31"/>
  <c r="C116" i="31"/>
  <c r="C71" i="31"/>
  <c r="E71" i="31" s="1"/>
  <c r="E25" i="10"/>
  <c r="D86" i="31"/>
  <c r="F28" i="10"/>
  <c r="D96" i="31"/>
  <c r="F30" i="10"/>
  <c r="C96" i="31"/>
  <c r="E30" i="10"/>
  <c r="C51" i="31"/>
  <c r="E51" i="31" s="1"/>
  <c r="D51" i="31"/>
  <c r="D76" i="31"/>
  <c r="F76" i="31" s="1"/>
  <c r="F26" i="10"/>
  <c r="AG127" i="31"/>
  <c r="C127" i="31" s="1"/>
  <c r="E127" i="31" s="1"/>
  <c r="D127" i="31"/>
  <c r="F127" i="31" s="1"/>
  <c r="G33" i="10" l="1"/>
  <c r="H33" i="10"/>
  <c r="D106" i="31"/>
  <c r="F32" i="10"/>
  <c r="I26" i="10"/>
  <c r="I24" i="10"/>
  <c r="I30" i="10"/>
  <c r="I27" i="10"/>
  <c r="H27" i="10"/>
  <c r="I33" i="10"/>
  <c r="I29" i="10"/>
  <c r="H30" i="10"/>
  <c r="H25" i="10"/>
  <c r="I28" i="10"/>
  <c r="I23" i="10"/>
  <c r="I25" i="10"/>
  <c r="D101" i="31"/>
  <c r="D81" i="31"/>
  <c r="D61" i="31"/>
  <c r="F61" i="31" s="1"/>
  <c r="G24" i="10"/>
  <c r="G23" i="10"/>
  <c r="G27" i="10"/>
  <c r="G25" i="10"/>
  <c r="G29" i="10"/>
  <c r="G30" i="10"/>
  <c r="G28" i="10"/>
  <c r="G26" i="10"/>
  <c r="I32" i="10" l="1"/>
  <c r="G32" i="10"/>
  <c r="I34" i="10"/>
  <c r="E116" i="31" l="1"/>
  <c r="E86" i="31"/>
  <c r="E81" i="31"/>
  <c r="F81" i="31"/>
  <c r="F86" i="31"/>
  <c r="F91" i="31" l="1"/>
  <c r="F96" i="31"/>
  <c r="F101" i="31"/>
  <c r="F106" i="31"/>
  <c r="F111" i="31"/>
  <c r="F116" i="31" l="1"/>
  <c r="F51" i="31"/>
  <c r="E106" i="31"/>
  <c r="E111" i="31"/>
  <c r="E101" i="31"/>
  <c r="E96" i="31"/>
  <c r="E91" i="31"/>
  <c r="B35" i="31" l="1"/>
  <c r="A35" i="31"/>
  <c r="C35" i="31" l="1"/>
  <c r="A133" i="31" s="1"/>
</calcChain>
</file>

<file path=xl/sharedStrings.xml><?xml version="1.0" encoding="utf-8"?>
<sst xmlns="http://schemas.openxmlformats.org/spreadsheetml/2006/main" count="133" uniqueCount="87">
  <si>
    <t>Intensity</t>
  </si>
  <si>
    <t>Ψ</t>
  </si>
  <si>
    <t>Δ</t>
  </si>
  <si>
    <t>Angle of</t>
  </si>
  <si>
    <t>n1</t>
  </si>
  <si>
    <t>k1</t>
  </si>
  <si>
    <t>n2</t>
  </si>
  <si>
    <t>k2</t>
  </si>
  <si>
    <t>Value</t>
  </si>
  <si>
    <t>Units</t>
  </si>
  <si>
    <t>ρ01,π</t>
  </si>
  <si>
    <t>ρ12,π</t>
  </si>
  <si>
    <t>ρ12,σ</t>
  </si>
  <si>
    <t>β</t>
  </si>
  <si>
    <t>Ρπ</t>
  </si>
  <si>
    <t>Ρσ</t>
  </si>
  <si>
    <t>https://refractiveindex.info</t>
  </si>
  <si>
    <t>P</t>
  </si>
  <si>
    <t>n0</t>
  </si>
  <si>
    <t>k0</t>
  </si>
  <si>
    <t>ñ0</t>
  </si>
  <si>
    <t>ñ1</t>
  </si>
  <si>
    <t>ñ2</t>
  </si>
  <si>
    <t>Cos(θ0)</t>
  </si>
  <si>
    <t>Cos(θ1)</t>
  </si>
  <si>
    <t>Cos(θ2)</t>
  </si>
  <si>
    <t>ρ01,σ</t>
  </si>
  <si>
    <t>AoI</t>
  </si>
  <si>
    <t>AoI [°]</t>
  </si>
  <si>
    <t>Analyzer α2 [°]</t>
  </si>
  <si>
    <t>Media</t>
  </si>
  <si>
    <t>P (Exp)</t>
  </si>
  <si>
    <t>P (Model)</t>
  </si>
  <si>
    <r>
      <t>Incidence (AoI)[</t>
    </r>
    <r>
      <rPr>
        <b/>
        <vertAlign val="superscript"/>
        <sz val="11"/>
        <color indexed="8"/>
        <rFont val="Calibri"/>
        <family val="2"/>
        <scheme val="minor"/>
      </rPr>
      <t>o</t>
    </r>
    <r>
      <rPr>
        <b/>
        <sz val="11"/>
        <color theme="1"/>
        <rFont val="Calibri"/>
        <family val="2"/>
        <scheme val="minor"/>
      </rPr>
      <t>]</t>
    </r>
  </si>
  <si>
    <t>INPUT</t>
  </si>
  <si>
    <t>OUTPUT</t>
  </si>
  <si>
    <t>Index of Refraction Solver Inputs</t>
  </si>
  <si>
    <t>Ellipsometer Configuration:</t>
  </si>
  <si>
    <t>0 - Atmosphere</t>
  </si>
  <si>
    <t>1 - Film</t>
  </si>
  <si>
    <t>2 - Substrate</t>
  </si>
  <si>
    <t>Wavelength</t>
  </si>
  <si>
    <t>Film 1 Solver Output</t>
  </si>
  <si>
    <r>
      <t>(Φ0)
[</t>
    </r>
    <r>
      <rPr>
        <b/>
        <sz val="11"/>
        <rFont val="Calibri"/>
        <family val="2"/>
      </rPr>
      <t>°</t>
    </r>
    <r>
      <rPr>
        <b/>
        <sz val="11"/>
        <rFont val="Calibri"/>
        <family val="2"/>
        <scheme val="minor"/>
      </rPr>
      <t>]</t>
    </r>
  </si>
  <si>
    <t>(Φ0)
[Radians]</t>
  </si>
  <si>
    <t>Ellipsometric Parameters</t>
  </si>
  <si>
    <t>Δ
[°]</t>
  </si>
  <si>
    <t>Intermediate Parameters</t>
  </si>
  <si>
    <t>λ
[Angs]</t>
  </si>
  <si>
    <t>Angs</t>
  </si>
  <si>
    <t>Incident Wavelength</t>
  </si>
  <si>
    <t>λ</t>
  </si>
  <si>
    <t>Media Complex Indicies of Refraction</t>
  </si>
  <si>
    <t>Solver Parameters</t>
  </si>
  <si>
    <t>Experimental Ellipsometric Parameters</t>
  </si>
  <si>
    <t>Model Ellipsometric Parameters</t>
  </si>
  <si>
    <r>
      <t>Ψ (Exp) [</t>
    </r>
    <r>
      <rPr>
        <b/>
        <sz val="11"/>
        <color theme="1"/>
        <rFont val="Calibri"/>
        <family val="2"/>
      </rPr>
      <t>°]</t>
    </r>
  </si>
  <si>
    <t>Δ (Exp) [°]</t>
  </si>
  <si>
    <t>Ψ (Model) [°]</t>
  </si>
  <si>
    <t>Δ (Model) [°]</t>
  </si>
  <si>
    <t>Δ
[Radians]</t>
  </si>
  <si>
    <t>Ψ
[Radians]</t>
  </si>
  <si>
    <t>Model Parameters</t>
  </si>
  <si>
    <t>Default Solver Settings</t>
  </si>
  <si>
    <t>Input</t>
  </si>
  <si>
    <t>Output</t>
  </si>
  <si>
    <t>Cell Color Indicator</t>
  </si>
  <si>
    <r>
      <t>Ψ
[</t>
    </r>
    <r>
      <rPr>
        <b/>
        <sz val="11"/>
        <rFont val="Calibri"/>
        <family val="2"/>
      </rPr>
      <t>°</t>
    </r>
    <r>
      <rPr>
        <b/>
        <sz val="11"/>
        <rFont val="Calibri"/>
        <family val="2"/>
        <scheme val="minor"/>
      </rPr>
      <t>]</t>
    </r>
  </si>
  <si>
    <t>Thickness (t1)
Solver Range [Angs]</t>
  </si>
  <si>
    <t>d1</t>
  </si>
  <si>
    <t>d1
[Angs]</t>
  </si>
  <si>
    <t>d1 [Angs]</t>
  </si>
  <si>
    <t>Polarizer azimuth angle (α1) [°]</t>
  </si>
  <si>
    <t>Extinction Coefficient
(k1) Solver Range</t>
  </si>
  <si>
    <t>Refractive Index
(n1) Solver Range</t>
  </si>
  <si>
    <t>Fit % Error</t>
  </si>
  <si>
    <t>Ψ (% Err)</t>
  </si>
  <si>
    <t>Δ (% Err)</t>
  </si>
  <si>
    <r>
      <t>Ψ SE
Normalized [</t>
    </r>
    <r>
      <rPr>
        <b/>
        <sz val="11"/>
        <color theme="1"/>
        <rFont val="Calibri"/>
        <family val="2"/>
      </rPr>
      <t>°]</t>
    </r>
  </si>
  <si>
    <t>Δ SE
Normalized [°]</t>
  </si>
  <si>
    <t>Ψ SSE Norm.</t>
  </si>
  <si>
    <t>Δ SSE Norm.</t>
  </si>
  <si>
    <t>Average SSE</t>
  </si>
  <si>
    <t>Min</t>
  </si>
  <si>
    <t>Max</t>
  </si>
  <si>
    <t>Symbol</t>
  </si>
  <si>
    <t xml:space="preserve">Sum of Normalized Squared Errors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</si>
</sst>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
    <numFmt numFmtId="165" formatCode="0.000"/>
    <numFmt numFmtId="166" formatCode="0.00000000000"/>
    <numFmt numFmtId="167" formatCode="0.000000000"/>
  </numFmts>
  <fonts count="15">
    <font>
      <sz val="11"/>
      <color theme="1"/>
      <name val="Calibri"/>
      <family val="2"/>
      <scheme val="minor"/>
    </font>
    <font>
      <sz val="10"/>
      <name val="Arial"/>
      <family val="2"/>
    </font>
    <font>
      <sz val="11"/>
      <name val="ＭＳ Ｐゴシック"/>
      <charset val="128"/>
    </font>
    <font>
      <b/>
      <sz val="11"/>
      <color theme="1"/>
      <name val="Calibri"/>
      <family val="2"/>
      <scheme val="minor"/>
    </font>
    <font>
      <sz val="11"/>
      <color theme="1"/>
      <name val="Calibri"/>
      <family val="2"/>
    </font>
    <font>
      <sz val="11"/>
      <name val="Calibri"/>
      <family val="2"/>
    </font>
    <font>
      <u/>
      <sz val="11"/>
      <color theme="10"/>
      <name val="Calibri"/>
      <family val="2"/>
      <scheme val="minor"/>
    </font>
    <font>
      <sz val="11"/>
      <color theme="1"/>
      <name val="Arial"/>
      <family val="2"/>
    </font>
    <font>
      <sz val="11"/>
      <color rgb="FF000000"/>
      <name val="Calibri"/>
      <family val="2"/>
    </font>
    <font>
      <b/>
      <vertAlign val="superscript"/>
      <sz val="11"/>
      <color indexed="8"/>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1"/>
      <name val="Calibri"/>
      <family val="2"/>
    </font>
    <font>
      <b/>
      <sz val="11"/>
      <name val="Calibri"/>
      <family val="2"/>
    </font>
  </fonts>
  <fills count="11">
    <fill>
      <patternFill patternType="none"/>
    </fill>
    <fill>
      <patternFill patternType="gray125"/>
    </fill>
    <fill>
      <patternFill patternType="solid">
        <fgColor rgb="FFFFFF99"/>
        <bgColor indexed="64"/>
      </patternFill>
    </fill>
    <fill>
      <patternFill patternType="solid">
        <fgColor theme="1"/>
        <bgColor indexed="64"/>
      </patternFill>
    </fill>
    <fill>
      <patternFill patternType="solid">
        <fgColor rgb="FFED7D31"/>
        <bgColor rgb="FFED7D31"/>
      </patternFill>
    </fill>
    <fill>
      <patternFill patternType="solid">
        <fgColor rgb="FFFFC000"/>
        <bgColor rgb="FFFFC000"/>
      </patternFill>
    </fill>
    <fill>
      <patternFill patternType="solid">
        <fgColor theme="8"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rgb="FF000000"/>
      </right>
      <top/>
      <bottom style="medium">
        <color indexed="64"/>
      </bottom>
      <diagonal/>
    </border>
    <border>
      <left/>
      <right/>
      <top style="medium">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6">
    <xf numFmtId="0" fontId="0" fillId="0" borderId="0"/>
    <xf numFmtId="0" fontId="1" fillId="0" borderId="0"/>
    <xf numFmtId="0" fontId="2" fillId="0" borderId="0"/>
    <xf numFmtId="0" fontId="6" fillId="0" borderId="0" applyNumberFormat="0" applyFill="0" applyBorder="0" applyAlignment="0" applyProtection="0"/>
    <xf numFmtId="0" fontId="7" fillId="0" borderId="0"/>
    <xf numFmtId="9" fontId="12" fillId="0" borderId="0" applyFont="0" applyFill="0" applyBorder="0" applyAlignment="0" applyProtection="0"/>
  </cellStyleXfs>
  <cellXfs count="254">
    <xf numFmtId="0" fontId="0" fillId="0" borderId="0" xfId="0"/>
    <xf numFmtId="0" fontId="4" fillId="0" borderId="0" xfId="4" applyFont="1" applyAlignment="1">
      <alignment horizontal="center" vertical="center"/>
    </xf>
    <xf numFmtId="0" fontId="5" fillId="0" borderId="15" xfId="4" applyFont="1" applyBorder="1" applyAlignment="1">
      <alignment horizontal="center"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10" fillId="0" borderId="0" xfId="2" applyFont="1" applyFill="1" applyBorder="1" applyAlignment="1">
      <alignment horizontal="center" vertical="center" wrapText="1"/>
    </xf>
    <xf numFmtId="0" fontId="3" fillId="2" borderId="4" xfId="0" applyFont="1" applyFill="1" applyBorder="1" applyAlignment="1">
      <alignment horizontal="center" vertical="center"/>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Border="1" applyAlignment="1">
      <alignment horizontal="center" vertical="center"/>
    </xf>
    <xf numFmtId="0" fontId="10" fillId="0" borderId="0" xfId="2" applyFont="1" applyBorder="1" applyAlignment="1">
      <alignment horizontal="center" vertical="center"/>
    </xf>
    <xf numFmtId="0" fontId="10" fillId="0" borderId="0" xfId="2" applyFont="1" applyBorder="1" applyAlignment="1" applyProtection="1">
      <alignment horizontal="center" vertical="center"/>
      <protection locked="0"/>
    </xf>
    <xf numFmtId="0" fontId="6" fillId="0" borderId="0" xfId="3" applyFont="1" applyAlignment="1">
      <alignment horizontal="left" vertical="center"/>
    </xf>
    <xf numFmtId="0" fontId="0" fillId="0" borderId="13" xfId="0" applyFont="1" applyBorder="1" applyAlignment="1">
      <alignment horizontal="center" vertical="center"/>
    </xf>
    <xf numFmtId="2" fontId="0" fillId="0" borderId="2" xfId="0" applyNumberFormat="1" applyFont="1" applyBorder="1" applyAlignment="1">
      <alignment horizontal="center" vertical="center"/>
    </xf>
    <xf numFmtId="2" fontId="0" fillId="0" borderId="3" xfId="0" applyNumberFormat="1" applyFont="1" applyBorder="1" applyAlignment="1">
      <alignment horizontal="center" vertical="center"/>
    </xf>
    <xf numFmtId="1" fontId="0" fillId="0" borderId="2"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xf>
    <xf numFmtId="165" fontId="0" fillId="0" borderId="3" xfId="0" applyNumberFormat="1" applyFont="1" applyBorder="1" applyAlignment="1">
      <alignment horizontal="center" vertical="center"/>
    </xf>
    <xf numFmtId="0" fontId="0" fillId="0" borderId="0" xfId="0" applyFont="1" applyAlignment="1">
      <alignment vertical="center"/>
    </xf>
    <xf numFmtId="165" fontId="0" fillId="0" borderId="2" xfId="0" applyNumberFormat="1" applyFont="1" applyBorder="1" applyAlignment="1">
      <alignment horizontal="center" vertical="center"/>
    </xf>
    <xf numFmtId="166" fontId="0" fillId="0" borderId="2" xfId="0" applyNumberFormat="1" applyFont="1" applyBorder="1" applyAlignment="1">
      <alignment horizontal="center" vertical="center"/>
    </xf>
    <xf numFmtId="0" fontId="3" fillId="2" borderId="3" xfId="0" applyFont="1" applyFill="1" applyBorder="1" applyAlignment="1">
      <alignment horizontal="center" vertical="center"/>
    </xf>
    <xf numFmtId="0" fontId="0" fillId="0" borderId="0" xfId="0" applyAlignment="1">
      <alignment vertical="center"/>
    </xf>
    <xf numFmtId="0" fontId="3" fillId="2" borderId="3" xfId="0" applyFont="1" applyFill="1" applyBorder="1" applyAlignment="1">
      <alignment vertical="center"/>
    </xf>
    <xf numFmtId="1" fontId="0" fillId="0" borderId="3" xfId="0" applyNumberFormat="1" applyFont="1" applyBorder="1" applyAlignment="1">
      <alignment horizontal="center" vertical="center"/>
    </xf>
    <xf numFmtId="166" fontId="0" fillId="0" borderId="3" xfId="0" applyNumberFormat="1" applyFont="1" applyBorder="1" applyAlignment="1">
      <alignment horizontal="center" vertical="center"/>
    </xf>
    <xf numFmtId="0" fontId="0" fillId="0" borderId="21" xfId="0" applyFont="1" applyBorder="1" applyAlignment="1">
      <alignment horizontal="center" vertical="center"/>
    </xf>
    <xf numFmtId="0" fontId="0" fillId="0" borderId="0" xfId="0" applyFont="1" applyAlignment="1">
      <alignment horizontal="center" vertical="center"/>
    </xf>
    <xf numFmtId="0" fontId="10" fillId="0" borderId="18" xfId="2" applyFont="1" applyBorder="1" applyAlignment="1">
      <alignment horizontal="center" vertical="center"/>
    </xf>
    <xf numFmtId="0" fontId="10" fillId="0" borderId="18" xfId="2" applyFont="1" applyBorder="1" applyAlignment="1" applyProtection="1">
      <alignment horizontal="center" vertical="center"/>
      <protection locked="0"/>
    </xf>
    <xf numFmtId="0" fontId="10" fillId="0" borderId="14" xfId="2" applyFont="1" applyBorder="1" applyAlignment="1" applyProtection="1">
      <alignment horizontal="center" vertical="center"/>
      <protection locked="0"/>
    </xf>
    <xf numFmtId="0" fontId="10" fillId="0" borderId="13" xfId="2" applyFont="1" applyBorder="1" applyAlignment="1">
      <alignment horizontal="center" vertical="center"/>
    </xf>
    <xf numFmtId="0" fontId="0" fillId="0" borderId="14" xfId="0" applyFont="1" applyBorder="1" applyAlignment="1">
      <alignment horizontal="center" vertical="center"/>
    </xf>
    <xf numFmtId="0" fontId="10" fillId="0" borderId="14" xfId="2" applyFont="1" applyBorder="1" applyAlignment="1">
      <alignment horizontal="center" vertical="center"/>
    </xf>
    <xf numFmtId="0" fontId="11" fillId="0" borderId="11" xfId="2" applyFont="1" applyFill="1" applyBorder="1" applyAlignment="1">
      <alignment horizontal="center" vertical="center" wrapText="1"/>
    </xf>
    <xf numFmtId="0" fontId="11" fillId="0" borderId="20" xfId="2" applyFont="1" applyFill="1" applyBorder="1" applyAlignment="1">
      <alignment horizontal="center" vertical="center" wrapText="1"/>
    </xf>
    <xf numFmtId="0" fontId="11" fillId="0" borderId="12" xfId="2" applyFont="1" applyFill="1" applyBorder="1" applyAlignment="1">
      <alignment horizontal="center" vertical="center" wrapText="1"/>
    </xf>
    <xf numFmtId="0" fontId="11" fillId="0" borderId="7" xfId="2" applyFont="1" applyFill="1" applyBorder="1" applyAlignment="1" applyProtection="1">
      <alignment horizontal="center" vertical="center"/>
      <protection hidden="1"/>
    </xf>
    <xf numFmtId="0" fontId="11" fillId="0" borderId="6" xfId="2" applyFont="1" applyBorder="1" applyAlignment="1" applyProtection="1">
      <alignment horizontal="center" vertical="center"/>
      <protection hidden="1"/>
    </xf>
    <xf numFmtId="0" fontId="10" fillId="0" borderId="13" xfId="2" applyFont="1" applyBorder="1" applyAlignment="1" applyProtection="1">
      <alignment horizontal="center" vertical="center"/>
      <protection locked="0"/>
    </xf>
    <xf numFmtId="0" fontId="3" fillId="0" borderId="0" xfId="0" applyFont="1" applyBorder="1" applyAlignment="1">
      <alignment horizontal="center" vertical="center"/>
    </xf>
    <xf numFmtId="0" fontId="3"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0" borderId="16" xfId="0" applyFont="1" applyBorder="1" applyAlignment="1">
      <alignment horizontal="center" vertical="center"/>
    </xf>
    <xf numFmtId="0" fontId="3" fillId="0" borderId="13" xfId="0" applyFont="1" applyBorder="1" applyAlignment="1">
      <alignment horizontal="center" vertical="center"/>
    </xf>
    <xf numFmtId="165" fontId="0" fillId="0" borderId="22" xfId="0" applyNumberFormat="1" applyFont="1" applyBorder="1" applyAlignment="1">
      <alignment horizontal="center" vertical="center"/>
    </xf>
    <xf numFmtId="0" fontId="0" fillId="0" borderId="22" xfId="0" applyFont="1" applyBorder="1" applyAlignment="1">
      <alignment horizontal="center" vertical="center"/>
    </xf>
    <xf numFmtId="0" fontId="0" fillId="0" borderId="23" xfId="0" applyFont="1" applyBorder="1" applyAlignment="1">
      <alignment horizontal="center" vertical="center"/>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1" fontId="10" fillId="0" borderId="14" xfId="2" applyNumberFormat="1" applyFont="1" applyBorder="1" applyAlignment="1">
      <alignment horizontal="center" vertical="center"/>
    </xf>
    <xf numFmtId="165" fontId="10" fillId="0" borderId="14" xfId="2" applyNumberFormat="1" applyFont="1" applyBorder="1" applyAlignment="1" applyProtection="1">
      <alignment horizontal="center" vertical="center"/>
      <protection locked="0"/>
    </xf>
    <xf numFmtId="2" fontId="10" fillId="0" borderId="18" xfId="2" applyNumberFormat="1" applyFont="1" applyBorder="1" applyAlignment="1">
      <alignment horizontal="center" vertical="center"/>
    </xf>
    <xf numFmtId="167" fontId="10" fillId="0" borderId="18" xfId="2" applyNumberFormat="1" applyFont="1" applyBorder="1" applyAlignment="1">
      <alignment horizontal="center" vertical="center"/>
    </xf>
    <xf numFmtId="167" fontId="10" fillId="0" borderId="0" xfId="2" applyNumberFormat="1" applyFont="1" applyBorder="1" applyAlignment="1">
      <alignment horizontal="center" vertical="center"/>
    </xf>
    <xf numFmtId="2" fontId="10" fillId="0" borderId="0" xfId="2" applyNumberFormat="1" applyFont="1" applyBorder="1" applyAlignment="1">
      <alignment horizontal="center" vertical="center"/>
    </xf>
    <xf numFmtId="0" fontId="10" fillId="0" borderId="16" xfId="2" applyFont="1" applyBorder="1" applyAlignment="1" applyProtection="1">
      <alignment horizontal="center" vertical="center"/>
      <protection locked="0"/>
    </xf>
    <xf numFmtId="0" fontId="10" fillId="0" borderId="17" xfId="2" applyFont="1" applyBorder="1" applyAlignment="1" applyProtection="1">
      <alignment horizontal="center" vertical="center"/>
      <protection locked="0"/>
    </xf>
    <xf numFmtId="1" fontId="10" fillId="0" borderId="17" xfId="2" applyNumberFormat="1" applyFont="1" applyBorder="1" applyAlignment="1">
      <alignment horizontal="center" vertical="center"/>
    </xf>
    <xf numFmtId="0" fontId="10" fillId="0" borderId="16" xfId="2" applyFont="1" applyBorder="1" applyAlignment="1">
      <alignment horizontal="center" vertical="center"/>
    </xf>
    <xf numFmtId="0" fontId="10" fillId="0" borderId="17" xfId="2" applyFont="1" applyBorder="1" applyAlignment="1">
      <alignment horizontal="center" vertical="center"/>
    </xf>
    <xf numFmtId="165" fontId="10" fillId="0" borderId="16" xfId="2" applyNumberFormat="1" applyFont="1" applyBorder="1" applyAlignment="1" applyProtection="1">
      <alignment horizontal="center" vertical="center"/>
      <protection locked="0"/>
    </xf>
    <xf numFmtId="165" fontId="10" fillId="0" borderId="17" xfId="2" applyNumberFormat="1" applyFont="1" applyBorder="1" applyAlignment="1" applyProtection="1">
      <alignment horizontal="center" vertical="center"/>
      <protection locked="0"/>
    </xf>
    <xf numFmtId="0" fontId="11" fillId="0" borderId="11" xfId="2" applyFont="1" applyBorder="1" applyAlignment="1">
      <alignment horizontal="center" vertical="center" wrapText="1"/>
    </xf>
    <xf numFmtId="0" fontId="11" fillId="0" borderId="20" xfId="2" applyFont="1" applyBorder="1" applyAlignment="1">
      <alignment horizontal="center" vertical="center" wrapText="1"/>
    </xf>
    <xf numFmtId="0" fontId="11" fillId="0" borderId="12" xfId="2" applyFont="1" applyBorder="1" applyAlignment="1">
      <alignment horizontal="center" vertical="center" wrapText="1"/>
    </xf>
    <xf numFmtId="165" fontId="10" fillId="0" borderId="13" xfId="2" applyNumberFormat="1" applyFont="1" applyBorder="1" applyAlignment="1" applyProtection="1">
      <alignment horizontal="center" vertical="center"/>
      <protection locked="0"/>
    </xf>
    <xf numFmtId="0" fontId="10" fillId="2" borderId="16" xfId="2" applyFont="1" applyFill="1" applyBorder="1" applyAlignment="1" applyProtection="1">
      <alignment horizontal="center" vertical="center"/>
      <protection locked="0"/>
    </xf>
    <xf numFmtId="0" fontId="10" fillId="2" borderId="13" xfId="2" applyFont="1" applyFill="1" applyBorder="1" applyAlignment="1" applyProtection="1">
      <alignment horizontal="center" vertical="center"/>
      <protection locked="0"/>
    </xf>
    <xf numFmtId="0" fontId="10" fillId="0" borderId="0" xfId="0" applyFont="1" applyAlignment="1">
      <alignment horizontal="center" vertical="center"/>
    </xf>
    <xf numFmtId="0" fontId="10" fillId="0" borderId="12" xfId="0" applyFont="1" applyBorder="1" applyAlignment="1">
      <alignment horizontal="center" vertical="center"/>
    </xf>
    <xf numFmtId="0" fontId="11" fillId="2" borderId="7" xfId="0" applyFont="1" applyFill="1" applyBorder="1" applyAlignment="1">
      <alignment horizontal="center" vertical="center"/>
    </xf>
    <xf numFmtId="0" fontId="10" fillId="0" borderId="0"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wrapText="1"/>
    </xf>
    <xf numFmtId="0" fontId="11" fillId="0" borderId="12" xfId="0" applyFont="1" applyBorder="1" applyAlignment="1">
      <alignment horizontal="center" vertical="center" wrapText="1"/>
    </xf>
    <xf numFmtId="0" fontId="10" fillId="0" borderId="17" xfId="0" applyFont="1" applyBorder="1" applyAlignment="1">
      <alignment horizontal="center" vertical="center"/>
    </xf>
    <xf numFmtId="2" fontId="10" fillId="0" borderId="16" xfId="0" applyNumberFormat="1" applyFont="1" applyBorder="1" applyAlignment="1">
      <alignment horizontal="center" vertical="center"/>
    </xf>
    <xf numFmtId="0" fontId="10" fillId="0" borderId="14" xfId="0" applyFont="1" applyBorder="1" applyAlignment="1">
      <alignment horizontal="center" vertical="center"/>
    </xf>
    <xf numFmtId="2" fontId="10" fillId="0" borderId="13" xfId="0" applyNumberFormat="1" applyFont="1" applyBorder="1" applyAlignment="1">
      <alignment horizontal="center" vertical="center"/>
    </xf>
    <xf numFmtId="165" fontId="10" fillId="0" borderId="0" xfId="0" applyNumberFormat="1" applyFont="1" applyBorder="1" applyAlignment="1">
      <alignment horizontal="center" vertical="center"/>
    </xf>
    <xf numFmtId="165" fontId="10" fillId="0" borderId="1" xfId="0" applyNumberFormat="1" applyFont="1" applyBorder="1" applyAlignment="1">
      <alignment horizontal="center" vertical="center"/>
    </xf>
    <xf numFmtId="165" fontId="10" fillId="0" borderId="6" xfId="0" applyNumberFormat="1" applyFont="1" applyBorder="1" applyAlignment="1">
      <alignment horizontal="center" vertical="center"/>
    </xf>
    <xf numFmtId="0" fontId="10" fillId="0" borderId="13" xfId="3" applyFont="1" applyBorder="1" applyAlignment="1">
      <alignment horizontal="center" vertical="center"/>
    </xf>
    <xf numFmtId="0" fontId="3" fillId="0" borderId="17" xfId="0" applyFont="1" applyBorder="1" applyAlignment="1">
      <alignment horizontal="center" vertical="center"/>
    </xf>
    <xf numFmtId="0" fontId="11" fillId="0" borderId="11" xfId="3" applyFont="1" applyBorder="1" applyAlignment="1">
      <alignment horizontal="center" vertical="center"/>
    </xf>
    <xf numFmtId="0" fontId="11" fillId="0" borderId="12" xfId="0" applyFont="1" applyBorder="1" applyAlignment="1">
      <alignment horizontal="center" vertical="center"/>
    </xf>
    <xf numFmtId="0" fontId="3" fillId="8" borderId="9" xfId="0" applyFont="1" applyFill="1" applyBorder="1" applyAlignment="1">
      <alignment vertical="center"/>
    </xf>
    <xf numFmtId="0" fontId="0" fillId="0" borderId="0" xfId="0" applyFont="1" applyAlignment="1">
      <alignment horizontal="center" vertical="center"/>
    </xf>
    <xf numFmtId="2" fontId="10" fillId="0" borderId="0" xfId="2" applyNumberFormat="1" applyFont="1" applyBorder="1" applyAlignment="1" applyProtection="1">
      <alignment horizontal="center" vertical="center"/>
    </xf>
    <xf numFmtId="2" fontId="10" fillId="0" borderId="17" xfId="2" applyNumberFormat="1" applyFont="1" applyBorder="1" applyAlignment="1" applyProtection="1">
      <alignment horizontal="center" vertical="center"/>
    </xf>
    <xf numFmtId="2" fontId="10" fillId="0" borderId="14" xfId="2" applyNumberFormat="1" applyFont="1" applyBorder="1" applyAlignment="1" applyProtection="1">
      <alignment horizontal="center" vertical="center"/>
    </xf>
    <xf numFmtId="2" fontId="10" fillId="0" borderId="18" xfId="2" applyNumberFormat="1" applyFont="1" applyBorder="1" applyAlignment="1" applyProtection="1">
      <alignment horizontal="center" vertical="center"/>
    </xf>
    <xf numFmtId="0" fontId="10" fillId="0" borderId="0" xfId="3" applyFont="1" applyBorder="1" applyAlignment="1">
      <alignment horizontal="center" vertical="center"/>
    </xf>
    <xf numFmtId="165" fontId="0" fillId="0" borderId="23" xfId="0" applyNumberFormat="1" applyFont="1" applyBorder="1" applyAlignment="1">
      <alignment horizontal="center" vertical="center"/>
    </xf>
    <xf numFmtId="0" fontId="0" fillId="6" borderId="8" xfId="0" applyFont="1" applyFill="1" applyBorder="1" applyAlignment="1">
      <alignment horizontal="center" vertical="center"/>
    </xf>
    <xf numFmtId="164" fontId="0" fillId="6" borderId="8" xfId="0" applyNumberFormat="1" applyFont="1" applyFill="1" applyBorder="1" applyAlignment="1">
      <alignment horizontal="center" vertical="center"/>
    </xf>
    <xf numFmtId="0" fontId="0" fillId="6" borderId="9" xfId="0" applyFont="1" applyFill="1" applyBorder="1" applyAlignment="1">
      <alignment horizontal="center" vertical="center"/>
    </xf>
    <xf numFmtId="0" fontId="0" fillId="0" borderId="0" xfId="0" applyFont="1" applyAlignment="1">
      <alignment horizontal="center" vertical="center"/>
    </xf>
    <xf numFmtId="0" fontId="3" fillId="2" borderId="17" xfId="0" applyFont="1" applyFill="1" applyBorder="1" applyAlignment="1">
      <alignment horizontal="center" vertical="center"/>
    </xf>
    <xf numFmtId="0" fontId="11" fillId="0" borderId="7" xfId="2" applyFont="1" applyBorder="1" applyAlignment="1">
      <alignment horizontal="center" vertical="center" wrapText="1"/>
    </xf>
    <xf numFmtId="0" fontId="11" fillId="2" borderId="5" xfId="2" applyFont="1" applyFill="1" applyBorder="1" applyAlignment="1">
      <alignment horizontal="center" vertical="center" wrapText="1"/>
    </xf>
    <xf numFmtId="0" fontId="11" fillId="0" borderId="6" xfId="2" applyFont="1" applyBorder="1" applyAlignment="1" applyProtection="1">
      <alignment horizontal="center" vertical="center" wrapText="1"/>
      <protection hidden="1"/>
    </xf>
    <xf numFmtId="0" fontId="10" fillId="0" borderId="11" xfId="2" applyFont="1" applyBorder="1" applyAlignment="1" applyProtection="1">
      <alignment horizontal="center" vertical="center"/>
      <protection locked="0"/>
    </xf>
    <xf numFmtId="0" fontId="10" fillId="0" borderId="12" xfId="2" applyFont="1" applyBorder="1" applyAlignment="1" applyProtection="1">
      <alignment horizontal="center" vertical="center"/>
      <protection locked="0"/>
    </xf>
    <xf numFmtId="0" fontId="10" fillId="0" borderId="20" xfId="2" applyFont="1" applyBorder="1" applyAlignment="1" applyProtection="1">
      <alignment horizontal="center" vertical="center"/>
      <protection locked="0"/>
    </xf>
    <xf numFmtId="1" fontId="10" fillId="0" borderId="12" xfId="2" applyNumberFormat="1" applyFont="1" applyBorder="1" applyAlignment="1">
      <alignment horizontal="center" vertical="center"/>
    </xf>
    <xf numFmtId="165" fontId="10" fillId="0" borderId="11" xfId="2" applyNumberFormat="1" applyFont="1" applyBorder="1" applyAlignment="1" applyProtection="1">
      <alignment horizontal="center" vertical="center"/>
      <protection locked="0"/>
    </xf>
    <xf numFmtId="165" fontId="10" fillId="0" borderId="12" xfId="2" applyNumberFormat="1" applyFont="1" applyBorder="1" applyAlignment="1" applyProtection="1">
      <alignment horizontal="center" vertical="center"/>
      <protection locked="0"/>
    </xf>
    <xf numFmtId="0" fontId="10" fillId="0" borderId="20" xfId="2" applyFont="1" applyBorder="1" applyAlignment="1">
      <alignment horizontal="center" vertical="center"/>
    </xf>
    <xf numFmtId="0" fontId="10" fillId="0" borderId="11" xfId="2" applyFont="1" applyBorder="1" applyAlignment="1">
      <alignment horizontal="center" vertical="center"/>
    </xf>
    <xf numFmtId="167" fontId="10" fillId="0" borderId="20" xfId="2" applyNumberFormat="1" applyFont="1" applyBorder="1" applyAlignment="1">
      <alignment horizontal="center" vertical="center"/>
    </xf>
    <xf numFmtId="0" fontId="10" fillId="0" borderId="12" xfId="2" applyFont="1" applyBorder="1" applyAlignment="1">
      <alignment horizontal="center" vertical="center"/>
    </xf>
    <xf numFmtId="2" fontId="10" fillId="0" borderId="11" xfId="0" applyNumberFormat="1" applyFont="1" applyBorder="1" applyAlignment="1">
      <alignment horizontal="center" vertical="center"/>
    </xf>
    <xf numFmtId="2" fontId="10" fillId="0" borderId="20" xfId="2" applyNumberFormat="1" applyFont="1" applyBorder="1" applyAlignment="1">
      <alignment horizontal="center" vertical="center"/>
    </xf>
    <xf numFmtId="2" fontId="10" fillId="0" borderId="20" xfId="2" applyNumberFormat="1" applyFont="1" applyBorder="1" applyAlignment="1" applyProtection="1">
      <alignment horizontal="center" vertical="center"/>
    </xf>
    <xf numFmtId="2" fontId="10" fillId="0" borderId="12" xfId="2" applyNumberFormat="1" applyFont="1" applyBorder="1" applyAlignment="1" applyProtection="1">
      <alignment horizontal="center" vertical="center"/>
    </xf>
    <xf numFmtId="0" fontId="11" fillId="0" borderId="0" xfId="0" applyFont="1" applyBorder="1" applyAlignment="1">
      <alignment horizontal="center" vertical="center"/>
    </xf>
    <xf numFmtId="0" fontId="0" fillId="0" borderId="0" xfId="0" applyNumberFormat="1" applyFont="1" applyBorder="1" applyAlignment="1">
      <alignment horizontal="center" vertical="center"/>
    </xf>
    <xf numFmtId="164" fontId="10" fillId="0" borderId="0" xfId="2" applyNumberFormat="1" applyFont="1" applyBorder="1" applyAlignment="1">
      <alignment horizontal="center" vertical="center"/>
    </xf>
    <xf numFmtId="164" fontId="10" fillId="0" borderId="18" xfId="2" applyNumberFormat="1" applyFont="1" applyBorder="1" applyAlignment="1">
      <alignment horizontal="center" vertical="center"/>
    </xf>
    <xf numFmtId="2" fontId="10" fillId="0" borderId="17" xfId="0" applyNumberFormat="1" applyFont="1" applyBorder="1" applyAlignment="1">
      <alignment horizontal="center" vertical="center"/>
    </xf>
    <xf numFmtId="2" fontId="10" fillId="0" borderId="0" xfId="0" applyNumberFormat="1" applyFont="1" applyBorder="1" applyAlignment="1">
      <alignment horizontal="center" vertical="center"/>
    </xf>
    <xf numFmtId="2" fontId="10" fillId="0" borderId="14" xfId="0" applyNumberFormat="1" applyFont="1" applyBorder="1" applyAlignment="1">
      <alignment horizontal="center" vertical="center"/>
    </xf>
    <xf numFmtId="2" fontId="10" fillId="0" borderId="18" xfId="0" applyNumberFormat="1" applyFont="1" applyBorder="1" applyAlignment="1">
      <alignment horizontal="center" vertical="center"/>
    </xf>
    <xf numFmtId="164" fontId="10" fillId="0" borderId="0" xfId="2" applyNumberFormat="1" applyFont="1" applyBorder="1" applyAlignment="1" applyProtection="1">
      <alignment horizontal="center" vertical="center"/>
      <protection locked="0"/>
    </xf>
    <xf numFmtId="1" fontId="10" fillId="0" borderId="0" xfId="2" applyNumberFormat="1" applyFont="1" applyBorder="1" applyAlignment="1">
      <alignment horizontal="center" vertical="center"/>
    </xf>
    <xf numFmtId="165" fontId="10" fillId="0" borderId="0" xfId="2" applyNumberFormat="1" applyFont="1" applyBorder="1" applyAlignment="1" applyProtection="1">
      <alignment horizontal="center" vertical="center"/>
      <protection locked="0"/>
    </xf>
    <xf numFmtId="2" fontId="10" fillId="0" borderId="12" xfId="0" applyNumberFormat="1" applyFont="1" applyBorder="1" applyAlignment="1">
      <alignment horizontal="center" vertical="center"/>
    </xf>
    <xf numFmtId="2" fontId="10" fillId="0" borderId="20" xfId="0" applyNumberFormat="1" applyFont="1" applyBorder="1" applyAlignment="1">
      <alignment horizontal="center" vertical="center"/>
    </xf>
    <xf numFmtId="0" fontId="10" fillId="0" borderId="0" xfId="2" applyFont="1" applyFill="1" applyBorder="1" applyAlignment="1" applyProtection="1">
      <alignment horizontal="center" vertical="center"/>
      <protection locked="0"/>
    </xf>
    <xf numFmtId="0" fontId="5" fillId="0" borderId="18" xfId="4" applyFont="1" applyBorder="1" applyAlignment="1">
      <alignment horizontal="center" vertical="center"/>
    </xf>
    <xf numFmtId="0" fontId="5" fillId="0" borderId="14" xfId="4" applyFont="1" applyBorder="1" applyAlignment="1">
      <alignment horizontal="center" vertical="center"/>
    </xf>
    <xf numFmtId="0" fontId="5" fillId="0" borderId="13" xfId="4" applyFont="1" applyBorder="1" applyAlignment="1">
      <alignment horizontal="center" vertical="center"/>
    </xf>
    <xf numFmtId="0" fontId="8" fillId="0" borderId="13" xfId="4" applyFont="1" applyBorder="1" applyAlignment="1">
      <alignment horizontal="center" vertical="center"/>
    </xf>
    <xf numFmtId="0" fontId="14" fillId="4" borderId="11" xfId="4" applyFont="1" applyFill="1" applyBorder="1" applyAlignment="1">
      <alignment horizontal="center" vertical="center"/>
    </xf>
    <xf numFmtId="0" fontId="14" fillId="5" borderId="12" xfId="4" applyFont="1" applyFill="1" applyBorder="1" applyAlignment="1">
      <alignment horizontal="center" vertical="center"/>
    </xf>
    <xf numFmtId="1" fontId="0" fillId="6" borderId="9" xfId="0" applyNumberFormat="1" applyFont="1" applyFill="1" applyBorder="1" applyAlignment="1">
      <alignment horizontal="center" vertical="center"/>
    </xf>
    <xf numFmtId="0" fontId="0" fillId="0" borderId="0" xfId="0" applyFont="1" applyAlignment="1">
      <alignment horizontal="center" vertical="center"/>
    </xf>
    <xf numFmtId="0" fontId="0" fillId="6" borderId="10" xfId="0" applyFont="1" applyFill="1" applyBorder="1" applyAlignment="1">
      <alignment horizontal="center" vertical="center"/>
    </xf>
    <xf numFmtId="164" fontId="0" fillId="6" borderId="10" xfId="0" applyNumberFormat="1" applyFont="1" applyFill="1" applyBorder="1" applyAlignment="1">
      <alignment horizontal="center" vertical="center"/>
    </xf>
    <xf numFmtId="0" fontId="8" fillId="0" borderId="14" xfId="4" applyFont="1" applyBorder="1" applyAlignment="1">
      <alignment horizontal="center" vertical="center"/>
    </xf>
    <xf numFmtId="164" fontId="0" fillId="0" borderId="24" xfId="0" applyNumberFormat="1" applyFont="1" applyBorder="1" applyAlignment="1">
      <alignment horizontal="center" vertical="center"/>
    </xf>
    <xf numFmtId="0" fontId="0" fillId="0" borderId="28"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29" xfId="0" applyFont="1" applyBorder="1" applyAlignment="1">
      <alignment horizontal="center" vertical="center"/>
    </xf>
    <xf numFmtId="0" fontId="0" fillId="0" borderId="29" xfId="0" applyFont="1" applyBorder="1" applyAlignment="1">
      <alignment vertical="center"/>
    </xf>
    <xf numFmtId="0" fontId="0" fillId="0" borderId="27" xfId="0" applyFont="1" applyBorder="1" applyAlignment="1">
      <alignment horizontal="center" vertical="center"/>
    </xf>
    <xf numFmtId="10" fontId="0" fillId="0" borderId="2" xfId="5" applyNumberFormat="1" applyFont="1" applyBorder="1" applyAlignment="1">
      <alignment horizontal="center" vertical="center"/>
    </xf>
    <xf numFmtId="10" fontId="0" fillId="0" borderId="3" xfId="5" applyNumberFormat="1" applyFont="1" applyBorder="1" applyAlignment="1">
      <alignment horizontal="center" vertical="center"/>
    </xf>
    <xf numFmtId="0" fontId="3" fillId="2" borderId="14" xfId="0" applyFont="1" applyFill="1" applyBorder="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3" fillId="2" borderId="14" xfId="0" applyFont="1" applyFill="1" applyBorder="1" applyAlignment="1">
      <alignment horizontal="center" vertical="center"/>
    </xf>
    <xf numFmtId="0" fontId="0" fillId="0" borderId="0" xfId="0" applyFont="1" applyAlignment="1">
      <alignment horizontal="center" vertical="center"/>
    </xf>
    <xf numFmtId="0" fontId="8" fillId="9" borderId="30" xfId="4" applyFont="1" applyFill="1" applyBorder="1" applyAlignment="1">
      <alignment horizontal="center" vertical="center"/>
    </xf>
    <xf numFmtId="0" fontId="4" fillId="9" borderId="31" xfId="4" applyFont="1" applyFill="1" applyBorder="1" applyAlignment="1">
      <alignment horizontal="center" vertical="center"/>
    </xf>
    <xf numFmtId="0" fontId="4" fillId="9" borderId="32" xfId="4" applyFont="1" applyFill="1" applyBorder="1" applyAlignment="1">
      <alignment horizontal="center" vertical="center"/>
    </xf>
    <xf numFmtId="0" fontId="8" fillId="9" borderId="31" xfId="4" applyFont="1" applyFill="1" applyBorder="1" applyAlignment="1">
      <alignment horizontal="center" vertical="center"/>
    </xf>
    <xf numFmtId="0" fontId="4" fillId="9" borderId="33" xfId="4" applyFont="1" applyFill="1" applyBorder="1" applyAlignment="1">
      <alignment horizontal="center" vertical="center"/>
    </xf>
    <xf numFmtId="0" fontId="4" fillId="9" borderId="34" xfId="4" applyFont="1" applyFill="1" applyBorder="1" applyAlignment="1">
      <alignment horizontal="center" vertical="center"/>
    </xf>
    <xf numFmtId="0" fontId="8" fillId="9" borderId="34" xfId="4" applyFont="1" applyFill="1" applyBorder="1" applyAlignment="1">
      <alignment horizontal="center" vertical="center"/>
    </xf>
    <xf numFmtId="0" fontId="4" fillId="9" borderId="35" xfId="4" applyFont="1" applyFill="1" applyBorder="1" applyAlignment="1">
      <alignment horizontal="center" vertical="center"/>
    </xf>
    <xf numFmtId="0" fontId="5" fillId="9" borderId="30" xfId="4" applyFont="1" applyFill="1" applyBorder="1" applyAlignment="1">
      <alignment horizontal="center" vertical="center"/>
    </xf>
    <xf numFmtId="0" fontId="5" fillId="9" borderId="31" xfId="4" applyFont="1" applyFill="1" applyBorder="1" applyAlignment="1">
      <alignment horizontal="center" vertical="center"/>
    </xf>
    <xf numFmtId="0" fontId="5" fillId="9" borderId="32" xfId="4" applyFont="1" applyFill="1" applyBorder="1" applyAlignment="1">
      <alignment horizontal="center" vertical="center"/>
    </xf>
    <xf numFmtId="0" fontId="5" fillId="0" borderId="0" xfId="4" applyFont="1" applyAlignment="1">
      <alignment horizontal="center" vertical="center"/>
    </xf>
    <xf numFmtId="0" fontId="5" fillId="9" borderId="33" xfId="4" applyFont="1" applyFill="1" applyBorder="1" applyAlignment="1">
      <alignment horizontal="center" vertical="center"/>
    </xf>
    <xf numFmtId="0" fontId="5" fillId="9" borderId="34" xfId="4" applyFont="1" applyFill="1" applyBorder="1" applyAlignment="1">
      <alignment horizontal="center" vertical="center"/>
    </xf>
    <xf numFmtId="0" fontId="5" fillId="9" borderId="35" xfId="4" applyFont="1" applyFill="1" applyBorder="1" applyAlignment="1">
      <alignment horizontal="center" vertical="center"/>
    </xf>
    <xf numFmtId="165" fontId="0" fillId="0" borderId="4" xfId="0" applyNumberFormat="1" applyFont="1" applyFill="1" applyBorder="1" applyAlignment="1">
      <alignment horizontal="center" vertical="center"/>
    </xf>
    <xf numFmtId="165" fontId="0" fillId="0" borderId="2" xfId="0" applyNumberFormat="1" applyFont="1" applyFill="1" applyBorder="1" applyAlignment="1">
      <alignment horizontal="center" vertical="center"/>
    </xf>
    <xf numFmtId="0" fontId="0" fillId="10" borderId="0" xfId="0" applyFill="1"/>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1" fillId="0" borderId="16" xfId="2" applyFont="1" applyFill="1" applyBorder="1" applyAlignment="1">
      <alignment horizontal="center" vertical="center" wrapText="1"/>
    </xf>
    <xf numFmtId="1" fontId="0" fillId="0" borderId="3" xfId="0" applyNumberFormat="1" applyBorder="1" applyAlignment="1">
      <alignment horizontal="center" vertic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11" fillId="7" borderId="5" xfId="0" applyFont="1" applyFill="1" applyBorder="1" applyAlignment="1">
      <alignment horizontal="center"/>
    </xf>
    <xf numFmtId="0" fontId="11" fillId="7" borderId="6" xfId="0" applyFont="1" applyFill="1" applyBorder="1" applyAlignment="1">
      <alignment horizontal="center"/>
    </xf>
    <xf numFmtId="0" fontId="11" fillId="6" borderId="18" xfId="0" applyFont="1" applyFill="1" applyBorder="1" applyAlignment="1">
      <alignment horizontal="center"/>
    </xf>
    <xf numFmtId="0" fontId="11" fillId="6" borderId="14" xfId="0" applyFont="1" applyFill="1" applyBorder="1" applyAlignment="1">
      <alignment horizontal="center"/>
    </xf>
    <xf numFmtId="0" fontId="3" fillId="2" borderId="7" xfId="0" applyFont="1" applyFill="1" applyBorder="1" applyAlignment="1">
      <alignment horizontal="center"/>
    </xf>
    <xf numFmtId="0" fontId="3" fillId="2" borderId="11" xfId="0" applyFont="1" applyFill="1" applyBorder="1" applyAlignment="1">
      <alignment horizontal="center"/>
    </xf>
    <xf numFmtId="0" fontId="3" fillId="2" borderId="20" xfId="0" applyFont="1" applyFill="1" applyBorder="1" applyAlignment="1">
      <alignment horizontal="center"/>
    </xf>
    <xf numFmtId="0" fontId="3" fillId="2" borderId="12" xfId="0" applyFont="1" applyFill="1" applyBorder="1" applyAlignment="1">
      <alignment horizontal="center"/>
    </xf>
    <xf numFmtId="0" fontId="4" fillId="2" borderId="4" xfId="4" applyFont="1" applyFill="1" applyBorder="1" applyAlignment="1">
      <alignment horizontal="center" vertical="center"/>
    </xf>
    <xf numFmtId="0" fontId="4" fillId="2" borderId="3" xfId="4" applyFont="1" applyFill="1" applyBorder="1" applyAlignment="1">
      <alignment horizontal="center" vertical="center"/>
    </xf>
    <xf numFmtId="0" fontId="3" fillId="2" borderId="12" xfId="0" applyFont="1" applyFill="1" applyBorder="1" applyAlignment="1">
      <alignment horizontal="center" vertical="center"/>
    </xf>
    <xf numFmtId="0" fontId="3" fillId="2" borderId="14" xfId="0" applyFont="1" applyFill="1" applyBorder="1" applyAlignment="1">
      <alignment horizontal="center" vertical="center"/>
    </xf>
    <xf numFmtId="0" fontId="13" fillId="7" borderId="11" xfId="4" applyFont="1" applyFill="1" applyBorder="1" applyAlignment="1">
      <alignment horizontal="center" vertical="center"/>
    </xf>
    <xf numFmtId="0" fontId="13" fillId="7" borderId="20" xfId="4" applyFont="1" applyFill="1" applyBorder="1" applyAlignment="1">
      <alignment horizontal="center" vertical="center"/>
    </xf>
    <xf numFmtId="0" fontId="13" fillId="7" borderId="12" xfId="4" applyFont="1" applyFill="1" applyBorder="1" applyAlignment="1">
      <alignment horizontal="center" vertical="center"/>
    </xf>
    <xf numFmtId="0" fontId="13" fillId="7" borderId="13" xfId="4" applyFont="1" applyFill="1" applyBorder="1" applyAlignment="1">
      <alignment horizontal="center" vertical="center"/>
    </xf>
    <xf numFmtId="0" fontId="13" fillId="7" borderId="18" xfId="4" applyFont="1" applyFill="1" applyBorder="1" applyAlignment="1">
      <alignment horizontal="center" vertical="center"/>
    </xf>
    <xf numFmtId="0" fontId="13" fillId="7" borderId="14" xfId="4"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14" xfId="0" applyFont="1" applyFill="1" applyBorder="1" applyAlignment="1">
      <alignment horizontal="center" vertical="center"/>
    </xf>
    <xf numFmtId="2" fontId="4" fillId="4" borderId="11" xfId="4" applyNumberFormat="1" applyFont="1" applyFill="1" applyBorder="1" applyAlignment="1">
      <alignment horizontal="center" vertical="center"/>
    </xf>
    <xf numFmtId="2" fontId="4" fillId="4" borderId="13" xfId="4" applyNumberFormat="1" applyFont="1" applyFill="1" applyBorder="1" applyAlignment="1">
      <alignment horizontal="center" vertical="center"/>
    </xf>
    <xf numFmtId="2" fontId="5" fillId="5" borderId="12" xfId="4" applyNumberFormat="1" applyFont="1" applyFill="1" applyBorder="1" applyAlignment="1">
      <alignment horizontal="center" vertical="center"/>
    </xf>
    <xf numFmtId="2" fontId="5" fillId="5" borderId="14" xfId="4" applyNumberFormat="1" applyFont="1" applyFill="1" applyBorder="1" applyAlignment="1">
      <alignment horizontal="center" vertical="center"/>
    </xf>
    <xf numFmtId="0" fontId="4" fillId="0" borderId="7" xfId="4" applyFont="1" applyBorder="1" applyAlignment="1">
      <alignment horizontal="center" vertical="center"/>
    </xf>
    <xf numFmtId="0" fontId="4" fillId="0" borderId="6" xfId="4" applyFont="1" applyBorder="1" applyAlignment="1">
      <alignment horizontal="center" vertical="center"/>
    </xf>
    <xf numFmtId="0" fontId="13" fillId="7" borderId="7" xfId="4" applyFont="1" applyFill="1" applyBorder="1" applyAlignment="1">
      <alignment horizontal="center" vertical="center"/>
    </xf>
    <xf numFmtId="0" fontId="13" fillId="7" borderId="6" xfId="4" applyFont="1" applyFill="1" applyBorder="1" applyAlignment="1">
      <alignment horizontal="center" vertical="center"/>
    </xf>
    <xf numFmtId="0" fontId="3" fillId="6" borderId="5" xfId="0" applyFont="1" applyFill="1" applyBorder="1" applyAlignment="1">
      <alignment horizontal="center" vertical="center"/>
    </xf>
    <xf numFmtId="0" fontId="3" fillId="6" borderId="6" xfId="0" applyFont="1" applyFill="1" applyBorder="1" applyAlignment="1">
      <alignment horizontal="center" vertical="center"/>
    </xf>
    <xf numFmtId="0" fontId="13" fillId="3" borderId="4" xfId="4" applyFont="1" applyFill="1" applyBorder="1" applyAlignment="1">
      <alignment horizontal="center" vertical="center"/>
    </xf>
    <xf numFmtId="0" fontId="13" fillId="3" borderId="3" xfId="4" applyFont="1" applyFill="1" applyBorder="1" applyAlignment="1">
      <alignment horizontal="center" vertical="center"/>
    </xf>
    <xf numFmtId="0" fontId="0" fillId="0" borderId="0" xfId="0" applyFont="1" applyAlignment="1">
      <alignment horizontal="center" vertical="center"/>
    </xf>
    <xf numFmtId="0" fontId="3" fillId="6" borderId="7"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5" xfId="0" applyFont="1" applyFill="1" applyBorder="1" applyAlignment="1">
      <alignment horizontal="center" vertical="center" wrapText="1"/>
    </xf>
    <xf numFmtId="0" fontId="3" fillId="2" borderId="27"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3" fillId="8" borderId="11" xfId="0" applyFont="1" applyFill="1" applyBorder="1" applyAlignment="1">
      <alignment horizontal="left" vertical="center"/>
    </xf>
    <xf numFmtId="0" fontId="3" fillId="8" borderId="16" xfId="0" applyFont="1" applyFill="1" applyBorder="1" applyAlignment="1">
      <alignment horizontal="left" vertical="center"/>
    </xf>
    <xf numFmtId="0" fontId="3" fillId="8" borderId="4" xfId="0" applyFont="1" applyFill="1" applyBorder="1" applyAlignment="1">
      <alignment horizontal="left" vertical="center"/>
    </xf>
    <xf numFmtId="0" fontId="3" fillId="8" borderId="3" xfId="0" applyFont="1" applyFill="1" applyBorder="1" applyAlignment="1">
      <alignment horizontal="left" vertical="center"/>
    </xf>
    <xf numFmtId="0" fontId="3" fillId="7" borderId="11"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2" borderId="25" xfId="0" applyFont="1" applyFill="1" applyBorder="1" applyAlignment="1">
      <alignment horizontal="center" vertical="center"/>
    </xf>
    <xf numFmtId="0" fontId="3" fillId="8" borderId="13" xfId="0" applyFont="1" applyFill="1" applyBorder="1" applyAlignment="1">
      <alignment horizontal="left" vertical="center"/>
    </xf>
    <xf numFmtId="0" fontId="11" fillId="7" borderId="11" xfId="0" applyFont="1" applyFill="1" applyBorder="1" applyAlignment="1">
      <alignment horizontal="center" vertical="center" wrapText="1"/>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6" borderId="5" xfId="0" applyFont="1" applyFill="1" applyBorder="1" applyAlignment="1">
      <alignment horizontal="center" vertical="center"/>
    </xf>
    <xf numFmtId="0" fontId="11" fillId="6" borderId="7" xfId="0" applyFont="1" applyFill="1" applyBorder="1" applyAlignment="1">
      <alignment horizontal="center" vertical="center"/>
    </xf>
    <xf numFmtId="0" fontId="11" fillId="6" borderId="6" xfId="0" applyFont="1" applyFill="1" applyBorder="1" applyAlignment="1">
      <alignment horizontal="center" vertical="center"/>
    </xf>
    <xf numFmtId="0" fontId="3" fillId="2" borderId="24" xfId="0" applyFont="1" applyFill="1" applyBorder="1" applyAlignment="1">
      <alignment horizontal="center" vertical="center" wrapText="1"/>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1" fillId="0" borderId="6" xfId="0" applyFont="1" applyBorder="1" applyAlignment="1">
      <alignment horizontal="center" vertical="center"/>
    </xf>
    <xf numFmtId="0" fontId="11" fillId="0" borderId="7" xfId="2" applyFont="1" applyBorder="1" applyAlignment="1">
      <alignment horizontal="center" vertical="center"/>
    </xf>
    <xf numFmtId="0" fontId="11" fillId="0" borderId="6" xfId="2" applyFont="1" applyBorder="1" applyAlignment="1">
      <alignment horizontal="center" vertical="center"/>
    </xf>
    <xf numFmtId="0" fontId="11" fillId="0" borderId="5" xfId="2" applyFont="1" applyBorder="1" applyAlignment="1">
      <alignment horizontal="center" vertical="center"/>
    </xf>
  </cellXfs>
  <cellStyles count="6">
    <cellStyle name="Hyperlink" xfId="3" builtinId="8"/>
    <cellStyle name="Normal" xfId="0" builtinId="0"/>
    <cellStyle name="Normal 2" xfId="1" xr:uid="{00000000-0005-0000-0000-000001000000}"/>
    <cellStyle name="Normal 3" xfId="2" xr:uid="{00000000-0005-0000-0000-000002000000}"/>
    <cellStyle name="Normal 4" xfId="4" xr:uid="{2A3AFE21-E9F7-4BF7-92AA-65F98DD488BF}"/>
    <cellStyle name="Percent" xfId="5" builtinId="5"/>
  </cellStyles>
  <dxfs count="0"/>
  <tableStyles count="1" defaultTableStyle="TableStyleMedium2" defaultPivotStyle="PivotStyleLight16">
    <tableStyle name="Invisible" pivot="0" table="0" count="0" xr9:uid="{9B6F50E1-26D4-4E77-83D2-8EBF947E26D4}"/>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Model vs. Experimental Parameters</a:t>
            </a:r>
          </a:p>
        </c:rich>
      </c:tx>
      <c:overlay val="0"/>
    </c:title>
    <c:autoTitleDeleted val="0"/>
    <c:plotArea>
      <c:layout/>
      <c:scatterChart>
        <c:scatterStyle val="lineMarker"/>
        <c:varyColors val="0"/>
        <c:ser>
          <c:idx val="0"/>
          <c:order val="0"/>
          <c:tx>
            <c:v>Ψ (Exp)</c:v>
          </c:tx>
          <c:spPr>
            <a:ln w="12700">
              <a:noFill/>
            </a:ln>
          </c:spPr>
          <c:marker>
            <c:symbol val="triangle"/>
            <c:size val="7"/>
            <c:spPr>
              <a:solidFill>
                <a:srgbClr val="00B050"/>
              </a:solidFill>
              <a:ln>
                <a:solidFill>
                  <a:schemeClr val="tx1"/>
                </a:solidFill>
              </a:ln>
            </c:spPr>
          </c:marker>
          <c:xVal>
            <c:numRef>
              <c:f>'Exp. Data Collection'!$A$12:$A$53</c:f>
              <c:numCache>
                <c:formatCode>General</c:formatCode>
                <c:ptCount val="42"/>
                <c:pt idx="0">
                  <c:v>25</c:v>
                </c:pt>
                <c:pt idx="2">
                  <c:v>30</c:v>
                </c:pt>
                <c:pt idx="4">
                  <c:v>35</c:v>
                </c:pt>
                <c:pt idx="6">
                  <c:v>40</c:v>
                </c:pt>
                <c:pt idx="8">
                  <c:v>45</c:v>
                </c:pt>
                <c:pt idx="10">
                  <c:v>50</c:v>
                </c:pt>
                <c:pt idx="12">
                  <c:v>55</c:v>
                </c:pt>
                <c:pt idx="14">
                  <c:v>60</c:v>
                </c:pt>
                <c:pt idx="16">
                  <c:v>65</c:v>
                </c:pt>
                <c:pt idx="18">
                  <c:v>70</c:v>
                </c:pt>
                <c:pt idx="20">
                  <c:v>75</c:v>
                </c:pt>
              </c:numCache>
            </c:numRef>
          </c:xVal>
          <c:yVal>
            <c:numRef>
              <c:f>'Exp. Data Collection'!$G$12:$G$53</c:f>
              <c:numCache>
                <c:formatCode>0.00</c:formatCode>
                <c:ptCount val="42"/>
                <c:pt idx="0">
                  <c:v>46.579818151446474</c:v>
                </c:pt>
                <c:pt idx="2">
                  <c:v>43.027953143578067</c:v>
                </c:pt>
                <c:pt idx="4">
                  <c:v>38.861338154560229</c:v>
                </c:pt>
                <c:pt idx="6">
                  <c:v>35.694268016732146</c:v>
                </c:pt>
                <c:pt idx="8">
                  <c:v>33.210910760899075</c:v>
                </c:pt>
                <c:pt idx="10">
                  <c:v>32.201490261252303</c:v>
                </c:pt>
                <c:pt idx="12">
                  <c:v>41.437599422423631</c:v>
                </c:pt>
                <c:pt idx="14">
                  <c:v>64.396405593318363</c:v>
                </c:pt>
                <c:pt idx="16">
                  <c:v>39.692446074646021</c:v>
                </c:pt>
                <c:pt idx="18">
                  <c:v>#N/A</c:v>
                </c:pt>
                <c:pt idx="20">
                  <c:v>#N/A</c:v>
                </c:pt>
              </c:numCache>
            </c:numRef>
          </c:yVal>
          <c:smooth val="0"/>
          <c:extLst>
            <c:ext xmlns:c16="http://schemas.microsoft.com/office/drawing/2014/chart" uri="{C3380CC4-5D6E-409C-BE32-E72D297353CC}">
              <c16:uniqueId val="{00000000-7999-4A37-B8CE-40CFEF74051B}"/>
            </c:ext>
          </c:extLst>
        </c:ser>
        <c:ser>
          <c:idx val="2"/>
          <c:order val="1"/>
          <c:tx>
            <c:v>Ψ (Model)</c:v>
          </c:tx>
          <c:spPr>
            <a:ln w="19050">
              <a:solidFill>
                <a:schemeClr val="accent4"/>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Fitting'!$AG$42:$AG$130</c:f>
              <c:numCache>
                <c:formatCode>0.00</c:formatCode>
                <c:ptCount val="89"/>
                <c:pt idx="0">
                  <c:v>44.995653986025559</c:v>
                </c:pt>
                <c:pt idx="1">
                  <c:v>44.982648565879025</c:v>
                </c:pt>
                <c:pt idx="2">
                  <c:v>44.961086382157596</c:v>
                </c:pt>
                <c:pt idx="3">
                  <c:v>44.931154976623127</c:v>
                </c:pt>
                <c:pt idx="4">
                  <c:v>44.893153462306501</c:v>
                </c:pt>
                <c:pt idx="5">
                  <c:v>44.847533989033423</c:v>
                </c:pt>
                <c:pt idx="6">
                  <c:v>44.794962580497533</c:v>
                </c:pt>
                <c:pt idx="7">
                  <c:v>44.736405876321797</c:v>
                </c:pt>
                <c:pt idx="8">
                  <c:v>44.673252714244292</c:v>
                </c:pt>
                <c:pt idx="9">
                  <c:v>44.607482286437296</c:v>
                </c:pt>
                <c:pt idx="10">
                  <c:v>44.541893432969914</c:v>
                </c:pt>
                <c:pt idx="11">
                  <c:v>44.480411356750544</c:v>
                </c:pt>
                <c:pt idx="12">
                  <c:v>44.428485760727014</c:v>
                </c:pt>
                <c:pt idx="13">
                  <c:v>44.393581391948786</c:v>
                </c:pt>
                <c:pt idx="14">
                  <c:v>44.385723589915266</c:v>
                </c:pt>
                <c:pt idx="15">
                  <c:v>44.417967964109963</c:v>
                </c:pt>
                <c:pt idx="16">
                  <c:v>44.506460523801124</c:v>
                </c:pt>
                <c:pt idx="17">
                  <c:v>44.669363058140817</c:v>
                </c:pt>
                <c:pt idx="18">
                  <c:v>44.923288905771123</c:v>
                </c:pt>
                <c:pt idx="19">
                  <c:v>45.27524876112097</c:v>
                </c:pt>
                <c:pt idx="20">
                  <c:v>45.708557994344361</c:v>
                </c:pt>
                <c:pt idx="21">
                  <c:v>46.165368108762301</c:v>
                </c:pt>
                <c:pt idx="22">
                  <c:v>46.538634993662455</c:v>
                </c:pt>
                <c:pt idx="23">
                  <c:v>46.69487007127362</c:v>
                </c:pt>
                <c:pt idx="24">
                  <c:v>46.53287189196508</c:v>
                </c:pt>
                <c:pt idx="25">
                  <c:v>46.039550424923242</c:v>
                </c:pt>
                <c:pt idx="26">
                  <c:v>45.29127474046043</c:v>
                </c:pt>
                <c:pt idx="27">
                  <c:v>44.404053126849028</c:v>
                </c:pt>
                <c:pt idx="28">
                  <c:v>43.481797274248521</c:v>
                </c:pt>
                <c:pt idx="29">
                  <c:v>42.5933741689405</c:v>
                </c:pt>
                <c:pt idx="30">
                  <c:v>41.773792720987672</c:v>
                </c:pt>
                <c:pt idx="31">
                  <c:v>41.034326878768056</c:v>
                </c:pt>
                <c:pt idx="32">
                  <c:v>40.372312679266315</c:v>
                </c:pt>
                <c:pt idx="33">
                  <c:v>39.77794148063365</c:v>
                </c:pt>
                <c:pt idx="34">
                  <c:v>39.238325761493783</c:v>
                </c:pt>
                <c:pt idx="35">
                  <c:v>38.739754033969369</c:v>
                </c:pt>
                <c:pt idx="36">
                  <c:v>38.268895810694445</c:v>
                </c:pt>
                <c:pt idx="37">
                  <c:v>37.813449230118223</c:v>
                </c:pt>
                <c:pt idx="38">
                  <c:v>37.36252869148673</c:v>
                </c:pt>
                <c:pt idx="39">
                  <c:v>36.906978349837694</c:v>
                </c:pt>
                <c:pt idx="40">
                  <c:v>36.43974318028836</c:v>
                </c:pt>
                <c:pt idx="41">
                  <c:v>35.956408979151199</c:v>
                </c:pt>
                <c:pt idx="42">
                  <c:v>35.456020795412897</c:v>
                </c:pt>
                <c:pt idx="43">
                  <c:v>34.942295488496192</c:v>
                </c:pt>
                <c:pt idx="44">
                  <c:v>34.425348745840516</c:v>
                </c:pt>
                <c:pt idx="45">
                  <c:v>33.924047875371095</c:v>
                </c:pt>
                <c:pt idx="46">
                  <c:v>33.46906345048216</c:v>
                </c:pt>
                <c:pt idx="47">
                  <c:v>33.106610555875925</c:v>
                </c:pt>
                <c:pt idx="48">
                  <c:v>32.902745426507963</c:v>
                </c:pt>
                <c:pt idx="49">
                  <c:v>32.947968338928305</c:v>
                </c:pt>
                <c:pt idx="50">
                  <c:v>33.361930057654085</c:v>
                </c:pt>
                <c:pt idx="51">
                  <c:v>34.298487672911484</c:v>
                </c:pt>
                <c:pt idx="52">
                  <c:v>35.952254653618922</c:v>
                </c:pt>
                <c:pt idx="53">
                  <c:v>38.568029342632286</c:v>
                </c:pt>
                <c:pt idx="54">
                  <c:v>42.449466110732601</c:v>
                </c:pt>
                <c:pt idx="55">
                  <c:v>47.939387937360401</c:v>
                </c:pt>
                <c:pt idx="56">
                  <c:v>55.263990539550505</c:v>
                </c:pt>
                <c:pt idx="57">
                  <c:v>63.904657591686522</c:v>
                </c:pt>
                <c:pt idx="58">
                  <c:v>70.728218977970414</c:v>
                </c:pt>
                <c:pt idx="59">
                  <c:v>69.537141472658888</c:v>
                </c:pt>
                <c:pt idx="60">
                  <c:v>61.997620542444849</c:v>
                </c:pt>
                <c:pt idx="61">
                  <c:v>53.946810110593624</c:v>
                </c:pt>
                <c:pt idx="62">
                  <c:v>47.302911931357073</c:v>
                </c:pt>
                <c:pt idx="63">
                  <c:v>42.157304240283715</c:v>
                </c:pt>
                <c:pt idx="64">
                  <c:v>38.182768064530634</c:v>
                </c:pt>
                <c:pt idx="65">
                  <c:v>35.037587833913371</c:v>
                </c:pt>
                <c:pt idx="66">
                  <c:v>32.451917996096704</c:v>
                </c:pt>
                <c:pt idx="67">
                  <c:v>30.228774027658716</c:v>
                </c:pt>
                <c:pt idx="68">
                  <c:v>28.228041550735551</c:v>
                </c:pt>
                <c:pt idx="69">
                  <c:v>26.351391781312614</c:v>
                </c:pt>
                <c:pt idx="70">
                  <c:v>24.531662799594287</c:v>
                </c:pt>
                <c:pt idx="71">
                  <c:v>22.726755470316338</c:v>
                </c:pt>
                <c:pt idx="72">
                  <c:v>20.917659298413025</c:v>
                </c:pt>
                <c:pt idx="73">
                  <c:v>19.110641676719265</c:v>
                </c:pt>
                <c:pt idx="74">
                  <c:v>17.344223505173044</c:v>
                </c:pt>
                <c:pt idx="75">
                  <c:v>15.701614248927074</c:v>
                </c:pt>
                <c:pt idx="76">
                  <c:v>14.326424608389603</c:v>
                </c:pt>
                <c:pt idx="77">
                  <c:v>13.427951463590709</c:v>
                </c:pt>
                <c:pt idx="78">
                  <c:v>13.241777260645222</c:v>
                </c:pt>
                <c:pt idx="79">
                  <c:v>13.925141661549221</c:v>
                </c:pt>
                <c:pt idx="80">
                  <c:v>15.465996468004226</c:v>
                </c:pt>
                <c:pt idx="81">
                  <c:v>17.713221199429562</c:v>
                </c:pt>
                <c:pt idx="82">
                  <c:v>20.477274700735226</c:v>
                </c:pt>
                <c:pt idx="83">
                  <c:v>23.595044046398222</c:v>
                </c:pt>
                <c:pt idx="84">
                  <c:v>26.945057177387643</c:v>
                </c:pt>
                <c:pt idx="85">
                  <c:v>30.441952975318383</c:v>
                </c:pt>
                <c:pt idx="86">
                  <c:v>34.02765558771975</c:v>
                </c:pt>
                <c:pt idx="87">
                  <c:v>37.663932926953542</c:v>
                </c:pt>
                <c:pt idx="88">
                  <c:v>41.326494151033451</c:v>
                </c:pt>
              </c:numCache>
            </c:numRef>
          </c:yVal>
          <c:smooth val="0"/>
          <c:extLst>
            <c:ext xmlns:c16="http://schemas.microsoft.com/office/drawing/2014/chart" uri="{C3380CC4-5D6E-409C-BE32-E72D297353CC}">
              <c16:uniqueId val="{00000001-7999-4A37-B8CE-40CFEF74051B}"/>
            </c:ext>
          </c:extLst>
        </c:ser>
        <c:ser>
          <c:idx val="1"/>
          <c:order val="2"/>
          <c:tx>
            <c:v>Δ (Exp)</c:v>
          </c:tx>
          <c:spPr>
            <a:ln w="12700">
              <a:noFill/>
            </a:ln>
          </c:spPr>
          <c:marker>
            <c:symbol val="circle"/>
            <c:size val="7"/>
            <c:spPr>
              <a:solidFill>
                <a:srgbClr val="FF0000"/>
              </a:solidFill>
              <a:ln>
                <a:solidFill>
                  <a:schemeClr val="tx1"/>
                </a:solidFill>
              </a:ln>
            </c:spPr>
          </c:marker>
          <c:xVal>
            <c:numRef>
              <c:f>'Exp. Data Collection'!$A$12:$A$53</c:f>
              <c:numCache>
                <c:formatCode>General</c:formatCode>
                <c:ptCount val="42"/>
                <c:pt idx="0">
                  <c:v>25</c:v>
                </c:pt>
                <c:pt idx="2">
                  <c:v>30</c:v>
                </c:pt>
                <c:pt idx="4">
                  <c:v>35</c:v>
                </c:pt>
                <c:pt idx="6">
                  <c:v>40</c:v>
                </c:pt>
                <c:pt idx="8">
                  <c:v>45</c:v>
                </c:pt>
                <c:pt idx="10">
                  <c:v>50</c:v>
                </c:pt>
                <c:pt idx="12">
                  <c:v>55</c:v>
                </c:pt>
                <c:pt idx="14">
                  <c:v>60</c:v>
                </c:pt>
                <c:pt idx="16">
                  <c:v>65</c:v>
                </c:pt>
                <c:pt idx="18">
                  <c:v>70</c:v>
                </c:pt>
                <c:pt idx="20">
                  <c:v>75</c:v>
                </c:pt>
              </c:numCache>
            </c:numRef>
          </c:xVal>
          <c:yVal>
            <c:numRef>
              <c:f>'Exp. Data Collection'!$H$12:$H$53</c:f>
              <c:numCache>
                <c:formatCode>0.00</c:formatCode>
                <c:ptCount val="42"/>
                <c:pt idx="0">
                  <c:v>170.75402436574791</c:v>
                </c:pt>
                <c:pt idx="2">
                  <c:v>166.66451444628117</c:v>
                </c:pt>
                <c:pt idx="4">
                  <c:v>164.74685228171722</c:v>
                </c:pt>
                <c:pt idx="6">
                  <c:v>169.10930014377632</c:v>
                </c:pt>
                <c:pt idx="8">
                  <c:v>172.62123438740906</c:v>
                </c:pt>
                <c:pt idx="10">
                  <c:v>150.21361539703906</c:v>
                </c:pt>
                <c:pt idx="12">
                  <c:v>129.28229305675629</c:v>
                </c:pt>
                <c:pt idx="14">
                  <c:v>147.70171196832246</c:v>
                </c:pt>
                <c:pt idx="16">
                  <c:v>97.210059130547009</c:v>
                </c:pt>
                <c:pt idx="18">
                  <c:v>#N/A</c:v>
                </c:pt>
                <c:pt idx="20">
                  <c:v>#N/A</c:v>
                </c:pt>
              </c:numCache>
            </c:numRef>
          </c:yVal>
          <c:smooth val="0"/>
          <c:extLst>
            <c:ext xmlns:c16="http://schemas.microsoft.com/office/drawing/2014/chart" uri="{C3380CC4-5D6E-409C-BE32-E72D297353CC}">
              <c16:uniqueId val="{00000002-7999-4A37-B8CE-40CFEF74051B}"/>
            </c:ext>
          </c:extLst>
        </c:ser>
        <c:ser>
          <c:idx val="3"/>
          <c:order val="3"/>
          <c:tx>
            <c:v>Δ (Model)</c:v>
          </c:tx>
          <c:spPr>
            <a:ln w="19050">
              <a:solidFill>
                <a:schemeClr val="accent1"/>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Fitting'!$AH$42:$AH$130</c:f>
              <c:numCache>
                <c:formatCode>0.00</c:formatCode>
                <c:ptCount val="89"/>
                <c:pt idx="0">
                  <c:v>179.9909389067345</c:v>
                </c:pt>
                <c:pt idx="1">
                  <c:v>179.96355921853583</c:v>
                </c:pt>
                <c:pt idx="2">
                  <c:v>179.91727423166734</c:v>
                </c:pt>
                <c:pt idx="3">
                  <c:v>179.85111499792927</c:v>
                </c:pt>
                <c:pt idx="4">
                  <c:v>179.76374547388554</c:v>
                </c:pt>
                <c:pt idx="5">
                  <c:v>179.65348777955714</c:v>
                </c:pt>
                <c:pt idx="6">
                  <c:v>179.51836272985003</c:v>
                </c:pt>
                <c:pt idx="7">
                  <c:v>179.35615421529181</c:v>
                </c:pt>
                <c:pt idx="8">
                  <c:v>179.16451159215327</c:v>
                </c:pt>
                <c:pt idx="9">
                  <c:v>178.94111351611448</c:v>
                </c:pt>
                <c:pt idx="10">
                  <c:v>178.68393214517096</c:v>
                </c:pt>
                <c:pt idx="11">
                  <c:v>178.3916624416012</c:v>
                </c:pt>
                <c:pt idx="12">
                  <c:v>178.06442370306945</c:v>
                </c:pt>
                <c:pt idx="13">
                  <c:v>177.70490800281095</c:v>
                </c:pt>
                <c:pt idx="14">
                  <c:v>177.32025120222644</c:v>
                </c:pt>
                <c:pt idx="15">
                  <c:v>176.92503338952764</c:v>
                </c:pt>
                <c:pt idx="16">
                  <c:v>176.54592698011737</c:v>
                </c:pt>
                <c:pt idx="17">
                  <c:v>176.22841474066283</c:v>
                </c:pt>
                <c:pt idx="18">
                  <c:v>176.04518818901187</c:v>
                </c:pt>
                <c:pt idx="19">
                  <c:v>176.10327438515367</c:v>
                </c:pt>
                <c:pt idx="20">
                  <c:v>176.54145122826804</c:v>
                </c:pt>
                <c:pt idx="21">
                  <c:v>177.50263847562027</c:v>
                </c:pt>
                <c:pt idx="22">
                  <c:v>179.06865396792952</c:v>
                </c:pt>
                <c:pt idx="23">
                  <c:v>178.82312924301638</c:v>
                </c:pt>
                <c:pt idx="24">
                  <c:v>176.40970068074145</c:v>
                </c:pt>
                <c:pt idx="25">
                  <c:v>174.01809108625821</c:v>
                </c:pt>
                <c:pt idx="26">
                  <c:v>171.92054709528639</c:v>
                </c:pt>
                <c:pt idx="27">
                  <c:v>170.25110994265239</c:v>
                </c:pt>
                <c:pt idx="28">
                  <c:v>169.02188966460162</c:v>
                </c:pt>
                <c:pt idx="29">
                  <c:v>168.18305404898874</c:v>
                </c:pt>
                <c:pt idx="30">
                  <c:v>167.67193296972815</c:v>
                </c:pt>
                <c:pt idx="31">
                  <c:v>167.43699502985481</c:v>
                </c:pt>
                <c:pt idx="32">
                  <c:v>167.44420677410423</c:v>
                </c:pt>
                <c:pt idx="33">
                  <c:v>167.67541717357614</c:v>
                </c:pt>
                <c:pt idx="34">
                  <c:v>168.12454171728305</c:v>
                </c:pt>
                <c:pt idx="35">
                  <c:v>168.7940010055809</c:v>
                </c:pt>
                <c:pt idx="36">
                  <c:v>169.6921162071834</c:v>
                </c:pt>
                <c:pt idx="37">
                  <c:v>170.83144696417756</c:v>
                </c:pt>
                <c:pt idx="38">
                  <c:v>172.227837910613</c:v>
                </c:pt>
                <c:pt idx="39">
                  <c:v>173.89991566213038</c:v>
                </c:pt>
                <c:pt idx="40">
                  <c:v>175.86880975407709</c:v>
                </c:pt>
                <c:pt idx="41">
                  <c:v>178.15789988297163</c:v>
                </c:pt>
                <c:pt idx="42">
                  <c:v>179.20760761391588</c:v>
                </c:pt>
                <c:pt idx="43">
                  <c:v>176.20151417982325</c:v>
                </c:pt>
                <c:pt idx="44">
                  <c:v>172.79821608387977</c:v>
                </c:pt>
                <c:pt idx="45">
                  <c:v>168.97556030324242</c:v>
                </c:pt>
                <c:pt idx="46">
                  <c:v>164.7197327646806</c:v>
                </c:pt>
                <c:pt idx="47">
                  <c:v>160.03320840593747</c:v>
                </c:pt>
                <c:pt idx="48">
                  <c:v>154.94689473099106</c:v>
                </c:pt>
                <c:pt idx="49">
                  <c:v>149.53715654420253</c:v>
                </c:pt>
                <c:pt idx="50">
                  <c:v>143.94694603970979</c:v>
                </c:pt>
                <c:pt idx="51">
                  <c:v>138.40789059609671</c:v>
                </c:pt>
                <c:pt idx="52">
                  <c:v>133.25908650316492</c:v>
                </c:pt>
                <c:pt idx="53">
                  <c:v>128.96418395169218</c:v>
                </c:pt>
                <c:pt idx="54">
                  <c:v>126.15052744666409</c:v>
                </c:pt>
                <c:pt idx="55">
                  <c:v>125.75144270271666</c:v>
                </c:pt>
                <c:pt idx="56">
                  <c:v>129.49638291025531</c:v>
                </c:pt>
                <c:pt idx="57">
                  <c:v>141.49369001241485</c:v>
                </c:pt>
                <c:pt idx="58">
                  <c:v>170.78090452466</c:v>
                </c:pt>
                <c:pt idx="59">
                  <c:v>147.82099181378527</c:v>
                </c:pt>
                <c:pt idx="60">
                  <c:v>122.61564565550469</c:v>
                </c:pt>
                <c:pt idx="61">
                  <c:v>110.31232521028227</c:v>
                </c:pt>
                <c:pt idx="62">
                  <c:v>103.36175819882382</c:v>
                </c:pt>
                <c:pt idx="63">
                  <c:v>98.849982569312758</c:v>
                </c:pt>
                <c:pt idx="64">
                  <c:v>95.656641456171982</c:v>
                </c:pt>
                <c:pt idx="65">
                  <c:v>93.276437146276436</c:v>
                </c:pt>
                <c:pt idx="66">
                  <c:v>91.433315458356006</c:v>
                </c:pt>
                <c:pt idx="67">
                  <c:v>89.942747976915939</c:v>
                </c:pt>
                <c:pt idx="68">
                  <c:v>88.656162040057538</c:v>
                </c:pt>
                <c:pt idx="69">
                  <c:v>87.433896550046825</c:v>
                </c:pt>
                <c:pt idx="70">
                  <c:v>86.127284817861351</c:v>
                </c:pt>
                <c:pt idx="71">
                  <c:v>84.561772232360511</c:v>
                </c:pt>
                <c:pt idx="72">
                  <c:v>82.516990182991961</c:v>
                </c:pt>
                <c:pt idx="73">
                  <c:v>79.702101166241462</c:v>
                </c:pt>
                <c:pt idx="74">
                  <c:v>75.730205058062424</c:v>
                </c:pt>
                <c:pt idx="75">
                  <c:v>70.113515795762197</c:v>
                </c:pt>
                <c:pt idx="76">
                  <c:v>62.348028345136534</c:v>
                </c:pt>
                <c:pt idx="77">
                  <c:v>52.22028745858136</c:v>
                </c:pt>
                <c:pt idx="78">
                  <c:v>40.349660346090673</c:v>
                </c:pt>
                <c:pt idx="79">
                  <c:v>28.374117621198852</c:v>
                </c:pt>
                <c:pt idx="80">
                  <c:v>18.067066703328226</c:v>
                </c:pt>
                <c:pt idx="81">
                  <c:v>10.280257707344905</c:v>
                </c:pt>
                <c:pt idx="82">
                  <c:v>4.9276233647920256</c:v>
                </c:pt>
                <c:pt idx="83">
                  <c:v>1.5277675463252876</c:v>
                </c:pt>
                <c:pt idx="84">
                  <c:v>0.42698557962720662</c:v>
                </c:pt>
                <c:pt idx="85">
                  <c:v>1.3505001751165686</c:v>
                </c:pt>
                <c:pt idx="86">
                  <c:v>1.5562877853417107</c:v>
                </c:pt>
                <c:pt idx="87">
                  <c:v>1.2812340704099876</c:v>
                </c:pt>
                <c:pt idx="88">
                  <c:v>0.71087291867636815</c:v>
                </c:pt>
              </c:numCache>
            </c:numRef>
          </c:yVal>
          <c:smooth val="0"/>
          <c:extLst>
            <c:ext xmlns:c16="http://schemas.microsoft.com/office/drawing/2014/chart" uri="{C3380CC4-5D6E-409C-BE32-E72D297353CC}">
              <c16:uniqueId val="{00000003-7999-4A37-B8CE-40CFEF74051B}"/>
            </c:ext>
          </c:extLst>
        </c:ser>
        <c:dLbls>
          <c:showLegendKey val="0"/>
          <c:showVal val="0"/>
          <c:showCatName val="0"/>
          <c:showSerName val="0"/>
          <c:showPercent val="0"/>
          <c:showBubbleSize val="0"/>
        </c:dLbls>
        <c:axId val="1332078608"/>
        <c:axId val="1"/>
      </c:scatterChart>
      <c:valAx>
        <c:axId val="1332078608"/>
        <c:scaling>
          <c:orientation val="minMax"/>
          <c:max val="90"/>
          <c:min val="5"/>
        </c:scaling>
        <c:delete val="0"/>
        <c:axPos val="b"/>
        <c:majorGridlines/>
        <c:title>
          <c:tx>
            <c:rich>
              <a:bodyPr/>
              <a:lstStyle/>
              <a:p>
                <a:pPr>
                  <a:defRPr sz="1000" b="1" i="0" u="none" strike="noStrike" baseline="0">
                    <a:solidFill>
                      <a:srgbClr val="000000"/>
                    </a:solidFill>
                    <a:latin typeface="Calibri"/>
                    <a:ea typeface="Calibri"/>
                    <a:cs typeface="Calibri"/>
                  </a:defRPr>
                </a:pPr>
                <a:r>
                  <a:rPr lang="en-US"/>
                  <a:t>Angle of Incidence (AoI) [degrees]</a:t>
                </a:r>
              </a:p>
            </c:rich>
          </c:tx>
          <c:overlay val="0"/>
        </c:title>
        <c:numFmt formatCode="General" sourceLinked="1"/>
        <c:majorTickMark val="out"/>
        <c:minorTickMark val="in"/>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10"/>
        <c:minorUnit val="1"/>
      </c:valAx>
      <c:valAx>
        <c:axId val="1"/>
        <c:scaling>
          <c:orientation val="minMax"/>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Ellipsometric Parameters</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Ψ &amp; Δ [°]</a:t>
                </a:r>
              </a:p>
            </c:rich>
          </c:tx>
          <c:layout>
            <c:manualLayout>
              <c:xMode val="edge"/>
              <c:yMode val="edge"/>
              <c:x val="3.0555583739631659E-2"/>
              <c:y val="0.27227534432201173"/>
            </c:manualLayout>
          </c:layout>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2078608"/>
        <c:crosses val="autoZero"/>
        <c:crossBetween val="midCat"/>
      </c:valAx>
    </c:plotArea>
    <c:legend>
      <c:legendPos val="r"/>
      <c:layout>
        <c:manualLayout>
          <c:xMode val="edge"/>
          <c:yMode val="edge"/>
          <c:x val="0.8013999661332657"/>
          <c:y val="3.4783748223905531E-4"/>
          <c:w val="0.1961269155871645"/>
          <c:h val="0.26479334341450156"/>
        </c:manualLayout>
      </c:layout>
      <c:overlay val="1"/>
      <c:spPr>
        <a:solidFill>
          <a:schemeClr val="bg1"/>
        </a:solidFill>
        <a:ln>
          <a:solidFill>
            <a:schemeClr val="tx1"/>
          </a:solid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Model &amp; Experimental Parameters</a:t>
            </a:r>
          </a:p>
        </c:rich>
      </c:tx>
      <c:overlay val="0"/>
    </c:title>
    <c:autoTitleDeleted val="0"/>
    <c:plotArea>
      <c:layout/>
      <c:scatterChart>
        <c:scatterStyle val="lineMarker"/>
        <c:varyColors val="0"/>
        <c:ser>
          <c:idx val="0"/>
          <c:order val="0"/>
          <c:tx>
            <c:v>Ψ (Exp)</c:v>
          </c:tx>
          <c:spPr>
            <a:ln w="12700">
              <a:noFill/>
            </a:ln>
          </c:spPr>
          <c:marker>
            <c:symbol val="triangle"/>
            <c:size val="7"/>
            <c:spPr>
              <a:solidFill>
                <a:srgbClr val="00B050"/>
              </a:solidFill>
              <a:ln>
                <a:solidFill>
                  <a:schemeClr val="tx1"/>
                </a:solidFill>
              </a:ln>
            </c:spPr>
          </c:marker>
          <c:xVal>
            <c:numRef>
              <c:f>'Exp. Data Processing'!$A$23:$A$34</c:f>
              <c:numCache>
                <c:formatCode>0</c:formatCode>
                <c:ptCount val="12"/>
                <c:pt idx="0">
                  <c:v>20</c:v>
                </c:pt>
                <c:pt idx="1">
                  <c:v>25</c:v>
                </c:pt>
                <c:pt idx="2">
                  <c:v>30</c:v>
                </c:pt>
                <c:pt idx="3">
                  <c:v>35</c:v>
                </c:pt>
                <c:pt idx="4">
                  <c:v>40</c:v>
                </c:pt>
                <c:pt idx="5">
                  <c:v>45</c:v>
                </c:pt>
                <c:pt idx="6">
                  <c:v>50</c:v>
                </c:pt>
                <c:pt idx="7">
                  <c:v>55</c:v>
                </c:pt>
                <c:pt idx="8">
                  <c:v>60</c:v>
                </c:pt>
                <c:pt idx="9">
                  <c:v>65</c:v>
                </c:pt>
                <c:pt idx="10">
                  <c:v>70</c:v>
                </c:pt>
                <c:pt idx="11">
                  <c:v>75</c:v>
                </c:pt>
              </c:numCache>
            </c:numRef>
          </c:xVal>
          <c:yVal>
            <c:numRef>
              <c:f>'Exp. Data Processing'!$B$23:$B$34</c:f>
              <c:numCache>
                <c:formatCode>0.00</c:formatCode>
                <c:ptCount val="12"/>
                <c:pt idx="0">
                  <c:v>#N/A</c:v>
                </c:pt>
                <c:pt idx="1">
                  <c:v>46.579818151446474</c:v>
                </c:pt>
                <c:pt idx="2">
                  <c:v>43.027953143578067</c:v>
                </c:pt>
                <c:pt idx="3">
                  <c:v>38.861338154560229</c:v>
                </c:pt>
                <c:pt idx="4">
                  <c:v>35.694268016732146</c:v>
                </c:pt>
                <c:pt idx="5">
                  <c:v>33.210910760899075</c:v>
                </c:pt>
                <c:pt idx="6">
                  <c:v>32.201490261252303</c:v>
                </c:pt>
                <c:pt idx="7">
                  <c:v>41.437599422423631</c:v>
                </c:pt>
                <c:pt idx="8">
                  <c:v>64.396405593318363</c:v>
                </c:pt>
                <c:pt idx="9">
                  <c:v>39.692446074646021</c:v>
                </c:pt>
                <c:pt idx="10">
                  <c:v>#N/A</c:v>
                </c:pt>
                <c:pt idx="11">
                  <c:v>#N/A</c:v>
                </c:pt>
              </c:numCache>
            </c:numRef>
          </c:yVal>
          <c:smooth val="0"/>
          <c:extLst>
            <c:ext xmlns:c16="http://schemas.microsoft.com/office/drawing/2014/chart" uri="{C3380CC4-5D6E-409C-BE32-E72D297353CC}">
              <c16:uniqueId val="{00000000-862B-4B04-857B-89AE07665E81}"/>
            </c:ext>
          </c:extLst>
        </c:ser>
        <c:ser>
          <c:idx val="2"/>
          <c:order val="1"/>
          <c:tx>
            <c:v>Ψ (Model)</c:v>
          </c:tx>
          <c:spPr>
            <a:ln w="19050">
              <a:solidFill>
                <a:schemeClr val="accent4"/>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Fitting'!$AG$42:$AG$130</c:f>
              <c:numCache>
                <c:formatCode>0.00</c:formatCode>
                <c:ptCount val="89"/>
                <c:pt idx="0">
                  <c:v>44.995653986025559</c:v>
                </c:pt>
                <c:pt idx="1">
                  <c:v>44.982648565879025</c:v>
                </c:pt>
                <c:pt idx="2">
                  <c:v>44.961086382157596</c:v>
                </c:pt>
                <c:pt idx="3">
                  <c:v>44.931154976623127</c:v>
                </c:pt>
                <c:pt idx="4">
                  <c:v>44.893153462306501</c:v>
                </c:pt>
                <c:pt idx="5">
                  <c:v>44.847533989033423</c:v>
                </c:pt>
                <c:pt idx="6">
                  <c:v>44.794962580497533</c:v>
                </c:pt>
                <c:pt idx="7">
                  <c:v>44.736405876321797</c:v>
                </c:pt>
                <c:pt idx="8">
                  <c:v>44.673252714244292</c:v>
                </c:pt>
                <c:pt idx="9">
                  <c:v>44.607482286437296</c:v>
                </c:pt>
                <c:pt idx="10">
                  <c:v>44.541893432969914</c:v>
                </c:pt>
                <c:pt idx="11">
                  <c:v>44.480411356750544</c:v>
                </c:pt>
                <c:pt idx="12">
                  <c:v>44.428485760727014</c:v>
                </c:pt>
                <c:pt idx="13">
                  <c:v>44.393581391948786</c:v>
                </c:pt>
                <c:pt idx="14">
                  <c:v>44.385723589915266</c:v>
                </c:pt>
                <c:pt idx="15">
                  <c:v>44.417967964109963</c:v>
                </c:pt>
                <c:pt idx="16">
                  <c:v>44.506460523801124</c:v>
                </c:pt>
                <c:pt idx="17">
                  <c:v>44.669363058140817</c:v>
                </c:pt>
                <c:pt idx="18">
                  <c:v>44.923288905771123</c:v>
                </c:pt>
                <c:pt idx="19">
                  <c:v>45.27524876112097</c:v>
                </c:pt>
                <c:pt idx="20">
                  <c:v>45.708557994344361</c:v>
                </c:pt>
                <c:pt idx="21">
                  <c:v>46.165368108762301</c:v>
                </c:pt>
                <c:pt idx="22">
                  <c:v>46.538634993662455</c:v>
                </c:pt>
                <c:pt idx="23">
                  <c:v>46.69487007127362</c:v>
                </c:pt>
                <c:pt idx="24">
                  <c:v>46.53287189196508</c:v>
                </c:pt>
                <c:pt idx="25">
                  <c:v>46.039550424923242</c:v>
                </c:pt>
                <c:pt idx="26">
                  <c:v>45.29127474046043</c:v>
                </c:pt>
                <c:pt idx="27">
                  <c:v>44.404053126849028</c:v>
                </c:pt>
                <c:pt idx="28">
                  <c:v>43.481797274248521</c:v>
                </c:pt>
                <c:pt idx="29">
                  <c:v>42.5933741689405</c:v>
                </c:pt>
                <c:pt idx="30">
                  <c:v>41.773792720987672</c:v>
                </c:pt>
                <c:pt idx="31">
                  <c:v>41.034326878768056</c:v>
                </c:pt>
                <c:pt idx="32">
                  <c:v>40.372312679266315</c:v>
                </c:pt>
                <c:pt idx="33">
                  <c:v>39.77794148063365</c:v>
                </c:pt>
                <c:pt idx="34">
                  <c:v>39.238325761493783</c:v>
                </c:pt>
                <c:pt idx="35">
                  <c:v>38.739754033969369</c:v>
                </c:pt>
                <c:pt idx="36">
                  <c:v>38.268895810694445</c:v>
                </c:pt>
                <c:pt idx="37">
                  <c:v>37.813449230118223</c:v>
                </c:pt>
                <c:pt idx="38">
                  <c:v>37.36252869148673</c:v>
                </c:pt>
                <c:pt idx="39">
                  <c:v>36.906978349837694</c:v>
                </c:pt>
                <c:pt idx="40">
                  <c:v>36.43974318028836</c:v>
                </c:pt>
                <c:pt idx="41">
                  <c:v>35.956408979151199</c:v>
                </c:pt>
                <c:pt idx="42">
                  <c:v>35.456020795412897</c:v>
                </c:pt>
                <c:pt idx="43">
                  <c:v>34.942295488496192</c:v>
                </c:pt>
                <c:pt idx="44">
                  <c:v>34.425348745840516</c:v>
                </c:pt>
                <c:pt idx="45">
                  <c:v>33.924047875371095</c:v>
                </c:pt>
                <c:pt idx="46">
                  <c:v>33.46906345048216</c:v>
                </c:pt>
                <c:pt idx="47">
                  <c:v>33.106610555875925</c:v>
                </c:pt>
                <c:pt idx="48">
                  <c:v>32.902745426507963</c:v>
                </c:pt>
                <c:pt idx="49">
                  <c:v>32.947968338928305</c:v>
                </c:pt>
                <c:pt idx="50">
                  <c:v>33.361930057654085</c:v>
                </c:pt>
                <c:pt idx="51">
                  <c:v>34.298487672911484</c:v>
                </c:pt>
                <c:pt idx="52">
                  <c:v>35.952254653618922</c:v>
                </c:pt>
                <c:pt idx="53">
                  <c:v>38.568029342632286</c:v>
                </c:pt>
                <c:pt idx="54">
                  <c:v>42.449466110732601</c:v>
                </c:pt>
                <c:pt idx="55">
                  <c:v>47.939387937360401</c:v>
                </c:pt>
                <c:pt idx="56">
                  <c:v>55.263990539550505</c:v>
                </c:pt>
                <c:pt idx="57">
                  <c:v>63.904657591686522</c:v>
                </c:pt>
                <c:pt idx="58">
                  <c:v>70.728218977970414</c:v>
                </c:pt>
                <c:pt idx="59">
                  <c:v>69.537141472658888</c:v>
                </c:pt>
                <c:pt idx="60">
                  <c:v>61.997620542444849</c:v>
                </c:pt>
                <c:pt idx="61">
                  <c:v>53.946810110593624</c:v>
                </c:pt>
                <c:pt idx="62">
                  <c:v>47.302911931357073</c:v>
                </c:pt>
                <c:pt idx="63">
                  <c:v>42.157304240283715</c:v>
                </c:pt>
                <c:pt idx="64">
                  <c:v>38.182768064530634</c:v>
                </c:pt>
                <c:pt idx="65">
                  <c:v>35.037587833913371</c:v>
                </c:pt>
                <c:pt idx="66">
                  <c:v>32.451917996096704</c:v>
                </c:pt>
                <c:pt idx="67">
                  <c:v>30.228774027658716</c:v>
                </c:pt>
                <c:pt idx="68">
                  <c:v>28.228041550735551</c:v>
                </c:pt>
                <c:pt idx="69">
                  <c:v>26.351391781312614</c:v>
                </c:pt>
                <c:pt idx="70">
                  <c:v>24.531662799594287</c:v>
                </c:pt>
                <c:pt idx="71">
                  <c:v>22.726755470316338</c:v>
                </c:pt>
                <c:pt idx="72">
                  <c:v>20.917659298413025</c:v>
                </c:pt>
                <c:pt idx="73">
                  <c:v>19.110641676719265</c:v>
                </c:pt>
                <c:pt idx="74">
                  <c:v>17.344223505173044</c:v>
                </c:pt>
                <c:pt idx="75">
                  <c:v>15.701614248927074</c:v>
                </c:pt>
                <c:pt idx="76">
                  <c:v>14.326424608389603</c:v>
                </c:pt>
                <c:pt idx="77">
                  <c:v>13.427951463590709</c:v>
                </c:pt>
                <c:pt idx="78">
                  <c:v>13.241777260645222</c:v>
                </c:pt>
                <c:pt idx="79">
                  <c:v>13.925141661549221</c:v>
                </c:pt>
                <c:pt idx="80">
                  <c:v>15.465996468004226</c:v>
                </c:pt>
                <c:pt idx="81">
                  <c:v>17.713221199429562</c:v>
                </c:pt>
                <c:pt idx="82">
                  <c:v>20.477274700735226</c:v>
                </c:pt>
                <c:pt idx="83">
                  <c:v>23.595044046398222</c:v>
                </c:pt>
                <c:pt idx="84">
                  <c:v>26.945057177387643</c:v>
                </c:pt>
                <c:pt idx="85">
                  <c:v>30.441952975318383</c:v>
                </c:pt>
                <c:pt idx="86">
                  <c:v>34.02765558771975</c:v>
                </c:pt>
                <c:pt idx="87">
                  <c:v>37.663932926953542</c:v>
                </c:pt>
                <c:pt idx="88">
                  <c:v>41.326494151033451</c:v>
                </c:pt>
              </c:numCache>
            </c:numRef>
          </c:yVal>
          <c:smooth val="0"/>
          <c:extLst>
            <c:ext xmlns:c16="http://schemas.microsoft.com/office/drawing/2014/chart" uri="{C3380CC4-5D6E-409C-BE32-E72D297353CC}">
              <c16:uniqueId val="{00000002-862B-4B04-857B-89AE07665E81}"/>
            </c:ext>
          </c:extLst>
        </c:ser>
        <c:ser>
          <c:idx val="1"/>
          <c:order val="2"/>
          <c:tx>
            <c:v>Δ (Exp)</c:v>
          </c:tx>
          <c:spPr>
            <a:ln w="12700">
              <a:noFill/>
            </a:ln>
          </c:spPr>
          <c:marker>
            <c:symbol val="circle"/>
            <c:size val="7"/>
            <c:spPr>
              <a:solidFill>
                <a:srgbClr val="FF0000"/>
              </a:solidFill>
              <a:ln>
                <a:solidFill>
                  <a:schemeClr val="tx1"/>
                </a:solidFill>
              </a:ln>
            </c:spPr>
          </c:marker>
          <c:xVal>
            <c:numRef>
              <c:f>'Exp. Data Processing'!$A$23:$A$34</c:f>
              <c:numCache>
                <c:formatCode>0</c:formatCode>
                <c:ptCount val="12"/>
                <c:pt idx="0">
                  <c:v>20</c:v>
                </c:pt>
                <c:pt idx="1">
                  <c:v>25</c:v>
                </c:pt>
                <c:pt idx="2">
                  <c:v>30</c:v>
                </c:pt>
                <c:pt idx="3">
                  <c:v>35</c:v>
                </c:pt>
                <c:pt idx="4">
                  <c:v>40</c:v>
                </c:pt>
                <c:pt idx="5">
                  <c:v>45</c:v>
                </c:pt>
                <c:pt idx="6">
                  <c:v>50</c:v>
                </c:pt>
                <c:pt idx="7">
                  <c:v>55</c:v>
                </c:pt>
                <c:pt idx="8">
                  <c:v>60</c:v>
                </c:pt>
                <c:pt idx="9">
                  <c:v>65</c:v>
                </c:pt>
                <c:pt idx="10">
                  <c:v>70</c:v>
                </c:pt>
                <c:pt idx="11">
                  <c:v>75</c:v>
                </c:pt>
              </c:numCache>
            </c:numRef>
          </c:xVal>
          <c:yVal>
            <c:numRef>
              <c:f>'Exp. Data Processing'!$C$23:$C$34</c:f>
              <c:numCache>
                <c:formatCode>0.00</c:formatCode>
                <c:ptCount val="12"/>
                <c:pt idx="0">
                  <c:v>#N/A</c:v>
                </c:pt>
                <c:pt idx="1">
                  <c:v>170.75402436574791</c:v>
                </c:pt>
                <c:pt idx="2">
                  <c:v>166.66451444628117</c:v>
                </c:pt>
                <c:pt idx="3">
                  <c:v>164.74685228171722</c:v>
                </c:pt>
                <c:pt idx="4">
                  <c:v>169.10930014377632</c:v>
                </c:pt>
                <c:pt idx="5">
                  <c:v>172.62123438740906</c:v>
                </c:pt>
                <c:pt idx="6">
                  <c:v>150.21361539703906</c:v>
                </c:pt>
                <c:pt idx="7">
                  <c:v>129.28229305675629</c:v>
                </c:pt>
                <c:pt idx="8">
                  <c:v>147.70171196832246</c:v>
                </c:pt>
                <c:pt idx="9">
                  <c:v>97.210059130547009</c:v>
                </c:pt>
                <c:pt idx="10">
                  <c:v>#N/A</c:v>
                </c:pt>
                <c:pt idx="11">
                  <c:v>#N/A</c:v>
                </c:pt>
              </c:numCache>
            </c:numRef>
          </c:yVal>
          <c:smooth val="0"/>
          <c:extLst>
            <c:ext xmlns:c16="http://schemas.microsoft.com/office/drawing/2014/chart" uri="{C3380CC4-5D6E-409C-BE32-E72D297353CC}">
              <c16:uniqueId val="{00000001-862B-4B04-857B-89AE07665E81}"/>
            </c:ext>
          </c:extLst>
        </c:ser>
        <c:ser>
          <c:idx val="3"/>
          <c:order val="3"/>
          <c:tx>
            <c:v>Δ (Model)</c:v>
          </c:tx>
          <c:spPr>
            <a:ln w="19050">
              <a:solidFill>
                <a:schemeClr val="accent1"/>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Fitting'!$AH$42:$AH$130</c:f>
              <c:numCache>
                <c:formatCode>0.00</c:formatCode>
                <c:ptCount val="89"/>
                <c:pt idx="0">
                  <c:v>179.9909389067345</c:v>
                </c:pt>
                <c:pt idx="1">
                  <c:v>179.96355921853583</c:v>
                </c:pt>
                <c:pt idx="2">
                  <c:v>179.91727423166734</c:v>
                </c:pt>
                <c:pt idx="3">
                  <c:v>179.85111499792927</c:v>
                </c:pt>
                <c:pt idx="4">
                  <c:v>179.76374547388554</c:v>
                </c:pt>
                <c:pt idx="5">
                  <c:v>179.65348777955714</c:v>
                </c:pt>
                <c:pt idx="6">
                  <c:v>179.51836272985003</c:v>
                </c:pt>
                <c:pt idx="7">
                  <c:v>179.35615421529181</c:v>
                </c:pt>
                <c:pt idx="8">
                  <c:v>179.16451159215327</c:v>
                </c:pt>
                <c:pt idx="9">
                  <c:v>178.94111351611448</c:v>
                </c:pt>
                <c:pt idx="10">
                  <c:v>178.68393214517096</c:v>
                </c:pt>
                <c:pt idx="11">
                  <c:v>178.3916624416012</c:v>
                </c:pt>
                <c:pt idx="12">
                  <c:v>178.06442370306945</c:v>
                </c:pt>
                <c:pt idx="13">
                  <c:v>177.70490800281095</c:v>
                </c:pt>
                <c:pt idx="14">
                  <c:v>177.32025120222644</c:v>
                </c:pt>
                <c:pt idx="15">
                  <c:v>176.92503338952764</c:v>
                </c:pt>
                <c:pt idx="16">
                  <c:v>176.54592698011737</c:v>
                </c:pt>
                <c:pt idx="17">
                  <c:v>176.22841474066283</c:v>
                </c:pt>
                <c:pt idx="18">
                  <c:v>176.04518818901187</c:v>
                </c:pt>
                <c:pt idx="19">
                  <c:v>176.10327438515367</c:v>
                </c:pt>
                <c:pt idx="20">
                  <c:v>176.54145122826804</c:v>
                </c:pt>
                <c:pt idx="21">
                  <c:v>177.50263847562027</c:v>
                </c:pt>
                <c:pt idx="22">
                  <c:v>179.06865396792952</c:v>
                </c:pt>
                <c:pt idx="23">
                  <c:v>178.82312924301638</c:v>
                </c:pt>
                <c:pt idx="24">
                  <c:v>176.40970068074145</c:v>
                </c:pt>
                <c:pt idx="25">
                  <c:v>174.01809108625821</c:v>
                </c:pt>
                <c:pt idx="26">
                  <c:v>171.92054709528639</c:v>
                </c:pt>
                <c:pt idx="27">
                  <c:v>170.25110994265239</c:v>
                </c:pt>
                <c:pt idx="28">
                  <c:v>169.02188966460162</c:v>
                </c:pt>
                <c:pt idx="29">
                  <c:v>168.18305404898874</c:v>
                </c:pt>
                <c:pt idx="30">
                  <c:v>167.67193296972815</c:v>
                </c:pt>
                <c:pt idx="31">
                  <c:v>167.43699502985481</c:v>
                </c:pt>
                <c:pt idx="32">
                  <c:v>167.44420677410423</c:v>
                </c:pt>
                <c:pt idx="33">
                  <c:v>167.67541717357614</c:v>
                </c:pt>
                <c:pt idx="34">
                  <c:v>168.12454171728305</c:v>
                </c:pt>
                <c:pt idx="35">
                  <c:v>168.7940010055809</c:v>
                </c:pt>
                <c:pt idx="36">
                  <c:v>169.6921162071834</c:v>
                </c:pt>
                <c:pt idx="37">
                  <c:v>170.83144696417756</c:v>
                </c:pt>
                <c:pt idx="38">
                  <c:v>172.227837910613</c:v>
                </c:pt>
                <c:pt idx="39">
                  <c:v>173.89991566213038</c:v>
                </c:pt>
                <c:pt idx="40">
                  <c:v>175.86880975407709</c:v>
                </c:pt>
                <c:pt idx="41">
                  <c:v>178.15789988297163</c:v>
                </c:pt>
                <c:pt idx="42">
                  <c:v>179.20760761391588</c:v>
                </c:pt>
                <c:pt idx="43">
                  <c:v>176.20151417982325</c:v>
                </c:pt>
                <c:pt idx="44">
                  <c:v>172.79821608387977</c:v>
                </c:pt>
                <c:pt idx="45">
                  <c:v>168.97556030324242</c:v>
                </c:pt>
                <c:pt idx="46">
                  <c:v>164.7197327646806</c:v>
                </c:pt>
                <c:pt idx="47">
                  <c:v>160.03320840593747</c:v>
                </c:pt>
                <c:pt idx="48">
                  <c:v>154.94689473099106</c:v>
                </c:pt>
                <c:pt idx="49">
                  <c:v>149.53715654420253</c:v>
                </c:pt>
                <c:pt idx="50">
                  <c:v>143.94694603970979</c:v>
                </c:pt>
                <c:pt idx="51">
                  <c:v>138.40789059609671</c:v>
                </c:pt>
                <c:pt idx="52">
                  <c:v>133.25908650316492</c:v>
                </c:pt>
                <c:pt idx="53">
                  <c:v>128.96418395169218</c:v>
                </c:pt>
                <c:pt idx="54">
                  <c:v>126.15052744666409</c:v>
                </c:pt>
                <c:pt idx="55">
                  <c:v>125.75144270271666</c:v>
                </c:pt>
                <c:pt idx="56">
                  <c:v>129.49638291025531</c:v>
                </c:pt>
                <c:pt idx="57">
                  <c:v>141.49369001241485</c:v>
                </c:pt>
                <c:pt idx="58">
                  <c:v>170.78090452466</c:v>
                </c:pt>
                <c:pt idx="59">
                  <c:v>147.82099181378527</c:v>
                </c:pt>
                <c:pt idx="60">
                  <c:v>122.61564565550469</c:v>
                </c:pt>
                <c:pt idx="61">
                  <c:v>110.31232521028227</c:v>
                </c:pt>
                <c:pt idx="62">
                  <c:v>103.36175819882382</c:v>
                </c:pt>
                <c:pt idx="63">
                  <c:v>98.849982569312758</c:v>
                </c:pt>
                <c:pt idx="64">
                  <c:v>95.656641456171982</c:v>
                </c:pt>
                <c:pt idx="65">
                  <c:v>93.276437146276436</c:v>
                </c:pt>
                <c:pt idx="66">
                  <c:v>91.433315458356006</c:v>
                </c:pt>
                <c:pt idx="67">
                  <c:v>89.942747976915939</c:v>
                </c:pt>
                <c:pt idx="68">
                  <c:v>88.656162040057538</c:v>
                </c:pt>
                <c:pt idx="69">
                  <c:v>87.433896550046825</c:v>
                </c:pt>
                <c:pt idx="70">
                  <c:v>86.127284817861351</c:v>
                </c:pt>
                <c:pt idx="71">
                  <c:v>84.561772232360511</c:v>
                </c:pt>
                <c:pt idx="72">
                  <c:v>82.516990182991961</c:v>
                </c:pt>
                <c:pt idx="73">
                  <c:v>79.702101166241462</c:v>
                </c:pt>
                <c:pt idx="74">
                  <c:v>75.730205058062424</c:v>
                </c:pt>
                <c:pt idx="75">
                  <c:v>70.113515795762197</c:v>
                </c:pt>
                <c:pt idx="76">
                  <c:v>62.348028345136534</c:v>
                </c:pt>
                <c:pt idx="77">
                  <c:v>52.22028745858136</c:v>
                </c:pt>
                <c:pt idx="78">
                  <c:v>40.349660346090673</c:v>
                </c:pt>
                <c:pt idx="79">
                  <c:v>28.374117621198852</c:v>
                </c:pt>
                <c:pt idx="80">
                  <c:v>18.067066703328226</c:v>
                </c:pt>
                <c:pt idx="81">
                  <c:v>10.280257707344905</c:v>
                </c:pt>
                <c:pt idx="82">
                  <c:v>4.9276233647920256</c:v>
                </c:pt>
                <c:pt idx="83">
                  <c:v>1.5277675463252876</c:v>
                </c:pt>
                <c:pt idx="84">
                  <c:v>0.42698557962720662</c:v>
                </c:pt>
                <c:pt idx="85">
                  <c:v>1.3505001751165686</c:v>
                </c:pt>
                <c:pt idx="86">
                  <c:v>1.5562877853417107</c:v>
                </c:pt>
                <c:pt idx="87">
                  <c:v>1.2812340704099876</c:v>
                </c:pt>
                <c:pt idx="88">
                  <c:v>0.71087291867636815</c:v>
                </c:pt>
              </c:numCache>
            </c:numRef>
          </c:yVal>
          <c:smooth val="0"/>
          <c:extLst>
            <c:ext xmlns:c16="http://schemas.microsoft.com/office/drawing/2014/chart" uri="{C3380CC4-5D6E-409C-BE32-E72D297353CC}">
              <c16:uniqueId val="{00000003-862B-4B04-857B-89AE07665E81}"/>
            </c:ext>
          </c:extLst>
        </c:ser>
        <c:dLbls>
          <c:showLegendKey val="0"/>
          <c:showVal val="0"/>
          <c:showCatName val="0"/>
          <c:showSerName val="0"/>
          <c:showPercent val="0"/>
          <c:showBubbleSize val="0"/>
        </c:dLbls>
        <c:axId val="1332078608"/>
        <c:axId val="1"/>
      </c:scatterChart>
      <c:valAx>
        <c:axId val="1332078608"/>
        <c:scaling>
          <c:orientation val="minMax"/>
          <c:max val="90"/>
          <c:min val="5"/>
        </c:scaling>
        <c:delete val="0"/>
        <c:axPos val="b"/>
        <c:majorGridlines/>
        <c:title>
          <c:tx>
            <c:rich>
              <a:bodyPr/>
              <a:lstStyle/>
              <a:p>
                <a:pPr>
                  <a:defRPr sz="1000" b="1" i="0" u="none" strike="noStrike" baseline="0">
                    <a:solidFill>
                      <a:srgbClr val="000000"/>
                    </a:solidFill>
                    <a:latin typeface="Calibri"/>
                    <a:ea typeface="Calibri"/>
                    <a:cs typeface="Calibri"/>
                  </a:defRPr>
                </a:pPr>
                <a:r>
                  <a:rPr lang="en-US"/>
                  <a:t>Angle of Incidence (AoI) [degrees]</a:t>
                </a:r>
              </a:p>
            </c:rich>
          </c:tx>
          <c:overlay val="0"/>
        </c:title>
        <c:numFmt formatCode="0" sourceLinked="1"/>
        <c:majorTickMark val="out"/>
        <c:minorTickMark val="in"/>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10"/>
        <c:minorUnit val="1"/>
      </c:valAx>
      <c:valAx>
        <c:axId val="1"/>
        <c:scaling>
          <c:orientation val="minMax"/>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Ellipsometric Parameters</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Ψ &amp; Δ [°]</a:t>
                </a:r>
              </a:p>
            </c:rich>
          </c:tx>
          <c:layout>
            <c:manualLayout>
              <c:xMode val="edge"/>
              <c:yMode val="edge"/>
              <c:x val="3.0555583739631659E-2"/>
              <c:y val="0.27227534432201173"/>
            </c:manualLayout>
          </c:layout>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2078608"/>
        <c:crosses val="autoZero"/>
        <c:crossBetween val="midCat"/>
      </c:valAx>
    </c:plotArea>
    <c:legend>
      <c:legendPos val="r"/>
      <c:layout>
        <c:manualLayout>
          <c:xMode val="edge"/>
          <c:yMode val="edge"/>
          <c:x val="0.83096994934227308"/>
          <c:y val="3.4783748223905531E-4"/>
          <c:w val="0.16655694771628413"/>
          <c:h val="0.2218890432153286"/>
        </c:manualLayout>
      </c:layout>
      <c:overlay val="1"/>
      <c:spPr>
        <a:solidFill>
          <a:schemeClr val="bg1"/>
        </a:solidFill>
        <a:ln>
          <a:solidFill>
            <a:schemeClr val="tx1"/>
          </a:solid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Parameter</a:t>
            </a:r>
            <a:r>
              <a:rPr lang="en-US" baseline="0"/>
              <a:t> Error %</a:t>
            </a:r>
            <a:endParaRPr lang="en-US"/>
          </a:p>
        </c:rich>
      </c:tx>
      <c:overlay val="0"/>
    </c:title>
    <c:autoTitleDeleted val="0"/>
    <c:plotArea>
      <c:layout>
        <c:manualLayout>
          <c:layoutTarget val="inner"/>
          <c:xMode val="edge"/>
          <c:yMode val="edge"/>
          <c:x val="0.16439263946742003"/>
          <c:y val="0.11804409389894985"/>
          <c:w val="0.80014579500582461"/>
          <c:h val="0.70388109082768802"/>
        </c:manualLayout>
      </c:layout>
      <c:scatterChart>
        <c:scatterStyle val="lineMarker"/>
        <c:varyColors val="0"/>
        <c:ser>
          <c:idx val="5"/>
          <c:order val="0"/>
          <c:tx>
            <c:strRef>
              <c:f>'Exp. Data Processing'!$H$22</c:f>
              <c:strCache>
                <c:ptCount val="1"/>
                <c:pt idx="0">
                  <c:v>Ψ (% Err)</c:v>
                </c:pt>
              </c:strCache>
            </c:strRef>
          </c:tx>
          <c:spPr>
            <a:ln w="28575">
              <a:solidFill>
                <a:schemeClr val="accent4"/>
              </a:solidFill>
            </a:ln>
          </c:spPr>
          <c:marker>
            <c:symbol val="none"/>
          </c:marker>
          <c:xVal>
            <c:numRef>
              <c:f>'Exp. Data Processing'!$A$23:$A$34</c:f>
              <c:numCache>
                <c:formatCode>0</c:formatCode>
                <c:ptCount val="12"/>
                <c:pt idx="0">
                  <c:v>20</c:v>
                </c:pt>
                <c:pt idx="1">
                  <c:v>25</c:v>
                </c:pt>
                <c:pt idx="2">
                  <c:v>30</c:v>
                </c:pt>
                <c:pt idx="3">
                  <c:v>35</c:v>
                </c:pt>
                <c:pt idx="4">
                  <c:v>40</c:v>
                </c:pt>
                <c:pt idx="5">
                  <c:v>45</c:v>
                </c:pt>
                <c:pt idx="6">
                  <c:v>50</c:v>
                </c:pt>
                <c:pt idx="7">
                  <c:v>55</c:v>
                </c:pt>
                <c:pt idx="8">
                  <c:v>60</c:v>
                </c:pt>
                <c:pt idx="9">
                  <c:v>65</c:v>
                </c:pt>
                <c:pt idx="10">
                  <c:v>70</c:v>
                </c:pt>
                <c:pt idx="11">
                  <c:v>75</c:v>
                </c:pt>
              </c:numCache>
            </c:numRef>
          </c:xVal>
          <c:yVal>
            <c:numRef>
              <c:f>'Exp. Data Processing'!$H$23:$H$34</c:f>
              <c:numCache>
                <c:formatCode>0.00%</c:formatCode>
                <c:ptCount val="12"/>
                <c:pt idx="0">
                  <c:v>#N/A</c:v>
                </c:pt>
                <c:pt idx="1">
                  <c:v>1.0088837755466594E-3</c:v>
                </c:pt>
                <c:pt idx="2">
                  <c:v>1.020297130990074E-2</c:v>
                </c:pt>
                <c:pt idx="3">
                  <c:v>9.6076374212558172E-3</c:v>
                </c:pt>
                <c:pt idx="4">
                  <c:v>3.2858564621855074E-2</c:v>
                </c:pt>
                <c:pt idx="5">
                  <c:v>3.5277434483163415E-2</c:v>
                </c:pt>
                <c:pt idx="6">
                  <c:v>2.265627033500673E-2</c:v>
                </c:pt>
                <c:pt idx="7">
                  <c:v>2.3836970897806828E-2</c:v>
                </c:pt>
                <c:pt idx="8">
                  <c:v>7.3927914931070274E-2</c:v>
                </c:pt>
                <c:pt idx="9">
                  <c:v>3.9538202352536661E-2</c:v>
                </c:pt>
                <c:pt idx="10">
                  <c:v>#N/A</c:v>
                </c:pt>
                <c:pt idx="11">
                  <c:v>#N/A</c:v>
                </c:pt>
              </c:numCache>
            </c:numRef>
          </c:yVal>
          <c:smooth val="0"/>
          <c:extLst>
            <c:ext xmlns:c16="http://schemas.microsoft.com/office/drawing/2014/chart" uri="{C3380CC4-5D6E-409C-BE32-E72D297353CC}">
              <c16:uniqueId val="{00000000-546D-481F-B215-D931A22D921D}"/>
            </c:ext>
          </c:extLst>
        </c:ser>
        <c:ser>
          <c:idx val="6"/>
          <c:order val="1"/>
          <c:tx>
            <c:strRef>
              <c:f>'Exp. Data Processing'!$I$22</c:f>
              <c:strCache>
                <c:ptCount val="1"/>
                <c:pt idx="0">
                  <c:v>Δ (% Err)</c:v>
                </c:pt>
              </c:strCache>
            </c:strRef>
          </c:tx>
          <c:spPr>
            <a:ln w="28575">
              <a:solidFill>
                <a:schemeClr val="accent1"/>
              </a:solidFill>
            </a:ln>
          </c:spPr>
          <c:marker>
            <c:symbol val="none"/>
          </c:marker>
          <c:xVal>
            <c:numRef>
              <c:f>'Exp. Data Processing'!$A$23:$A$34</c:f>
              <c:numCache>
                <c:formatCode>0</c:formatCode>
                <c:ptCount val="12"/>
                <c:pt idx="0">
                  <c:v>20</c:v>
                </c:pt>
                <c:pt idx="1">
                  <c:v>25</c:v>
                </c:pt>
                <c:pt idx="2">
                  <c:v>30</c:v>
                </c:pt>
                <c:pt idx="3">
                  <c:v>35</c:v>
                </c:pt>
                <c:pt idx="4">
                  <c:v>40</c:v>
                </c:pt>
                <c:pt idx="5">
                  <c:v>45</c:v>
                </c:pt>
                <c:pt idx="6">
                  <c:v>50</c:v>
                </c:pt>
                <c:pt idx="7">
                  <c:v>55</c:v>
                </c:pt>
                <c:pt idx="8">
                  <c:v>60</c:v>
                </c:pt>
                <c:pt idx="9">
                  <c:v>65</c:v>
                </c:pt>
                <c:pt idx="10">
                  <c:v>70</c:v>
                </c:pt>
                <c:pt idx="11">
                  <c:v>75</c:v>
                </c:pt>
              </c:numCache>
            </c:numRef>
          </c:xVal>
          <c:yVal>
            <c:numRef>
              <c:f>'Exp. Data Processing'!$I$23:$I$34</c:f>
              <c:numCache>
                <c:formatCode>0.00%</c:formatCode>
                <c:ptCount val="12"/>
                <c:pt idx="0">
                  <c:v>#N/A</c:v>
                </c:pt>
                <c:pt idx="1">
                  <c:v>3.2059894060071772E-2</c:v>
                </c:pt>
                <c:pt idx="2">
                  <c:v>9.0290880451322931E-3</c:v>
                </c:pt>
                <c:pt idx="3">
                  <c:v>2.0090400848471749E-2</c:v>
                </c:pt>
                <c:pt idx="4">
                  <c:v>2.7548118698698689E-2</c:v>
                </c:pt>
                <c:pt idx="5">
                  <c:v>1.0242102058784809E-3</c:v>
                </c:pt>
                <c:pt idx="6">
                  <c:v>4.5236840693608747E-3</c:v>
                </c:pt>
                <c:pt idx="7">
                  <c:v>2.4825624382873068E-2</c:v>
                </c:pt>
                <c:pt idx="8">
                  <c:v>8.0692088450518441E-4</c:v>
                </c:pt>
                <c:pt idx="9">
                  <c:v>1.6239517201602487E-2</c:v>
                </c:pt>
                <c:pt idx="10">
                  <c:v>#N/A</c:v>
                </c:pt>
                <c:pt idx="11">
                  <c:v>#N/A</c:v>
                </c:pt>
              </c:numCache>
            </c:numRef>
          </c:yVal>
          <c:smooth val="0"/>
          <c:extLst>
            <c:ext xmlns:c16="http://schemas.microsoft.com/office/drawing/2014/chart" uri="{C3380CC4-5D6E-409C-BE32-E72D297353CC}">
              <c16:uniqueId val="{00000001-546D-481F-B215-D931A22D921D}"/>
            </c:ext>
          </c:extLst>
        </c:ser>
        <c:dLbls>
          <c:showLegendKey val="0"/>
          <c:showVal val="0"/>
          <c:showCatName val="0"/>
          <c:showSerName val="0"/>
          <c:showPercent val="0"/>
          <c:showBubbleSize val="0"/>
        </c:dLbls>
        <c:axId val="1332808000"/>
        <c:axId val="1"/>
      </c:scatterChart>
      <c:valAx>
        <c:axId val="1332808000"/>
        <c:scaling>
          <c:orientation val="minMax"/>
          <c:max val="90"/>
          <c:min val="5"/>
        </c:scaling>
        <c:delete val="0"/>
        <c:axPos val="b"/>
        <c:majorGridlines/>
        <c:title>
          <c:tx>
            <c:rich>
              <a:bodyPr/>
              <a:lstStyle/>
              <a:p>
                <a:pPr>
                  <a:defRPr/>
                </a:pPr>
                <a:r>
                  <a:rPr lang="en-US" b="1"/>
                  <a:t>Angle of Incidence (AoI) [degrees]</a:t>
                </a:r>
              </a:p>
            </c:rich>
          </c:tx>
          <c:overlay val="0"/>
        </c:title>
        <c:numFmt formatCode="0" sourceLinked="1"/>
        <c:majorTickMark val="out"/>
        <c:minorTickMark val="in"/>
        <c:tickLblPos val="nextTo"/>
        <c:txPr>
          <a:bodyPr rot="0" vert="horz"/>
          <a:lstStyle/>
          <a:p>
            <a:pPr>
              <a:defRPr/>
            </a:pPr>
            <a:endParaRPr lang="en-US"/>
          </a:p>
        </c:txPr>
        <c:crossAx val="1"/>
        <c:crosses val="autoZero"/>
        <c:crossBetween val="midCat"/>
        <c:majorUnit val="10"/>
        <c:minorUnit val="1"/>
      </c:valAx>
      <c:valAx>
        <c:axId val="1"/>
        <c:scaling>
          <c:orientation val="minMax"/>
        </c:scaling>
        <c:delete val="0"/>
        <c:axPos val="l"/>
        <c:majorGridlines/>
        <c:title>
          <c:tx>
            <c:rich>
              <a:bodyPr/>
              <a:lstStyle/>
              <a:p>
                <a:pPr>
                  <a:defRPr/>
                </a:pPr>
                <a:r>
                  <a:rPr lang="en-US" b="1"/>
                  <a:t>Ψ &amp; Δ Error (%)</a:t>
                </a:r>
              </a:p>
            </c:rich>
          </c:tx>
          <c:overlay val="0"/>
        </c:title>
        <c:numFmt formatCode="0%" sourceLinked="0"/>
        <c:majorTickMark val="out"/>
        <c:minorTickMark val="none"/>
        <c:tickLblPos val="nextTo"/>
        <c:txPr>
          <a:bodyPr rot="0" vert="horz"/>
          <a:lstStyle/>
          <a:p>
            <a:pPr>
              <a:defRPr/>
            </a:pPr>
            <a:endParaRPr lang="en-US"/>
          </a:p>
        </c:txPr>
        <c:crossAx val="1332808000"/>
        <c:crosses val="autoZero"/>
        <c:crossBetween val="midCat"/>
        <c:majorUnit val="1.0000000000000002E-2"/>
        <c:minorUnit val="2.0000000000000005E-3"/>
      </c:valAx>
    </c:plotArea>
    <c:legend>
      <c:legendPos val="r"/>
      <c:layout>
        <c:manualLayout>
          <c:xMode val="edge"/>
          <c:yMode val="edge"/>
          <c:x val="0.80891217801314674"/>
          <c:y val="7.0659744871915168E-4"/>
          <c:w val="0.18894344089341775"/>
          <c:h val="0.1785966237615132"/>
        </c:manualLayout>
      </c:layout>
      <c:overlay val="0"/>
      <c:spPr>
        <a:solidFill>
          <a:schemeClr val="bg1"/>
        </a:solidFill>
        <a:ln>
          <a:solidFill>
            <a:schemeClr val="tx1"/>
          </a:solidFill>
        </a:ln>
      </c:spPr>
    </c:legend>
    <c:plotVisOnly val="1"/>
    <c:dispBlanksAs val="gap"/>
    <c:showDLblsOverMax val="0"/>
  </c:chart>
  <c:txPr>
    <a:bodyPr/>
    <a:lstStyle/>
    <a:p>
      <a:pPr>
        <a:defRPr lang="en-US" sz="1000" b="0" i="0" u="none" strike="noStrike" kern="1200"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Model Parameters</a:t>
            </a:r>
          </a:p>
        </c:rich>
      </c:tx>
      <c:overlay val="0"/>
    </c:title>
    <c:autoTitleDeleted val="0"/>
    <c:plotArea>
      <c:layout>
        <c:manualLayout>
          <c:layoutTarget val="inner"/>
          <c:xMode val="edge"/>
          <c:yMode val="edge"/>
          <c:x val="0.11234895184489845"/>
          <c:y val="9.6407632590230011E-2"/>
          <c:w val="0.84985940626139467"/>
          <c:h val="0.75671816339413278"/>
        </c:manualLayout>
      </c:layout>
      <c:scatterChart>
        <c:scatterStyle val="lineMarker"/>
        <c:varyColors val="0"/>
        <c:ser>
          <c:idx val="4"/>
          <c:order val="0"/>
          <c:tx>
            <c:v>Δ (Model)</c:v>
          </c:tx>
          <c:spPr>
            <a:ln w="28575">
              <a:solidFill>
                <a:schemeClr val="accent1"/>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Fitting'!$D$42:$D$130</c:f>
              <c:numCache>
                <c:formatCode>0.00</c:formatCode>
                <c:ptCount val="89"/>
                <c:pt idx="0">
                  <c:v>179.9909389067345</c:v>
                </c:pt>
                <c:pt idx="1">
                  <c:v>179.96355921853583</c:v>
                </c:pt>
                <c:pt idx="2">
                  <c:v>179.91727423166734</c:v>
                </c:pt>
                <c:pt idx="3">
                  <c:v>179.85111499792927</c:v>
                </c:pt>
                <c:pt idx="4">
                  <c:v>179.76374547388554</c:v>
                </c:pt>
                <c:pt idx="5">
                  <c:v>179.65348777955714</c:v>
                </c:pt>
                <c:pt idx="6">
                  <c:v>179.51836272985003</c:v>
                </c:pt>
                <c:pt idx="7">
                  <c:v>179.35615421529181</c:v>
                </c:pt>
                <c:pt idx="8">
                  <c:v>179.16451159215327</c:v>
                </c:pt>
                <c:pt idx="9">
                  <c:v>178.94111351611448</c:v>
                </c:pt>
                <c:pt idx="10">
                  <c:v>178.68393214517096</c:v>
                </c:pt>
                <c:pt idx="11">
                  <c:v>178.3916624416012</c:v>
                </c:pt>
                <c:pt idx="12">
                  <c:v>178.06442370306945</c:v>
                </c:pt>
                <c:pt idx="13">
                  <c:v>177.70490800281095</c:v>
                </c:pt>
                <c:pt idx="14">
                  <c:v>177.32025120222644</c:v>
                </c:pt>
                <c:pt idx="15">
                  <c:v>176.92503338952764</c:v>
                </c:pt>
                <c:pt idx="16">
                  <c:v>176.54592698011737</c:v>
                </c:pt>
                <c:pt idx="17">
                  <c:v>176.22841474066283</c:v>
                </c:pt>
                <c:pt idx="18">
                  <c:v>176.04518818901187</c:v>
                </c:pt>
                <c:pt idx="19">
                  <c:v>176.10327438515367</c:v>
                </c:pt>
                <c:pt idx="20">
                  <c:v>176.54145122826804</c:v>
                </c:pt>
                <c:pt idx="21">
                  <c:v>177.50263847562027</c:v>
                </c:pt>
                <c:pt idx="22">
                  <c:v>179.06865396792952</c:v>
                </c:pt>
                <c:pt idx="23">
                  <c:v>178.82312924301638</c:v>
                </c:pt>
                <c:pt idx="24">
                  <c:v>176.40970068074145</c:v>
                </c:pt>
                <c:pt idx="25">
                  <c:v>174.01809108625821</c:v>
                </c:pt>
                <c:pt idx="26">
                  <c:v>171.92054709528639</c:v>
                </c:pt>
                <c:pt idx="27">
                  <c:v>170.25110994265239</c:v>
                </c:pt>
                <c:pt idx="28">
                  <c:v>169.02188966460162</c:v>
                </c:pt>
                <c:pt idx="29">
                  <c:v>168.18305404898874</c:v>
                </c:pt>
                <c:pt idx="30">
                  <c:v>167.67193296972815</c:v>
                </c:pt>
                <c:pt idx="31">
                  <c:v>167.43699502985481</c:v>
                </c:pt>
                <c:pt idx="32">
                  <c:v>167.44420677410423</c:v>
                </c:pt>
                <c:pt idx="33">
                  <c:v>167.67541717357614</c:v>
                </c:pt>
                <c:pt idx="34">
                  <c:v>168.12454171728305</c:v>
                </c:pt>
                <c:pt idx="35">
                  <c:v>168.7940010055809</c:v>
                </c:pt>
                <c:pt idx="36">
                  <c:v>169.6921162071834</c:v>
                </c:pt>
                <c:pt idx="37">
                  <c:v>170.83144696417756</c:v>
                </c:pt>
                <c:pt idx="38">
                  <c:v>172.227837910613</c:v>
                </c:pt>
                <c:pt idx="39">
                  <c:v>173.89991566213038</c:v>
                </c:pt>
                <c:pt idx="40">
                  <c:v>175.86880975407709</c:v>
                </c:pt>
                <c:pt idx="41">
                  <c:v>178.15789988297163</c:v>
                </c:pt>
                <c:pt idx="42">
                  <c:v>179.20760761391588</c:v>
                </c:pt>
                <c:pt idx="43">
                  <c:v>176.20151417982325</c:v>
                </c:pt>
                <c:pt idx="44">
                  <c:v>172.79821608387977</c:v>
                </c:pt>
                <c:pt idx="45">
                  <c:v>168.97556030324242</c:v>
                </c:pt>
                <c:pt idx="46">
                  <c:v>164.7197327646806</c:v>
                </c:pt>
                <c:pt idx="47">
                  <c:v>160.03320840593747</c:v>
                </c:pt>
                <c:pt idx="48">
                  <c:v>154.94689473099106</c:v>
                </c:pt>
                <c:pt idx="49">
                  <c:v>149.53715654420253</c:v>
                </c:pt>
                <c:pt idx="50">
                  <c:v>143.94694603970979</c:v>
                </c:pt>
                <c:pt idx="51">
                  <c:v>138.40789059609671</c:v>
                </c:pt>
                <c:pt idx="52">
                  <c:v>133.25908650316492</c:v>
                </c:pt>
                <c:pt idx="53">
                  <c:v>128.96418395169218</c:v>
                </c:pt>
                <c:pt idx="54">
                  <c:v>126.15052744666409</c:v>
                </c:pt>
                <c:pt idx="55">
                  <c:v>125.75144270271666</c:v>
                </c:pt>
                <c:pt idx="56">
                  <c:v>129.49638291025531</c:v>
                </c:pt>
                <c:pt idx="57">
                  <c:v>141.49369001241485</c:v>
                </c:pt>
                <c:pt idx="58">
                  <c:v>170.78090452466</c:v>
                </c:pt>
                <c:pt idx="59">
                  <c:v>147.82099181378527</c:v>
                </c:pt>
                <c:pt idx="60">
                  <c:v>122.61564565550469</c:v>
                </c:pt>
                <c:pt idx="61">
                  <c:v>110.31232521028227</c:v>
                </c:pt>
                <c:pt idx="62">
                  <c:v>103.36175819882382</c:v>
                </c:pt>
                <c:pt idx="63">
                  <c:v>98.849982569312758</c:v>
                </c:pt>
                <c:pt idx="64">
                  <c:v>95.656641456171982</c:v>
                </c:pt>
                <c:pt idx="65">
                  <c:v>93.276437146276436</c:v>
                </c:pt>
                <c:pt idx="66">
                  <c:v>91.433315458356006</c:v>
                </c:pt>
                <c:pt idx="67">
                  <c:v>89.942747976915939</c:v>
                </c:pt>
                <c:pt idx="68">
                  <c:v>88.656162040057538</c:v>
                </c:pt>
                <c:pt idx="69">
                  <c:v>87.433896550046825</c:v>
                </c:pt>
                <c:pt idx="70">
                  <c:v>86.127284817861351</c:v>
                </c:pt>
                <c:pt idx="71">
                  <c:v>84.561772232360511</c:v>
                </c:pt>
                <c:pt idx="72">
                  <c:v>82.516990182991961</c:v>
                </c:pt>
                <c:pt idx="73">
                  <c:v>79.702101166241462</c:v>
                </c:pt>
                <c:pt idx="74">
                  <c:v>75.730205058062424</c:v>
                </c:pt>
                <c:pt idx="75">
                  <c:v>70.113515795762197</c:v>
                </c:pt>
                <c:pt idx="76">
                  <c:v>62.348028345136534</c:v>
                </c:pt>
                <c:pt idx="77">
                  <c:v>52.22028745858136</c:v>
                </c:pt>
                <c:pt idx="78">
                  <c:v>40.349660346090673</c:v>
                </c:pt>
                <c:pt idx="79">
                  <c:v>28.374117621198852</c:v>
                </c:pt>
                <c:pt idx="80">
                  <c:v>18.067066703328226</c:v>
                </c:pt>
                <c:pt idx="81">
                  <c:v>10.280257707344905</c:v>
                </c:pt>
                <c:pt idx="82">
                  <c:v>4.9276233647920256</c:v>
                </c:pt>
                <c:pt idx="83">
                  <c:v>1.5277675463252876</c:v>
                </c:pt>
                <c:pt idx="84">
                  <c:v>0.42698557962720662</c:v>
                </c:pt>
                <c:pt idx="85">
                  <c:v>1.3505001751165686</c:v>
                </c:pt>
                <c:pt idx="86">
                  <c:v>1.5562877853417107</c:v>
                </c:pt>
                <c:pt idx="87">
                  <c:v>1.2812340704099876</c:v>
                </c:pt>
                <c:pt idx="88">
                  <c:v>0.71087291867636815</c:v>
                </c:pt>
              </c:numCache>
            </c:numRef>
          </c:yVal>
          <c:smooth val="0"/>
          <c:extLst>
            <c:ext xmlns:c16="http://schemas.microsoft.com/office/drawing/2014/chart" uri="{C3380CC4-5D6E-409C-BE32-E72D297353CC}">
              <c16:uniqueId val="{00000000-9295-44F0-9ADE-1ADF4FA7C403}"/>
            </c:ext>
          </c:extLst>
        </c:ser>
        <c:ser>
          <c:idx val="3"/>
          <c:order val="1"/>
          <c:tx>
            <c:v>Ψ (Model)</c:v>
          </c:tx>
          <c:spPr>
            <a:ln w="28575">
              <a:solidFill>
                <a:schemeClr val="accent4"/>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Fitting'!$C$42:$C$130</c:f>
              <c:numCache>
                <c:formatCode>0.00</c:formatCode>
                <c:ptCount val="89"/>
                <c:pt idx="0">
                  <c:v>44.995653986025559</c:v>
                </c:pt>
                <c:pt idx="1">
                  <c:v>44.982648565879025</c:v>
                </c:pt>
                <c:pt idx="2">
                  <c:v>44.961086382157596</c:v>
                </c:pt>
                <c:pt idx="3">
                  <c:v>44.931154976623127</c:v>
                </c:pt>
                <c:pt idx="4">
                  <c:v>44.893153462306501</c:v>
                </c:pt>
                <c:pt idx="5">
                  <c:v>44.847533989033423</c:v>
                </c:pt>
                <c:pt idx="6">
                  <c:v>44.794962580497533</c:v>
                </c:pt>
                <c:pt idx="7">
                  <c:v>44.736405876321797</c:v>
                </c:pt>
                <c:pt idx="8">
                  <c:v>44.673252714244292</c:v>
                </c:pt>
                <c:pt idx="9">
                  <c:v>44.607482286437296</c:v>
                </c:pt>
                <c:pt idx="10">
                  <c:v>44.541893432969914</c:v>
                </c:pt>
                <c:pt idx="11">
                  <c:v>44.480411356750544</c:v>
                </c:pt>
                <c:pt idx="12">
                  <c:v>44.428485760727014</c:v>
                </c:pt>
                <c:pt idx="13">
                  <c:v>44.393581391948786</c:v>
                </c:pt>
                <c:pt idx="14">
                  <c:v>44.385723589915266</c:v>
                </c:pt>
                <c:pt idx="15">
                  <c:v>44.417967964109963</c:v>
                </c:pt>
                <c:pt idx="16">
                  <c:v>44.506460523801124</c:v>
                </c:pt>
                <c:pt idx="17">
                  <c:v>44.669363058140817</c:v>
                </c:pt>
                <c:pt idx="18">
                  <c:v>44.923288905771123</c:v>
                </c:pt>
                <c:pt idx="19">
                  <c:v>45.27524876112097</c:v>
                </c:pt>
                <c:pt idx="20">
                  <c:v>45.708557994344361</c:v>
                </c:pt>
                <c:pt idx="21">
                  <c:v>46.165368108762301</c:v>
                </c:pt>
                <c:pt idx="22">
                  <c:v>46.538634993662455</c:v>
                </c:pt>
                <c:pt idx="23">
                  <c:v>46.69487007127362</c:v>
                </c:pt>
                <c:pt idx="24">
                  <c:v>46.53287189196508</c:v>
                </c:pt>
                <c:pt idx="25">
                  <c:v>46.039550424923242</c:v>
                </c:pt>
                <c:pt idx="26">
                  <c:v>45.29127474046043</c:v>
                </c:pt>
                <c:pt idx="27">
                  <c:v>44.404053126849028</c:v>
                </c:pt>
                <c:pt idx="28">
                  <c:v>43.481797274248521</c:v>
                </c:pt>
                <c:pt idx="29">
                  <c:v>42.5933741689405</c:v>
                </c:pt>
                <c:pt idx="30">
                  <c:v>41.773792720987672</c:v>
                </c:pt>
                <c:pt idx="31">
                  <c:v>41.034326878768056</c:v>
                </c:pt>
                <c:pt idx="32">
                  <c:v>40.372312679266315</c:v>
                </c:pt>
                <c:pt idx="33">
                  <c:v>39.77794148063365</c:v>
                </c:pt>
                <c:pt idx="34">
                  <c:v>39.238325761493783</c:v>
                </c:pt>
                <c:pt idx="35">
                  <c:v>38.739754033969369</c:v>
                </c:pt>
                <c:pt idx="36">
                  <c:v>38.268895810694445</c:v>
                </c:pt>
                <c:pt idx="37">
                  <c:v>37.813449230118223</c:v>
                </c:pt>
                <c:pt idx="38">
                  <c:v>37.36252869148673</c:v>
                </c:pt>
                <c:pt idx="39">
                  <c:v>36.906978349837694</c:v>
                </c:pt>
                <c:pt idx="40">
                  <c:v>36.43974318028836</c:v>
                </c:pt>
                <c:pt idx="41">
                  <c:v>35.956408979151199</c:v>
                </c:pt>
                <c:pt idx="42">
                  <c:v>35.456020795412897</c:v>
                </c:pt>
                <c:pt idx="43">
                  <c:v>34.942295488496192</c:v>
                </c:pt>
                <c:pt idx="44">
                  <c:v>34.425348745840516</c:v>
                </c:pt>
                <c:pt idx="45">
                  <c:v>33.924047875371095</c:v>
                </c:pt>
                <c:pt idx="46">
                  <c:v>33.46906345048216</c:v>
                </c:pt>
                <c:pt idx="47">
                  <c:v>33.106610555875925</c:v>
                </c:pt>
                <c:pt idx="48">
                  <c:v>32.902745426507963</c:v>
                </c:pt>
                <c:pt idx="49">
                  <c:v>32.947968338928305</c:v>
                </c:pt>
                <c:pt idx="50">
                  <c:v>33.361930057654085</c:v>
                </c:pt>
                <c:pt idx="51">
                  <c:v>34.298487672911484</c:v>
                </c:pt>
                <c:pt idx="52">
                  <c:v>35.952254653618922</c:v>
                </c:pt>
                <c:pt idx="53">
                  <c:v>38.568029342632286</c:v>
                </c:pt>
                <c:pt idx="54">
                  <c:v>42.449466110732601</c:v>
                </c:pt>
                <c:pt idx="55">
                  <c:v>47.939387937360401</c:v>
                </c:pt>
                <c:pt idx="56">
                  <c:v>55.263990539550505</c:v>
                </c:pt>
                <c:pt idx="57">
                  <c:v>63.904657591686522</c:v>
                </c:pt>
                <c:pt idx="58">
                  <c:v>70.728218977970414</c:v>
                </c:pt>
                <c:pt idx="59">
                  <c:v>69.537141472658888</c:v>
                </c:pt>
                <c:pt idx="60">
                  <c:v>61.997620542444849</c:v>
                </c:pt>
                <c:pt idx="61">
                  <c:v>53.946810110593624</c:v>
                </c:pt>
                <c:pt idx="62">
                  <c:v>47.302911931357073</c:v>
                </c:pt>
                <c:pt idx="63">
                  <c:v>42.157304240283715</c:v>
                </c:pt>
                <c:pt idx="64">
                  <c:v>38.182768064530634</c:v>
                </c:pt>
                <c:pt idx="65">
                  <c:v>35.037587833913371</c:v>
                </c:pt>
                <c:pt idx="66">
                  <c:v>32.451917996096704</c:v>
                </c:pt>
                <c:pt idx="67">
                  <c:v>30.228774027658716</c:v>
                </c:pt>
                <c:pt idx="68">
                  <c:v>28.228041550735551</c:v>
                </c:pt>
                <c:pt idx="69">
                  <c:v>26.351391781312614</c:v>
                </c:pt>
                <c:pt idx="70">
                  <c:v>24.531662799594287</c:v>
                </c:pt>
                <c:pt idx="71">
                  <c:v>22.726755470316338</c:v>
                </c:pt>
                <c:pt idx="72">
                  <c:v>20.917659298413025</c:v>
                </c:pt>
                <c:pt idx="73">
                  <c:v>19.110641676719265</c:v>
                </c:pt>
                <c:pt idx="74">
                  <c:v>17.344223505173044</c:v>
                </c:pt>
                <c:pt idx="75">
                  <c:v>15.701614248927074</c:v>
                </c:pt>
                <c:pt idx="76">
                  <c:v>14.326424608389603</c:v>
                </c:pt>
                <c:pt idx="77">
                  <c:v>13.427951463590709</c:v>
                </c:pt>
                <c:pt idx="78">
                  <c:v>13.241777260645222</c:v>
                </c:pt>
                <c:pt idx="79">
                  <c:v>13.925141661549221</c:v>
                </c:pt>
                <c:pt idx="80">
                  <c:v>15.465996468004226</c:v>
                </c:pt>
                <c:pt idx="81">
                  <c:v>17.713221199429562</c:v>
                </c:pt>
                <c:pt idx="82">
                  <c:v>20.477274700735226</c:v>
                </c:pt>
                <c:pt idx="83">
                  <c:v>23.595044046398222</c:v>
                </c:pt>
                <c:pt idx="84">
                  <c:v>26.945057177387643</c:v>
                </c:pt>
                <c:pt idx="85">
                  <c:v>30.441952975318383</c:v>
                </c:pt>
                <c:pt idx="86">
                  <c:v>34.02765558771975</c:v>
                </c:pt>
                <c:pt idx="87">
                  <c:v>37.663932926953542</c:v>
                </c:pt>
                <c:pt idx="88">
                  <c:v>41.326494151033451</c:v>
                </c:pt>
              </c:numCache>
            </c:numRef>
          </c:yVal>
          <c:smooth val="0"/>
          <c:extLst>
            <c:ext xmlns:c16="http://schemas.microsoft.com/office/drawing/2014/chart" uri="{C3380CC4-5D6E-409C-BE32-E72D297353CC}">
              <c16:uniqueId val="{00000001-9295-44F0-9ADE-1ADF4FA7C403}"/>
            </c:ext>
          </c:extLst>
        </c:ser>
        <c:dLbls>
          <c:showLegendKey val="0"/>
          <c:showVal val="0"/>
          <c:showCatName val="0"/>
          <c:showSerName val="0"/>
          <c:showPercent val="0"/>
          <c:showBubbleSize val="0"/>
        </c:dLbls>
        <c:axId val="1332081936"/>
        <c:axId val="1"/>
      </c:scatterChart>
      <c:valAx>
        <c:axId val="1332081936"/>
        <c:scaling>
          <c:orientation val="minMax"/>
          <c:max val="90"/>
          <c:min val="5"/>
        </c:scaling>
        <c:delete val="0"/>
        <c:axPos val="b"/>
        <c:majorGridlines/>
        <c:title>
          <c:tx>
            <c:rich>
              <a:bodyPr/>
              <a:lstStyle/>
              <a:p>
                <a:pPr>
                  <a:defRPr sz="1000" b="1" i="0" u="none" strike="noStrike" baseline="0">
                    <a:solidFill>
                      <a:srgbClr val="000000"/>
                    </a:solidFill>
                    <a:latin typeface="Calibri"/>
                    <a:ea typeface="Calibri"/>
                    <a:cs typeface="Calibri"/>
                  </a:defRPr>
                </a:pPr>
                <a:r>
                  <a:rPr lang="en-US"/>
                  <a:t>Angle of Incidence (AoI) [degrees]</a:t>
                </a:r>
              </a:p>
            </c:rich>
          </c:tx>
          <c:layout>
            <c:manualLayout>
              <c:xMode val="edge"/>
              <c:yMode val="edge"/>
              <c:x val="0.35340904001296614"/>
              <c:y val="0.91486317374885107"/>
            </c:manualLayout>
          </c:layout>
          <c:overlay val="0"/>
        </c:title>
        <c:numFmt formatCode="General" sourceLinked="1"/>
        <c:majorTickMark val="out"/>
        <c:minorTickMark val="in"/>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10"/>
        <c:minorUnit val="1"/>
      </c:valAx>
      <c:valAx>
        <c:axId val="1"/>
        <c:scaling>
          <c:orientation val="minMax"/>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Ellipsometric Parameters (Ψ &amp; Δ)</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2081936"/>
        <c:crosses val="autoZero"/>
        <c:crossBetween val="midCat"/>
        <c:majorUnit val="20"/>
        <c:minorUnit val="5"/>
      </c:valAx>
    </c:plotArea>
    <c:legend>
      <c:legendPos val="r"/>
      <c:layout>
        <c:manualLayout>
          <c:xMode val="edge"/>
          <c:yMode val="edge"/>
          <c:x val="0.8366600393596354"/>
          <c:y val="2.5889325288378741E-3"/>
          <c:w val="0.16112517953679847"/>
          <c:h val="0.12947372144519673"/>
        </c:manualLayout>
      </c:layout>
      <c:overlay val="1"/>
      <c:spPr>
        <a:solidFill>
          <a:schemeClr val="bg1"/>
        </a:solidFill>
        <a:ln>
          <a:solidFill>
            <a:schemeClr val="tx1"/>
          </a:solid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tif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934324" cy="7010400"/>
    <xdr:sp macro="" textlink="">
      <xdr:nvSpPr>
        <xdr:cNvPr id="2" name="TextBox 1">
          <a:extLst>
            <a:ext uri="{FF2B5EF4-FFF2-40B4-BE49-F238E27FC236}">
              <a16:creationId xmlns:a16="http://schemas.microsoft.com/office/drawing/2014/main" id="{62ADBA0F-CC6D-4179-B459-C1CAA5CCDA4D}"/>
            </a:ext>
          </a:extLst>
        </xdr:cNvPr>
        <xdr:cNvSpPr txBox="1"/>
      </xdr:nvSpPr>
      <xdr:spPr>
        <a:xfrm>
          <a:off x="0" y="0"/>
          <a:ext cx="7934324" cy="70104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The overall goal of this Excel calculator is</a:t>
          </a:r>
          <a:r>
            <a:rPr lang="en-US" sz="1100" baseline="0"/>
            <a:t> to allow one to experimentally determine thin film (on substrate) properties using a simple monochromatic rotating analyzer ellipsometer (RAE). This is done through regressive fitting of an optical model to experimental data using the Solver add-on in Excel.</a:t>
          </a:r>
          <a:br>
            <a:rPr lang="en-US" sz="1100" baseline="0"/>
          </a:br>
          <a:endParaRPr lang="en-US" sz="1100"/>
        </a:p>
        <a:p>
          <a:r>
            <a:rPr lang="en-US" sz="1100" b="1"/>
            <a:t>Experimental Data</a:t>
          </a:r>
        </a:p>
        <a:p>
          <a:r>
            <a:rPr lang="en-US" sz="1100"/>
            <a:t>The "Exp.</a:t>
          </a:r>
          <a:r>
            <a:rPr lang="en-US" sz="1100" baseline="0"/>
            <a:t> Data Collection" page is where one inputs the experimental intensity measurements made at various instrument angles of incidence and analyzer azimuths. The polarizer angle (</a:t>
          </a:r>
          <a:r>
            <a:rPr lang="el-GR" sz="1100" baseline="0"/>
            <a:t>α</a:t>
          </a:r>
          <a:r>
            <a:rPr lang="en-US" sz="1100" baseline="0"/>
            <a:t>1) relative to the incident plane is typically fixed at 45 degrees. The ellipsometric parameters are immediately calculated and displayed. This page has its values referenced by "Exp. Data Processing".</a:t>
          </a:r>
        </a:p>
        <a:p>
          <a:endParaRPr lang="en-US" sz="1100" baseline="0"/>
        </a:p>
        <a:p>
          <a:r>
            <a:rPr lang="en-US" sz="1100" baseline="0"/>
            <a:t>The "Exp. Data Processing" page acts as a home page that summarizes the experimental data and its relationship to the fitted model.</a:t>
          </a:r>
        </a:p>
        <a:p>
          <a:endParaRPr lang="en-US" sz="1100" b="1" baseline="0"/>
        </a:p>
        <a:p>
          <a:r>
            <a:rPr lang="en-US" sz="1100" b="1" baseline="0"/>
            <a:t>Model Fitting</a:t>
          </a:r>
        </a:p>
        <a:p>
          <a:r>
            <a:rPr lang="en-US" sz="1100" baseline="0"/>
            <a:t>The regressive fitting process requires Excel's Solver add-on be enabled in the settings. It also requires that one knows the complex indicies of refraction for the sample ambient phase (likely air) and the substrate that the film is on. If the default solver settings are not automatically present they can be loaded using the "Default Solver Settings" cells below the parameter calculator table.</a:t>
          </a:r>
        </a:p>
        <a:p>
          <a:endParaRPr lang="en-US" sz="1100" baseline="0"/>
        </a:p>
        <a:p>
          <a:r>
            <a:rPr lang="en-US" sz="1100" baseline="0"/>
            <a:t>Regressive fitting involves varying the model ellipsometric parameters as a function of film refractive index and thickness. These values are varied until the average sum of normalized squared errors between model and experimental parameters is minimized. Solver ranges for the film refractive index (n1), coefficient of extinction (k1), and thickness (d1) can be used to decrease solving time and increase accuracy. Setting the "min" and "max" cells to the same value is equivalent to telling the solver that a parameter is known. This is particularly useful for the coefficient of extinction (k1) because it is typically considered or assumed nonexistent (k1 = 0) for many films of interest</a:t>
          </a:r>
        </a:p>
      </xdr:txBody>
    </xdr:sp>
    <xdr:clientData/>
  </xdr:oneCellAnchor>
  <xdr:twoCellAnchor>
    <xdr:from>
      <xdr:col>12</xdr:col>
      <xdr:colOff>609599</xdr:colOff>
      <xdr:row>5</xdr:row>
      <xdr:rowOff>19051</xdr:rowOff>
    </xdr:from>
    <xdr:to>
      <xdr:col>18</xdr:col>
      <xdr:colOff>609599</xdr:colOff>
      <xdr:row>13</xdr:row>
      <xdr:rowOff>102635</xdr:rowOff>
    </xdr:to>
    <xdr:grpSp>
      <xdr:nvGrpSpPr>
        <xdr:cNvPr id="5" name="Group 4">
          <a:extLst>
            <a:ext uri="{FF2B5EF4-FFF2-40B4-BE49-F238E27FC236}">
              <a16:creationId xmlns:a16="http://schemas.microsoft.com/office/drawing/2014/main" id="{CEFFF328-1B74-4D5A-B429-54E072186C52}"/>
            </a:ext>
          </a:extLst>
        </xdr:cNvPr>
        <xdr:cNvGrpSpPr/>
      </xdr:nvGrpSpPr>
      <xdr:grpSpPr>
        <a:xfrm>
          <a:off x="7924799" y="1019176"/>
          <a:ext cx="3657600" cy="1607584"/>
          <a:chOff x="7324724" y="1"/>
          <a:chExt cx="3657600" cy="1607584"/>
        </a:xfrm>
      </xdr:grpSpPr>
      <xdr:pic>
        <xdr:nvPicPr>
          <xdr:cNvPr id="3" name="Picture 2" descr="Image result for Rotating analyzer ellipsometer">
            <a:extLst>
              <a:ext uri="{FF2B5EF4-FFF2-40B4-BE49-F238E27FC236}">
                <a16:creationId xmlns:a16="http://schemas.microsoft.com/office/drawing/2014/main" id="{6D8D0CDC-AA7F-46B3-A769-4F07359DA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4" y="1"/>
            <a:ext cx="3657600" cy="131323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Box 3">
            <a:extLst>
              <a:ext uri="{FF2B5EF4-FFF2-40B4-BE49-F238E27FC236}">
                <a16:creationId xmlns:a16="http://schemas.microsoft.com/office/drawing/2014/main" id="{3A9FAE16-734F-4467-93DE-C8B9E3B5CE06}"/>
              </a:ext>
            </a:extLst>
          </xdr:cNvPr>
          <xdr:cNvSpPr txBox="1"/>
        </xdr:nvSpPr>
        <xdr:spPr>
          <a:xfrm>
            <a:off x="8201025" y="1343025"/>
            <a:ext cx="1940018"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b="1" u="sng"/>
              <a:t>RAE Instrument</a:t>
            </a:r>
            <a:r>
              <a:rPr lang="en-US" sz="1100" b="1" u="sng" baseline="0"/>
              <a:t> Configuration</a:t>
            </a:r>
            <a:endParaRPr lang="en-US" sz="1100" b="1" u="sng"/>
          </a:p>
        </xdr:txBody>
      </xdr:sp>
    </xdr:grpSp>
    <xdr:clientData/>
  </xdr:twoCellAnchor>
  <xdr:oneCellAnchor>
    <xdr:from>
      <xdr:col>19</xdr:col>
      <xdr:colOff>28574</xdr:colOff>
      <xdr:row>0</xdr:row>
      <xdr:rowOff>0</xdr:rowOff>
    </xdr:from>
    <xdr:ext cx="1809751" cy="123825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BA25819A-F554-417B-A6BA-7B8B172F6FB1}"/>
                </a:ext>
              </a:extLst>
            </xdr:cNvPr>
            <xdr:cNvSpPr txBox="1"/>
          </xdr:nvSpPr>
          <xdr:spPr>
            <a:xfrm>
              <a:off x="11610974" y="0"/>
              <a:ext cx="1809751" cy="123825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mn-ea"/>
                        <a:cs typeface="+mn-cs"/>
                      </a:rPr>
                      <m:t>𝛲</m:t>
                    </m:r>
                    <m:r>
                      <a:rPr lang="en-US"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𝛲</m:t>
                            </m:r>
                          </m:e>
                          <m:sub>
                            <m:r>
                              <m:rPr>
                                <m:sty m:val="p"/>
                              </m:rPr>
                              <a:rPr lang="en-US" sz="1100">
                                <a:solidFill>
                                  <a:schemeClr val="tx1"/>
                                </a:solidFill>
                                <a:effectLst/>
                                <a:latin typeface="Cambria Math" panose="02040503050406030204" pitchFamily="18" charset="0"/>
                                <a:ea typeface="+mn-ea"/>
                                <a:cs typeface="+mn-cs"/>
                              </a:rPr>
                              <m:t>π</m:t>
                            </m:r>
                          </m:sub>
                        </m:sSub>
                      </m:num>
                      <m:den>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𝛲</m:t>
                            </m:r>
                          </m:e>
                          <m:sub>
                            <m:r>
                              <m:rPr>
                                <m:sty m:val="p"/>
                              </m:rPr>
                              <a:rPr lang="en-US" sz="1100">
                                <a:solidFill>
                                  <a:schemeClr val="tx1"/>
                                </a:solidFill>
                                <a:effectLst/>
                                <a:latin typeface="Cambria Math" panose="02040503050406030204" pitchFamily="18" charset="0"/>
                                <a:ea typeface="+mn-ea"/>
                                <a:cs typeface="+mn-cs"/>
                              </a:rPr>
                              <m:t>σ</m:t>
                            </m:r>
                          </m:sub>
                        </m:sSub>
                      </m:den>
                    </m:f>
                    <m:r>
                      <a:rPr lang="en-US" sz="1100" i="1">
                        <a:solidFill>
                          <a:schemeClr val="tx1"/>
                        </a:solidFill>
                        <a:effectLst/>
                        <a:latin typeface="Cambria Math" panose="02040503050406030204" pitchFamily="18" charset="0"/>
                        <a:ea typeface="+mn-ea"/>
                        <a:cs typeface="+mn-cs"/>
                      </a:rPr>
                      <m:t>=</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r>
                              <m:rPr>
                                <m:sty m:val="p"/>
                              </m:rPr>
                              <a:rPr lang="en-US" sz="1100">
                                <a:solidFill>
                                  <a:schemeClr val="tx1"/>
                                </a:solidFill>
                                <a:effectLst/>
                                <a:latin typeface="Cambria Math" panose="02040503050406030204" pitchFamily="18" charset="0"/>
                                <a:ea typeface="+mn-ea"/>
                                <a:cs typeface="+mn-cs"/>
                              </a:rPr>
                              <m:t>ψ</m:t>
                            </m:r>
                          </m:e>
                        </m:d>
                      </m:e>
                    </m:func>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𝑒</m:t>
                        </m:r>
                      </m:e>
                      <m:sup>
                        <m:r>
                          <a:rPr lang="en-US" sz="1100" i="1">
                            <a:solidFill>
                              <a:schemeClr val="tx1"/>
                            </a:solidFill>
                            <a:effectLst/>
                            <a:latin typeface="Cambria Math" panose="02040503050406030204" pitchFamily="18" charset="0"/>
                            <a:ea typeface="+mn-ea"/>
                            <a:cs typeface="+mn-cs"/>
                          </a:rPr>
                          <m:t>𝑗</m:t>
                        </m:r>
                        <m:r>
                          <m:rPr>
                            <m:sty m:val="p"/>
                          </m:rPr>
                          <a:rPr lang="en-US" sz="1100">
                            <a:solidFill>
                              <a:schemeClr val="tx1"/>
                            </a:solidFill>
                            <a:effectLst/>
                            <a:latin typeface="Cambria Math" panose="02040503050406030204" pitchFamily="18" charset="0"/>
                            <a:ea typeface="+mn-ea"/>
                            <a:cs typeface="+mn-cs"/>
                          </a:rPr>
                          <m:t>Δ</m:t>
                        </m:r>
                      </m:sup>
                    </m:sSup>
                  </m:oMath>
                </m:oMathPara>
              </a14:m>
              <a:endParaRPr lang="en-US" sz="1100">
                <a:solidFill>
                  <a:schemeClr val="tx1"/>
                </a:solidFill>
                <a:effectLst/>
                <a:latin typeface="+mn-lt"/>
                <a:ea typeface="+mn-ea"/>
                <a:cs typeface="+mn-cs"/>
              </a:endParaRPr>
            </a:p>
            <a:p>
              <a:pPr algn="ctr"/>
              <a:endParaRPr lang="en-US" sz="1100" b="1" u="sng"/>
            </a:p>
            <a:p>
              <a:pPr algn="ctr"/>
              <a:r>
                <a:rPr lang="en-US" sz="1100" b="1" u="sng"/>
                <a:t>Fundamental Ellipsometric</a:t>
              </a:r>
              <a:r>
                <a:rPr lang="en-US" sz="1100" b="1" u="sng" baseline="0"/>
                <a:t> Equation</a:t>
              </a:r>
              <a:endParaRPr lang="en-US" sz="1100" b="1" u="sng"/>
            </a:p>
          </xdr:txBody>
        </xdr:sp>
      </mc:Choice>
      <mc:Fallback xmlns="">
        <xdr:sp macro="" textlink="">
          <xdr:nvSpPr>
            <xdr:cNvPr id="7" name="TextBox 6">
              <a:extLst>
                <a:ext uri="{FF2B5EF4-FFF2-40B4-BE49-F238E27FC236}">
                  <a16:creationId xmlns:a16="http://schemas.microsoft.com/office/drawing/2014/main" id="{BA25819A-F554-417B-A6BA-7B8B172F6FB1}"/>
                </a:ext>
              </a:extLst>
            </xdr:cNvPr>
            <xdr:cNvSpPr txBox="1"/>
          </xdr:nvSpPr>
          <xdr:spPr>
            <a:xfrm>
              <a:off x="11610974" y="0"/>
              <a:ext cx="1809751" cy="123825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lang="en-US" sz="1100" i="0">
                  <a:solidFill>
                    <a:schemeClr val="tx1"/>
                  </a:solidFill>
                  <a:effectLst/>
                  <a:latin typeface="Cambria Math" panose="02040503050406030204" pitchFamily="18" charset="0"/>
                  <a:ea typeface="+mn-ea"/>
                  <a:cs typeface="+mn-cs"/>
                </a:rPr>
                <a:t>𝛲=𝛲_π/𝛲_σ =tan⁡(ψ) 𝑒^𝑗Δ</a:t>
              </a:r>
              <a:endParaRPr lang="en-US" sz="1100">
                <a:solidFill>
                  <a:schemeClr val="tx1"/>
                </a:solidFill>
                <a:effectLst/>
                <a:latin typeface="+mn-lt"/>
                <a:ea typeface="+mn-ea"/>
                <a:cs typeface="+mn-cs"/>
              </a:endParaRPr>
            </a:p>
            <a:p>
              <a:pPr algn="ctr"/>
              <a:endParaRPr lang="en-US" sz="1100" b="1" u="sng"/>
            </a:p>
            <a:p>
              <a:pPr algn="ctr"/>
              <a:r>
                <a:rPr lang="en-US" sz="1100" b="1" u="sng"/>
                <a:t>Fundamental Ellipsometric</a:t>
              </a:r>
              <a:r>
                <a:rPr lang="en-US" sz="1100" b="1" u="sng" baseline="0"/>
                <a:t> Equation</a:t>
              </a:r>
              <a:endParaRPr lang="en-US" sz="1100" b="1" u="sng"/>
            </a:p>
          </xdr:txBody>
        </xdr:sp>
      </mc:Fallback>
    </mc:AlternateContent>
    <xdr:clientData/>
  </xdr:oneCellAnchor>
  <xdr:twoCellAnchor>
    <xdr:from>
      <xdr:col>12</xdr:col>
      <xdr:colOff>600075</xdr:colOff>
      <xdr:row>14</xdr:row>
      <xdr:rowOff>19051</xdr:rowOff>
    </xdr:from>
    <xdr:to>
      <xdr:col>19</xdr:col>
      <xdr:colOff>416234</xdr:colOff>
      <xdr:row>24</xdr:row>
      <xdr:rowOff>7386</xdr:rowOff>
    </xdr:to>
    <xdr:grpSp>
      <xdr:nvGrpSpPr>
        <xdr:cNvPr id="12" name="Group 11">
          <a:extLst>
            <a:ext uri="{FF2B5EF4-FFF2-40B4-BE49-F238E27FC236}">
              <a16:creationId xmlns:a16="http://schemas.microsoft.com/office/drawing/2014/main" id="{D220E8BF-AEE6-462B-8DF4-7F9C212C0FB5}"/>
            </a:ext>
          </a:extLst>
        </xdr:cNvPr>
        <xdr:cNvGrpSpPr/>
      </xdr:nvGrpSpPr>
      <xdr:grpSpPr>
        <a:xfrm>
          <a:off x="7915275" y="2733676"/>
          <a:ext cx="4083359" cy="1893335"/>
          <a:chOff x="7915275" y="1714501"/>
          <a:chExt cx="4083359" cy="1893335"/>
        </a:xfrm>
      </xdr:grpSpPr>
      <xdr:pic>
        <xdr:nvPicPr>
          <xdr:cNvPr id="9" name="Picture 8">
            <a:extLst>
              <a:ext uri="{FF2B5EF4-FFF2-40B4-BE49-F238E27FC236}">
                <a16:creationId xmlns:a16="http://schemas.microsoft.com/office/drawing/2014/main" id="{92470E9C-1D7F-4015-9F67-2939744D14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15275" y="1714501"/>
            <a:ext cx="4083359" cy="1581150"/>
          </a:xfrm>
          <a:prstGeom prst="rect">
            <a:avLst/>
          </a:prstGeom>
        </xdr:spPr>
      </xdr:pic>
      <xdr:sp macro="" textlink="">
        <xdr:nvSpPr>
          <xdr:cNvPr id="13" name="TextBox 12">
            <a:extLst>
              <a:ext uri="{FF2B5EF4-FFF2-40B4-BE49-F238E27FC236}">
                <a16:creationId xmlns:a16="http://schemas.microsoft.com/office/drawing/2014/main" id="{B6979E7B-FD37-4A8F-B0E6-6FF3BED489B2}"/>
              </a:ext>
            </a:extLst>
          </xdr:cNvPr>
          <xdr:cNvSpPr txBox="1"/>
        </xdr:nvSpPr>
        <xdr:spPr>
          <a:xfrm>
            <a:off x="8991599" y="3343276"/>
            <a:ext cx="1940018"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b="1" u="sng"/>
              <a:t>Three-Phase Reflections</a:t>
            </a:r>
          </a:p>
        </xdr:txBody>
      </xdr:sp>
    </xdr:grpSp>
    <xdr:clientData/>
  </xdr:twoCellAnchor>
  <xdr:twoCellAnchor>
    <xdr:from>
      <xdr:col>19</xdr:col>
      <xdr:colOff>590551</xdr:colOff>
      <xdr:row>6</xdr:row>
      <xdr:rowOff>0</xdr:rowOff>
    </xdr:from>
    <xdr:to>
      <xdr:col>25</xdr:col>
      <xdr:colOff>591049</xdr:colOff>
      <xdr:row>21</xdr:row>
      <xdr:rowOff>150261</xdr:rowOff>
    </xdr:to>
    <xdr:grpSp>
      <xdr:nvGrpSpPr>
        <xdr:cNvPr id="8" name="Group 7">
          <a:extLst>
            <a:ext uri="{FF2B5EF4-FFF2-40B4-BE49-F238E27FC236}">
              <a16:creationId xmlns:a16="http://schemas.microsoft.com/office/drawing/2014/main" id="{9CF2D152-0100-424D-A1E4-3FCEB7E2688E}"/>
            </a:ext>
          </a:extLst>
        </xdr:cNvPr>
        <xdr:cNvGrpSpPr/>
      </xdr:nvGrpSpPr>
      <xdr:grpSpPr>
        <a:xfrm>
          <a:off x="12172951" y="1190625"/>
          <a:ext cx="3658098" cy="3007761"/>
          <a:chOff x="12172951" y="1190625"/>
          <a:chExt cx="3658098" cy="3007761"/>
        </a:xfrm>
      </xdr:grpSpPr>
      <xdr:pic>
        <xdr:nvPicPr>
          <xdr:cNvPr id="6" name="Picture 5">
            <a:extLst>
              <a:ext uri="{FF2B5EF4-FFF2-40B4-BE49-F238E27FC236}">
                <a16:creationId xmlns:a16="http://schemas.microsoft.com/office/drawing/2014/main" id="{D9132466-DC9B-47B7-A39F-55AB543F30F0}"/>
              </a:ext>
            </a:extLst>
          </xdr:cNvPr>
          <xdr:cNvPicPr>
            <a:picLocks noChangeAspect="1"/>
          </xdr:cNvPicPr>
        </xdr:nvPicPr>
        <xdr:blipFill rotWithShape="1">
          <a:blip xmlns:r="http://schemas.openxmlformats.org/officeDocument/2006/relationships" r:embed="rId3"/>
          <a:srcRect b="7868"/>
          <a:stretch/>
        </xdr:blipFill>
        <xdr:spPr>
          <a:xfrm>
            <a:off x="12172951" y="1190625"/>
            <a:ext cx="3658098" cy="2676526"/>
          </a:xfrm>
          <a:prstGeom prst="rect">
            <a:avLst/>
          </a:prstGeom>
        </xdr:spPr>
      </xdr:pic>
      <xdr:sp macro="" textlink="">
        <xdr:nvSpPr>
          <xdr:cNvPr id="11" name="TextBox 10">
            <a:extLst>
              <a:ext uri="{FF2B5EF4-FFF2-40B4-BE49-F238E27FC236}">
                <a16:creationId xmlns:a16="http://schemas.microsoft.com/office/drawing/2014/main" id="{02998E1D-33E8-4933-BDEF-A8442BBB69AD}"/>
              </a:ext>
            </a:extLst>
          </xdr:cNvPr>
          <xdr:cNvSpPr txBox="1"/>
        </xdr:nvSpPr>
        <xdr:spPr>
          <a:xfrm>
            <a:off x="13039726" y="3933826"/>
            <a:ext cx="1924050"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100" b="1" u="sng"/>
              <a:t>Experimental</a:t>
            </a:r>
            <a:r>
              <a:rPr lang="en-US" sz="1100" b="1" u="sng" baseline="0"/>
              <a:t> Data Processing</a:t>
            </a:r>
            <a:endParaRPr lang="en-US" sz="1100" b="1" u="sng"/>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95247</xdr:colOff>
      <xdr:row>24</xdr:row>
      <xdr:rowOff>165464</xdr:rowOff>
    </xdr:from>
    <xdr:ext cx="3095627" cy="80951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D7FED19C-6397-4C9D-BC44-919F732C9DFB}"/>
                </a:ext>
              </a:extLst>
            </xdr:cNvPr>
            <xdr:cNvSpPr txBox="1"/>
          </xdr:nvSpPr>
          <xdr:spPr>
            <a:xfrm flipH="1">
              <a:off x="5924547" y="4794614"/>
              <a:ext cx="3095627" cy="80951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m:rPr>
                        <m:sty m:val="p"/>
                      </m:rPr>
                      <a:rPr lang="en-US" sz="1100" i="0">
                        <a:solidFill>
                          <a:schemeClr val="tx1"/>
                        </a:solidFill>
                        <a:effectLst/>
                        <a:latin typeface="Cambria Math" panose="02040503050406030204" pitchFamily="18" charset="0"/>
                        <a:ea typeface="+mn-ea"/>
                        <a:cs typeface="+mn-cs"/>
                      </a:rPr>
                      <m:t>ψ</m:t>
                    </m:r>
                    <m:r>
                      <a:rPr lang="en-US" sz="1100" i="0">
                        <a:solidFill>
                          <a:schemeClr val="tx1"/>
                        </a:solidFill>
                        <a:effectLst/>
                        <a:latin typeface="Cambria Math" panose="02040503050406030204" pitchFamily="18" charset="0"/>
                        <a:ea typeface="+mn-ea"/>
                        <a:cs typeface="+mn-cs"/>
                      </a:rPr>
                      <m:t>=</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atan</m:t>
                        </m:r>
                      </m:fName>
                      <m:e>
                        <m:d>
                          <m:dPr>
                            <m:ctrlPr>
                              <a:rPr lang="en-US" sz="1100" i="1">
                                <a:solidFill>
                                  <a:schemeClr val="tx1"/>
                                </a:solidFill>
                                <a:effectLst/>
                                <a:latin typeface="Cambria Math" panose="02040503050406030204" pitchFamily="18" charset="0"/>
                                <a:ea typeface="+mn-ea"/>
                                <a:cs typeface="+mn-cs"/>
                              </a:rPr>
                            </m:ctrlPr>
                          </m:dPr>
                          <m:e>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α</m:t>
                                        </m:r>
                                      </m:e>
                                      <m:sub>
                                        <m:r>
                                          <a:rPr lang="en-US" sz="1100" i="0">
                                            <a:solidFill>
                                              <a:schemeClr val="tx1"/>
                                            </a:solidFill>
                                            <a:effectLst/>
                                            <a:latin typeface="Cambria Math" panose="02040503050406030204" pitchFamily="18" charset="0"/>
                                            <a:ea typeface="+mn-ea"/>
                                            <a:cs typeface="+mn-cs"/>
                                          </a:rPr>
                                          <m:t>1</m:t>
                                        </m:r>
                                      </m:sub>
                                    </m:sSub>
                                  </m:e>
                                </m:d>
                              </m:e>
                            </m:func>
                            <m:r>
                              <a:rPr lang="en-US" sz="1100" i="0">
                                <a:solidFill>
                                  <a:schemeClr val="tx1"/>
                                </a:solidFill>
                                <a:effectLst/>
                                <a:latin typeface="Cambria Math" panose="02040503050406030204" pitchFamily="18" charset="0"/>
                                <a:ea typeface="+mn-ea"/>
                                <a:cs typeface="+mn-cs"/>
                              </a:rPr>
                              <m:t>∗</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d>
                                          <m:dPr>
                                            <m:begChr m:val=""/>
                                            <m:endChr m:val=""/>
                                            <m:ctrlPr>
                                              <a:rPr lang="en-US" sz="1100" i="1">
                                                <a:solidFill>
                                                  <a:schemeClr val="tx1"/>
                                                </a:solidFill>
                                                <a:effectLst/>
                                                <a:latin typeface="Cambria Math" panose="02040503050406030204" pitchFamily="18" charset="0"/>
                                                <a:ea typeface="+mn-ea"/>
                                                <a:cs typeface="+mn-cs"/>
                                              </a:rPr>
                                            </m:ctrlPr>
                                          </m:dPr>
                                          <m:e>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acos</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I</m:t>
                                                            </m:r>
                                                          </m:e>
                                                          <m:sub>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90°</m:t>
                                                                </m:r>
                                                              </m:e>
                                                            </m:d>
                                                          </m:sub>
                                                        </m:sSub>
                                                        <m:r>
                                                          <a:rPr lang="en-US" sz="1100" i="0">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I</m:t>
                                                            </m:r>
                                                          </m:e>
                                                          <m:sub>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0°</m:t>
                                                                </m:r>
                                                              </m:e>
                                                            </m:d>
                                                          </m:sub>
                                                        </m:sSub>
                                                      </m:num>
                                                      <m:den>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I</m:t>
                                                            </m:r>
                                                          </m:e>
                                                          <m:sub>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90°</m:t>
                                                                </m:r>
                                                              </m:e>
                                                            </m:d>
                                                          </m:sub>
                                                        </m:sSub>
                                                        <m:r>
                                                          <a:rPr lang="en-US" sz="1100" i="0">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I</m:t>
                                                            </m:r>
                                                          </m:e>
                                                          <m:sub>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0°</m:t>
                                                                </m:r>
                                                              </m:e>
                                                            </m:d>
                                                          </m:sub>
                                                        </m:sSub>
                                                      </m:den>
                                                    </m:f>
                                                  </m:e>
                                                </m:d>
                                              </m:e>
                                            </m:func>
                                          </m:e>
                                        </m:d>
                                      </m:num>
                                      <m:den>
                                        <m:r>
                                          <a:rPr lang="en-US" sz="1100" i="0">
                                            <a:solidFill>
                                              <a:schemeClr val="tx1"/>
                                            </a:solidFill>
                                            <a:effectLst/>
                                            <a:latin typeface="Cambria Math" panose="02040503050406030204" pitchFamily="18" charset="0"/>
                                            <a:ea typeface="+mn-ea"/>
                                            <a:cs typeface="+mn-cs"/>
                                          </a:rPr>
                                          <m:t>2</m:t>
                                        </m:r>
                                      </m:den>
                                    </m:f>
                                  </m:e>
                                </m:d>
                              </m:e>
                            </m:func>
                          </m:e>
                        </m:d>
                      </m:e>
                    </m:func>
                  </m:oMath>
                </m:oMathPara>
              </a14:m>
              <a:endParaRPr lang="en-US" sz="1100" i="0">
                <a:solidFill>
                  <a:schemeClr val="tx1"/>
                </a:solidFill>
                <a:effectLst/>
                <a:latin typeface="+mn-lt"/>
                <a:ea typeface="+mn-ea"/>
                <a:cs typeface="+mn-cs"/>
              </a:endParaRPr>
            </a:p>
            <a:p>
              <a:endParaRPr lang="en-US" sz="1100"/>
            </a:p>
          </xdr:txBody>
        </xdr:sp>
      </mc:Choice>
      <mc:Fallback xmlns="">
        <xdr:sp macro="" textlink="">
          <xdr:nvSpPr>
            <xdr:cNvPr id="2" name="TextBox 1">
              <a:extLst>
                <a:ext uri="{FF2B5EF4-FFF2-40B4-BE49-F238E27FC236}">
                  <a16:creationId xmlns:a16="http://schemas.microsoft.com/office/drawing/2014/main" id="{D7FED19C-6397-4C9D-BC44-919F732C9DFB}"/>
                </a:ext>
              </a:extLst>
            </xdr:cNvPr>
            <xdr:cNvSpPr txBox="1"/>
          </xdr:nvSpPr>
          <xdr:spPr>
            <a:xfrm flipH="1">
              <a:off x="5924547" y="4794614"/>
              <a:ext cx="3095627" cy="80951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ψ=atan⁡(tan⁡(α_1 )∗tan⁡(├ acos⁡((I_(</a:t>
              </a:r>
              <a:r>
                <a:rPr lang="en-US" sz="1100" i="0">
                  <a:solidFill>
                    <a:schemeClr val="tx1"/>
                  </a:solidFill>
                  <a:effectLst/>
                  <a:latin typeface="+mn-lt"/>
                  <a:ea typeface="+mn-ea"/>
                  <a:cs typeface="+mn-cs"/>
                </a:rPr>
                <a:t>(90°)</a:t>
              </a:r>
              <a:r>
                <a:rPr lang="en-US" sz="1100" i="0">
                  <a:solidFill>
                    <a:schemeClr val="tx1"/>
                  </a:solidFill>
                  <a:effectLst/>
                  <a:latin typeface="Cambria Math" panose="02040503050406030204" pitchFamily="18" charset="0"/>
                  <a:ea typeface="+mn-ea"/>
                  <a:cs typeface="+mn-cs"/>
                </a:rPr>
                <a:t> )−I_(</a:t>
              </a:r>
              <a:r>
                <a:rPr lang="en-US" sz="1100" i="0">
                  <a:solidFill>
                    <a:schemeClr val="tx1"/>
                  </a:solidFill>
                  <a:effectLst/>
                  <a:latin typeface="+mn-lt"/>
                  <a:ea typeface="+mn-ea"/>
                  <a:cs typeface="+mn-cs"/>
                </a:rPr>
                <a:t>(0°)</a:t>
              </a:r>
              <a:r>
                <a:rPr lang="en-US" sz="1100" i="0">
                  <a:solidFill>
                    <a:schemeClr val="tx1"/>
                  </a:solidFill>
                  <a:effectLst/>
                  <a:latin typeface="Cambria Math" panose="02040503050406030204" pitchFamily="18" charset="0"/>
                  <a:ea typeface="+mn-ea"/>
                  <a:cs typeface="+mn-cs"/>
                </a:rPr>
                <a:t> ))/(I_(</a:t>
              </a:r>
              <a:r>
                <a:rPr lang="en-US" sz="1100" i="0">
                  <a:solidFill>
                    <a:schemeClr val="tx1"/>
                  </a:solidFill>
                  <a:effectLst/>
                  <a:latin typeface="+mn-lt"/>
                  <a:ea typeface="+mn-ea"/>
                  <a:cs typeface="+mn-cs"/>
                </a:rPr>
                <a:t>(90°)</a:t>
              </a:r>
              <a:r>
                <a:rPr lang="en-US" sz="1100" i="0">
                  <a:solidFill>
                    <a:schemeClr val="tx1"/>
                  </a:solidFill>
                  <a:effectLst/>
                  <a:latin typeface="Cambria Math" panose="02040503050406030204" pitchFamily="18" charset="0"/>
                  <a:ea typeface="+mn-ea"/>
                  <a:cs typeface="+mn-cs"/>
                </a:rPr>
                <a:t> )+I_(</a:t>
              </a:r>
              <a:r>
                <a:rPr lang="en-US" sz="1100" i="0">
                  <a:solidFill>
                    <a:schemeClr val="tx1"/>
                  </a:solidFill>
                  <a:effectLst/>
                  <a:latin typeface="+mn-lt"/>
                  <a:ea typeface="+mn-ea"/>
                  <a:cs typeface="+mn-cs"/>
                </a:rPr>
                <a:t>(0°)</a:t>
              </a:r>
              <a:r>
                <a:rPr lang="en-US" sz="1100" i="0">
                  <a:solidFill>
                    <a:schemeClr val="tx1"/>
                  </a:solidFill>
                  <a:effectLst/>
                  <a:latin typeface="Cambria Math" panose="02040503050406030204" pitchFamily="18" charset="0"/>
                  <a:ea typeface="+mn-ea"/>
                  <a:cs typeface="+mn-cs"/>
                </a:rPr>
                <a:t> ) )) ┤/2) )</a:t>
              </a:r>
              <a:endParaRPr lang="en-US" sz="1100" i="0">
                <a:solidFill>
                  <a:schemeClr val="tx1"/>
                </a:solidFill>
                <a:effectLst/>
                <a:latin typeface="+mn-lt"/>
                <a:ea typeface="+mn-ea"/>
                <a:cs typeface="+mn-cs"/>
              </a:endParaRPr>
            </a:p>
            <a:p>
              <a:endParaRPr lang="en-US" sz="1100"/>
            </a:p>
          </xdr:txBody>
        </xdr:sp>
      </mc:Fallback>
    </mc:AlternateContent>
    <xdr:clientData/>
  </xdr:oneCellAnchor>
  <xdr:oneCellAnchor>
    <xdr:from>
      <xdr:col>8</xdr:col>
      <xdr:colOff>95250</xdr:colOff>
      <xdr:row>28</xdr:row>
      <xdr:rowOff>57151</xdr:rowOff>
    </xdr:from>
    <xdr:ext cx="3076575" cy="80962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2A6287A7-864D-4763-9E8D-2221F2FD5C19}"/>
                </a:ext>
              </a:extLst>
            </xdr:cNvPr>
            <xdr:cNvSpPr txBox="1"/>
          </xdr:nvSpPr>
          <xdr:spPr>
            <a:xfrm>
              <a:off x="5924550" y="5476876"/>
              <a:ext cx="3076575" cy="80962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m:rPr>
                        <m:sty m:val="p"/>
                      </m:rPr>
                      <a:rPr lang="en-US" sz="1100" i="0">
                        <a:solidFill>
                          <a:schemeClr val="tx1"/>
                        </a:solidFill>
                        <a:effectLst/>
                        <a:latin typeface="Cambria Math" panose="02040503050406030204" pitchFamily="18" charset="0"/>
                        <a:ea typeface="+mn-ea"/>
                        <a:cs typeface="+mn-cs"/>
                      </a:rPr>
                      <m:t>Δ</m:t>
                    </m:r>
                    <m:r>
                      <a:rPr lang="en-US" sz="1100" b="0" i="0">
                        <a:solidFill>
                          <a:schemeClr val="tx1"/>
                        </a:solidFill>
                        <a:effectLst/>
                        <a:latin typeface="Cambria Math" panose="02040503050406030204" pitchFamily="18" charset="0"/>
                        <a:ea typeface="+mn-ea"/>
                        <a:cs typeface="+mn-cs"/>
                      </a:rPr>
                      <m:t>=</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acos</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d>
                                  <m:dPr>
                                    <m:begChr m:val=""/>
                                    <m:endChr m:val=""/>
                                    <m:ctrlPr>
                                      <a:rPr lang="en-US" sz="1100" b="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I</m:t>
                                            </m:r>
                                          </m:e>
                                          <m:sub>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45°</m:t>
                                                </m:r>
                                              </m:e>
                                            </m:d>
                                          </m:sub>
                                        </m:sSub>
                                        <m:r>
                                          <a:rPr lang="en-US" sz="1100" i="0">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m:rPr>
                                                <m:sty m:val="p"/>
                                              </m:rPr>
                                              <a:rPr lang="en-US" sz="1100" b="0" i="0">
                                                <a:solidFill>
                                                  <a:schemeClr val="tx1"/>
                                                </a:solidFill>
                                                <a:effectLst/>
                                                <a:latin typeface="Cambria Math" panose="02040503050406030204" pitchFamily="18" charset="0"/>
                                                <a:ea typeface="+mn-ea"/>
                                                <a:cs typeface="+mn-cs"/>
                                              </a:rPr>
                                              <m:t>I</m:t>
                                            </m:r>
                                          </m:e>
                                          <m:sub>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−45</m:t>
                                                </m:r>
                                              </m:e>
                                            </m:d>
                                          </m:sub>
                                        </m:sSub>
                                      </m:num>
                                      <m:den>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I</m:t>
                                            </m:r>
                                          </m:e>
                                          <m:sub>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45°</m:t>
                                                </m:r>
                                              </m:e>
                                            </m:d>
                                          </m:sub>
                                        </m:sSub>
                                        <m:r>
                                          <a:rPr lang="en-US" sz="1100" i="0">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I</m:t>
                                            </m:r>
                                          </m:e>
                                          <m:sub>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−45°</m:t>
                                                </m:r>
                                              </m:e>
                                            </m:d>
                                          </m:sub>
                                        </m:sSub>
                                      </m:den>
                                    </m:f>
                                  </m:e>
                                </m:d>
                              </m:num>
                              <m:den>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sin</m:t>
                                    </m:r>
                                  </m:fName>
                                  <m:e>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2</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atan</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r>
                                                              <m:rPr>
                                                                <m:sty m:val="p"/>
                                                              </m:rPr>
                                                              <a:rPr lang="en-US" sz="1100" i="0">
                                                                <a:solidFill>
                                                                  <a:schemeClr val="tx1"/>
                                                                </a:solidFill>
                                                                <a:effectLst/>
                                                                <a:latin typeface="Cambria Math" panose="02040503050406030204" pitchFamily="18" charset="0"/>
                                                                <a:ea typeface="+mn-ea"/>
                                                                <a:cs typeface="+mn-cs"/>
                                                              </a:rPr>
                                                              <m:t>ψ</m:t>
                                                            </m:r>
                                                          </m:e>
                                                        </m:d>
                                                      </m:e>
                                                    </m:func>
                                                  </m:num>
                                                  <m:den>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α</m:t>
                                                                </m:r>
                                                              </m:e>
                                                              <m:sub>
                                                                <m:r>
                                                                  <a:rPr lang="en-US" sz="1100" i="0">
                                                                    <a:solidFill>
                                                                      <a:schemeClr val="tx1"/>
                                                                    </a:solidFill>
                                                                    <a:effectLst/>
                                                                    <a:latin typeface="Cambria Math" panose="02040503050406030204" pitchFamily="18" charset="0"/>
                                                                    <a:ea typeface="+mn-ea"/>
                                                                    <a:cs typeface="+mn-cs"/>
                                                                  </a:rPr>
                                                                  <m:t>1</m:t>
                                                                </m:r>
                                                              </m:sub>
                                                            </m:sSub>
                                                          </m:e>
                                                        </m:d>
                                                      </m:e>
                                                    </m:func>
                                                  </m:den>
                                                </m:f>
                                              </m:e>
                                            </m:d>
                                          </m:e>
                                        </m:func>
                                      </m:e>
                                    </m:d>
                                  </m:e>
                                </m:func>
                              </m:den>
                            </m:f>
                          </m:e>
                        </m:d>
                      </m:e>
                    </m:func>
                  </m:oMath>
                </m:oMathPara>
              </a14:m>
              <a:endParaRPr lang="en-US" sz="1100" i="0">
                <a:solidFill>
                  <a:schemeClr val="tx1"/>
                </a:solidFill>
                <a:effectLst/>
                <a:latin typeface="+mn-lt"/>
                <a:ea typeface="+mn-ea"/>
                <a:cs typeface="+mn-cs"/>
              </a:endParaRPr>
            </a:p>
          </xdr:txBody>
        </xdr:sp>
      </mc:Choice>
      <mc:Fallback xmlns="">
        <xdr:sp macro="" textlink="">
          <xdr:nvSpPr>
            <xdr:cNvPr id="3" name="TextBox 2">
              <a:extLst>
                <a:ext uri="{FF2B5EF4-FFF2-40B4-BE49-F238E27FC236}">
                  <a16:creationId xmlns:a16="http://schemas.microsoft.com/office/drawing/2014/main" id="{2A6287A7-864D-4763-9E8D-2221F2FD5C19}"/>
                </a:ext>
              </a:extLst>
            </xdr:cNvPr>
            <xdr:cNvSpPr txBox="1"/>
          </xdr:nvSpPr>
          <xdr:spPr>
            <a:xfrm>
              <a:off x="5924550" y="5476876"/>
              <a:ext cx="3076575" cy="80962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Δ</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acos⁡(</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I_(</a:t>
              </a:r>
              <a:r>
                <a:rPr lang="en-US" sz="1100" i="0">
                  <a:solidFill>
                    <a:schemeClr val="tx1"/>
                  </a:solidFill>
                  <a:effectLst/>
                  <a:latin typeface="+mn-lt"/>
                  <a:ea typeface="+mn-ea"/>
                  <a:cs typeface="+mn-cs"/>
                </a:rPr>
                <a:t>(45°)</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I_(</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−45)</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I_(</a:t>
              </a:r>
              <a:r>
                <a:rPr lang="en-US" sz="1100" i="0">
                  <a:solidFill>
                    <a:schemeClr val="tx1"/>
                  </a:solidFill>
                  <a:effectLst/>
                  <a:latin typeface="+mn-lt"/>
                  <a:ea typeface="+mn-ea"/>
                  <a:cs typeface="+mn-cs"/>
                </a:rPr>
                <a:t>(45°)</a:t>
              </a:r>
              <a:r>
                <a:rPr lang="en-US" sz="1100" i="0">
                  <a:solidFill>
                    <a:schemeClr val="tx1"/>
                  </a:solidFill>
                  <a:effectLst/>
                  <a:latin typeface="Cambria Math" panose="02040503050406030204" pitchFamily="18" charset="0"/>
                  <a:ea typeface="+mn-ea"/>
                  <a:cs typeface="+mn-cs"/>
                </a:rPr>
                <a:t> )+I_(</a:t>
              </a:r>
              <a:r>
                <a:rPr lang="en-US" sz="1100" i="0">
                  <a:solidFill>
                    <a:schemeClr val="tx1"/>
                  </a:solidFill>
                  <a:effectLst/>
                  <a:latin typeface="+mn-lt"/>
                  <a:ea typeface="+mn-ea"/>
                  <a:cs typeface="+mn-cs"/>
                </a:rPr>
                <a:t>(−45°)</a:t>
              </a:r>
              <a:r>
                <a:rPr lang="en-US" sz="1100" i="0">
                  <a:solidFill>
                    <a:schemeClr val="tx1"/>
                  </a:solidFill>
                  <a:effectLst/>
                  <a:latin typeface="Cambria Math" panose="02040503050406030204" pitchFamily="18" charset="0"/>
                  <a:ea typeface="+mn-ea"/>
                  <a:cs typeface="+mn-cs"/>
                </a:rPr>
                <a:t> ) )┤/sin⁡(2 atan⁡(tan⁡(ψ)/tan⁡(α_1 ) ) ) )</a:t>
              </a:r>
              <a:endParaRPr lang="en-US" sz="1100" i="0">
                <a:solidFill>
                  <a:schemeClr val="tx1"/>
                </a:solidFill>
                <a:effectLst/>
                <a:latin typeface="+mn-lt"/>
                <a:ea typeface="+mn-ea"/>
                <a:cs typeface="+mn-cs"/>
              </a:endParaRPr>
            </a:p>
          </xdr:txBody>
        </xdr:sp>
      </mc:Fallback>
    </mc:AlternateContent>
    <xdr:clientData/>
  </xdr:oneCellAnchor>
  <xdr:oneCellAnchor>
    <xdr:from>
      <xdr:col>0</xdr:col>
      <xdr:colOff>0</xdr:colOff>
      <xdr:row>0</xdr:row>
      <xdr:rowOff>0</xdr:rowOff>
    </xdr:from>
    <xdr:ext cx="7277100" cy="933450"/>
    <xdr:sp macro="" textlink="">
      <xdr:nvSpPr>
        <xdr:cNvPr id="5" name="TextBox 4">
          <a:extLst>
            <a:ext uri="{FF2B5EF4-FFF2-40B4-BE49-F238E27FC236}">
              <a16:creationId xmlns:a16="http://schemas.microsoft.com/office/drawing/2014/main" id="{3AB21714-A722-44D2-A38F-4D03BCD4BEF8}"/>
            </a:ext>
          </a:extLst>
        </xdr:cNvPr>
        <xdr:cNvSpPr txBox="1"/>
      </xdr:nvSpPr>
      <xdr:spPr>
        <a:xfrm>
          <a:off x="0" y="0"/>
          <a:ext cx="7277100" cy="933450"/>
        </a:xfrm>
        <a:prstGeom prst="rect">
          <a:avLst/>
        </a:prstGeom>
        <a:solidFill>
          <a:schemeClr val="bg1"/>
        </a:solidFill>
        <a:ln>
          <a:solidFill>
            <a:schemeClr val="bg1">
              <a:lumMod val="6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Input</a:t>
          </a:r>
          <a:r>
            <a:rPr lang="en-US" sz="1100" baseline="0"/>
            <a:t> relative light intensity measurements as a function of angle of incidence and analyzer azimuth angle.</a:t>
          </a:r>
          <a:br>
            <a:rPr lang="en-US" sz="1100" baseline="0"/>
          </a:br>
          <a:r>
            <a:rPr lang="en-US" sz="1100" baseline="0"/>
            <a:t>Ellipsometric paramteres </a:t>
          </a:r>
          <a:r>
            <a:rPr lang="el-GR" sz="1100" baseline="0"/>
            <a:t>Ψ</a:t>
          </a:r>
          <a:r>
            <a:rPr lang="en-US" sz="1100" baseline="0"/>
            <a:t> and </a:t>
          </a:r>
          <a:r>
            <a:rPr lang="el-GR" sz="1100" baseline="0"/>
            <a:t>Δ</a:t>
          </a:r>
          <a:r>
            <a:rPr lang="en-US" sz="1100" baseline="0"/>
            <a:t> are automatically calculated as a result.</a:t>
          </a:r>
          <a:br>
            <a:rPr lang="en-US" sz="1100" baseline="0"/>
          </a:br>
          <a:r>
            <a:rPr lang="en-US" sz="1100" baseline="0"/>
            <a:t>Measuring ellipsometric parameters at additional angles of incidence and analyzer azimuth will provide more data points for which to increase confidence that the fit model accurately describes the properties of the sample.</a:t>
          </a:r>
          <a:endParaRPr lang="en-US" sz="1100"/>
        </a:p>
      </xdr:txBody>
    </xdr:sp>
    <xdr:clientData/>
  </xdr:oneCellAnchor>
  <xdr:twoCellAnchor>
    <xdr:from>
      <xdr:col>8</xdr:col>
      <xdr:colOff>85725</xdr:colOff>
      <xdr:row>5</xdr:row>
      <xdr:rowOff>0</xdr:rowOff>
    </xdr:from>
    <xdr:to>
      <xdr:col>15</xdr:col>
      <xdr:colOff>504826</xdr:colOff>
      <xdr:row>25</xdr:row>
      <xdr:rowOff>0</xdr:rowOff>
    </xdr:to>
    <xdr:graphicFrame macro="">
      <xdr:nvGraphicFramePr>
        <xdr:cNvPr id="6" name="Chart 5">
          <a:extLst>
            <a:ext uri="{FF2B5EF4-FFF2-40B4-BE49-F238E27FC236}">
              <a16:creationId xmlns:a16="http://schemas.microsoft.com/office/drawing/2014/main" id="{B2B82E98-7EB6-4B0D-92AA-0108D44A5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9525</xdr:colOff>
      <xdr:row>17</xdr:row>
      <xdr:rowOff>186419</xdr:rowOff>
    </xdr:to>
    <xdr:graphicFrame macro="">
      <xdr:nvGraphicFramePr>
        <xdr:cNvPr id="4" name="Chart 3">
          <a:extLst>
            <a:ext uri="{FF2B5EF4-FFF2-40B4-BE49-F238E27FC236}">
              <a16:creationId xmlns:a16="http://schemas.microsoft.com/office/drawing/2014/main" id="{598DF93A-44BD-4248-9B3C-B9AF393FF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0</xdr:row>
      <xdr:rowOff>0</xdr:rowOff>
    </xdr:from>
    <xdr:to>
      <xdr:col>8</xdr:col>
      <xdr:colOff>161925</xdr:colOff>
      <xdr:row>17</xdr:row>
      <xdr:rowOff>187779</xdr:rowOff>
    </xdr:to>
    <xdr:graphicFrame macro="">
      <xdr:nvGraphicFramePr>
        <xdr:cNvPr id="5" name="Chart 4">
          <a:extLst>
            <a:ext uri="{FF2B5EF4-FFF2-40B4-BE49-F238E27FC236}">
              <a16:creationId xmlns:a16="http://schemas.microsoft.com/office/drawing/2014/main" id="{EF91786A-F161-442E-9C54-B0E18D514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17</xdr:row>
      <xdr:rowOff>161925</xdr:rowOff>
    </xdr:from>
    <xdr:ext cx="10058400" cy="466725"/>
    <xdr:sp macro="" textlink="">
      <xdr:nvSpPr>
        <xdr:cNvPr id="6" name="TextBox 5">
          <a:extLst>
            <a:ext uri="{FF2B5EF4-FFF2-40B4-BE49-F238E27FC236}">
              <a16:creationId xmlns:a16="http://schemas.microsoft.com/office/drawing/2014/main" id="{F973E63C-EE16-44AF-AC16-3BD9D67ECBFD}"/>
            </a:ext>
          </a:extLst>
        </xdr:cNvPr>
        <xdr:cNvSpPr txBox="1"/>
      </xdr:nvSpPr>
      <xdr:spPr>
        <a:xfrm>
          <a:off x="0" y="3400425"/>
          <a:ext cx="10058400"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Left</a:t>
          </a:r>
          <a:r>
            <a:rPr lang="en-US" sz="1100" baseline="0"/>
            <a:t> graph displays the model fit to the experimental determinations of the ellipsometric parameters.</a:t>
          </a:r>
          <a:br>
            <a:rPr lang="en-US" sz="1100" baseline="0"/>
          </a:br>
          <a:r>
            <a:rPr lang="en-US" sz="1100" baseline="0"/>
            <a:t>Right graph displays error of ellipsometric parameters.</a:t>
          </a: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9525</xdr:colOff>
      <xdr:row>0</xdr:row>
      <xdr:rowOff>9525</xdr:rowOff>
    </xdr:from>
    <xdr:ext cx="3248025" cy="2143125"/>
    <xdr:sp macro="" textlink="">
      <xdr:nvSpPr>
        <xdr:cNvPr id="2" name="TextBox 1">
          <a:extLst>
            <a:ext uri="{FF2B5EF4-FFF2-40B4-BE49-F238E27FC236}">
              <a16:creationId xmlns:a16="http://schemas.microsoft.com/office/drawing/2014/main" id="{E80215CE-A9A9-4354-8759-CECBDDF8A9EB}"/>
            </a:ext>
          </a:extLst>
        </xdr:cNvPr>
        <xdr:cNvSpPr txBox="1"/>
      </xdr:nvSpPr>
      <xdr:spPr>
        <a:xfrm>
          <a:off x="4276725" y="9525"/>
          <a:ext cx="3248025" cy="2143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r>
            <a:rPr lang="en-US" sz="1100"/>
            <a:t>Input known</a:t>
          </a:r>
          <a:r>
            <a:rPr lang="en-US" sz="1100" baseline="0"/>
            <a:t> optical system properties here (except for 1 - Film). A compendium of refractive indicies for materials can be accessed through the refractiveindex.info link below this table. Be aware that sufficiently thin materials have different optical properties than bulk.</a:t>
          </a:r>
        </a:p>
        <a:p>
          <a:endParaRPr lang="en-US" sz="1100"/>
        </a:p>
      </xdr:txBody>
    </xdr:sp>
    <xdr:clientData/>
  </xdr:oneCellAnchor>
  <xdr:oneCellAnchor>
    <xdr:from>
      <xdr:col>4</xdr:col>
      <xdr:colOff>19050</xdr:colOff>
      <xdr:row>27</xdr:row>
      <xdr:rowOff>0</xdr:rowOff>
    </xdr:from>
    <xdr:ext cx="3219450" cy="762000"/>
    <xdr:sp macro="" textlink="">
      <xdr:nvSpPr>
        <xdr:cNvPr id="3" name="TextBox 2">
          <a:extLst>
            <a:ext uri="{FF2B5EF4-FFF2-40B4-BE49-F238E27FC236}">
              <a16:creationId xmlns:a16="http://schemas.microsoft.com/office/drawing/2014/main" id="{81ACE56B-65F1-4806-9FD4-E8AF40D5A54C}"/>
            </a:ext>
          </a:extLst>
        </xdr:cNvPr>
        <xdr:cNvSpPr txBox="1"/>
      </xdr:nvSpPr>
      <xdr:spPr>
        <a:xfrm>
          <a:off x="4286250" y="5324475"/>
          <a:ext cx="3219450" cy="762000"/>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ctr"/>
          <a:r>
            <a:rPr lang="en-US" sz="1100"/>
            <a:t>Solved/fit film</a:t>
          </a:r>
          <a:r>
            <a:rPr lang="en-US" sz="1100" baseline="0"/>
            <a:t> parameters.</a:t>
          </a:r>
        </a:p>
      </xdr:txBody>
    </xdr:sp>
    <xdr:clientData/>
  </xdr:oneCellAnchor>
  <xdr:oneCellAnchor>
    <xdr:from>
      <xdr:col>4</xdr:col>
      <xdr:colOff>19051</xdr:colOff>
      <xdr:row>12</xdr:row>
      <xdr:rowOff>0</xdr:rowOff>
    </xdr:from>
    <xdr:ext cx="3238500" cy="2771775"/>
    <xdr:sp macro="" textlink="">
      <xdr:nvSpPr>
        <xdr:cNvPr id="5" name="TextBox 4">
          <a:extLst>
            <a:ext uri="{FF2B5EF4-FFF2-40B4-BE49-F238E27FC236}">
              <a16:creationId xmlns:a16="http://schemas.microsoft.com/office/drawing/2014/main" id="{6E9B25ED-E788-4004-B245-BE6B15E524A7}"/>
            </a:ext>
          </a:extLst>
        </xdr:cNvPr>
        <xdr:cNvSpPr txBox="1"/>
      </xdr:nvSpPr>
      <xdr:spPr>
        <a:xfrm>
          <a:off x="4219576" y="2362200"/>
          <a:ext cx="3238500" cy="27717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lang="en-US" sz="1100"/>
            <a:t>Input a range</a:t>
          </a:r>
          <a:r>
            <a:rPr lang="en-US" sz="1100" baseline="0"/>
            <a:t> of refractive index, extinction coefficient, and film thickness values for the solver to use. Prior knowledge of the substrate and nature of the film can help narrow this range which increases solver speed and accuracy.</a:t>
          </a:r>
        </a:p>
      </xdr:txBody>
    </xdr:sp>
    <xdr:clientData/>
  </xdr:oneCellAnchor>
  <xdr:oneCellAnchor>
    <xdr:from>
      <xdr:col>6</xdr:col>
      <xdr:colOff>66675</xdr:colOff>
      <xdr:row>131</xdr:row>
      <xdr:rowOff>19050</xdr:rowOff>
    </xdr:from>
    <xdr:ext cx="2847975" cy="561975"/>
    <xdr:sp macro="" textlink="">
      <xdr:nvSpPr>
        <xdr:cNvPr id="7" name="TextBox 6">
          <a:extLst>
            <a:ext uri="{FF2B5EF4-FFF2-40B4-BE49-F238E27FC236}">
              <a16:creationId xmlns:a16="http://schemas.microsoft.com/office/drawing/2014/main" id="{C50915E9-973F-49E4-82D2-FE1F6ED936AA}"/>
            </a:ext>
          </a:extLst>
        </xdr:cNvPr>
        <xdr:cNvSpPr txBox="1"/>
      </xdr:nvSpPr>
      <xdr:spPr>
        <a:xfrm>
          <a:off x="5848350" y="26050875"/>
          <a:ext cx="2847975" cy="56197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lang="en-US" sz="1100"/>
            <a:t>Load the default solver settings if they aren't automatically present when using the solver.</a:t>
          </a:r>
          <a:endParaRPr lang="en-US" sz="1100" baseline="0"/>
        </a:p>
        <a:p>
          <a:pPr algn="l"/>
          <a:r>
            <a:rPr lang="en-US" sz="1100" baseline="0"/>
            <a:t> </a:t>
          </a:r>
        </a:p>
        <a:p>
          <a:pPr algn="l"/>
          <a:endParaRPr lang="en-US" sz="1100"/>
        </a:p>
      </xdr:txBody>
    </xdr:sp>
    <xdr:clientData/>
  </xdr:oneCellAnchor>
  <xdr:oneCellAnchor>
    <xdr:from>
      <xdr:col>4</xdr:col>
      <xdr:colOff>0</xdr:colOff>
      <xdr:row>32</xdr:row>
      <xdr:rowOff>0</xdr:rowOff>
    </xdr:from>
    <xdr:ext cx="3248025" cy="1019736"/>
    <xdr:sp macro="" textlink="">
      <xdr:nvSpPr>
        <xdr:cNvPr id="8" name="TextBox 7">
          <a:extLst>
            <a:ext uri="{FF2B5EF4-FFF2-40B4-BE49-F238E27FC236}">
              <a16:creationId xmlns:a16="http://schemas.microsoft.com/office/drawing/2014/main" id="{AA7DE3B6-20D7-4360-AB49-5B434D55F22F}"/>
            </a:ext>
          </a:extLst>
        </xdr:cNvPr>
        <xdr:cNvSpPr txBox="1"/>
      </xdr:nvSpPr>
      <xdr:spPr>
        <a:xfrm>
          <a:off x="4267200" y="6305550"/>
          <a:ext cx="3248025" cy="1019736"/>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lang="en-US" sz="1100"/>
            <a:t>The </a:t>
          </a:r>
          <a:r>
            <a:rPr lang="en-US" sz="1100" baseline="0">
              <a:solidFill>
                <a:schemeClr val="dk1"/>
              </a:solidFill>
              <a:effectLst/>
              <a:latin typeface="+mn-lt"/>
              <a:ea typeface="+mn-ea"/>
              <a:cs typeface="+mn-cs"/>
            </a:rPr>
            <a:t>average sum of normalized squared errors </a:t>
          </a:r>
          <a:r>
            <a:rPr lang="en-US" sz="1100"/>
            <a:t>should be minimized </a:t>
          </a:r>
          <a:r>
            <a:rPr lang="en-US" sz="1100" baseline="0"/>
            <a:t>when using the solver, indicating the experimental data closely matches the fitted modeled values, and the thin film properties (n1, k1, and d1) can be considered solved.</a:t>
          </a:r>
          <a:endParaRPr lang="en-US" sz="1100"/>
        </a:p>
      </xdr:txBody>
    </xdr:sp>
    <xdr:clientData/>
  </xdr:oneCellAnchor>
  <xdr:twoCellAnchor>
    <xdr:from>
      <xdr:col>9</xdr:col>
      <xdr:colOff>30256</xdr:colOff>
      <xdr:row>0</xdr:row>
      <xdr:rowOff>0</xdr:rowOff>
    </xdr:from>
    <xdr:to>
      <xdr:col>18</xdr:col>
      <xdr:colOff>265019</xdr:colOff>
      <xdr:row>22</xdr:row>
      <xdr:rowOff>190500</xdr:rowOff>
    </xdr:to>
    <xdr:graphicFrame macro="">
      <xdr:nvGraphicFramePr>
        <xdr:cNvPr id="10" name="Chart 1">
          <a:extLst>
            <a:ext uri="{FF2B5EF4-FFF2-40B4-BE49-F238E27FC236}">
              <a16:creationId xmlns:a16="http://schemas.microsoft.com/office/drawing/2014/main" id="{A1E3B7FD-F9A3-44B4-8F37-5C3D87540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efractiveindex.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0D7D-A2E3-4F36-8931-83ED4983A7F4}">
  <dimension ref="O1:R5"/>
  <sheetViews>
    <sheetView tabSelected="1" workbookViewId="0">
      <selection activeCell="S25" sqref="S25"/>
    </sheetView>
  </sheetViews>
  <sheetFormatPr defaultRowHeight="15"/>
  <cols>
    <col min="1" max="16384" width="9.140625" style="177"/>
  </cols>
  <sheetData>
    <row r="1" spans="15:18" ht="15.75" thickBot="1">
      <c r="O1" s="182" t="s">
        <v>66</v>
      </c>
      <c r="P1" s="188"/>
      <c r="Q1" s="188"/>
      <c r="R1" s="183"/>
    </row>
    <row r="2" spans="15:18" ht="15.75" thickBot="1">
      <c r="O2" s="184" t="s">
        <v>64</v>
      </c>
      <c r="P2" s="185"/>
      <c r="Q2" s="186" t="s">
        <v>65</v>
      </c>
      <c r="R2" s="187"/>
    </row>
    <row r="3" spans="15:18" ht="15.75" thickBot="1"/>
    <row r="4" spans="15:18" ht="15.75" thickBot="1">
      <c r="O4" s="189" t="s">
        <v>45</v>
      </c>
      <c r="P4" s="190"/>
      <c r="Q4" s="190"/>
      <c r="R4" s="191"/>
    </row>
    <row r="5" spans="15:18" ht="15.75" thickBot="1">
      <c r="O5" s="182" t="s">
        <v>1</v>
      </c>
      <c r="P5" s="183"/>
      <c r="Q5" s="182" t="s">
        <v>2</v>
      </c>
      <c r="R5" s="183"/>
    </row>
  </sheetData>
  <mergeCells count="6">
    <mergeCell ref="Q5:R5"/>
    <mergeCell ref="O2:P2"/>
    <mergeCell ref="Q2:R2"/>
    <mergeCell ref="O1:R1"/>
    <mergeCell ref="O4:R4"/>
    <mergeCell ref="O5:P5"/>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3F267-32D1-49F0-88B8-E9F9FC9F62E0}">
  <dimension ref="A5:H997"/>
  <sheetViews>
    <sheetView zoomScaleNormal="100" workbookViewId="0">
      <selection activeCell="G18" sqref="G18:G19"/>
    </sheetView>
  </sheetViews>
  <sheetFormatPr defaultColWidth="14.42578125" defaultRowHeight="15" customHeight="1"/>
  <cols>
    <col min="1" max="1" width="20.7109375" style="1" bestFit="1" customWidth="1"/>
    <col min="2" max="2" width="14.140625" style="1" bestFit="1" customWidth="1"/>
    <col min="3" max="7" width="8.7109375" style="1" customWidth="1"/>
    <col min="8" max="8" width="9" style="1" customWidth="1"/>
    <col min="9" max="9" width="8.7109375" style="1" customWidth="1"/>
    <col min="10" max="10" width="13.140625" style="1" bestFit="1" customWidth="1"/>
    <col min="11" max="25" width="8.7109375" style="1" customWidth="1"/>
    <col min="26" max="16384" width="14.42578125" style="1"/>
  </cols>
  <sheetData>
    <row r="5" spans="1:8" ht="15" customHeight="1" thickBot="1"/>
    <row r="6" spans="1:8" ht="15" customHeight="1" thickBot="1">
      <c r="A6" s="216"/>
      <c r="B6" s="212" t="s">
        <v>72</v>
      </c>
      <c r="C6" s="212"/>
      <c r="D6" s="212"/>
      <c r="E6" s="212"/>
      <c r="F6" s="212"/>
      <c r="G6" s="212"/>
      <c r="H6" s="213"/>
    </row>
    <row r="7" spans="1:8" ht="15" customHeight="1" thickBot="1">
      <c r="A7" s="217"/>
      <c r="B7" s="210">
        <v>45</v>
      </c>
      <c r="C7" s="210"/>
      <c r="D7" s="210"/>
      <c r="E7" s="210"/>
      <c r="F7" s="210"/>
      <c r="G7" s="210"/>
      <c r="H7" s="211"/>
    </row>
    <row r="8" spans="1:8" ht="15" customHeight="1" thickBot="1">
      <c r="A8" s="194" t="s">
        <v>28</v>
      </c>
      <c r="B8" s="202"/>
      <c r="C8" s="196" t="s">
        <v>34</v>
      </c>
      <c r="D8" s="197"/>
      <c r="E8" s="197"/>
      <c r="F8" s="198"/>
      <c r="G8" s="214" t="s">
        <v>35</v>
      </c>
      <c r="H8" s="215"/>
    </row>
    <row r="9" spans="1:8" ht="15" customHeight="1" thickBot="1">
      <c r="A9" s="195"/>
      <c r="B9" s="203"/>
      <c r="C9" s="199"/>
      <c r="D9" s="200"/>
      <c r="E9" s="200"/>
      <c r="F9" s="201"/>
      <c r="G9" s="137" t="s">
        <v>1</v>
      </c>
      <c r="H9" s="138" t="s">
        <v>2</v>
      </c>
    </row>
    <row r="10" spans="1:8" ht="15" customHeight="1">
      <c r="A10" s="204">
        <v>20</v>
      </c>
      <c r="B10" s="101" t="s">
        <v>29</v>
      </c>
      <c r="C10" s="160">
        <v>45</v>
      </c>
      <c r="D10" s="161">
        <v>90</v>
      </c>
      <c r="E10" s="161">
        <v>-45</v>
      </c>
      <c r="F10" s="162">
        <v>0</v>
      </c>
      <c r="G10" s="206" t="e">
        <f>IFERROR(DEGREES(ATAN(TAN(RADIANS($B$7))*TAN(ACOS((D11-F11)/(D11+F11))/2))),NA())</f>
        <v>#N/A</v>
      </c>
      <c r="H10" s="208" t="e">
        <f>IFERROR(DEGREES(ACOS(((C11-E11)/(C11+E11))/(SIN(2*ATAN(TAN(RADIANS(G10))/TAN(RADIANS($B$7))))))),NA())</f>
        <v>#N/A</v>
      </c>
    </row>
    <row r="11" spans="1:8" ht="15" customHeight="1" thickBot="1">
      <c r="A11" s="205"/>
      <c r="B11" s="158" t="s">
        <v>0</v>
      </c>
      <c r="C11" s="2"/>
      <c r="D11" s="2"/>
      <c r="E11" s="2"/>
      <c r="F11" s="2"/>
      <c r="G11" s="207"/>
      <c r="H11" s="209"/>
    </row>
    <row r="12" spans="1:8">
      <c r="A12" s="192">
        <v>25</v>
      </c>
      <c r="B12" s="101" t="s">
        <v>29</v>
      </c>
      <c r="C12" s="160">
        <v>45</v>
      </c>
      <c r="D12" s="161">
        <v>90</v>
      </c>
      <c r="E12" s="161">
        <v>-45</v>
      </c>
      <c r="F12" s="162">
        <v>0</v>
      </c>
      <c r="G12" s="206">
        <f>IFERROR(DEGREES(ATAN(TAN(RADIANS($B$7))*TAN(ACOS((D13-F13)/(D13+F13))/2))),NA())</f>
        <v>46.579818151446474</v>
      </c>
      <c r="H12" s="208">
        <f>IFERROR(DEGREES(ACOS(((C13-E13)/(C13+E13))/(SIN(2*ATAN(TAN(RADIANS(G12))/TAN(RADIANS($B$7))))))),NA())</f>
        <v>170.75402436574791</v>
      </c>
    </row>
    <row r="13" spans="1:8" ht="15.75" thickBot="1">
      <c r="A13" s="193"/>
      <c r="B13" s="153" t="s">
        <v>0</v>
      </c>
      <c r="C13" s="2">
        <v>1</v>
      </c>
      <c r="D13" s="2">
        <v>60</v>
      </c>
      <c r="E13" s="2">
        <v>137</v>
      </c>
      <c r="F13" s="2">
        <v>67</v>
      </c>
      <c r="G13" s="207"/>
      <c r="H13" s="209"/>
    </row>
    <row r="14" spans="1:8">
      <c r="A14" s="192">
        <v>30</v>
      </c>
      <c r="B14" s="101" t="s">
        <v>29</v>
      </c>
      <c r="C14" s="160">
        <v>45</v>
      </c>
      <c r="D14" s="161">
        <v>90</v>
      </c>
      <c r="E14" s="161">
        <v>-45</v>
      </c>
      <c r="F14" s="162">
        <v>0</v>
      </c>
      <c r="G14" s="206">
        <f>IFERROR(DEGREES(ATAN(TAN(RADIANS($B$7))*TAN(ACOS((D15-F15)/(D15+F15))/2))),NA())</f>
        <v>43.027953143578067</v>
      </c>
      <c r="H14" s="208">
        <f>IFERROR(DEGREES(ACOS(((C15-E15)/(C15+E15))/(SIN(2*ATAN(TAN(RADIANS(G14))/TAN(RADIANS($B$7))))))),NA())</f>
        <v>166.66451444628117</v>
      </c>
    </row>
    <row r="15" spans="1:8" ht="15.75" thickBot="1">
      <c r="A15" s="193"/>
      <c r="B15" s="153" t="s">
        <v>0</v>
      </c>
      <c r="C15" s="2">
        <v>3</v>
      </c>
      <c r="D15" s="2">
        <v>101</v>
      </c>
      <c r="E15" s="2">
        <v>202</v>
      </c>
      <c r="F15" s="2">
        <v>88</v>
      </c>
      <c r="G15" s="207"/>
      <c r="H15" s="209"/>
    </row>
    <row r="16" spans="1:8">
      <c r="A16" s="192">
        <v>35</v>
      </c>
      <c r="B16" s="101" t="s">
        <v>29</v>
      </c>
      <c r="C16" s="160">
        <v>45</v>
      </c>
      <c r="D16" s="161">
        <v>90</v>
      </c>
      <c r="E16" s="163">
        <v>-45</v>
      </c>
      <c r="F16" s="162">
        <v>0</v>
      </c>
      <c r="G16" s="206">
        <f>IFERROR(DEGREES(ATAN(TAN(RADIANS($B$7))*TAN(ACOS((D17-F17)/(D17+F17))/2))),NA())</f>
        <v>38.861338154560229</v>
      </c>
      <c r="H16" s="208">
        <f>IFERROR(DEGREES(ACOS(((C17-E17)/(C17+E17))/(SIN(2*ATAN(TAN(RADIANS(G16))/TAN(RADIANS($B$7))))))),NA())</f>
        <v>164.74685228171722</v>
      </c>
    </row>
    <row r="17" spans="1:8" ht="15.75" thickBot="1">
      <c r="A17" s="193"/>
      <c r="B17" s="153" t="s">
        <v>0</v>
      </c>
      <c r="C17" s="136">
        <v>11</v>
      </c>
      <c r="D17" s="3">
        <v>211</v>
      </c>
      <c r="E17" s="3">
        <v>373</v>
      </c>
      <c r="F17" s="4">
        <v>137</v>
      </c>
      <c r="G17" s="207"/>
      <c r="H17" s="209"/>
    </row>
    <row r="18" spans="1:8">
      <c r="A18" s="192">
        <v>40</v>
      </c>
      <c r="B18" s="101" t="s">
        <v>29</v>
      </c>
      <c r="C18" s="160">
        <v>45</v>
      </c>
      <c r="D18" s="163">
        <v>90</v>
      </c>
      <c r="E18" s="163">
        <v>-45</v>
      </c>
      <c r="F18" s="162">
        <v>0</v>
      </c>
      <c r="G18" s="206">
        <f>IFERROR(DEGREES(ATAN(TAN(RADIANS($B$7))*TAN(ACOS((D19-F19)/(D19+F19))/2))),NA())</f>
        <v>35.694268016732146</v>
      </c>
      <c r="H18" s="208">
        <f>IFERROR(DEGREES(ACOS(((C19-E19)/(C19+E19))/(SIN(2*ATAN(TAN(RADIANS(G18))/TAN(RADIANS($B$7))))))),NA())</f>
        <v>169.10930014377632</v>
      </c>
    </row>
    <row r="19" spans="1:8" ht="15.75" thickBot="1">
      <c r="A19" s="193"/>
      <c r="B19" s="153" t="s">
        <v>0</v>
      </c>
      <c r="C19" s="136">
        <v>18</v>
      </c>
      <c r="D19" s="3">
        <v>310</v>
      </c>
      <c r="E19" s="3">
        <v>501</v>
      </c>
      <c r="F19" s="4">
        <v>160</v>
      </c>
      <c r="G19" s="207"/>
      <c r="H19" s="209"/>
    </row>
    <row r="20" spans="1:8">
      <c r="A20" s="192">
        <v>45</v>
      </c>
      <c r="B20" s="101" t="s">
        <v>29</v>
      </c>
      <c r="C20" s="160">
        <v>45</v>
      </c>
      <c r="D20" s="161">
        <v>90</v>
      </c>
      <c r="E20" s="163">
        <v>-45</v>
      </c>
      <c r="F20" s="162">
        <v>0</v>
      </c>
      <c r="G20" s="206">
        <f>IFERROR(DEGREES(ATAN(TAN(RADIANS($B$7))*TAN(ACOS((D21-F21)/(D21+F21))/2))),NA())</f>
        <v>33.210910760899075</v>
      </c>
      <c r="H20" s="208">
        <f>IFERROR(DEGREES(ACOS(((C21-E21)/(C21+E21))/(SIN(2*ATAN(TAN(RADIANS(G20))/TAN(RADIANS($B$7))))))),NA())</f>
        <v>172.62123438740906</v>
      </c>
    </row>
    <row r="21" spans="1:8" ht="15.75" thickBot="1">
      <c r="A21" s="193"/>
      <c r="B21" s="153" t="s">
        <v>0</v>
      </c>
      <c r="C21" s="136">
        <v>25</v>
      </c>
      <c r="D21" s="3">
        <v>357</v>
      </c>
      <c r="E21" s="3">
        <v>524</v>
      </c>
      <c r="F21" s="4">
        <v>153</v>
      </c>
      <c r="G21" s="207"/>
      <c r="H21" s="209"/>
    </row>
    <row r="22" spans="1:8">
      <c r="A22" s="192">
        <v>50</v>
      </c>
      <c r="B22" s="101" t="s">
        <v>29</v>
      </c>
      <c r="C22" s="164">
        <v>45</v>
      </c>
      <c r="D22" s="165">
        <v>90</v>
      </c>
      <c r="E22" s="166">
        <v>-45</v>
      </c>
      <c r="F22" s="167">
        <v>0</v>
      </c>
      <c r="G22" s="206">
        <f>IFERROR(DEGREES(ATAN(TAN(RADIANS($B$7))*TAN(ACOS((D23-F23)/(D23+F23))/2))),NA())</f>
        <v>32.201490261252303</v>
      </c>
      <c r="H22" s="208">
        <f>IFERROR(DEGREES(ACOS(((C23-E23)/(C23+E23))/(SIN(2*ATAN(TAN(RADIANS(G22))/TAN(RADIANS($B$7))))))),NA())</f>
        <v>150.21361539703906</v>
      </c>
    </row>
    <row r="23" spans="1:8" ht="15.75" thickBot="1">
      <c r="A23" s="193"/>
      <c r="B23" s="153" t="s">
        <v>0</v>
      </c>
      <c r="C23" s="3">
        <v>49</v>
      </c>
      <c r="D23" s="3">
        <v>295</v>
      </c>
      <c r="E23" s="3">
        <v>402</v>
      </c>
      <c r="F23" s="4">
        <v>117</v>
      </c>
      <c r="G23" s="207"/>
      <c r="H23" s="209"/>
    </row>
    <row r="24" spans="1:8">
      <c r="A24" s="192">
        <v>55</v>
      </c>
      <c r="B24" s="101" t="s">
        <v>29</v>
      </c>
      <c r="C24" s="168">
        <v>45</v>
      </c>
      <c r="D24" s="169">
        <v>90</v>
      </c>
      <c r="E24" s="169">
        <v>-45</v>
      </c>
      <c r="F24" s="170">
        <v>0</v>
      </c>
      <c r="G24" s="206">
        <f>IFERROR(DEGREES(ATAN(TAN(RADIANS($B$7))*TAN(ACOS((D25-F25)/(D25+F25))/2))),NA())</f>
        <v>41.437599422423631</v>
      </c>
      <c r="H24" s="208">
        <f>IFERROR(DEGREES(ACOS(((C25-E25)/(C25+E25))/(SIN(2*ATAN(TAN(RADIANS(G24))/TAN(RADIANS($B$7))))))),NA())</f>
        <v>129.28229305675629</v>
      </c>
    </row>
    <row r="25" spans="1:8" ht="15.75" thickBot="1">
      <c r="A25" s="193"/>
      <c r="B25" s="153" t="s">
        <v>0</v>
      </c>
      <c r="C25" s="136">
        <v>50</v>
      </c>
      <c r="D25" s="3">
        <v>145</v>
      </c>
      <c r="E25" s="3">
        <v>219</v>
      </c>
      <c r="F25" s="143">
        <v>113</v>
      </c>
      <c r="G25" s="207"/>
      <c r="H25" s="209"/>
    </row>
    <row r="26" spans="1:8">
      <c r="A26" s="192">
        <v>60</v>
      </c>
      <c r="B26" s="101" t="s">
        <v>29</v>
      </c>
      <c r="C26" s="168">
        <v>45</v>
      </c>
      <c r="D26" s="169">
        <v>90</v>
      </c>
      <c r="E26" s="169">
        <v>-45</v>
      </c>
      <c r="F26" s="170">
        <v>0</v>
      </c>
      <c r="G26" s="206">
        <f>IFERROR(DEGREES(ATAN(TAN(RADIANS($B$7))*TAN(ACOS((D27-F27)/(D27+F27))/2))),NA())</f>
        <v>64.396405593318363</v>
      </c>
      <c r="H26" s="208">
        <f>IFERROR(DEGREES(ACOS(((C27-E27)/(C27+E27))/(SIN(2*ATAN(TAN(RADIANS(G26))/TAN(RADIANS($B$7))))))),NA())</f>
        <v>147.70171196832246</v>
      </c>
    </row>
    <row r="27" spans="1:8" ht="15.75" thickBot="1">
      <c r="A27" s="193"/>
      <c r="B27" s="153" t="s">
        <v>0</v>
      </c>
      <c r="C27" s="136">
        <v>29</v>
      </c>
      <c r="D27" s="3">
        <v>31</v>
      </c>
      <c r="E27" s="3">
        <v>141</v>
      </c>
      <c r="F27" s="143">
        <v>135</v>
      </c>
      <c r="G27" s="207"/>
      <c r="H27" s="209"/>
    </row>
    <row r="28" spans="1:8" ht="15.75" customHeight="1">
      <c r="A28" s="192">
        <v>65</v>
      </c>
      <c r="B28" s="101" t="s">
        <v>29</v>
      </c>
      <c r="C28" s="168">
        <v>45</v>
      </c>
      <c r="D28" s="169">
        <v>90</v>
      </c>
      <c r="E28" s="169">
        <v>-45</v>
      </c>
      <c r="F28" s="170">
        <v>0</v>
      </c>
      <c r="G28" s="206">
        <f>IFERROR(DEGREES(ATAN(TAN(RADIANS($B$7))*TAN(ACOS((D29-F29)/(D29+F29))/2))),NA())</f>
        <v>39.692446074646021</v>
      </c>
      <c r="H28" s="208">
        <f>IFERROR(DEGREES(ACOS(((C29-E29)/(C29+E29))/(SIN(2*ATAN(TAN(RADIANS(G28))/TAN(RADIANS($B$7))))))),NA())</f>
        <v>97.210059130547009</v>
      </c>
    </row>
    <row r="29" spans="1:8" ht="15.75" thickBot="1">
      <c r="A29" s="193"/>
      <c r="B29" s="153" t="s">
        <v>0</v>
      </c>
      <c r="C29" s="171">
        <v>167</v>
      </c>
      <c r="D29" s="171">
        <v>225</v>
      </c>
      <c r="E29" s="171">
        <v>214</v>
      </c>
      <c r="F29" s="171">
        <v>155</v>
      </c>
      <c r="G29" s="207"/>
      <c r="H29" s="209"/>
    </row>
    <row r="30" spans="1:8" ht="15.75" customHeight="1">
      <c r="A30" s="192">
        <v>70</v>
      </c>
      <c r="B30" s="101" t="s">
        <v>29</v>
      </c>
      <c r="C30" s="168">
        <v>45</v>
      </c>
      <c r="D30" s="169">
        <v>90</v>
      </c>
      <c r="E30" s="169">
        <v>-45</v>
      </c>
      <c r="F30" s="170">
        <v>0</v>
      </c>
      <c r="G30" s="206" t="e">
        <f>IFERROR(DEGREES(ATAN(TAN(RADIANS($B$7))*TAN(ACOS((D31-F31)/(D31+F31))/2))),NA())</f>
        <v>#N/A</v>
      </c>
      <c r="H30" s="208" t="e">
        <f>IFERROR(DEGREES(ACOS(((C31-E31)/(C31+E31))/(SIN(2*ATAN(TAN(RADIANS(G30))/TAN(RADIANS($B$7))))))),NA())</f>
        <v>#N/A</v>
      </c>
    </row>
    <row r="31" spans="1:8" ht="15.75" customHeight="1" thickBot="1">
      <c r="A31" s="193"/>
      <c r="B31" s="158" t="s">
        <v>0</v>
      </c>
      <c r="C31" s="135"/>
      <c r="D31" s="133"/>
      <c r="E31" s="133"/>
      <c r="F31" s="134"/>
      <c r="G31" s="207"/>
      <c r="H31" s="209"/>
    </row>
    <row r="32" spans="1:8" ht="15.75" customHeight="1">
      <c r="A32" s="192">
        <v>75</v>
      </c>
      <c r="B32" s="101" t="s">
        <v>29</v>
      </c>
      <c r="C32" s="172">
        <v>45</v>
      </c>
      <c r="D32" s="173">
        <v>90</v>
      </c>
      <c r="E32" s="173">
        <v>-45</v>
      </c>
      <c r="F32" s="174">
        <v>0</v>
      </c>
      <c r="G32" s="206" t="e">
        <f>IFERROR(DEGREES(ATAN(TAN(RADIANS($B$7))*TAN(ACOS((D33-F33)/(D33+F33))/2))),NA())</f>
        <v>#N/A</v>
      </c>
      <c r="H32" s="208" t="e">
        <f>IFERROR(DEGREES(ACOS(((C33-E33)/(C33+E33))/(SIN(2*ATAN(TAN(RADIANS(G32))/TAN(RADIANS($B$7))))))),NA())</f>
        <v>#N/A</v>
      </c>
    </row>
    <row r="33" spans="1:8" ht="15.75" customHeight="1" thickBot="1">
      <c r="A33" s="193"/>
      <c r="B33" s="158" t="s">
        <v>0</v>
      </c>
      <c r="C33" s="2"/>
      <c r="D33" s="2"/>
      <c r="E33" s="2"/>
      <c r="F33" s="2"/>
      <c r="G33" s="207"/>
      <c r="H33" s="209"/>
    </row>
    <row r="34" spans="1:8" ht="15.75" customHeight="1"/>
    <row r="35" spans="1:8" ht="15.75" customHeight="1"/>
    <row r="36" spans="1:8" ht="15.75" customHeight="1"/>
    <row r="37" spans="1:8" ht="15.75" customHeight="1"/>
    <row r="38" spans="1:8" ht="15.75" customHeight="1"/>
    <row r="39" spans="1:8" ht="15.75" customHeight="1"/>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otectedRanges>
    <protectedRange sqref="C31:F31 C33:F33 C11:F11" name="Intensities_2"/>
    <protectedRange sqref="C15:F15 C17:F17 C19:F19 C21:F21 C23:F23 C27:F27 C13:F13 C29:F29 C25:F25" name="Intensities"/>
  </protectedRanges>
  <mergeCells count="43">
    <mergeCell ref="A6:A7"/>
    <mergeCell ref="A30:A31"/>
    <mergeCell ref="G30:G31"/>
    <mergeCell ref="H30:H31"/>
    <mergeCell ref="A32:A33"/>
    <mergeCell ref="G32:G33"/>
    <mergeCell ref="H32:H33"/>
    <mergeCell ref="G28:G29"/>
    <mergeCell ref="H28:H29"/>
    <mergeCell ref="A28:A29"/>
    <mergeCell ref="A22:A23"/>
    <mergeCell ref="A24:A25"/>
    <mergeCell ref="A26:A27"/>
    <mergeCell ref="G26:G27"/>
    <mergeCell ref="H26:H27"/>
    <mergeCell ref="H22:H23"/>
    <mergeCell ref="G24:G25"/>
    <mergeCell ref="H24:H25"/>
    <mergeCell ref="H20:H21"/>
    <mergeCell ref="B7:H7"/>
    <mergeCell ref="B6:H6"/>
    <mergeCell ref="G16:G17"/>
    <mergeCell ref="G22:G23"/>
    <mergeCell ref="G8:H8"/>
    <mergeCell ref="H16:H17"/>
    <mergeCell ref="G18:G19"/>
    <mergeCell ref="H18:H19"/>
    <mergeCell ref="G20:G21"/>
    <mergeCell ref="G10:G11"/>
    <mergeCell ref="H10:H11"/>
    <mergeCell ref="G12:G13"/>
    <mergeCell ref="H12:H13"/>
    <mergeCell ref="G14:G15"/>
    <mergeCell ref="H14:H15"/>
    <mergeCell ref="A14:A15"/>
    <mergeCell ref="A16:A17"/>
    <mergeCell ref="A18:A19"/>
    <mergeCell ref="A20:A21"/>
    <mergeCell ref="A8:A9"/>
    <mergeCell ref="C8:F9"/>
    <mergeCell ref="B8:B9"/>
    <mergeCell ref="A12:A13"/>
    <mergeCell ref="A10:A11"/>
  </mergeCell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D57E-1C53-4987-A03E-C3F441245BD8}">
  <dimension ref="A1:W45"/>
  <sheetViews>
    <sheetView topLeftCell="A19" zoomScaleNormal="100" workbookViewId="0">
      <selection activeCell="J14" sqref="J14"/>
    </sheetView>
  </sheetViews>
  <sheetFormatPr defaultRowHeight="15"/>
  <cols>
    <col min="1" max="1" width="16.7109375" style="20" bestFit="1" customWidth="1"/>
    <col min="2" max="2" width="10.28515625" style="20" bestFit="1" customWidth="1"/>
    <col min="3" max="3" width="9.85546875" style="20" bestFit="1" customWidth="1"/>
    <col min="4" max="4" width="38.42578125" style="20" bestFit="1" customWidth="1"/>
    <col min="5" max="5" width="13.140625" style="20" bestFit="1" customWidth="1"/>
    <col min="6" max="6" width="12.5703125" style="20" bestFit="1" customWidth="1"/>
    <col min="7" max="7" width="38.42578125" style="20" bestFit="1" customWidth="1"/>
    <col min="8" max="8" width="9" style="20" bestFit="1" customWidth="1"/>
    <col min="9" max="9" width="8.5703125" style="20" bestFit="1" customWidth="1"/>
    <col min="10" max="11" width="13.28515625" style="20" customWidth="1"/>
    <col min="12" max="12" width="9.140625" style="20" customWidth="1"/>
    <col min="13" max="13" width="15.42578125" style="20" bestFit="1" customWidth="1"/>
    <col min="14" max="14" width="15" style="20" bestFit="1" customWidth="1"/>
    <col min="15" max="18" width="9.140625" style="20"/>
    <col min="19" max="20" width="7.85546875" style="20" bestFit="1" customWidth="1"/>
    <col min="21" max="16384" width="9.140625" style="20"/>
  </cols>
  <sheetData>
    <row r="1" s="24" customFormat="1"/>
    <row r="2" s="24" customFormat="1"/>
    <row r="3" s="24" customFormat="1"/>
    <row r="4" s="24" customFormat="1"/>
    <row r="5" s="24" customFormat="1"/>
    <row r="6" s="24" customFormat="1"/>
    <row r="7" s="24" customFormat="1"/>
    <row r="8" s="24" customFormat="1"/>
    <row r="9" s="24" customFormat="1"/>
    <row r="10" s="24" customFormat="1"/>
    <row r="11" s="24" customFormat="1"/>
    <row r="12" s="24" customFormat="1"/>
    <row r="13" s="24" customFormat="1"/>
    <row r="14" s="24" customFormat="1"/>
    <row r="15" s="24" customFormat="1"/>
    <row r="16" s="24" customFormat="1"/>
    <row r="17" spans="1:23" s="24" customFormat="1"/>
    <row r="18" spans="1:23" s="24" customFormat="1"/>
    <row r="19" spans="1:23" s="24" customFormat="1">
      <c r="K19"/>
      <c r="L19"/>
      <c r="M19"/>
    </row>
    <row r="20" spans="1:23" s="24" customFormat="1" ht="15.75" thickBot="1">
      <c r="J20"/>
      <c r="K20"/>
      <c r="L20"/>
      <c r="M20" s="156"/>
    </row>
    <row r="21" spans="1:23" ht="15.75" thickBot="1">
      <c r="A21" s="6" t="s">
        <v>3</v>
      </c>
      <c r="B21" s="214" t="s">
        <v>54</v>
      </c>
      <c r="C21" s="219"/>
      <c r="D21" s="215"/>
      <c r="E21" s="214" t="s">
        <v>55</v>
      </c>
      <c r="F21" s="219"/>
      <c r="G21" s="215"/>
      <c r="H21" s="214" t="s">
        <v>75</v>
      </c>
      <c r="I21" s="215"/>
      <c r="J21" s="156"/>
      <c r="K21" s="156"/>
      <c r="L21"/>
      <c r="M21"/>
      <c r="S21" s="218"/>
      <c r="T21" s="218"/>
    </row>
    <row r="22" spans="1:23" ht="18" thickBot="1">
      <c r="A22" s="25" t="s">
        <v>33</v>
      </c>
      <c r="B22" s="23" t="s">
        <v>56</v>
      </c>
      <c r="C22" s="23" t="s">
        <v>57</v>
      </c>
      <c r="D22" s="23" t="s">
        <v>31</v>
      </c>
      <c r="E22" s="23" t="s">
        <v>58</v>
      </c>
      <c r="F22" s="23" t="s">
        <v>59</v>
      </c>
      <c r="G22" s="23" t="s">
        <v>32</v>
      </c>
      <c r="H22" s="23" t="s">
        <v>76</v>
      </c>
      <c r="I22" s="23" t="s">
        <v>77</v>
      </c>
      <c r="J22" s="157"/>
      <c r="K22" s="157"/>
      <c r="L22"/>
      <c r="M22"/>
      <c r="U22" s="5"/>
      <c r="V22" s="18"/>
    </row>
    <row r="23" spans="1:23">
      <c r="A23" s="16">
        <v>20</v>
      </c>
      <c r="B23" s="14" t="e">
        <f>VLOOKUP($A23,'Exp. Data Collection'!$A:$H,7,FALSE)</f>
        <v>#N/A</v>
      </c>
      <c r="C23" s="14" t="e">
        <f>VLOOKUP($A23,'Exp. Data Collection'!$A:$H,8,FALSE)</f>
        <v>#N/A</v>
      </c>
      <c r="D23" s="21" t="e">
        <f t="shared" ref="D23:D30" si="0">IFERROR(IMPRODUCT(_xlfn.IMTAN(RADIANS($B23)),IMEXP(IMPRODUCT("i",RADIANS($C23)))),NA())</f>
        <v>#N/A</v>
      </c>
      <c r="E23" s="14">
        <f>VLOOKUP($A23,'Model Fitting'!$N$40:$AH$130,20,FALSE)</f>
        <v>45.27524876112097</v>
      </c>
      <c r="F23" s="14">
        <f>VLOOKUP($A23,'Model Fitting'!$N$40:$AH$130,21,FALSE)</f>
        <v>176.10327438515367</v>
      </c>
      <c r="G23" s="22" t="str">
        <f t="shared" ref="G23:G30" si="1">IMPRODUCT(_xlfn.IMTAN(RADIANS($E23)),IMEXP(IMPRODUCT("i",RADIANS($F23))))</f>
        <v>-1.00732029319911+0.0686143737503771i</v>
      </c>
      <c r="H23" s="151" t="e">
        <f t="shared" ref="H23:H30" si="2">IFERROR(ABS((B23-E23)/E23),NA())</f>
        <v>#N/A</v>
      </c>
      <c r="I23" s="151" t="e">
        <f t="shared" ref="I23:I30" si="3">IFERROR(ABS((C23-F23)/F23),NA())</f>
        <v>#N/A</v>
      </c>
      <c r="J23"/>
      <c r="K23"/>
      <c r="M23" s="154"/>
      <c r="N23" s="154"/>
      <c r="V23" s="18"/>
      <c r="W23" s="18"/>
    </row>
    <row r="24" spans="1:23">
      <c r="A24" s="16">
        <v>25</v>
      </c>
      <c r="B24" s="14">
        <f>VLOOKUP($A24,'Exp. Data Collection'!$A:$H,7,FALSE)</f>
        <v>46.579818151446474</v>
      </c>
      <c r="C24" s="14">
        <f>VLOOKUP($A24,'Exp. Data Collection'!$A:$H,8,FALSE)</f>
        <v>170.75402436574791</v>
      </c>
      <c r="D24" s="21" t="str">
        <f t="shared" si="0"/>
        <v>-1.04299516908213+0.169787349169531i</v>
      </c>
      <c r="E24" s="14">
        <f>VLOOKUP($A24,'Model Fitting'!$N$40:$AH$130,20,FALSE)</f>
        <v>46.53287189196508</v>
      </c>
      <c r="F24" s="14">
        <f>VLOOKUP($A24,'Model Fitting'!$N$40:$AH$130,21,FALSE)</f>
        <v>176.40970068074145</v>
      </c>
      <c r="G24" s="22" t="str">
        <f t="shared" si="1"/>
        <v>-1.05292108795985+0.0660652073390131i</v>
      </c>
      <c r="H24" s="151">
        <f>IFERROR(ABS((B24-E24)/E24),NA())</f>
        <v>1.0088837755466594E-3</v>
      </c>
      <c r="I24" s="151">
        <f t="shared" si="3"/>
        <v>3.2059894060071772E-2</v>
      </c>
      <c r="J24"/>
      <c r="K24"/>
      <c r="M24" s="154"/>
      <c r="N24" s="154"/>
      <c r="V24" s="18"/>
      <c r="W24" s="18"/>
    </row>
    <row r="25" spans="1:23">
      <c r="A25" s="16">
        <v>30</v>
      </c>
      <c r="B25" s="14">
        <f>VLOOKUP($A25,'Exp. Data Collection'!$A:$H,7,FALSE)</f>
        <v>43.027953143578067</v>
      </c>
      <c r="C25" s="14">
        <f>VLOOKUP($A25,'Exp. Data Collection'!$A:$H,8,FALSE)</f>
        <v>166.66451444628117</v>
      </c>
      <c r="D25" s="21" t="str">
        <f t="shared" si="0"/>
        <v>-0.908258874667954+0.215297341599409i</v>
      </c>
      <c r="E25" s="14">
        <f>VLOOKUP($A25,'Model Fitting'!$N$40:$AH$130,20,FALSE)</f>
        <v>42.5933741689405</v>
      </c>
      <c r="F25" s="14">
        <f>VLOOKUP($A25,'Model Fitting'!$N$40:$AH$130,21,FALSE)</f>
        <v>168.18305404898874</v>
      </c>
      <c r="G25" s="22" t="str">
        <f t="shared" si="1"/>
        <v>-0.899850169319497+0.188266269322302i</v>
      </c>
      <c r="H25" s="151">
        <f t="shared" si="2"/>
        <v>1.020297130990074E-2</v>
      </c>
      <c r="I25" s="151">
        <f t="shared" si="3"/>
        <v>9.0290880451322931E-3</v>
      </c>
      <c r="J25"/>
      <c r="K25"/>
      <c r="M25" s="154"/>
      <c r="N25" s="154"/>
      <c r="V25" s="18"/>
      <c r="W25" s="18"/>
    </row>
    <row r="26" spans="1:23">
      <c r="A26" s="16">
        <v>35</v>
      </c>
      <c r="B26" s="14">
        <f>VLOOKUP($A26,'Exp. Data Collection'!$A:$H,7,FALSE)</f>
        <v>38.861338154560229</v>
      </c>
      <c r="C26" s="14">
        <f>VLOOKUP($A26,'Exp. Data Collection'!$A:$H,8,FALSE)</f>
        <v>164.74685228171722</v>
      </c>
      <c r="D26" s="21" t="str">
        <f t="shared" si="0"/>
        <v>-0.777399289099527+0.211989256410831i</v>
      </c>
      <c r="E26" s="14">
        <f>VLOOKUP($A26,'Model Fitting'!$N$40:$AH$130,20,FALSE)</f>
        <v>39.238325761493783</v>
      </c>
      <c r="F26" s="14">
        <f>VLOOKUP($A26,'Model Fitting'!$N$40:$AH$130,21,FALSE)</f>
        <v>168.12454171728305</v>
      </c>
      <c r="G26" s="22" t="str">
        <f t="shared" si="1"/>
        <v>-0.799215023327781+0.168063520618849i</v>
      </c>
      <c r="H26" s="151">
        <f>IFERROR(ABS((B26-E26)/E26),NA())</f>
        <v>9.6076374212558172E-3</v>
      </c>
      <c r="I26" s="151">
        <f>IFERROR(ABS((C26-F26)/F26),NA())</f>
        <v>2.0090400848471749E-2</v>
      </c>
      <c r="J26"/>
      <c r="K26"/>
      <c r="M26" s="154"/>
      <c r="N26" s="154"/>
      <c r="V26" s="18"/>
      <c r="W26" s="18"/>
    </row>
    <row r="27" spans="1:23">
      <c r="A27" s="16">
        <v>40</v>
      </c>
      <c r="B27" s="14">
        <f>VLOOKUP($A27,'Exp. Data Collection'!$A:$H,7,FALSE)</f>
        <v>35.694268016732146</v>
      </c>
      <c r="C27" s="14">
        <f>VLOOKUP($A27,'Exp. Data Collection'!$A:$H,8,FALSE)</f>
        <v>169.10930014377632</v>
      </c>
      <c r="D27" s="21" t="str">
        <f t="shared" si="0"/>
        <v>-0.705482006339735+0.13573566586909i</v>
      </c>
      <c r="E27" s="14">
        <f>VLOOKUP($A27,'Model Fitting'!$N$40:$AH$130,20,FALSE)</f>
        <v>36.906978349837694</v>
      </c>
      <c r="F27" s="14">
        <f>VLOOKUP($A27,'Model Fitting'!$N$40:$AH$130,21,FALSE)</f>
        <v>173.89991566213038</v>
      </c>
      <c r="G27" s="22" t="str">
        <f t="shared" si="1"/>
        <v>-0.746759322810276+0.0798066611936724i</v>
      </c>
      <c r="H27" s="151">
        <f t="shared" si="2"/>
        <v>3.2858564621855074E-2</v>
      </c>
      <c r="I27" s="151">
        <f t="shared" si="3"/>
        <v>2.7548118698698689E-2</v>
      </c>
      <c r="J27"/>
      <c r="K27"/>
      <c r="M27" s="154"/>
      <c r="N27" s="154"/>
      <c r="V27" s="18"/>
      <c r="W27" s="18"/>
    </row>
    <row r="28" spans="1:23">
      <c r="A28" s="16">
        <v>45</v>
      </c>
      <c r="B28" s="14">
        <f>VLOOKUP($A28,'Exp. Data Collection'!$A:$H,7,FALSE)</f>
        <v>33.210910760899075</v>
      </c>
      <c r="C28" s="14">
        <f>VLOOKUP($A28,'Exp. Data Collection'!$A:$H,8,FALSE)</f>
        <v>172.62123438740906</v>
      </c>
      <c r="D28" s="21" t="str">
        <f t="shared" si="0"/>
        <v>-0.649232370543845+0.0840759038574506i</v>
      </c>
      <c r="E28" s="14">
        <f>VLOOKUP($A28,'Model Fitting'!$N$40:$AH$130,20,FALSE)</f>
        <v>34.425348745840516</v>
      </c>
      <c r="F28" s="14">
        <f>VLOOKUP($A28,'Model Fitting'!$N$40:$AH$130,21,FALSE)</f>
        <v>172.79821608387977</v>
      </c>
      <c r="G28" s="22" t="str">
        <f t="shared" si="1"/>
        <v>-0.679957350090719+0.085920097970445i</v>
      </c>
      <c r="H28" s="151">
        <f t="shared" si="2"/>
        <v>3.5277434483163415E-2</v>
      </c>
      <c r="I28" s="151">
        <f t="shared" si="3"/>
        <v>1.0242102058784809E-3</v>
      </c>
      <c r="J28"/>
      <c r="K28"/>
      <c r="M28" s="154"/>
      <c r="N28" s="154"/>
      <c r="V28" s="18"/>
      <c r="W28" s="18"/>
    </row>
    <row r="29" spans="1:23">
      <c r="A29" s="16">
        <v>50</v>
      </c>
      <c r="B29" s="14">
        <f>VLOOKUP($A29,'Exp. Data Collection'!$A:$H,7,FALSE)</f>
        <v>32.201490261252303</v>
      </c>
      <c r="C29" s="14">
        <f>VLOOKUP($A29,'Exp. Data Collection'!$A:$H,8,FALSE)</f>
        <v>150.21361539703906</v>
      </c>
      <c r="D29" s="21" t="str">
        <f t="shared" si="0"/>
        <v>-0.546566951031605+0.31284938473895i</v>
      </c>
      <c r="E29" s="14">
        <f>VLOOKUP($A29,'Model Fitting'!$N$40:$AH$130,20,FALSE)</f>
        <v>32.947968338928305</v>
      </c>
      <c r="F29" s="14">
        <f>VLOOKUP($A29,'Model Fitting'!$N$40:$AH$130,21,FALSE)</f>
        <v>149.53715654420253</v>
      </c>
      <c r="G29" s="22" t="str">
        <f t="shared" si="1"/>
        <v>-0.558649923501517+0.328582148817699i</v>
      </c>
      <c r="H29" s="151">
        <f>IFERROR(ABS((B29-E29)/E29),NA())</f>
        <v>2.265627033500673E-2</v>
      </c>
      <c r="I29" s="151">
        <f t="shared" si="3"/>
        <v>4.5236840693608747E-3</v>
      </c>
      <c r="J29"/>
      <c r="K29"/>
      <c r="M29" s="154"/>
      <c r="N29" s="154"/>
      <c r="V29" s="100"/>
      <c r="W29" s="100"/>
    </row>
    <row r="30" spans="1:23">
      <c r="A30" s="16">
        <v>55</v>
      </c>
      <c r="B30" s="14">
        <f>VLOOKUP($A30,'Exp. Data Collection'!$A:$H,7,FALSE)</f>
        <v>41.437599422423631</v>
      </c>
      <c r="C30" s="14">
        <f>VLOOKUP($A30,'Exp. Data Collection'!$A:$H,8,FALSE)</f>
        <v>129.28229305675629</v>
      </c>
      <c r="D30" s="21" t="str">
        <f t="shared" si="0"/>
        <v>-0.558928342520188+0.683307729178604i</v>
      </c>
      <c r="E30" s="14">
        <f>VLOOKUP($A30,'Model Fitting'!$N$40:$AH$130,20,FALSE)</f>
        <v>42.449466110732601</v>
      </c>
      <c r="F30" s="14">
        <f>VLOOKUP($A30,'Model Fitting'!$N$40:$AH$130,21,FALSE)</f>
        <v>126.15052744666409</v>
      </c>
      <c r="G30" s="22" t="str">
        <f t="shared" si="1"/>
        <v>-0.539595320407904+0.738600806729938i</v>
      </c>
      <c r="H30" s="151">
        <f t="shared" si="2"/>
        <v>2.3836970897806828E-2</v>
      </c>
      <c r="I30" s="151">
        <f t="shared" si="3"/>
        <v>2.4825624382873068E-2</v>
      </c>
      <c r="J30"/>
      <c r="K30"/>
      <c r="M30" s="154"/>
      <c r="N30" s="154"/>
      <c r="V30" s="100"/>
      <c r="W30" s="100"/>
    </row>
    <row r="31" spans="1:23">
      <c r="A31" s="16">
        <v>60</v>
      </c>
      <c r="B31" s="14">
        <f>VLOOKUP($A31,'Exp. Data Collection'!$A:$H,7,FALSE)</f>
        <v>64.396405593318363</v>
      </c>
      <c r="C31" s="14">
        <f>VLOOKUP($A31,'Exp. Data Collection'!$A:$H,8,FALSE)</f>
        <v>147.70171196832246</v>
      </c>
      <c r="D31" s="21" t="str">
        <f>IFERROR(IMPRODUCT(_xlfn.IMTAN(RADIANS($B31)),IMEXP(IMPRODUCT("i",RADIANS($C31)))),NA())</f>
        <v>-1.76394686907021+1.11504715271366i</v>
      </c>
      <c r="E31" s="14">
        <f>VLOOKUP($A31,'Model Fitting'!$N$40:$AH$130,20,FALSE)</f>
        <v>69.537141472658888</v>
      </c>
      <c r="F31" s="14">
        <f>VLOOKUP($A31,'Model Fitting'!$N$40:$AH$130,21,FALSE)</f>
        <v>147.82099181378527</v>
      </c>
      <c r="G31" s="22" t="str">
        <f>IMPRODUCT(_xlfn.IMTAN(RADIANS($E31)),IMEXP(IMPRODUCT("i",RADIANS($F31))))</f>
        <v>-2.26824980731351+1.4272328130306i</v>
      </c>
      <c r="H31" s="151">
        <f t="shared" ref="H31:I34" si="4">IFERROR(ABS((B31-E31)/E31),NA())</f>
        <v>7.3927914931070274E-2</v>
      </c>
      <c r="I31" s="151">
        <f t="shared" si="4"/>
        <v>8.0692088450518441E-4</v>
      </c>
      <c r="J31"/>
      <c r="K31"/>
      <c r="M31" s="159"/>
      <c r="N31" s="159"/>
      <c r="V31" s="159"/>
      <c r="W31" s="159"/>
    </row>
    <row r="32" spans="1:23">
      <c r="A32" s="16">
        <v>65</v>
      </c>
      <c r="B32" s="14">
        <f>VLOOKUP($A32,'Exp. Data Collection'!$A:$H,7,FALSE)</f>
        <v>39.692446074646021</v>
      </c>
      <c r="C32" s="14">
        <f>VLOOKUP($A32,'Exp. Data Collection'!$A:$H,8,FALSE)</f>
        <v>97.210059130547009</v>
      </c>
      <c r="D32" s="21" t="str">
        <f>IFERROR(IMPRODUCT(_xlfn.IMTAN(RADIANS($B32)),IMEXP(IMPRODUCT("i",RADIANS($C32)))),NA())</f>
        <v>-0.104170312044327+0.823430285438589i</v>
      </c>
      <c r="E32" s="14">
        <f>VLOOKUP($A32,'Model Fitting'!$N$40:$AH$130,20,FALSE)</f>
        <v>38.182768064530634</v>
      </c>
      <c r="F32" s="14">
        <f>VLOOKUP($A32,'Model Fitting'!$N$40:$AH$130,21,FALSE)</f>
        <v>95.656641456171982</v>
      </c>
      <c r="G32" s="22" t="str">
        <f>IMPRODUCT(_xlfn.IMTAN(RADIANS($E32)),IMEXP(IMPRODUCT("i",RADIANS($F32))))</f>
        <v>-0.0775163651498085+0.78260593305774i</v>
      </c>
      <c r="H32" s="151">
        <f t="shared" si="4"/>
        <v>3.9538202352536661E-2</v>
      </c>
      <c r="I32" s="151">
        <f t="shared" si="4"/>
        <v>1.6239517201602487E-2</v>
      </c>
      <c r="J32"/>
      <c r="K32"/>
      <c r="M32" s="159"/>
      <c r="N32" s="159"/>
      <c r="V32" s="159"/>
      <c r="W32" s="159"/>
    </row>
    <row r="33" spans="1:23">
      <c r="A33" s="16">
        <v>70</v>
      </c>
      <c r="B33" s="14" t="e">
        <f>VLOOKUP($A33,'Exp. Data Collection'!$A:$H,7,FALSE)</f>
        <v>#N/A</v>
      </c>
      <c r="C33" s="14" t="e">
        <f>VLOOKUP($A33,'Exp. Data Collection'!$A:$H,8,FALSE)</f>
        <v>#N/A</v>
      </c>
      <c r="D33" s="21" t="e">
        <f>IFERROR(IMPRODUCT(_xlfn.IMTAN(RADIANS($B33)),IMEXP(IMPRODUCT("i",RADIANS($C33)))),NA())</f>
        <v>#N/A</v>
      </c>
      <c r="E33" s="14">
        <f>VLOOKUP($A33,'Model Fitting'!$N$40:$AH$130,20,FALSE)</f>
        <v>26.351391781312614</v>
      </c>
      <c r="F33" s="14">
        <f>VLOOKUP($A33,'Model Fitting'!$N$40:$AH$130,21,FALSE)</f>
        <v>87.433896550046825</v>
      </c>
      <c r="G33" s="22" t="str">
        <f>IMPRODUCT(_xlfn.IMTAN(RADIANS($E33)),IMEXP(IMPRODUCT("i",RADIANS($F33))))</f>
        <v>0.0221776820938759+0.494850610113642i</v>
      </c>
      <c r="H33" s="151" t="e">
        <f t="shared" si="4"/>
        <v>#N/A</v>
      </c>
      <c r="I33" s="151" t="e">
        <f t="shared" si="4"/>
        <v>#N/A</v>
      </c>
      <c r="J33"/>
      <c r="K33"/>
      <c r="M33" s="154"/>
      <c r="N33" s="154"/>
      <c r="V33" s="100"/>
      <c r="W33" s="100"/>
    </row>
    <row r="34" spans="1:23" ht="15.75" thickBot="1">
      <c r="A34" s="26">
        <v>75</v>
      </c>
      <c r="B34" s="15" t="e">
        <f>VLOOKUP($A34,'Exp. Data Collection'!$A:$H,7,FALSE)</f>
        <v>#N/A</v>
      </c>
      <c r="C34" s="15" t="e">
        <f>VLOOKUP($A34,'Exp. Data Collection'!$A:$H,8,FALSE)</f>
        <v>#N/A</v>
      </c>
      <c r="D34" s="19" t="e">
        <f>IFERROR(IMPRODUCT(_xlfn.IMTAN(RADIANS($B34)),IMEXP(IMPRODUCT("i",RADIANS($C34)))),NA())</f>
        <v>#N/A</v>
      </c>
      <c r="E34" s="15">
        <f>VLOOKUP($A34,'Model Fitting'!$N$40:$AH$130,20,FALSE)</f>
        <v>17.344223505173044</v>
      </c>
      <c r="F34" s="15">
        <f>VLOOKUP($A34,'Model Fitting'!$N$40:$AH$130,21,FALSE)</f>
        <v>75.730205058062424</v>
      </c>
      <c r="G34" s="27" t="str">
        <f>IMPRODUCT(_xlfn.IMTAN(RADIANS($E34)),IMEXP(IMPRODUCT("i",RADIANS($F34))))</f>
        <v>0.0769812622306773+0.30267610120186i</v>
      </c>
      <c r="H34" s="152" t="e">
        <f t="shared" si="4"/>
        <v>#N/A</v>
      </c>
      <c r="I34" s="152" t="e">
        <f t="shared" si="4"/>
        <v>#N/A</v>
      </c>
      <c r="J34"/>
      <c r="K34"/>
      <c r="M34" s="154"/>
      <c r="N34" s="154"/>
      <c r="V34" s="100"/>
      <c r="W34" s="100"/>
    </row>
    <row r="35" spans="1:23">
      <c r="J35"/>
      <c r="K35"/>
      <c r="V35" s="18"/>
      <c r="W35" s="18"/>
    </row>
    <row r="36" spans="1:23">
      <c r="A36"/>
      <c r="B36"/>
      <c r="C36"/>
      <c r="D36"/>
      <c r="E36"/>
      <c r="V36" s="100"/>
      <c r="W36" s="100"/>
    </row>
    <row r="37" spans="1:23">
      <c r="A37"/>
      <c r="B37"/>
      <c r="C37"/>
      <c r="D37"/>
      <c r="E37"/>
      <c r="H37"/>
      <c r="I37"/>
      <c r="V37" s="18"/>
      <c r="W37" s="18"/>
    </row>
    <row r="38" spans="1:23">
      <c r="A38"/>
      <c r="B38"/>
      <c r="C38"/>
      <c r="D38"/>
      <c r="E38"/>
    </row>
    <row r="39" spans="1:23">
      <c r="A39"/>
      <c r="B39"/>
      <c r="C39"/>
      <c r="D39"/>
      <c r="E39"/>
    </row>
    <row r="40" spans="1:23">
      <c r="A40"/>
      <c r="B40"/>
      <c r="C40"/>
      <c r="D40"/>
      <c r="E40"/>
    </row>
    <row r="41" spans="1:23">
      <c r="A41"/>
      <c r="B41"/>
      <c r="C41"/>
      <c r="D41"/>
      <c r="E41"/>
    </row>
    <row r="42" spans="1:23">
      <c r="A42"/>
      <c r="B42"/>
      <c r="C42"/>
      <c r="D42"/>
    </row>
    <row r="43" spans="1:23">
      <c r="A43"/>
      <c r="B43"/>
      <c r="C43"/>
      <c r="D43"/>
    </row>
    <row r="44" spans="1:23">
      <c r="A44"/>
      <c r="B44"/>
      <c r="C44"/>
      <c r="D44"/>
      <c r="F44" s="18"/>
    </row>
    <row r="45" spans="1:23">
      <c r="A45" s="24"/>
      <c r="B45" s="24"/>
      <c r="C45" s="24"/>
      <c r="D45" s="24"/>
      <c r="E45" s="24"/>
      <c r="F45" s="24"/>
      <c r="G45" s="24"/>
    </row>
  </sheetData>
  <mergeCells count="4">
    <mergeCell ref="H21:I21"/>
    <mergeCell ref="S21:T21"/>
    <mergeCell ref="B21:D21"/>
    <mergeCell ref="E21:G2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D8BA9-0D88-4DA8-B424-A6AB98E4ABB8}">
  <dimension ref="A1:AI136"/>
  <sheetViews>
    <sheetView zoomScaleNormal="100" workbookViewId="0">
      <selection activeCell="C7" sqref="C7"/>
    </sheetView>
  </sheetViews>
  <sheetFormatPr defaultRowHeight="15"/>
  <cols>
    <col min="1" max="1" width="26.5703125" style="17" bestFit="1" customWidth="1"/>
    <col min="2" max="2" width="11.7109375" style="17" bestFit="1" customWidth="1"/>
    <col min="3" max="3" width="13.140625" style="17" bestFit="1" customWidth="1"/>
    <col min="4" max="4" width="12.5703125" style="17" bestFit="1" customWidth="1"/>
    <col min="5" max="5" width="11.5703125" style="17" bestFit="1" customWidth="1"/>
    <col min="6" max="6" width="11.140625" style="17" bestFit="1" customWidth="1"/>
    <col min="7" max="14" width="8.7109375" style="17" customWidth="1"/>
    <col min="15" max="15" width="9.28515625" style="17" customWidth="1"/>
    <col min="16" max="16" width="11.85546875" style="17" bestFit="1" customWidth="1"/>
    <col min="17" max="19" width="12.7109375" style="17" customWidth="1"/>
    <col min="20" max="30" width="8.7109375" style="17" customWidth="1"/>
    <col min="31" max="34" width="9.7109375" style="17" customWidth="1"/>
    <col min="35" max="35" width="8.7109375" style="17" customWidth="1"/>
    <col min="36" max="16384" width="9.140625" style="17"/>
  </cols>
  <sheetData>
    <row r="1" spans="1:15" s="18" customFormat="1" ht="15.75" thickBot="1">
      <c r="A1" s="227" t="s">
        <v>36</v>
      </c>
      <c r="B1" s="228"/>
      <c r="C1" s="228"/>
      <c r="D1" s="229"/>
    </row>
    <row r="2" spans="1:15" ht="15.75" thickBot="1">
      <c r="A2" s="43" t="s">
        <v>30</v>
      </c>
      <c r="B2" s="6" t="s">
        <v>85</v>
      </c>
      <c r="C2" s="6" t="s">
        <v>8</v>
      </c>
      <c r="D2" s="6" t="s">
        <v>9</v>
      </c>
    </row>
    <row r="3" spans="1:15">
      <c r="A3" s="230" t="s">
        <v>38</v>
      </c>
      <c r="B3" s="7" t="s">
        <v>18</v>
      </c>
      <c r="C3" s="7">
        <v>1</v>
      </c>
      <c r="D3" s="7"/>
    </row>
    <row r="4" spans="1:15" ht="15.75" thickBot="1">
      <c r="A4" s="231"/>
      <c r="B4" s="8" t="s">
        <v>19</v>
      </c>
      <c r="C4" s="8">
        <v>0</v>
      </c>
      <c r="D4" s="8"/>
      <c r="O4" s="29"/>
    </row>
    <row r="5" spans="1:15" s="90" customFormat="1">
      <c r="A5" s="230" t="s">
        <v>39</v>
      </c>
      <c r="B5" s="97" t="s">
        <v>4</v>
      </c>
      <c r="C5" s="98">
        <f>n1_Index</f>
        <v>1.4830000000000001</v>
      </c>
      <c r="D5" s="97"/>
    </row>
    <row r="6" spans="1:15" s="90" customFormat="1">
      <c r="A6" s="231"/>
      <c r="B6" s="141" t="s">
        <v>5</v>
      </c>
      <c r="C6" s="142">
        <f>k1_extinction</f>
        <v>0</v>
      </c>
      <c r="D6" s="141"/>
    </row>
    <row r="7" spans="1:15" s="90" customFormat="1" ht="15.75" thickBot="1">
      <c r="A7" s="239"/>
      <c r="B7" s="99" t="s">
        <v>69</v>
      </c>
      <c r="C7" s="139">
        <f>d1_Thickness</f>
        <v>14857</v>
      </c>
      <c r="D7" s="99" t="s">
        <v>49</v>
      </c>
    </row>
    <row r="8" spans="1:15">
      <c r="A8" s="232" t="s">
        <v>40</v>
      </c>
      <c r="B8" s="49" t="s">
        <v>6</v>
      </c>
      <c r="C8" s="96">
        <v>3.8435000000000001</v>
      </c>
      <c r="D8" s="49"/>
    </row>
    <row r="9" spans="1:15" ht="15.75" thickBot="1">
      <c r="A9" s="233"/>
      <c r="B9" s="48" t="s">
        <v>7</v>
      </c>
      <c r="C9" s="47">
        <v>1.5793000000000001E-2</v>
      </c>
      <c r="D9" s="48"/>
    </row>
    <row r="10" spans="1:15" ht="15.75" customHeight="1" thickBot="1">
      <c r="A10" s="44" t="s">
        <v>37</v>
      </c>
      <c r="B10" s="50"/>
      <c r="C10" s="50"/>
      <c r="D10" s="51"/>
    </row>
    <row r="11" spans="1:15" ht="15.75" thickBot="1">
      <c r="A11" s="89" t="s">
        <v>50</v>
      </c>
      <c r="B11" s="8" t="s">
        <v>51</v>
      </c>
      <c r="C11" s="8">
        <v>6530</v>
      </c>
      <c r="D11" s="28" t="s">
        <v>49</v>
      </c>
    </row>
    <row r="12" spans="1:15" ht="15.75" thickBot="1">
      <c r="A12" s="12" t="s">
        <v>16</v>
      </c>
      <c r="B12" s="9"/>
      <c r="C12" s="9"/>
      <c r="D12" s="9"/>
    </row>
    <row r="13" spans="1:15" s="29" customFormat="1">
      <c r="A13" s="234" t="s">
        <v>74</v>
      </c>
      <c r="B13" s="235"/>
    </row>
    <row r="14" spans="1:15" s="29" customFormat="1" ht="15.75" thickBot="1">
      <c r="A14" s="236"/>
      <c r="B14" s="237"/>
    </row>
    <row r="15" spans="1:15" s="29" customFormat="1">
      <c r="A15" s="45" t="s">
        <v>83</v>
      </c>
      <c r="B15" s="86" t="s">
        <v>84</v>
      </c>
    </row>
    <row r="16" spans="1:15" s="29" customFormat="1" ht="15.75" thickBot="1">
      <c r="A16" s="13">
        <v>1.4830000000000001</v>
      </c>
      <c r="B16" s="34">
        <v>1.4830000000000001</v>
      </c>
    </row>
    <row r="17" spans="1:12" s="140" customFormat="1" ht="15.75" thickBot="1">
      <c r="A17" s="9"/>
      <c r="B17" s="9"/>
    </row>
    <row r="18" spans="1:12" s="140" customFormat="1" ht="15" customHeight="1">
      <c r="A18" s="234" t="s">
        <v>73</v>
      </c>
      <c r="B18" s="235"/>
    </row>
    <row r="19" spans="1:12" s="140" customFormat="1" ht="15.75" thickBot="1">
      <c r="A19" s="236"/>
      <c r="B19" s="237"/>
    </row>
    <row r="20" spans="1:12" s="140" customFormat="1">
      <c r="A20" s="178" t="s">
        <v>83</v>
      </c>
      <c r="B20" s="179" t="s">
        <v>84</v>
      </c>
    </row>
    <row r="21" spans="1:12" s="140" customFormat="1" ht="15.75" thickBot="1">
      <c r="A21" s="13">
        <v>0</v>
      </c>
      <c r="B21" s="34">
        <v>0</v>
      </c>
    </row>
    <row r="22" spans="1:12" s="29" customFormat="1" ht="15.75" customHeight="1" thickBot="1"/>
    <row r="23" spans="1:12" s="90" customFormat="1" ht="15.75" customHeight="1">
      <c r="A23" s="240" t="s">
        <v>68</v>
      </c>
      <c r="B23" s="241"/>
    </row>
    <row r="24" spans="1:12" s="90" customFormat="1" ht="15.75" customHeight="1" thickBot="1">
      <c r="A24" s="242"/>
      <c r="B24" s="243"/>
    </row>
    <row r="25" spans="1:12" s="90" customFormat="1" ht="15.75" customHeight="1">
      <c r="A25" s="87" t="s">
        <v>83</v>
      </c>
      <c r="B25" s="88" t="s">
        <v>84</v>
      </c>
    </row>
    <row r="26" spans="1:12" s="90" customFormat="1" ht="15.75" customHeight="1" thickBot="1">
      <c r="A26" s="85">
        <v>5000</v>
      </c>
      <c r="B26" s="80">
        <v>15000</v>
      </c>
    </row>
    <row r="27" spans="1:12" s="90" customFormat="1" ht="15.75" customHeight="1" thickBot="1">
      <c r="A27" s="95"/>
      <c r="B27" s="74"/>
    </row>
    <row r="28" spans="1:12" ht="15.75" thickBot="1">
      <c r="A28" s="214" t="s">
        <v>42</v>
      </c>
      <c r="B28" s="215"/>
      <c r="C28" s="90"/>
      <c r="D28" s="90"/>
      <c r="E28" s="90"/>
      <c r="F28" s="90"/>
      <c r="G28" s="90"/>
      <c r="H28" s="90"/>
      <c r="I28" s="90"/>
    </row>
    <row r="29" spans="1:12">
      <c r="A29" s="36" t="s">
        <v>4</v>
      </c>
      <c r="B29" s="175">
        <v>1.4830000000000001</v>
      </c>
      <c r="C29" s="29"/>
      <c r="D29" s="29"/>
      <c r="E29" s="29"/>
      <c r="F29" s="29"/>
      <c r="G29" s="29"/>
      <c r="H29" s="29"/>
      <c r="I29" s="29"/>
    </row>
    <row r="30" spans="1:12" s="140" customFormat="1">
      <c r="A30" s="180" t="s">
        <v>5</v>
      </c>
      <c r="B30" s="176">
        <v>0</v>
      </c>
    </row>
    <row r="31" spans="1:12" s="90" customFormat="1" ht="15.75" thickBot="1">
      <c r="A31" s="46" t="s">
        <v>71</v>
      </c>
      <c r="B31" s="181">
        <v>14857</v>
      </c>
      <c r="J31" s="155"/>
      <c r="K31" s="155"/>
      <c r="L31" s="155"/>
    </row>
    <row r="32" spans="1:12" s="100" customFormat="1" ht="15.75" thickBot="1">
      <c r="A32" s="42"/>
      <c r="B32" s="120"/>
      <c r="C32" s="9"/>
      <c r="D32" s="9"/>
    </row>
    <row r="33" spans="1:35" s="100" customFormat="1" ht="15.75" thickBot="1">
      <c r="A33" s="244" t="s">
        <v>86</v>
      </c>
      <c r="B33" s="245"/>
      <c r="C33" s="246"/>
      <c r="D33" s="9"/>
    </row>
    <row r="34" spans="1:35" s="100" customFormat="1" ht="15.75" thickBot="1">
      <c r="A34" s="43" t="s">
        <v>80</v>
      </c>
      <c r="B34" s="43" t="s">
        <v>81</v>
      </c>
      <c r="C34" s="43" t="s">
        <v>82</v>
      </c>
      <c r="D34" s="9"/>
    </row>
    <row r="35" spans="1:35" s="100" customFormat="1" ht="15.75" thickBot="1">
      <c r="A35" s="83">
        <f>SUM(E42:E130)</f>
        <v>1.0631721637965542E-2</v>
      </c>
      <c r="B35" s="84">
        <f>SUM(F42:F130)</f>
        <v>3.1740816785193532E-3</v>
      </c>
      <c r="C35" s="84">
        <f>AVERAGE(A35:B35)</f>
        <v>6.9029016582424479E-3</v>
      </c>
      <c r="D35" s="9"/>
      <c r="G35" s="9"/>
      <c r="H35" s="9"/>
      <c r="I35" s="9"/>
    </row>
    <row r="36" spans="1:35" s="100" customFormat="1" ht="15.75" customHeight="1">
      <c r="G36" s="82"/>
      <c r="H36" s="82"/>
    </row>
    <row r="37" spans="1:35" s="100" customFormat="1" ht="15.75" customHeight="1">
      <c r="G37" s="82"/>
      <c r="H37" s="82"/>
    </row>
    <row r="38" spans="1:35" s="29" customFormat="1" ht="15.75" thickBot="1">
      <c r="A38"/>
      <c r="B38"/>
      <c r="C38"/>
      <c r="D38"/>
      <c r="E38" s="90"/>
      <c r="F38" s="90"/>
      <c r="G38" s="90"/>
      <c r="H38" s="90"/>
      <c r="I38" s="90"/>
    </row>
    <row r="39" spans="1:35" s="71" customFormat="1" ht="15.75" thickBot="1">
      <c r="A39" s="244" t="s">
        <v>53</v>
      </c>
      <c r="B39" s="245"/>
      <c r="C39" s="245"/>
      <c r="D39" s="245"/>
      <c r="E39" s="245"/>
      <c r="F39" s="246"/>
      <c r="G39" s="244" t="s">
        <v>62</v>
      </c>
      <c r="H39" s="245"/>
      <c r="I39" s="245"/>
      <c r="J39" s="245"/>
      <c r="K39" s="245"/>
      <c r="L39" s="245"/>
      <c r="M39" s="245"/>
      <c r="N39" s="245"/>
      <c r="O39" s="245"/>
      <c r="P39" s="245"/>
      <c r="Q39" s="245"/>
      <c r="R39" s="245"/>
      <c r="S39" s="245"/>
      <c r="T39" s="245"/>
      <c r="U39" s="245"/>
      <c r="V39" s="245"/>
      <c r="W39" s="245"/>
      <c r="X39" s="245"/>
      <c r="Y39" s="245"/>
      <c r="Z39" s="245"/>
      <c r="AA39" s="245"/>
      <c r="AB39" s="245"/>
      <c r="AC39" s="245"/>
      <c r="AD39" s="245"/>
      <c r="AE39" s="245"/>
      <c r="AF39" s="245"/>
      <c r="AG39" s="245"/>
      <c r="AH39" s="246"/>
    </row>
    <row r="40" spans="1:35" s="75" customFormat="1" ht="15.75" thickBot="1">
      <c r="A40" s="223" t="s">
        <v>56</v>
      </c>
      <c r="B40" s="238" t="s">
        <v>57</v>
      </c>
      <c r="C40" s="223" t="s">
        <v>58</v>
      </c>
      <c r="D40" s="238" t="s">
        <v>59</v>
      </c>
      <c r="E40" s="247" t="s">
        <v>78</v>
      </c>
      <c r="F40" s="225" t="s">
        <v>79</v>
      </c>
      <c r="G40" s="251" t="s">
        <v>38</v>
      </c>
      <c r="H40" s="252"/>
      <c r="I40" s="253" t="s">
        <v>39</v>
      </c>
      <c r="J40" s="251"/>
      <c r="K40" s="252"/>
      <c r="L40" s="253" t="s">
        <v>40</v>
      </c>
      <c r="M40" s="252"/>
      <c r="N40" s="73" t="s">
        <v>27</v>
      </c>
      <c r="O40" s="39" t="s">
        <v>27</v>
      </c>
      <c r="P40" s="40" t="s">
        <v>41</v>
      </c>
      <c r="Q40" s="248" t="s">
        <v>52</v>
      </c>
      <c r="R40" s="249"/>
      <c r="S40" s="250"/>
      <c r="T40" s="248" t="s">
        <v>47</v>
      </c>
      <c r="U40" s="249"/>
      <c r="V40" s="249"/>
      <c r="W40" s="249"/>
      <c r="X40" s="249"/>
      <c r="Y40" s="249"/>
      <c r="Z40" s="249"/>
      <c r="AA40" s="249"/>
      <c r="AB40" s="249"/>
      <c r="AC40" s="249"/>
      <c r="AD40" s="250"/>
      <c r="AE40" s="248" t="s">
        <v>45</v>
      </c>
      <c r="AF40" s="249"/>
      <c r="AG40" s="249"/>
      <c r="AH40" s="250"/>
    </row>
    <row r="41" spans="1:35" s="75" customFormat="1" ht="30.75" thickBot="1">
      <c r="A41" s="224"/>
      <c r="B41" s="226"/>
      <c r="C41" s="224"/>
      <c r="D41" s="226"/>
      <c r="E41" s="224"/>
      <c r="F41" s="226"/>
      <c r="G41" s="66" t="s">
        <v>18</v>
      </c>
      <c r="H41" s="67" t="s">
        <v>19</v>
      </c>
      <c r="I41" s="65" t="s">
        <v>4</v>
      </c>
      <c r="J41" s="66" t="s">
        <v>5</v>
      </c>
      <c r="K41" s="67" t="s">
        <v>70</v>
      </c>
      <c r="L41" s="65" t="s">
        <v>6</v>
      </c>
      <c r="M41" s="67" t="s">
        <v>7</v>
      </c>
      <c r="N41" s="103" t="s">
        <v>43</v>
      </c>
      <c r="O41" s="102" t="s">
        <v>44</v>
      </c>
      <c r="P41" s="104" t="s">
        <v>48</v>
      </c>
      <c r="Q41" s="36" t="s">
        <v>20</v>
      </c>
      <c r="R41" s="37" t="s">
        <v>21</v>
      </c>
      <c r="S41" s="38" t="s">
        <v>22</v>
      </c>
      <c r="T41" s="36" t="s">
        <v>23</v>
      </c>
      <c r="U41" s="37" t="s">
        <v>24</v>
      </c>
      <c r="V41" s="37" t="s">
        <v>25</v>
      </c>
      <c r="W41" s="37" t="s">
        <v>10</v>
      </c>
      <c r="X41" s="37" t="s">
        <v>26</v>
      </c>
      <c r="Y41" s="37" t="s">
        <v>11</v>
      </c>
      <c r="Z41" s="37" t="s">
        <v>12</v>
      </c>
      <c r="AA41" s="37" t="s">
        <v>13</v>
      </c>
      <c r="AB41" s="37" t="s">
        <v>14</v>
      </c>
      <c r="AC41" s="37" t="s">
        <v>15</v>
      </c>
      <c r="AD41" s="38" t="s">
        <v>17</v>
      </c>
      <c r="AE41" s="36" t="s">
        <v>61</v>
      </c>
      <c r="AF41" s="76" t="s">
        <v>60</v>
      </c>
      <c r="AG41" s="76" t="s">
        <v>67</v>
      </c>
      <c r="AH41" s="77" t="s">
        <v>46</v>
      </c>
      <c r="AI41" s="119"/>
    </row>
    <row r="42" spans="1:35" s="75" customFormat="1">
      <c r="A42" s="115" t="str">
        <f>IFERROR(VLOOKUP(N42,'Exp. Data Processing'!$A$23:$C$34,2,FALSE),"")</f>
        <v/>
      </c>
      <c r="B42" s="123" t="str">
        <f>IFERROR(VLOOKUP(N42,'Exp. Data Processing'!$A$23:$C$34,3,FALSE),"")</f>
        <v/>
      </c>
      <c r="C42" s="131">
        <f>AG42</f>
        <v>44.995653986025559</v>
      </c>
      <c r="D42" s="130">
        <f>AH42</f>
        <v>179.9909389067345</v>
      </c>
      <c r="E42" s="115" t="str">
        <f t="shared" ref="E42:E73" si="0">IFERROR(((A42-C42)/C42)^2,"")</f>
        <v/>
      </c>
      <c r="F42" s="130" t="str">
        <f t="shared" ref="F42:F73" si="1">IFERROR(((B42-D42)/D42)^2,"")</f>
        <v/>
      </c>
      <c r="G42" s="105">
        <f t="shared" ref="G42:G105" si="2">$C$3</f>
        <v>1</v>
      </c>
      <c r="H42" s="106">
        <f t="shared" ref="H42:H105" si="3">$C$4</f>
        <v>0</v>
      </c>
      <c r="I42" s="109">
        <f t="shared" ref="I42:I73" si="4">n1_Index</f>
        <v>1.4830000000000001</v>
      </c>
      <c r="J42" s="107">
        <f t="shared" ref="J42:J105" si="5">$C$6</f>
        <v>0</v>
      </c>
      <c r="K42" s="108">
        <f t="shared" ref="K42:K73" si="6">d1_Thickness</f>
        <v>14857</v>
      </c>
      <c r="L42" s="109">
        <f t="shared" ref="L42:L105" si="7">$C$8</f>
        <v>3.8435000000000001</v>
      </c>
      <c r="M42" s="110">
        <f t="shared" ref="M42:M105" si="8">$C$9</f>
        <v>1.5793000000000001E-2</v>
      </c>
      <c r="N42" s="69">
        <v>1</v>
      </c>
      <c r="O42" s="121">
        <f>RADIANS(N42)</f>
        <v>1.7453292519943295E-2</v>
      </c>
      <c r="P42" s="59">
        <f>$C$11</f>
        <v>6530</v>
      </c>
      <c r="Q42" s="112" t="str">
        <f t="shared" ref="Q42:Q73" si="9">COMPLEX(G42,H42)</f>
        <v>1</v>
      </c>
      <c r="R42" s="113" t="str">
        <f t="shared" ref="R42:R73" si="10">COMPLEX(I42,J42)</f>
        <v>1.483</v>
      </c>
      <c r="S42" s="114" t="str">
        <f t="shared" ref="S42:S73" si="11">COMPLEX(L42,M42)</f>
        <v>3.8435+0.015793i</v>
      </c>
      <c r="T42" s="112" t="str">
        <f t="shared" ref="T42:T105" si="12">IMSQRT(IMSUB("1.0-0i",IMPRODUCT(IMSIN(O42),IMSIN(O42))))</f>
        <v>0.999847695156391</v>
      </c>
      <c r="U42" s="111" t="str">
        <f t="shared" ref="U42:U105" si="13">IMDIV(IMSQRT(IMSUB(IMPRODUCT(R42,R42),IMPRODUCT(IMPRODUCT(Q42,Q42),IMSIN(O42)^2))),R42)</f>
        <v>0.999930751020681</v>
      </c>
      <c r="V42" s="111" t="str">
        <f t="shared" ref="V42:V105" si="14">IMDIV(IMSQRT(IMSUB(IMPRODUCT(S42,S42),IMPRODUCT(IMPRODUCT(Q42,Q42),IMSIN(O42)^2))),S42)</f>
        <v>0.999989691223809+8.47197036533272E-08i</v>
      </c>
      <c r="W42" s="111" t="str">
        <f t="shared" ref="W42:W105" si="15">IMDIV(IMSUB(IMPRODUCT(R42,T42),IMPRODUCT(Q42,U42)),IMSUM(IMPRODUCT(R42,T42),IMPRODUCT(Q42,U42)))</f>
        <v>0.194482793430097</v>
      </c>
      <c r="X42" s="111" t="str">
        <f t="shared" ref="X42:X105" si="16">IMDIV(IMSUB(IMPRODUCT(Q42,T42),IMPRODUCT(R42,U42)),IMSUM(IMPRODUCT(Q42,T42),IMPRODUCT(R42,U42)))</f>
        <v>-0.19456271538857</v>
      </c>
      <c r="Y42" s="111" t="str">
        <f t="shared" ref="Y42:Y105" si="17">IMDIV(IMSUB(IMPRODUCT(S42,U42),IMPRODUCT(R42,V42)),IMSUM(IMPRODUCT(S42,U42),IMPRODUCT(R42,V42)))</f>
        <v>0.443142762270463+0.00165101299261458i</v>
      </c>
      <c r="Z42" s="111" t="str">
        <f t="shared" ref="Z42:Z105" si="18">IMDIV(IMSUB(IMPRODUCT(R42,U42),IMPRODUCT(S42,V42)),IMSUM(IMPRODUCT(R42,U42),IMPRODUCT(S42,V42)))</f>
        <v>-0.443190128992894-0.00165099482166483i</v>
      </c>
      <c r="AA42" s="111" t="str">
        <f t="shared" ref="AA42:AA73" si="19">IMPRODUCT(2,PI(),IMDIV(K42,P42),R42,U42)</f>
        <v>21.1986832638836</v>
      </c>
      <c r="AB42" s="111" t="str">
        <f t="shared" ref="AB42:AB105" si="20">IMDIV(IMSUM(W42,IMPRODUCT(Y42,IMEXP(IMPRODUCT("0-2i",AA42)))),IMSUM(1,IMPRODUCT(W42,IMPRODUCT(Y42,IMEXP(IMPRODUCT("0-2i",AA42))))))</f>
        <v>0.223489446166602+0.424470296719345i</v>
      </c>
      <c r="AC42" s="111" t="str">
        <f t="shared" ref="AC42:AC105" si="21">IMDIV(IMSUM(X42,IMPRODUCT(Z42,IMEXP(IMPRODUCT("0-2i",AA42)))),IMSUM(1,IMPRODUCT(X42,IMPRODUCT(Z42,IMEXP(IMPRODUCT("0-2i",AA42))))))</f>
        <v>-0.223590488725572-0.42449934104805i</v>
      </c>
      <c r="AD42" s="72" t="str">
        <f t="shared" ref="AD42:AD105" si="22">IMDIV($AB42,$AC42)</f>
        <v>-0.999848294496414-0.000158121921026303i</v>
      </c>
      <c r="AE42" s="115">
        <f t="shared" ref="AE42:AE105" si="23">ATAN(IMABS(AD42))</f>
        <v>0.78532231114425666</v>
      </c>
      <c r="AF42" s="116">
        <f t="shared" ref="AF42:AF105" si="24">IMARGUMENT(AD42)</f>
        <v>-3.14143450767848</v>
      </c>
      <c r="AG42" s="117">
        <f t="shared" ref="AG42:AG105" si="25">DEGREES(AE42)</f>
        <v>44.995653986025559</v>
      </c>
      <c r="AH42" s="118">
        <f>DEGREES(ABS(AF42))</f>
        <v>179.9909389067345</v>
      </c>
      <c r="AI42" s="119"/>
    </row>
    <row r="43" spans="1:35" s="75" customFormat="1">
      <c r="A43" s="79" t="str">
        <f>IFERROR(VLOOKUP(N43,'Exp. Data Processing'!$A$23:$C$34,2,FALSE),"")</f>
        <v/>
      </c>
      <c r="B43" s="123" t="str">
        <f>IFERROR(VLOOKUP(N43,'Exp. Data Processing'!$A$23:$C$34,3,FALSE),"")</f>
        <v/>
      </c>
      <c r="C43" s="124">
        <f t="shared" ref="C43:C106" si="26">AG43</f>
        <v>44.982648565879025</v>
      </c>
      <c r="D43" s="123">
        <f t="shared" ref="D43:D106" si="27">AH43</f>
        <v>179.96355921853583</v>
      </c>
      <c r="E43" s="79" t="str">
        <f t="shared" si="0"/>
        <v/>
      </c>
      <c r="F43" s="123" t="str">
        <f t="shared" si="1"/>
        <v/>
      </c>
      <c r="G43" s="58">
        <f t="shared" si="2"/>
        <v>1</v>
      </c>
      <c r="H43" s="59">
        <f t="shared" si="3"/>
        <v>0</v>
      </c>
      <c r="I43" s="63">
        <f t="shared" si="4"/>
        <v>1.4830000000000001</v>
      </c>
      <c r="J43" s="11">
        <f t="shared" si="5"/>
        <v>0</v>
      </c>
      <c r="K43" s="60">
        <f t="shared" si="6"/>
        <v>14857</v>
      </c>
      <c r="L43" s="63">
        <f t="shared" si="7"/>
        <v>3.8435000000000001</v>
      </c>
      <c r="M43" s="64">
        <f t="shared" si="8"/>
        <v>1.5793000000000001E-2</v>
      </c>
      <c r="N43" s="69">
        <v>2</v>
      </c>
      <c r="O43" s="121">
        <f t="shared" ref="O43:O105" si="28">RADIANS(N43)</f>
        <v>3.4906585039886591E-2</v>
      </c>
      <c r="P43" s="59">
        <f t="shared" ref="P43:P105" si="29">$C$11</f>
        <v>6530</v>
      </c>
      <c r="Q43" s="61" t="str">
        <f t="shared" si="9"/>
        <v>1</v>
      </c>
      <c r="R43" s="56" t="str">
        <f t="shared" si="10"/>
        <v>1.483</v>
      </c>
      <c r="S43" s="62" t="str">
        <f t="shared" si="11"/>
        <v>3.8435+0.015793i</v>
      </c>
      <c r="T43" s="61" t="str">
        <f t="shared" si="12"/>
        <v>0.999390827019096</v>
      </c>
      <c r="U43" s="10" t="str">
        <f t="shared" si="13"/>
        <v>0.999723059691881</v>
      </c>
      <c r="V43" s="10" t="str">
        <f t="shared" si="14"/>
        <v>0.999958776817741+3.3878607017316E-07i</v>
      </c>
      <c r="W43" s="10" t="str">
        <f t="shared" si="15"/>
        <v>0.194362848073965</v>
      </c>
      <c r="X43" s="10" t="str">
        <f t="shared" si="16"/>
        <v>-0.194682651051888</v>
      </c>
      <c r="Y43" s="10" t="str">
        <f t="shared" si="17"/>
        <v>0.44307171379996+0.00165104024854104i</v>
      </c>
      <c r="Z43" s="10" t="str">
        <f t="shared" si="18"/>
        <v>-0.443261168185111-0.00165096752140052i</v>
      </c>
      <c r="AA43" s="10" t="str">
        <f t="shared" si="19"/>
        <v>21.1942801762784</v>
      </c>
      <c r="AB43" s="10" t="str">
        <f t="shared" si="20"/>
        <v>0.219638746278148+0.424985144930845i</v>
      </c>
      <c r="AC43" s="10" t="str">
        <f t="shared" si="21"/>
        <v>-0.220042232009431-0.425102764196957i</v>
      </c>
      <c r="AD43" s="78" t="str">
        <f t="shared" si="22"/>
        <v>-0.999394301906052-0.000635626473230322i</v>
      </c>
      <c r="AE43" s="79">
        <f t="shared" si="23"/>
        <v>0.78509532374209434</v>
      </c>
      <c r="AF43" s="57">
        <f t="shared" si="24"/>
        <v>-3.1409566419712438</v>
      </c>
      <c r="AG43" s="91">
        <f t="shared" si="25"/>
        <v>44.982648565879025</v>
      </c>
      <c r="AH43" s="92">
        <f t="shared" ref="AH43:AH106" si="30">DEGREES(ABS(AF43))</f>
        <v>179.96355921853583</v>
      </c>
      <c r="AI43" s="119"/>
    </row>
    <row r="44" spans="1:35" s="75" customFormat="1">
      <c r="A44" s="79" t="str">
        <f>IFERROR(VLOOKUP(N44,'Exp. Data Processing'!$A$23:$C$34,2,FALSE),"")</f>
        <v/>
      </c>
      <c r="B44" s="123" t="str">
        <f>IFERROR(VLOOKUP(N44,'Exp. Data Processing'!$A$23:$C$34,3,FALSE),"")</f>
        <v/>
      </c>
      <c r="C44" s="124">
        <f t="shared" si="26"/>
        <v>44.961086382157596</v>
      </c>
      <c r="D44" s="123">
        <f t="shared" si="27"/>
        <v>179.91727423166734</v>
      </c>
      <c r="E44" s="79" t="str">
        <f t="shared" si="0"/>
        <v/>
      </c>
      <c r="F44" s="123" t="str">
        <f t="shared" si="1"/>
        <v/>
      </c>
      <c r="G44" s="58">
        <f t="shared" si="2"/>
        <v>1</v>
      </c>
      <c r="H44" s="59">
        <f t="shared" si="3"/>
        <v>0</v>
      </c>
      <c r="I44" s="63">
        <f t="shared" si="4"/>
        <v>1.4830000000000001</v>
      </c>
      <c r="J44" s="11">
        <f t="shared" si="5"/>
        <v>0</v>
      </c>
      <c r="K44" s="60">
        <f t="shared" si="6"/>
        <v>14857</v>
      </c>
      <c r="L44" s="63">
        <f t="shared" si="7"/>
        <v>3.8435000000000001</v>
      </c>
      <c r="M44" s="64">
        <f t="shared" si="8"/>
        <v>1.5793000000000001E-2</v>
      </c>
      <c r="N44" s="69">
        <v>3</v>
      </c>
      <c r="O44" s="121">
        <f t="shared" si="28"/>
        <v>5.235987755982989E-2</v>
      </c>
      <c r="P44" s="59">
        <f t="shared" si="29"/>
        <v>6530</v>
      </c>
      <c r="Q44" s="61" t="str">
        <f t="shared" si="9"/>
        <v>1</v>
      </c>
      <c r="R44" s="56" t="str">
        <f t="shared" si="10"/>
        <v>1.483</v>
      </c>
      <c r="S44" s="62" t="str">
        <f t="shared" si="11"/>
        <v>3.8435+0.015793i</v>
      </c>
      <c r="T44" s="61" t="str">
        <f t="shared" si="12"/>
        <v>0.998629534754574</v>
      </c>
      <c r="U44" s="10" t="str">
        <f t="shared" si="13"/>
        <v>0.99937709285381</v>
      </c>
      <c r="V44" s="10" t="str">
        <f t="shared" si="14"/>
        <v>0.999907292537673+7.61920933088532E-07i</v>
      </c>
      <c r="W44" s="10" t="str">
        <f t="shared" si="15"/>
        <v>0.194162734142064</v>
      </c>
      <c r="X44" s="10" t="str">
        <f t="shared" si="16"/>
        <v>-0.194882722920739</v>
      </c>
      <c r="Y44" s="10" t="str">
        <f t="shared" si="17"/>
        <v>0.442953308197507+0.00165108568816661i</v>
      </c>
      <c r="Z44" s="10" t="str">
        <f t="shared" si="18"/>
        <v>-0.443379533592346-0.00165092188973646i</v>
      </c>
      <c r="AA44" s="10" t="str">
        <f t="shared" si="19"/>
        <v>21.1869456269482</v>
      </c>
      <c r="AB44" s="10" t="str">
        <f t="shared" si="20"/>
        <v>0.21320258372971+0.425770305701788i</v>
      </c>
      <c r="AC44" s="10" t="str">
        <f t="shared" si="21"/>
        <v>-0.214107738306499-0.426040347831904i</v>
      </c>
      <c r="AD44" s="78" t="str">
        <f t="shared" si="22"/>
        <v>-0.998641539283065-0.0014418766396986i</v>
      </c>
      <c r="AE44" s="79">
        <f t="shared" si="23"/>
        <v>0.78471899264223555</v>
      </c>
      <c r="AF44" s="57">
        <f t="shared" si="24"/>
        <v>-3.1401488165561462</v>
      </c>
      <c r="AG44" s="91">
        <f t="shared" si="25"/>
        <v>44.961086382157596</v>
      </c>
      <c r="AH44" s="92">
        <f t="shared" si="30"/>
        <v>179.91727423166734</v>
      </c>
      <c r="AI44" s="119"/>
    </row>
    <row r="45" spans="1:35" s="75" customFormat="1">
      <c r="A45" s="79" t="str">
        <f>IFERROR(VLOOKUP(N45,'Exp. Data Processing'!$A$23:$C$34,2,FALSE),"")</f>
        <v/>
      </c>
      <c r="B45" s="123" t="str">
        <f>IFERROR(VLOOKUP(N45,'Exp. Data Processing'!$A$23:$C$34,3,FALSE),"")</f>
        <v/>
      </c>
      <c r="C45" s="124">
        <f t="shared" si="26"/>
        <v>44.931154976623127</v>
      </c>
      <c r="D45" s="123">
        <f t="shared" si="27"/>
        <v>179.85111499792927</v>
      </c>
      <c r="E45" s="79" t="str">
        <f t="shared" si="0"/>
        <v/>
      </c>
      <c r="F45" s="123" t="str">
        <f t="shared" si="1"/>
        <v/>
      </c>
      <c r="G45" s="58">
        <f t="shared" si="2"/>
        <v>1</v>
      </c>
      <c r="H45" s="59">
        <f t="shared" si="3"/>
        <v>0</v>
      </c>
      <c r="I45" s="63">
        <f t="shared" si="4"/>
        <v>1.4830000000000001</v>
      </c>
      <c r="J45" s="11">
        <f t="shared" si="5"/>
        <v>0</v>
      </c>
      <c r="K45" s="60">
        <f t="shared" si="6"/>
        <v>14857</v>
      </c>
      <c r="L45" s="63">
        <f t="shared" si="7"/>
        <v>3.8435000000000001</v>
      </c>
      <c r="M45" s="64">
        <f t="shared" si="8"/>
        <v>1.5793000000000001E-2</v>
      </c>
      <c r="N45" s="69">
        <v>4</v>
      </c>
      <c r="O45" s="121">
        <f t="shared" si="28"/>
        <v>6.9813170079773182E-2</v>
      </c>
      <c r="P45" s="59">
        <f t="shared" si="29"/>
        <v>6530</v>
      </c>
      <c r="Q45" s="61" t="str">
        <f t="shared" si="9"/>
        <v>1</v>
      </c>
      <c r="R45" s="56" t="str">
        <f t="shared" si="10"/>
        <v>1.483</v>
      </c>
      <c r="S45" s="62" t="str">
        <f t="shared" si="11"/>
        <v>3.8435+0.015793i</v>
      </c>
      <c r="T45" s="61" t="str">
        <f t="shared" si="12"/>
        <v>0.997564050259824</v>
      </c>
      <c r="U45" s="10" t="str">
        <f t="shared" si="13"/>
        <v>0.998893128615772</v>
      </c>
      <c r="V45" s="10" t="str">
        <f t="shared" si="14"/>
        <v>0.999835297938027+1.35366090439373E-06i</v>
      </c>
      <c r="W45" s="10" t="str">
        <f t="shared" si="15"/>
        <v>0.193882143524031</v>
      </c>
      <c r="X45" s="10" t="str">
        <f t="shared" si="16"/>
        <v>-0.195163200046858</v>
      </c>
      <c r="Y45" s="10" t="str">
        <f t="shared" si="17"/>
        <v>0.442787558392188+0.00165114933096975i</v>
      </c>
      <c r="Z45" s="10" t="str">
        <f t="shared" si="18"/>
        <v>-0.443545175222875-0.00165085773027746i</v>
      </c>
      <c r="AA45" s="10" t="str">
        <f t="shared" si="19"/>
        <v>21.1766855118525</v>
      </c>
      <c r="AB45" s="10" t="str">
        <f t="shared" si="20"/>
        <v>0.204155706479302+0.426715292375368i</v>
      </c>
      <c r="AC45" s="10" t="str">
        <f t="shared" si="21"/>
        <v>-0.205757722329524-0.427208759697706i</v>
      </c>
      <c r="AD45" s="78" t="str">
        <f t="shared" si="22"/>
        <v>-0.997596370187332-0.00259229341511594i</v>
      </c>
      <c r="AE45" s="79">
        <f t="shared" si="23"/>
        <v>0.78419659106590933</v>
      </c>
      <c r="AF45" s="57">
        <f t="shared" si="24"/>
        <v>-3.1389941200968203</v>
      </c>
      <c r="AG45" s="91">
        <f t="shared" si="25"/>
        <v>44.931154976623127</v>
      </c>
      <c r="AH45" s="92">
        <f t="shared" si="30"/>
        <v>179.85111499792927</v>
      </c>
      <c r="AI45" s="119"/>
    </row>
    <row r="46" spans="1:35" s="75" customFormat="1">
      <c r="A46" s="79" t="str">
        <f>IFERROR(VLOOKUP(N46,'Exp. Data Processing'!$A$23:$C$34,2,FALSE),"")</f>
        <v/>
      </c>
      <c r="B46" s="123" t="str">
        <f>IFERROR(VLOOKUP(N46,'Exp. Data Processing'!$A$23:$C$34,3,FALSE),"")</f>
        <v/>
      </c>
      <c r="C46" s="124">
        <f t="shared" si="26"/>
        <v>44.893153462306501</v>
      </c>
      <c r="D46" s="123">
        <f t="shared" si="27"/>
        <v>179.76374547388554</v>
      </c>
      <c r="E46" s="79" t="str">
        <f t="shared" si="0"/>
        <v/>
      </c>
      <c r="F46" s="123" t="str">
        <f t="shared" si="1"/>
        <v/>
      </c>
      <c r="G46" s="58">
        <f t="shared" si="2"/>
        <v>1</v>
      </c>
      <c r="H46" s="59">
        <f t="shared" si="3"/>
        <v>0</v>
      </c>
      <c r="I46" s="63">
        <f t="shared" si="4"/>
        <v>1.4830000000000001</v>
      </c>
      <c r="J46" s="11">
        <f t="shared" si="5"/>
        <v>0</v>
      </c>
      <c r="K46" s="60">
        <f t="shared" si="6"/>
        <v>14857</v>
      </c>
      <c r="L46" s="63">
        <f t="shared" si="7"/>
        <v>3.8435000000000001</v>
      </c>
      <c r="M46" s="64">
        <f t="shared" si="8"/>
        <v>1.5793000000000001E-2</v>
      </c>
      <c r="N46" s="69">
        <v>5</v>
      </c>
      <c r="O46" s="121">
        <f t="shared" si="28"/>
        <v>8.7266462599716474E-2</v>
      </c>
      <c r="P46" s="59">
        <f t="shared" si="29"/>
        <v>6530</v>
      </c>
      <c r="Q46" s="61" t="str">
        <f t="shared" si="9"/>
        <v>1</v>
      </c>
      <c r="R46" s="56" t="str">
        <f t="shared" si="10"/>
        <v>1.483</v>
      </c>
      <c r="S46" s="62" t="str">
        <f t="shared" si="11"/>
        <v>3.8435+0.015793i</v>
      </c>
      <c r="T46" s="61" t="str">
        <f t="shared" si="12"/>
        <v>0.996194698091746</v>
      </c>
      <c r="U46" s="10" t="str">
        <f t="shared" si="13"/>
        <v>0.998271556419454</v>
      </c>
      <c r="V46" s="10" t="str">
        <f t="shared" si="14"/>
        <v>0.999742876313662+2.11335770923438E-06i</v>
      </c>
      <c r="W46" s="10" t="str">
        <f t="shared" si="15"/>
        <v>0.193520643657134</v>
      </c>
      <c r="X46" s="10" t="str">
        <f t="shared" si="16"/>
        <v>-0.195524459917097</v>
      </c>
      <c r="Y46" s="10" t="str">
        <f t="shared" si="17"/>
        <v>0.44257448279813+0.00165123120393253i</v>
      </c>
      <c r="Z46" s="10" t="str">
        <f t="shared" si="18"/>
        <v>-0.443758022844215-0.00165077476895198i</v>
      </c>
      <c r="AA46" s="10" t="str">
        <f t="shared" si="19"/>
        <v>21.1635080872139</v>
      </c>
      <c r="AB46" s="10" t="str">
        <f t="shared" si="20"/>
        <v>0.192467347125313+0.427663300649232i</v>
      </c>
      <c r="AC46" s="10" t="str">
        <f t="shared" si="21"/>
        <v>-0.194954901576258-0.428461079919689i</v>
      </c>
      <c r="AD46" s="78" t="str">
        <f t="shared" si="22"/>
        <v>-0.996268820494981-0.00410805741821532i</v>
      </c>
      <c r="AE46" s="79">
        <f t="shared" si="23"/>
        <v>0.78353333952034043</v>
      </c>
      <c r="AF46" s="57">
        <f t="shared" si="24"/>
        <v>-3.1374692342363568</v>
      </c>
      <c r="AG46" s="91">
        <f>DEGREES(AE46)</f>
        <v>44.893153462306501</v>
      </c>
      <c r="AH46" s="92">
        <f t="shared" si="30"/>
        <v>179.76374547388554</v>
      </c>
      <c r="AI46" s="119"/>
    </row>
    <row r="47" spans="1:35" s="75" customFormat="1">
      <c r="A47" s="79" t="str">
        <f>IFERROR(VLOOKUP(N47,'Exp. Data Processing'!$A$23:$C$34,2,FALSE),"")</f>
        <v/>
      </c>
      <c r="B47" s="123" t="str">
        <f>IFERROR(VLOOKUP(N47,'Exp. Data Processing'!$A$23:$C$34,3,FALSE),"")</f>
        <v/>
      </c>
      <c r="C47" s="124">
        <f t="shared" si="26"/>
        <v>44.847533989033423</v>
      </c>
      <c r="D47" s="123">
        <f t="shared" si="27"/>
        <v>179.65348777955714</v>
      </c>
      <c r="E47" s="79" t="str">
        <f t="shared" si="0"/>
        <v/>
      </c>
      <c r="F47" s="123" t="str">
        <f t="shared" si="1"/>
        <v/>
      </c>
      <c r="G47" s="58">
        <f t="shared" si="2"/>
        <v>1</v>
      </c>
      <c r="H47" s="59">
        <f t="shared" si="3"/>
        <v>0</v>
      </c>
      <c r="I47" s="63">
        <f t="shared" si="4"/>
        <v>1.4830000000000001</v>
      </c>
      <c r="J47" s="11">
        <f t="shared" si="5"/>
        <v>0</v>
      </c>
      <c r="K47" s="60">
        <f t="shared" si="6"/>
        <v>14857</v>
      </c>
      <c r="L47" s="63">
        <f t="shared" si="7"/>
        <v>3.8435000000000001</v>
      </c>
      <c r="M47" s="64">
        <f t="shared" si="8"/>
        <v>1.5793000000000001E-2</v>
      </c>
      <c r="N47" s="69">
        <v>6</v>
      </c>
      <c r="O47" s="121">
        <f t="shared" si="28"/>
        <v>0.10471975511965978</v>
      </c>
      <c r="P47" s="59">
        <f t="shared" si="29"/>
        <v>6530</v>
      </c>
      <c r="Q47" s="61" t="str">
        <f t="shared" si="9"/>
        <v>1</v>
      </c>
      <c r="R47" s="56" t="str">
        <f t="shared" si="10"/>
        <v>1.483</v>
      </c>
      <c r="S47" s="62" t="str">
        <f t="shared" si="11"/>
        <v>3.8435+0.015793i</v>
      </c>
      <c r="T47" s="61" t="str">
        <f t="shared" si="12"/>
        <v>0.994521895368273</v>
      </c>
      <c r="U47" s="10" t="str">
        <f t="shared" si="13"/>
        <v>0.997512877127242</v>
      </c>
      <c r="V47" s="10" t="str">
        <f t="shared" si="14"/>
        <v>0.999630134618588+3.04017865483136E-06i</v>
      </c>
      <c r="W47" s="10" t="str">
        <f t="shared" si="15"/>
        <v>0.193077676312162</v>
      </c>
      <c r="X47" s="10" t="str">
        <f t="shared" si="16"/>
        <v>-0.195966989269959</v>
      </c>
      <c r="Y47" s="10" t="str">
        <f t="shared" si="17"/>
        <v>0.442314105628812+0.0016513313412528i</v>
      </c>
      <c r="Z47" s="10" t="str">
        <f t="shared" si="18"/>
        <v>-0.444017985739124-0.00165067265489666i</v>
      </c>
      <c r="AA47" s="10" t="str">
        <f t="shared" si="19"/>
        <v>21.1474239713909</v>
      </c>
      <c r="AB47" s="10" t="str">
        <f t="shared" si="20"/>
        <v>0.178106041055779+0.428409311555893i</v>
      </c>
      <c r="AC47" s="10" t="str">
        <f t="shared" si="21"/>
        <v>-0.181657925212714-0.429604659959294i</v>
      </c>
      <c r="AD47" s="78" t="str">
        <f t="shared" si="22"/>
        <v>-0.994673853653723-0.00601564113046618i</v>
      </c>
      <c r="AE47" s="79">
        <f>ATAN(IMABS(AD47))</f>
        <v>0.78273712950869967</v>
      </c>
      <c r="AF47" s="57">
        <f t="shared" si="24"/>
        <v>-3.135544874444669</v>
      </c>
      <c r="AG47" s="91">
        <f t="shared" si="25"/>
        <v>44.847533989033423</v>
      </c>
      <c r="AH47" s="92">
        <f t="shared" si="30"/>
        <v>179.65348777955714</v>
      </c>
      <c r="AI47" s="119"/>
    </row>
    <row r="48" spans="1:35" s="75" customFormat="1">
      <c r="A48" s="79" t="str">
        <f>IFERROR(VLOOKUP(N48,'Exp. Data Processing'!$A$23:$C$34,2,FALSE),"")</f>
        <v/>
      </c>
      <c r="B48" s="123" t="str">
        <f>IFERROR(VLOOKUP(N48,'Exp. Data Processing'!$A$23:$C$34,3,FALSE),"")</f>
        <v/>
      </c>
      <c r="C48" s="124">
        <f t="shared" si="26"/>
        <v>44.794962580497533</v>
      </c>
      <c r="D48" s="123">
        <f t="shared" si="27"/>
        <v>179.51836272985003</v>
      </c>
      <c r="E48" s="79" t="str">
        <f t="shared" si="0"/>
        <v/>
      </c>
      <c r="F48" s="123" t="str">
        <f t="shared" si="1"/>
        <v/>
      </c>
      <c r="G48" s="58">
        <f t="shared" si="2"/>
        <v>1</v>
      </c>
      <c r="H48" s="59">
        <f t="shared" si="3"/>
        <v>0</v>
      </c>
      <c r="I48" s="63">
        <f t="shared" si="4"/>
        <v>1.4830000000000001</v>
      </c>
      <c r="J48" s="11">
        <f t="shared" si="5"/>
        <v>0</v>
      </c>
      <c r="K48" s="60">
        <f t="shared" si="6"/>
        <v>14857</v>
      </c>
      <c r="L48" s="63">
        <f t="shared" si="7"/>
        <v>3.8435000000000001</v>
      </c>
      <c r="M48" s="64">
        <f t="shared" si="8"/>
        <v>1.5793000000000001E-2</v>
      </c>
      <c r="N48" s="69">
        <v>7</v>
      </c>
      <c r="O48" s="121">
        <f t="shared" si="28"/>
        <v>0.12217304763960307</v>
      </c>
      <c r="P48" s="59">
        <f t="shared" si="29"/>
        <v>6530</v>
      </c>
      <c r="Q48" s="61" t="str">
        <f t="shared" si="9"/>
        <v>1</v>
      </c>
      <c r="R48" s="56" t="str">
        <f t="shared" si="10"/>
        <v>1.483</v>
      </c>
      <c r="S48" s="62" t="str">
        <f t="shared" si="11"/>
        <v>3.8435+0.015793i</v>
      </c>
      <c r="T48" s="61" t="str">
        <f t="shared" si="12"/>
        <v>0.992546151641322</v>
      </c>
      <c r="U48" s="10" t="str">
        <f t="shared" si="13"/>
        <v>0.996617703135246</v>
      </c>
      <c r="V48" s="10" t="str">
        <f t="shared" si="14"/>
        <v>0.999497203361471+4.13310723462829E-06i</v>
      </c>
      <c r="W48" s="10" t="str">
        <f t="shared" si="15"/>
        <v>0.192552556023954</v>
      </c>
      <c r="X48" s="10" t="str">
        <f t="shared" si="16"/>
        <v>-0.196491385148412</v>
      </c>
      <c r="Y48" s="10" t="str">
        <f t="shared" si="17"/>
        <v>0.442006457302428+0.00165144978397324i</v>
      </c>
      <c r="Z48" s="10" t="str">
        <f t="shared" si="18"/>
        <v>-0.444324952391951-0.00165055096159792i</v>
      </c>
      <c r="AA48" s="10" t="str">
        <f t="shared" si="19"/>
        <v>21.1284461472735</v>
      </c>
      <c r="AB48" s="10" t="str">
        <f t="shared" si="20"/>
        <v>0.16104614211602+0.428698006909929i</v>
      </c>
      <c r="AC48" s="10" t="str">
        <f t="shared" si="21"/>
        <v>-0.165826732825863-0.430398555743391i</v>
      </c>
      <c r="AD48" s="78" t="str">
        <f t="shared" si="22"/>
        <v>-0.992833255107571-0.00834610797689743i</v>
      </c>
      <c r="AE48" s="79">
        <f t="shared" si="23"/>
        <v>0.78181958533733742</v>
      </c>
      <c r="AF48" s="57">
        <f t="shared" si="24"/>
        <v>-3.1331864974253585</v>
      </c>
      <c r="AG48" s="91">
        <f t="shared" si="25"/>
        <v>44.794962580497533</v>
      </c>
      <c r="AH48" s="92">
        <f t="shared" si="30"/>
        <v>179.51836272985003</v>
      </c>
      <c r="AI48" s="119"/>
    </row>
    <row r="49" spans="1:35" s="75" customFormat="1">
      <c r="A49" s="79" t="str">
        <f>IFERROR(VLOOKUP(N49,'Exp. Data Processing'!$A$23:$C$34,2,FALSE),"")</f>
        <v/>
      </c>
      <c r="B49" s="123" t="str">
        <f>IFERROR(VLOOKUP(N49,'Exp. Data Processing'!$A$23:$C$34,3,FALSE),"")</f>
        <v/>
      </c>
      <c r="C49" s="124">
        <f t="shared" si="26"/>
        <v>44.736405876321797</v>
      </c>
      <c r="D49" s="123">
        <f t="shared" si="27"/>
        <v>179.35615421529181</v>
      </c>
      <c r="E49" s="79" t="str">
        <f t="shared" si="0"/>
        <v/>
      </c>
      <c r="F49" s="123" t="str">
        <f t="shared" si="1"/>
        <v/>
      </c>
      <c r="G49" s="58">
        <f t="shared" si="2"/>
        <v>1</v>
      </c>
      <c r="H49" s="59">
        <f t="shared" si="3"/>
        <v>0</v>
      </c>
      <c r="I49" s="63">
        <f t="shared" si="4"/>
        <v>1.4830000000000001</v>
      </c>
      <c r="J49" s="11">
        <f t="shared" si="5"/>
        <v>0</v>
      </c>
      <c r="K49" s="60">
        <f t="shared" si="6"/>
        <v>14857</v>
      </c>
      <c r="L49" s="63">
        <f t="shared" si="7"/>
        <v>3.8435000000000001</v>
      </c>
      <c r="M49" s="64">
        <f t="shared" si="8"/>
        <v>1.5793000000000001E-2</v>
      </c>
      <c r="N49" s="69">
        <v>8</v>
      </c>
      <c r="O49" s="121">
        <f t="shared" si="28"/>
        <v>0.13962634015954636</v>
      </c>
      <c r="P49" s="59">
        <f t="shared" si="29"/>
        <v>6530</v>
      </c>
      <c r="Q49" s="61" t="str">
        <f t="shared" si="9"/>
        <v>1</v>
      </c>
      <c r="R49" s="56" t="str">
        <f t="shared" si="10"/>
        <v>1.483</v>
      </c>
      <c r="S49" s="62" t="str">
        <f t="shared" si="11"/>
        <v>3.8435+0.015793i</v>
      </c>
      <c r="T49" s="61" t="str">
        <f t="shared" si="12"/>
        <v>0.990268068741571</v>
      </c>
      <c r="U49" s="10" t="str">
        <f t="shared" si="13"/>
        <v>0.99558675851062</v>
      </c>
      <c r="V49" s="10" t="str">
        <f t="shared" si="14"/>
        <v>0.999344236477931+5.39094386872408E-06i</v>
      </c>
      <c r="W49" s="10" t="str">
        <f t="shared" si="15"/>
        <v>0.191944468160187</v>
      </c>
      <c r="X49" s="10" t="str">
        <f t="shared" si="16"/>
        <v>-0.19709835619126</v>
      </c>
      <c r="Y49" s="10" t="str">
        <f t="shared" si="17"/>
        <v>0.441651574939259+0.00165158657952748i</v>
      </c>
      <c r="Z49" s="10" t="str">
        <f t="shared" si="18"/>
        <v>-0.444678790105423-0.00165040918829382i</v>
      </c>
      <c r="AA49" s="10" t="str">
        <f t="shared" si="19"/>
        <v>21.1065899651952</v>
      </c>
      <c r="AB49" s="10" t="str">
        <f t="shared" si="20"/>
        <v>0.141276251174086+0.428221818542672i</v>
      </c>
      <c r="AC49" s="10" t="str">
        <f t="shared" si="21"/>
        <v>-0.147429578677853-0.430550718019171i</v>
      </c>
      <c r="AD49" s="78" t="str">
        <f t="shared" si="22"/>
        <v>-0.990778343186152-0.0111340716072761i</v>
      </c>
      <c r="AE49" s="79">
        <f t="shared" si="23"/>
        <v>0.78079757805035443</v>
      </c>
      <c r="AF49" s="57">
        <f t="shared" si="24"/>
        <v>-3.1303554247715488</v>
      </c>
      <c r="AG49" s="91">
        <f t="shared" si="25"/>
        <v>44.736405876321797</v>
      </c>
      <c r="AH49" s="92">
        <f t="shared" si="30"/>
        <v>179.35615421529181</v>
      </c>
      <c r="AI49" s="119"/>
    </row>
    <row r="50" spans="1:35" s="75" customFormat="1">
      <c r="A50" s="79" t="str">
        <f>IFERROR(VLOOKUP(N50,'Exp. Data Processing'!$A$23:$C$34,2,FALSE),"")</f>
        <v/>
      </c>
      <c r="B50" s="123" t="str">
        <f>IFERROR(VLOOKUP(N50,'Exp. Data Processing'!$A$23:$C$34,3,FALSE),"")</f>
        <v/>
      </c>
      <c r="C50" s="124">
        <f t="shared" si="26"/>
        <v>44.673252714244292</v>
      </c>
      <c r="D50" s="123">
        <f t="shared" si="27"/>
        <v>179.16451159215327</v>
      </c>
      <c r="E50" s="79" t="str">
        <f t="shared" si="0"/>
        <v/>
      </c>
      <c r="F50" s="123" t="str">
        <f t="shared" si="1"/>
        <v/>
      </c>
      <c r="G50" s="58">
        <f t="shared" si="2"/>
        <v>1</v>
      </c>
      <c r="H50" s="59">
        <f t="shared" si="3"/>
        <v>0</v>
      </c>
      <c r="I50" s="63">
        <f t="shared" si="4"/>
        <v>1.4830000000000001</v>
      </c>
      <c r="J50" s="11">
        <f t="shared" si="5"/>
        <v>0</v>
      </c>
      <c r="K50" s="60">
        <f t="shared" si="6"/>
        <v>14857</v>
      </c>
      <c r="L50" s="63">
        <f t="shared" si="7"/>
        <v>3.8435000000000001</v>
      </c>
      <c r="M50" s="64">
        <f t="shared" si="8"/>
        <v>1.5793000000000001E-2</v>
      </c>
      <c r="N50" s="69">
        <v>9</v>
      </c>
      <c r="O50" s="121">
        <f t="shared" si="28"/>
        <v>0.15707963267948966</v>
      </c>
      <c r="P50" s="59">
        <f t="shared" si="29"/>
        <v>6530</v>
      </c>
      <c r="Q50" s="61" t="str">
        <f t="shared" si="9"/>
        <v>1</v>
      </c>
      <c r="R50" s="56" t="str">
        <f t="shared" si="10"/>
        <v>1.483</v>
      </c>
      <c r="S50" s="62" t="str">
        <f t="shared" si="11"/>
        <v>3.8435+0.015793i</v>
      </c>
      <c r="T50" s="61" t="str">
        <f t="shared" si="12"/>
        <v>0.987688340595138</v>
      </c>
      <c r="U50" s="10" t="str">
        <f t="shared" si="13"/>
        <v>0.994420879152724</v>
      </c>
      <c r="V50" s="10" t="str">
        <f t="shared" si="14"/>
        <v>0.999171411179704+6.81230678075667E-06i</v>
      </c>
      <c r="W50" s="10" t="str">
        <f t="shared" si="15"/>
        <v>0.191252466620475</v>
      </c>
      <c r="X50" s="10" t="str">
        <f t="shared" si="16"/>
        <v>-0.197788724165776</v>
      </c>
      <c r="Y50" s="10" t="str">
        <f t="shared" si="17"/>
        <v>0.441249502952218+0.0016517417812024i</v>
      </c>
      <c r="Z50" s="10" t="str">
        <f t="shared" si="18"/>
        <v>-0.445079344547965-0.00165024676163945i</v>
      </c>
      <c r="AA50" s="10" t="str">
        <f t="shared" si="19"/>
        <v>21.0818731463487</v>
      </c>
      <c r="AB50" s="10" t="str">
        <f t="shared" si="20"/>
        <v>0.118809782055425+0.426619564789467i</v>
      </c>
      <c r="AC50" s="10" t="str">
        <f t="shared" si="21"/>
        <v>-0.126452008979967-0.429715216859984i</v>
      </c>
      <c r="AD50" s="78" t="str">
        <f t="shared" si="22"/>
        <v>-0.988553811136892-0.014416136791489i</v>
      </c>
      <c r="AE50" s="79">
        <f t="shared" si="23"/>
        <v>0.77969534743905644</v>
      </c>
      <c r="AF50" s="57">
        <f t="shared" si="24"/>
        <v>-3.1270106300106226</v>
      </c>
      <c r="AG50" s="91">
        <f t="shared" si="25"/>
        <v>44.673252714244292</v>
      </c>
      <c r="AH50" s="92">
        <f t="shared" si="30"/>
        <v>179.16451159215327</v>
      </c>
      <c r="AI50" s="119"/>
    </row>
    <row r="51" spans="1:35" s="75" customFormat="1">
      <c r="A51" s="79" t="str">
        <f>IFERROR(VLOOKUP(N51,'Exp. Data Processing'!$A$23:$C$34,2,FALSE),"")</f>
        <v/>
      </c>
      <c r="B51" s="123" t="str">
        <f>IFERROR(VLOOKUP(N51,'Exp. Data Processing'!$A$23:$C$34,3,FALSE),"")</f>
        <v/>
      </c>
      <c r="C51" s="124">
        <f t="shared" si="26"/>
        <v>44.607482286437296</v>
      </c>
      <c r="D51" s="123">
        <f t="shared" si="27"/>
        <v>178.94111351611448</v>
      </c>
      <c r="E51" s="79" t="str">
        <f t="shared" si="0"/>
        <v/>
      </c>
      <c r="F51" s="123" t="str">
        <f t="shared" si="1"/>
        <v/>
      </c>
      <c r="G51" s="58">
        <f t="shared" si="2"/>
        <v>1</v>
      </c>
      <c r="H51" s="59">
        <f t="shared" si="3"/>
        <v>0</v>
      </c>
      <c r="I51" s="63">
        <f t="shared" si="4"/>
        <v>1.4830000000000001</v>
      </c>
      <c r="J51" s="11">
        <f t="shared" si="5"/>
        <v>0</v>
      </c>
      <c r="K51" s="60">
        <f t="shared" si="6"/>
        <v>14857</v>
      </c>
      <c r="L51" s="63">
        <f t="shared" si="7"/>
        <v>3.8435000000000001</v>
      </c>
      <c r="M51" s="64">
        <f t="shared" si="8"/>
        <v>1.5793000000000001E-2</v>
      </c>
      <c r="N51" s="69">
        <v>10</v>
      </c>
      <c r="O51" s="121">
        <f t="shared" si="28"/>
        <v>0.17453292519943295</v>
      </c>
      <c r="P51" s="59">
        <f t="shared" si="29"/>
        <v>6530</v>
      </c>
      <c r="Q51" s="61" t="str">
        <f t="shared" si="9"/>
        <v>1</v>
      </c>
      <c r="R51" s="56" t="str">
        <f t="shared" si="10"/>
        <v>1.483</v>
      </c>
      <c r="S51" s="62" t="str">
        <f t="shared" si="11"/>
        <v>3.8435+0.015793i</v>
      </c>
      <c r="T51" s="61" t="str">
        <f t="shared" si="12"/>
        <v>0.984807753012208</v>
      </c>
      <c r="U51" s="10" t="str">
        <f t="shared" si="13"/>
        <v>0.993121012977465</v>
      </c>
      <c r="V51" s="10" t="str">
        <f t="shared" si="14"/>
        <v>0.998978927780664+8.39563301349642E-06i</v>
      </c>
      <c r="W51" s="10" t="str">
        <f t="shared" si="15"/>
        <v>0.190475471156411</v>
      </c>
      <c r="X51" s="10" t="str">
        <f t="shared" si="16"/>
        <v>-0.19856342574483</v>
      </c>
      <c r="Y51" s="10" t="str">
        <f t="shared" si="17"/>
        <v>0.44080029373184+0.0016519154475168i</v>
      </c>
      <c r="Z51" s="10" t="str">
        <f t="shared" si="18"/>
        <v>-0.445526439231692-0.00165006303764094i</v>
      </c>
      <c r="AA51" s="10" t="str">
        <f t="shared" si="19"/>
        <v>21.054315786695</v>
      </c>
      <c r="AB51" s="10" t="str">
        <f t="shared" si="20"/>
        <v>0.0936978597203505+0.423476292699384i</v>
      </c>
      <c r="AC51" s="10" t="str">
        <f t="shared" si="21"/>
        <v>-0.102908121139067-0.427489908926063i</v>
      </c>
      <c r="AD51" s="78" t="str">
        <f t="shared" si="22"/>
        <v>-0.986223115910673-0.0182285195491736i</v>
      </c>
      <c r="AE51" s="79">
        <f t="shared" si="23"/>
        <v>0.77854743692337913</v>
      </c>
      <c r="AF51" s="57">
        <f t="shared" si="24"/>
        <v>-3.1231115980411248</v>
      </c>
      <c r="AG51" s="91">
        <f t="shared" si="25"/>
        <v>44.607482286437296</v>
      </c>
      <c r="AH51" s="92">
        <f t="shared" si="30"/>
        <v>178.94111351611448</v>
      </c>
      <c r="AI51" s="119"/>
    </row>
    <row r="52" spans="1:35" s="75" customFormat="1">
      <c r="A52" s="79" t="str">
        <f>IFERROR(VLOOKUP(N52,'Exp. Data Processing'!$A$23:$C$34,2,FALSE),"")</f>
        <v/>
      </c>
      <c r="B52" s="123" t="str">
        <f>IFERROR(VLOOKUP(N52,'Exp. Data Processing'!$A$23:$C$34,3,FALSE),"")</f>
        <v/>
      </c>
      <c r="C52" s="124">
        <f t="shared" si="26"/>
        <v>44.541893432969914</v>
      </c>
      <c r="D52" s="123">
        <f t="shared" si="27"/>
        <v>178.68393214517096</v>
      </c>
      <c r="E52" s="79" t="str">
        <f t="shared" si="0"/>
        <v/>
      </c>
      <c r="F52" s="123" t="str">
        <f t="shared" si="1"/>
        <v/>
      </c>
      <c r="G52" s="58">
        <f t="shared" si="2"/>
        <v>1</v>
      </c>
      <c r="H52" s="59">
        <f t="shared" si="3"/>
        <v>0</v>
      </c>
      <c r="I52" s="63">
        <f t="shared" si="4"/>
        <v>1.4830000000000001</v>
      </c>
      <c r="J52" s="11">
        <f t="shared" si="5"/>
        <v>0</v>
      </c>
      <c r="K52" s="60">
        <f t="shared" si="6"/>
        <v>14857</v>
      </c>
      <c r="L52" s="63">
        <f t="shared" si="7"/>
        <v>3.8435000000000001</v>
      </c>
      <c r="M52" s="64">
        <f t="shared" si="8"/>
        <v>1.5793000000000001E-2</v>
      </c>
      <c r="N52" s="69">
        <v>11</v>
      </c>
      <c r="O52" s="121">
        <f t="shared" si="28"/>
        <v>0.19198621771937624</v>
      </c>
      <c r="P52" s="59">
        <f t="shared" si="29"/>
        <v>6530</v>
      </c>
      <c r="Q52" s="61" t="str">
        <f t="shared" si="9"/>
        <v>1</v>
      </c>
      <c r="R52" s="56" t="str">
        <f t="shared" si="10"/>
        <v>1.483</v>
      </c>
      <c r="S52" s="62" t="str">
        <f t="shared" si="11"/>
        <v>3.8435+0.015793i</v>
      </c>
      <c r="T52" s="61" t="str">
        <f t="shared" si="12"/>
        <v>0.981627183447664</v>
      </c>
      <c r="U52" s="10" t="str">
        <f t="shared" si="13"/>
        <v>0.991688220124086</v>
      </c>
      <c r="V52" s="10" t="str">
        <f t="shared" si="14"/>
        <v>0.998767009499738+0.0000101391795836699i</v>
      </c>
      <c r="W52" s="10" t="str">
        <f t="shared" si="15"/>
        <v>0.189612264301514</v>
      </c>
      <c r="X52" s="10" t="str">
        <f t="shared" si="16"/>
        <v>-0.19942351453216</v>
      </c>
      <c r="Y52" s="10" t="str">
        <f t="shared" si="17"/>
        <v>0.440304008427234+0.00165210764151521i</v>
      </c>
      <c r="Z52" s="10" t="str">
        <f t="shared" si="18"/>
        <v>-0.446019874921245-0.00164985730386242i</v>
      </c>
      <c r="AA52" s="10" t="str">
        <f t="shared" si="19"/>
        <v>21.0239403613462</v>
      </c>
      <c r="AB52" s="10" t="str">
        <f t="shared" si="20"/>
        <v>0.0660446559149294+0.418325140863275i</v>
      </c>
      <c r="AC52" s="10" t="str">
        <f t="shared" si="21"/>
        <v>-0.0768544512057132-0.423415136150828i</v>
      </c>
      <c r="AD52" s="78" t="str">
        <f t="shared" si="22"/>
        <v>-0.983875962204159-0.0226033280287719i</v>
      </c>
      <c r="AE52" s="79">
        <f t="shared" si="23"/>
        <v>0.77740269547776519</v>
      </c>
      <c r="AF52" s="57">
        <f t="shared" si="24"/>
        <v>-3.1186229363433675</v>
      </c>
      <c r="AG52" s="91">
        <f t="shared" si="25"/>
        <v>44.541893432969914</v>
      </c>
      <c r="AH52" s="92">
        <f t="shared" si="30"/>
        <v>178.68393214517096</v>
      </c>
      <c r="AI52" s="119"/>
    </row>
    <row r="53" spans="1:35" s="75" customFormat="1">
      <c r="A53" s="79" t="str">
        <f>IFERROR(VLOOKUP(N53,'Exp. Data Processing'!$A$23:$C$34,2,FALSE),"")</f>
        <v/>
      </c>
      <c r="B53" s="123" t="str">
        <f>IFERROR(VLOOKUP(N53,'Exp. Data Processing'!$A$23:$C$34,3,FALSE),"")</f>
        <v/>
      </c>
      <c r="C53" s="124">
        <f t="shared" si="26"/>
        <v>44.480411356750544</v>
      </c>
      <c r="D53" s="123">
        <f t="shared" si="27"/>
        <v>178.3916624416012</v>
      </c>
      <c r="E53" s="79" t="str">
        <f t="shared" si="0"/>
        <v/>
      </c>
      <c r="F53" s="123" t="str">
        <f t="shared" si="1"/>
        <v/>
      </c>
      <c r="G53" s="58">
        <f t="shared" si="2"/>
        <v>1</v>
      </c>
      <c r="H53" s="59">
        <f t="shared" si="3"/>
        <v>0</v>
      </c>
      <c r="I53" s="63">
        <f t="shared" si="4"/>
        <v>1.4830000000000001</v>
      </c>
      <c r="J53" s="11">
        <f t="shared" si="5"/>
        <v>0</v>
      </c>
      <c r="K53" s="60">
        <f t="shared" si="6"/>
        <v>14857</v>
      </c>
      <c r="L53" s="63">
        <f t="shared" si="7"/>
        <v>3.8435000000000001</v>
      </c>
      <c r="M53" s="64">
        <f t="shared" si="8"/>
        <v>1.5793000000000001E-2</v>
      </c>
      <c r="N53" s="69">
        <v>12</v>
      </c>
      <c r="O53" s="121">
        <f t="shared" si="28"/>
        <v>0.20943951023931956</v>
      </c>
      <c r="P53" s="59">
        <f t="shared" si="29"/>
        <v>6530</v>
      </c>
      <c r="Q53" s="61" t="str">
        <f t="shared" si="9"/>
        <v>1</v>
      </c>
      <c r="R53" s="56" t="str">
        <f t="shared" si="10"/>
        <v>1.483</v>
      </c>
      <c r="S53" s="62" t="str">
        <f t="shared" si="11"/>
        <v>3.8435+0.015793i</v>
      </c>
      <c r="T53" s="61" t="str">
        <f t="shared" si="12"/>
        <v>0.978147600733806</v>
      </c>
      <c r="U53" s="10" t="str">
        <f t="shared" si="13"/>
        <v>0.990123673183581</v>
      </c>
      <c r="V53" s="10" t="str">
        <f t="shared" si="14"/>
        <v>0.998535902240797+0.0000120410247778811i</v>
      </c>
      <c r="W53" s="10" t="str">
        <f t="shared" si="15"/>
        <v>0.188661487898371</v>
      </c>
      <c r="X53" s="10" t="str">
        <f t="shared" si="16"/>
        <v>-0.200370163339989</v>
      </c>
      <c r="Y53" s="10" t="str">
        <f t="shared" si="17"/>
        <v>0.439760717824705+0.00165231842997701i</v>
      </c>
      <c r="Z53" s="10" t="str">
        <f t="shared" si="18"/>
        <v>-0.44655942897373-0.00164962878191158i</v>
      </c>
      <c r="AA53" s="10" t="str">
        <f t="shared" si="19"/>
        <v>20.9907717294091</v>
      </c>
      <c r="AB53" s="10" t="str">
        <f t="shared" si="20"/>
        <v>0.0360250903199809+0.410652255165441i</v>
      </c>
      <c r="AC53" s="10" t="str">
        <f t="shared" si="21"/>
        <v>-0.0484068064533448-0.416974282565406i</v>
      </c>
      <c r="AD53" s="78" t="str">
        <f t="shared" si="22"/>
        <v>-0.981638567533262-0.0275626059118828i</v>
      </c>
      <c r="AE53" s="79">
        <f t="shared" si="23"/>
        <v>0.77632963081677508</v>
      </c>
      <c r="AF53" s="57">
        <f t="shared" si="24"/>
        <v>-3.1135218677122474</v>
      </c>
      <c r="AG53" s="91">
        <f t="shared" si="25"/>
        <v>44.480411356750544</v>
      </c>
      <c r="AH53" s="92">
        <f t="shared" si="30"/>
        <v>178.3916624416012</v>
      </c>
      <c r="AI53" s="119"/>
    </row>
    <row r="54" spans="1:35" s="75" customFormat="1">
      <c r="A54" s="79" t="str">
        <f>IFERROR(VLOOKUP(N54,'Exp. Data Processing'!$A$23:$C$34,2,FALSE),"")</f>
        <v/>
      </c>
      <c r="B54" s="123" t="str">
        <f>IFERROR(VLOOKUP(N54,'Exp. Data Processing'!$A$23:$C$34,3,FALSE),"")</f>
        <v/>
      </c>
      <c r="C54" s="124">
        <f t="shared" si="26"/>
        <v>44.428485760727014</v>
      </c>
      <c r="D54" s="123">
        <f t="shared" si="27"/>
        <v>178.06442370306945</v>
      </c>
      <c r="E54" s="79" t="str">
        <f t="shared" si="0"/>
        <v/>
      </c>
      <c r="F54" s="123" t="str">
        <f t="shared" si="1"/>
        <v/>
      </c>
      <c r="G54" s="58">
        <f t="shared" si="2"/>
        <v>1</v>
      </c>
      <c r="H54" s="59">
        <f t="shared" si="3"/>
        <v>0</v>
      </c>
      <c r="I54" s="63">
        <f t="shared" si="4"/>
        <v>1.4830000000000001</v>
      </c>
      <c r="J54" s="11">
        <f t="shared" si="5"/>
        <v>0</v>
      </c>
      <c r="K54" s="60">
        <f t="shared" si="6"/>
        <v>14857</v>
      </c>
      <c r="L54" s="63">
        <f t="shared" si="7"/>
        <v>3.8435000000000001</v>
      </c>
      <c r="M54" s="64">
        <f t="shared" si="8"/>
        <v>1.5793000000000001E-2</v>
      </c>
      <c r="N54" s="69">
        <v>13</v>
      </c>
      <c r="O54" s="121">
        <f t="shared" si="28"/>
        <v>0.22689280275926285</v>
      </c>
      <c r="P54" s="59">
        <f t="shared" si="29"/>
        <v>6530</v>
      </c>
      <c r="Q54" s="61" t="str">
        <f t="shared" si="9"/>
        <v>1</v>
      </c>
      <c r="R54" s="56" t="str">
        <f t="shared" si="10"/>
        <v>1.483</v>
      </c>
      <c r="S54" s="62" t="str">
        <f t="shared" si="11"/>
        <v>3.8435+0.015793i</v>
      </c>
      <c r="T54" s="61" t="str">
        <f t="shared" si="12"/>
        <v>0.974370064785235</v>
      </c>
      <c r="U54" s="10" t="str">
        <f t="shared" si="13"/>
        <v>0.988428657447701</v>
      </c>
      <c r="V54" s="10" t="str">
        <f t="shared" si="14"/>
        <v>0.998285874349506+0.0000140990695914276i</v>
      </c>
      <c r="W54" s="10" t="str">
        <f t="shared" si="15"/>
        <v>0.187621639208714</v>
      </c>
      <c r="X54" s="10" t="str">
        <f t="shared" si="16"/>
        <v>-0.201404666723553</v>
      </c>
      <c r="Y54" s="10" t="str">
        <f t="shared" si="17"/>
        <v>0.4391705033258+0.00165254788253994i</v>
      </c>
      <c r="Z54" s="10" t="str">
        <f t="shared" si="18"/>
        <v>-0.44714485461001-0.00164937663021005i</v>
      </c>
      <c r="AA54" s="10" t="str">
        <f t="shared" si="19"/>
        <v>20.9548371392632</v>
      </c>
      <c r="AB54" s="10" t="str">
        <f t="shared" si="20"/>
        <v>0.00390452847216455+0.399906003082678i</v>
      </c>
      <c r="AC54" s="10" t="str">
        <f t="shared" si="21"/>
        <v>-0.0177602498296075-0.407597316810392i</v>
      </c>
      <c r="AD54" s="78" t="str">
        <f t="shared" si="22"/>
        <v>-0.979687476023531-0.0331085738310408i</v>
      </c>
      <c r="AE54" s="79">
        <f t="shared" si="23"/>
        <v>0.775423358200104</v>
      </c>
      <c r="AF54" s="57">
        <f t="shared" si="24"/>
        <v>-3.1078104742847956</v>
      </c>
      <c r="AG54" s="91">
        <f t="shared" si="25"/>
        <v>44.428485760727014</v>
      </c>
      <c r="AH54" s="92">
        <f t="shared" si="30"/>
        <v>178.06442370306945</v>
      </c>
      <c r="AI54" s="119"/>
    </row>
    <row r="55" spans="1:35" s="75" customFormat="1">
      <c r="A55" s="79" t="str">
        <f>IFERROR(VLOOKUP(N55,'Exp. Data Processing'!$A$23:$C$34,2,FALSE),"")</f>
        <v/>
      </c>
      <c r="B55" s="123" t="str">
        <f>IFERROR(VLOOKUP(N55,'Exp. Data Processing'!$A$23:$C$34,3,FALSE),"")</f>
        <v/>
      </c>
      <c r="C55" s="124">
        <f t="shared" si="26"/>
        <v>44.393581391948786</v>
      </c>
      <c r="D55" s="123">
        <f t="shared" si="27"/>
        <v>177.70490800281095</v>
      </c>
      <c r="E55" s="79" t="str">
        <f t="shared" si="0"/>
        <v/>
      </c>
      <c r="F55" s="123" t="str">
        <f t="shared" si="1"/>
        <v/>
      </c>
      <c r="G55" s="58">
        <f t="shared" si="2"/>
        <v>1</v>
      </c>
      <c r="H55" s="59">
        <f t="shared" si="3"/>
        <v>0</v>
      </c>
      <c r="I55" s="63">
        <f t="shared" si="4"/>
        <v>1.4830000000000001</v>
      </c>
      <c r="J55" s="11">
        <f t="shared" si="5"/>
        <v>0</v>
      </c>
      <c r="K55" s="60">
        <f t="shared" si="6"/>
        <v>14857</v>
      </c>
      <c r="L55" s="63">
        <f t="shared" si="7"/>
        <v>3.8435000000000001</v>
      </c>
      <c r="M55" s="64">
        <f t="shared" si="8"/>
        <v>1.5793000000000001E-2</v>
      </c>
      <c r="N55" s="69">
        <v>14</v>
      </c>
      <c r="O55" s="121">
        <f t="shared" si="28"/>
        <v>0.24434609527920614</v>
      </c>
      <c r="P55" s="59">
        <f t="shared" si="29"/>
        <v>6530</v>
      </c>
      <c r="Q55" s="61" t="str">
        <f t="shared" si="9"/>
        <v>1</v>
      </c>
      <c r="R55" s="56" t="str">
        <f t="shared" si="10"/>
        <v>1.483</v>
      </c>
      <c r="S55" s="62" t="str">
        <f t="shared" si="11"/>
        <v>3.8435+0.015793i</v>
      </c>
      <c r="T55" s="61" t="str">
        <f t="shared" si="12"/>
        <v>0.970295726275996</v>
      </c>
      <c r="U55" s="10" t="str">
        <f t="shared" si="13"/>
        <v>0.986604571177363</v>
      </c>
      <c r="V55" s="10" t="str">
        <f>IMDIV(IMSQRT(IMSUB(IMPRODUCT(S55,S55),IMPRODUCT(IMPRODUCT(Q55,Q55),IMSIN(O55)^2))),S55)</f>
        <v>0.998017216347244+0.0000163110393113481i</v>
      </c>
      <c r="W55" s="10" t="str">
        <f t="shared" si="15"/>
        <v>0.186491066590175</v>
      </c>
      <c r="X55" s="10" t="str">
        <f t="shared" si="16"/>
        <v>-0.202528443777554</v>
      </c>
      <c r="Y55" s="10" t="str">
        <f t="shared" si="17"/>
        <v>0.438533458026785+0.00165279607073795i</v>
      </c>
      <c r="Z55" s="10" t="str">
        <f t="shared" si="18"/>
        <v>-0.44777588011781-0.00164909994705426i</v>
      </c>
      <c r="AA55" s="10" t="str">
        <f t="shared" si="19"/>
        <v>20.9161662342516</v>
      </c>
      <c r="AB55" s="10" t="str">
        <f t="shared" si="20"/>
        <v>-0.0299403395921044+0.385511894903782i</v>
      </c>
      <c r="AC55" s="10" t="str">
        <f t="shared" si="21"/>
        <v>0.0147877968310407-0.394668804756085i</v>
      </c>
      <c r="AD55" s="78" t="str">
        <f t="shared" si="22"/>
        <v>-0.978267551351736-0.039207349579804i</v>
      </c>
      <c r="AE55" s="79">
        <f t="shared" si="23"/>
        <v>0.77481416204159359</v>
      </c>
      <c r="AF55" s="57">
        <f t="shared" si="24"/>
        <v>-3.1015357416026719</v>
      </c>
      <c r="AG55" s="91">
        <f t="shared" si="25"/>
        <v>44.393581391948786</v>
      </c>
      <c r="AH55" s="92">
        <f t="shared" si="30"/>
        <v>177.70490800281095</v>
      </c>
      <c r="AI55" s="119"/>
    </row>
    <row r="56" spans="1:35" s="75" customFormat="1">
      <c r="A56" s="79" t="str">
        <f>IFERROR(VLOOKUP(N56,'Exp. Data Processing'!$A$23:$C$34,2,FALSE),"")</f>
        <v/>
      </c>
      <c r="B56" s="123" t="str">
        <f>IFERROR(VLOOKUP(N56,'Exp. Data Processing'!$A$23:$C$34,3,FALSE),"")</f>
        <v/>
      </c>
      <c r="C56" s="124">
        <f t="shared" si="26"/>
        <v>44.385723589915266</v>
      </c>
      <c r="D56" s="123">
        <f t="shared" si="27"/>
        <v>177.32025120222644</v>
      </c>
      <c r="E56" s="79" t="str">
        <f t="shared" si="0"/>
        <v/>
      </c>
      <c r="F56" s="123" t="str">
        <f t="shared" si="1"/>
        <v/>
      </c>
      <c r="G56" s="58">
        <f t="shared" si="2"/>
        <v>1</v>
      </c>
      <c r="H56" s="59">
        <f t="shared" si="3"/>
        <v>0</v>
      </c>
      <c r="I56" s="63">
        <f t="shared" si="4"/>
        <v>1.4830000000000001</v>
      </c>
      <c r="J56" s="11">
        <f t="shared" si="5"/>
        <v>0</v>
      </c>
      <c r="K56" s="60">
        <f t="shared" si="6"/>
        <v>14857</v>
      </c>
      <c r="L56" s="63">
        <f t="shared" si="7"/>
        <v>3.8435000000000001</v>
      </c>
      <c r="M56" s="64">
        <f t="shared" si="8"/>
        <v>1.5793000000000001E-2</v>
      </c>
      <c r="N56" s="69">
        <v>15</v>
      </c>
      <c r="O56" s="121">
        <f t="shared" si="28"/>
        <v>0.26179938779914941</v>
      </c>
      <c r="P56" s="59">
        <f t="shared" si="29"/>
        <v>6530</v>
      </c>
      <c r="Q56" s="61" t="str">
        <f t="shared" si="9"/>
        <v>1</v>
      </c>
      <c r="R56" s="56" t="str">
        <f t="shared" si="10"/>
        <v>1.483</v>
      </c>
      <c r="S56" s="62" t="str">
        <f t="shared" si="11"/>
        <v>3.8435+0.015793i</v>
      </c>
      <c r="T56" s="61" t="str">
        <f t="shared" si="12"/>
        <v>0.965925826289068</v>
      </c>
      <c r="U56" s="10" t="str">
        <f t="shared" si="13"/>
        <v>0.984652925889157</v>
      </c>
      <c r="V56" s="10" t="str">
        <f t="shared" si="14"/>
        <v>0.99773024064214+0.0000186744852461251i</v>
      </c>
      <c r="W56" s="10" t="str">
        <f t="shared" si="15"/>
        <v>0.185267964721773</v>
      </c>
      <c r="X56" s="10" t="str">
        <f t="shared" si="16"/>
        <v>-0.203743041200038</v>
      </c>
      <c r="Y56" s="10" t="str">
        <f t="shared" si="17"/>
        <v>0.437849687901576+0.00165306306695269i</v>
      </c>
      <c r="Z56" s="10" t="str">
        <f t="shared" si="18"/>
        <v>-0.448452207987051-0.00164879777397412i</v>
      </c>
      <c r="AA56" s="10" t="str">
        <f t="shared" si="19"/>
        <v>20.8747910587548</v>
      </c>
      <c r="AB56" s="10" t="str">
        <f t="shared" si="20"/>
        <v>-0.0650008733850863+0.36689465817686i</v>
      </c>
      <c r="AC56" s="10" t="str">
        <f t="shared" si="21"/>
        <v>0.0488117973814804-0.377542260142838i</v>
      </c>
      <c r="AD56" s="78" t="str">
        <f t="shared" si="22"/>
        <v>-0.97771401390717-0.0457614865013498i</v>
      </c>
      <c r="AE56" s="79">
        <f t="shared" si="23"/>
        <v>0.77467701752413876</v>
      </c>
      <c r="AF56" s="57">
        <f t="shared" si="24"/>
        <v>-3.094822213942285</v>
      </c>
      <c r="AG56" s="91">
        <f t="shared" si="25"/>
        <v>44.385723589915266</v>
      </c>
      <c r="AH56" s="92">
        <f t="shared" si="30"/>
        <v>177.32025120222644</v>
      </c>
      <c r="AI56" s="119"/>
    </row>
    <row r="57" spans="1:35" s="75" customFormat="1">
      <c r="A57" s="79" t="str">
        <f>IFERROR(VLOOKUP(N57,'Exp. Data Processing'!$A$23:$C$34,2,FALSE),"")</f>
        <v/>
      </c>
      <c r="B57" s="123" t="str">
        <f>IFERROR(VLOOKUP(N57,'Exp. Data Processing'!$A$23:$C$34,3,FALSE),"")</f>
        <v/>
      </c>
      <c r="C57" s="124">
        <f t="shared" si="26"/>
        <v>44.417967964109963</v>
      </c>
      <c r="D57" s="123">
        <f t="shared" si="27"/>
        <v>176.92503338952764</v>
      </c>
      <c r="E57" s="79" t="str">
        <f t="shared" si="0"/>
        <v/>
      </c>
      <c r="F57" s="123" t="str">
        <f t="shared" si="1"/>
        <v/>
      </c>
      <c r="G57" s="58">
        <f t="shared" si="2"/>
        <v>1</v>
      </c>
      <c r="H57" s="59">
        <f t="shared" si="3"/>
        <v>0</v>
      </c>
      <c r="I57" s="63">
        <f t="shared" si="4"/>
        <v>1.4830000000000001</v>
      </c>
      <c r="J57" s="11">
        <f t="shared" si="5"/>
        <v>0</v>
      </c>
      <c r="K57" s="60">
        <f t="shared" si="6"/>
        <v>14857</v>
      </c>
      <c r="L57" s="63">
        <f t="shared" si="7"/>
        <v>3.8435000000000001</v>
      </c>
      <c r="M57" s="64">
        <f t="shared" si="8"/>
        <v>1.5793000000000001E-2</v>
      </c>
      <c r="N57" s="69">
        <v>16</v>
      </c>
      <c r="O57" s="121">
        <f t="shared" si="28"/>
        <v>0.27925268031909273</v>
      </c>
      <c r="P57" s="59">
        <f t="shared" si="29"/>
        <v>6530</v>
      </c>
      <c r="Q57" s="61" t="str">
        <f t="shared" si="9"/>
        <v>1</v>
      </c>
      <c r="R57" s="56" t="str">
        <f t="shared" si="10"/>
        <v>1.483</v>
      </c>
      <c r="S57" s="62" t="str">
        <f t="shared" si="11"/>
        <v>3.8435+0.015793i</v>
      </c>
      <c r="T57" s="61" t="str">
        <f t="shared" si="12"/>
        <v>0.961261695938319</v>
      </c>
      <c r="U57" s="10" t="str">
        <f t="shared" si="13"/>
        <v>0.982575346658402</v>
      </c>
      <c r="V57" s="10" t="str">
        <f t="shared" si="14"/>
        <v>0.9974252812173+0.0000211867866035349i</v>
      </c>
      <c r="W57" s="10" t="str">
        <f t="shared" si="15"/>
        <v>0.183950369358092</v>
      </c>
      <c r="X57" s="10" t="str">
        <f t="shared" si="16"/>
        <v>-0.205050136629494</v>
      </c>
      <c r="Y57" s="10" t="str">
        <f t="shared" si="17"/>
        <v>0.43711931309032+0.001653348943279i</v>
      </c>
      <c r="Z57" s="10" t="str">
        <f t="shared" si="18"/>
        <v>-0.449173513978053-0.00164846909939581i</v>
      </c>
      <c r="AA57" s="10" t="str">
        <f t="shared" si="19"/>
        <v>20.8307460646155</v>
      </c>
      <c r="AB57" s="10" t="str">
        <f t="shared" si="20"/>
        <v>-0.100618319485536+0.343508720302081i</v>
      </c>
      <c r="AC57" s="10" t="str">
        <f t="shared" si="21"/>
        <v>0.0837308613130524-0.355563043124687i</v>
      </c>
      <c r="AD57" s="78" t="str">
        <f t="shared" si="22"/>
        <v>-0.97847603576695-0.0525636131144098i</v>
      </c>
      <c r="AE57" s="79">
        <f t="shared" si="23"/>
        <v>0.77523978801908133</v>
      </c>
      <c r="AF57" s="57">
        <f t="shared" si="24"/>
        <v>-3.0879243618481604</v>
      </c>
      <c r="AG57" s="91">
        <f t="shared" si="25"/>
        <v>44.417967964109963</v>
      </c>
      <c r="AH57" s="92">
        <f t="shared" si="30"/>
        <v>176.92503338952764</v>
      </c>
      <c r="AI57" s="119"/>
    </row>
    <row r="58" spans="1:35" s="75" customFormat="1">
      <c r="A58" s="79" t="str">
        <f>IFERROR(VLOOKUP(N58,'Exp. Data Processing'!$A$23:$C$34,2,FALSE),"")</f>
        <v/>
      </c>
      <c r="B58" s="123" t="str">
        <f>IFERROR(VLOOKUP(N58,'Exp. Data Processing'!$A$23:$C$34,3,FALSE),"")</f>
        <v/>
      </c>
      <c r="C58" s="124">
        <f t="shared" si="26"/>
        <v>44.506460523801124</v>
      </c>
      <c r="D58" s="123">
        <f t="shared" si="27"/>
        <v>176.54592698011737</v>
      </c>
      <c r="E58" s="79" t="str">
        <f t="shared" si="0"/>
        <v/>
      </c>
      <c r="F58" s="123" t="str">
        <f t="shared" si="1"/>
        <v/>
      </c>
      <c r="G58" s="58">
        <f t="shared" si="2"/>
        <v>1</v>
      </c>
      <c r="H58" s="59">
        <f t="shared" si="3"/>
        <v>0</v>
      </c>
      <c r="I58" s="63">
        <f t="shared" si="4"/>
        <v>1.4830000000000001</v>
      </c>
      <c r="J58" s="11">
        <f t="shared" si="5"/>
        <v>0</v>
      </c>
      <c r="K58" s="60">
        <f t="shared" si="6"/>
        <v>14857</v>
      </c>
      <c r="L58" s="63">
        <f t="shared" si="7"/>
        <v>3.8435000000000001</v>
      </c>
      <c r="M58" s="64">
        <f t="shared" si="8"/>
        <v>1.5793000000000001E-2</v>
      </c>
      <c r="N58" s="69">
        <v>17</v>
      </c>
      <c r="O58" s="121">
        <f t="shared" si="28"/>
        <v>0.29670597283903605</v>
      </c>
      <c r="P58" s="59">
        <f t="shared" si="29"/>
        <v>6530</v>
      </c>
      <c r="Q58" s="61" t="str">
        <f t="shared" si="9"/>
        <v>1</v>
      </c>
      <c r="R58" s="56" t="str">
        <f t="shared" si="10"/>
        <v>1.483</v>
      </c>
      <c r="S58" s="62" t="str">
        <f t="shared" si="11"/>
        <v>3.8435+0.015793i</v>
      </c>
      <c r="T58" s="61" t="str">
        <f t="shared" si="12"/>
        <v>0.956304755963036</v>
      </c>
      <c r="U58" s="10" t="str">
        <f t="shared" si="13"/>
        <v>0.980373572436999</v>
      </c>
      <c r="V58" s="10" t="str">
        <f t="shared" si="14"/>
        <v>0.997102693296285+0.0000238451525194907i</v>
      </c>
      <c r="W58" s="10" t="str">
        <f t="shared" si="15"/>
        <v>0.182536151590101</v>
      </c>
      <c r="X58" s="10" t="str">
        <f t="shared" si="16"/>
        <v>-0.206451542261408</v>
      </c>
      <c r="Y58" s="10" t="str">
        <f t="shared" si="17"/>
        <v>0.436342469295858+0.00165365377030341i</v>
      </c>
      <c r="Z58" s="10" t="str">
        <f t="shared" si="18"/>
        <v>-0.449939446123302-0.00164811286261622i</v>
      </c>
      <c r="AA58" s="10" t="str">
        <f t="shared" si="19"/>
        <v>20.7840681178772</v>
      </c>
      <c r="AB58" s="10" t="str">
        <f t="shared" si="20"/>
        <v>-0.135971196193286+0.314877805829167i</v>
      </c>
      <c r="AC58" s="10" t="str">
        <f t="shared" si="21"/>
        <v>0.118782223649354-0.328102190139163i</v>
      </c>
      <c r="AD58" s="78" t="str">
        <f t="shared" si="22"/>
        <v>-0.981133376340592-0.0592193305589055i</v>
      </c>
      <c r="AE58" s="79">
        <f t="shared" si="23"/>
        <v>0.77678427454920973</v>
      </c>
      <c r="AF58" s="57">
        <f t="shared" si="24"/>
        <v>-3.0813077067885377</v>
      </c>
      <c r="AG58" s="91">
        <f t="shared" si="25"/>
        <v>44.506460523801124</v>
      </c>
      <c r="AH58" s="92">
        <f t="shared" si="30"/>
        <v>176.54592698011737</v>
      </c>
      <c r="AI58" s="119"/>
    </row>
    <row r="59" spans="1:35" s="75" customFormat="1">
      <c r="A59" s="79" t="str">
        <f>IFERROR(VLOOKUP(N59,'Exp. Data Processing'!$A$23:$C$34,2,FALSE),"")</f>
        <v/>
      </c>
      <c r="B59" s="123" t="str">
        <f>IFERROR(VLOOKUP(N59,'Exp. Data Processing'!$A$23:$C$34,3,FALSE),"")</f>
        <v/>
      </c>
      <c r="C59" s="124">
        <f t="shared" si="26"/>
        <v>44.669363058140817</v>
      </c>
      <c r="D59" s="123">
        <f t="shared" si="27"/>
        <v>176.22841474066283</v>
      </c>
      <c r="E59" s="79" t="str">
        <f t="shared" si="0"/>
        <v/>
      </c>
      <c r="F59" s="123" t="str">
        <f t="shared" si="1"/>
        <v/>
      </c>
      <c r="G59" s="58">
        <f t="shared" si="2"/>
        <v>1</v>
      </c>
      <c r="H59" s="59">
        <f t="shared" si="3"/>
        <v>0</v>
      </c>
      <c r="I59" s="63">
        <f t="shared" si="4"/>
        <v>1.4830000000000001</v>
      </c>
      <c r="J59" s="11">
        <f t="shared" si="5"/>
        <v>0</v>
      </c>
      <c r="K59" s="60">
        <f t="shared" si="6"/>
        <v>14857</v>
      </c>
      <c r="L59" s="63">
        <f t="shared" si="7"/>
        <v>3.8435000000000001</v>
      </c>
      <c r="M59" s="64">
        <f t="shared" si="8"/>
        <v>1.5793000000000001E-2</v>
      </c>
      <c r="N59" s="69">
        <v>18</v>
      </c>
      <c r="O59" s="121">
        <f t="shared" si="28"/>
        <v>0.31415926535897931</v>
      </c>
      <c r="P59" s="59">
        <f t="shared" si="29"/>
        <v>6530</v>
      </c>
      <c r="Q59" s="61" t="str">
        <f t="shared" si="9"/>
        <v>1</v>
      </c>
      <c r="R59" s="56" t="str">
        <f t="shared" si="10"/>
        <v>1.483</v>
      </c>
      <c r="S59" s="62" t="str">
        <f t="shared" si="11"/>
        <v>3.8435+0.015793i</v>
      </c>
      <c r="T59" s="61" t="str">
        <f t="shared" si="12"/>
        <v>0.951056516295154</v>
      </c>
      <c r="U59" s="10" t="str">
        <f t="shared" si="13"/>
        <v>0.978049456384073</v>
      </c>
      <c r="V59" s="10" t="str">
        <f t="shared" si="14"/>
        <v>0.996762852986001+0.000026646624239256i</v>
      </c>
      <c r="W59" s="10" t="str">
        <f t="shared" si="15"/>
        <v>0.181023011588364</v>
      </c>
      <c r="X59" s="10" t="str">
        <f t="shared" si="16"/>
        <v>-0.207949208750797</v>
      </c>
      <c r="Y59" s="10" t="str">
        <f t="shared" si="17"/>
        <v>0.435519309290253+0.00165397761579691i</v>
      </c>
      <c r="Z59" s="10" t="str">
        <f t="shared" si="18"/>
        <v>-0.450749623663707-0.00164772795809559i</v>
      </c>
      <c r="AA59" s="10" t="str">
        <f t="shared" si="19"/>
        <v>20.7347965057939</v>
      </c>
      <c r="AB59" s="10" t="str">
        <f t="shared" si="20"/>
        <v>-0.170072130499513+0.280643323488744i</v>
      </c>
      <c r="AC59" s="10" t="str">
        <f t="shared" si="21"/>
        <v>0.152999050789255-0.294603359109026i</v>
      </c>
      <c r="AD59" s="78" t="str">
        <f t="shared" si="22"/>
        <v>-0.986383752659877-0.0650242165824023i</v>
      </c>
      <c r="AE59" s="79">
        <f t="shared" si="23"/>
        <v>0.77962746013328044</v>
      </c>
      <c r="AF59" s="57">
        <f t="shared" si="24"/>
        <v>-3.0757660727946754</v>
      </c>
      <c r="AG59" s="91">
        <f t="shared" si="25"/>
        <v>44.669363058140817</v>
      </c>
      <c r="AH59" s="92">
        <f t="shared" si="30"/>
        <v>176.22841474066283</v>
      </c>
      <c r="AI59" s="119"/>
    </row>
    <row r="60" spans="1:35" s="75" customFormat="1">
      <c r="A60" s="79" t="str">
        <f>IFERROR(VLOOKUP(N60,'Exp. Data Processing'!$A$23:$C$34,2,FALSE),"")</f>
        <v/>
      </c>
      <c r="B60" s="123" t="str">
        <f>IFERROR(VLOOKUP(N60,'Exp. Data Processing'!$A$23:$C$34,3,FALSE),"")</f>
        <v/>
      </c>
      <c r="C60" s="124">
        <f t="shared" si="26"/>
        <v>44.923288905771123</v>
      </c>
      <c r="D60" s="123">
        <f t="shared" si="27"/>
        <v>176.04518818901187</v>
      </c>
      <c r="E60" s="79" t="str">
        <f t="shared" si="0"/>
        <v/>
      </c>
      <c r="F60" s="123" t="str">
        <f t="shared" si="1"/>
        <v/>
      </c>
      <c r="G60" s="58">
        <f t="shared" si="2"/>
        <v>1</v>
      </c>
      <c r="H60" s="59">
        <f t="shared" si="3"/>
        <v>0</v>
      </c>
      <c r="I60" s="63">
        <f t="shared" si="4"/>
        <v>1.4830000000000001</v>
      </c>
      <c r="J60" s="11">
        <f t="shared" si="5"/>
        <v>0</v>
      </c>
      <c r="K60" s="60">
        <f t="shared" si="6"/>
        <v>14857</v>
      </c>
      <c r="L60" s="63">
        <f t="shared" si="7"/>
        <v>3.8435000000000001</v>
      </c>
      <c r="M60" s="64">
        <f t="shared" si="8"/>
        <v>1.5793000000000001E-2</v>
      </c>
      <c r="N60" s="69">
        <v>19</v>
      </c>
      <c r="O60" s="121">
        <f t="shared" si="28"/>
        <v>0.33161255787892263</v>
      </c>
      <c r="P60" s="59">
        <f t="shared" si="29"/>
        <v>6530</v>
      </c>
      <c r="Q60" s="61" t="str">
        <f t="shared" si="9"/>
        <v>1</v>
      </c>
      <c r="R60" s="56" t="str">
        <f t="shared" si="10"/>
        <v>1.483</v>
      </c>
      <c r="S60" s="62" t="str">
        <f t="shared" si="11"/>
        <v>3.8435+0.015793i</v>
      </c>
      <c r="T60" s="61" t="str">
        <f t="shared" si="12"/>
        <v>0.945518575599317</v>
      </c>
      <c r="U60" s="10" t="str">
        <f t="shared" si="13"/>
        <v>0.975604966207208</v>
      </c>
      <c r="V60" s="10" t="str">
        <f t="shared" si="14"/>
        <v>0.996406156897005+0.000029588077454093i</v>
      </c>
      <c r="W60" s="10" t="str">
        <f t="shared" si="15"/>
        <v>0.179408471801973</v>
      </c>
      <c r="X60" s="10" t="str">
        <f t="shared" si="16"/>
        <v>-0.209545229407591</v>
      </c>
      <c r="Y60" s="10" t="str">
        <f t="shared" si="17"/>
        <v>0.434650004533806+0.0016543205433211i</v>
      </c>
      <c r="Z60" s="10" t="str">
        <f t="shared" si="18"/>
        <v>-0.45160363592036-0.00164731324007592i</v>
      </c>
      <c r="AA60" s="10" t="str">
        <f t="shared" si="19"/>
        <v>20.6829729440641</v>
      </c>
      <c r="AB60" s="10" t="str">
        <f t="shared" si="20"/>
        <v>-0.20177857352047+0.240619627708746i</v>
      </c>
      <c r="AC60" s="10" t="str">
        <f t="shared" si="21"/>
        <v>0.185197873875923-0.254644214594396i</v>
      </c>
      <c r="AD60" s="78" t="str">
        <f t="shared" si="22"/>
        <v>-0.994950979888511-0.0687852557822731i</v>
      </c>
      <c r="AE60" s="79">
        <f t="shared" si="23"/>
        <v>0.78405930223034681</v>
      </c>
      <c r="AF60" s="57">
        <f t="shared" si="24"/>
        <v>-3.0725681661912905</v>
      </c>
      <c r="AG60" s="91">
        <f t="shared" si="25"/>
        <v>44.923288905771123</v>
      </c>
      <c r="AH60" s="92">
        <f t="shared" si="30"/>
        <v>176.04518818901187</v>
      </c>
      <c r="AI60" s="119"/>
    </row>
    <row r="61" spans="1:35" s="75" customFormat="1">
      <c r="A61" s="79" t="str">
        <f>IFERROR(VLOOKUP(N61,'Exp. Data Processing'!$A$23:$C$34,2,FALSE),"")</f>
        <v/>
      </c>
      <c r="B61" s="123" t="str">
        <f>IFERROR(VLOOKUP(N61,'Exp. Data Processing'!$A$23:$C$34,3,FALSE),"")</f>
        <v/>
      </c>
      <c r="C61" s="124">
        <f t="shared" si="26"/>
        <v>45.27524876112097</v>
      </c>
      <c r="D61" s="123">
        <f t="shared" si="27"/>
        <v>176.10327438515367</v>
      </c>
      <c r="E61" s="79" t="str">
        <f t="shared" si="0"/>
        <v/>
      </c>
      <c r="F61" s="123" t="str">
        <f t="shared" si="1"/>
        <v/>
      </c>
      <c r="G61" s="58">
        <f t="shared" si="2"/>
        <v>1</v>
      </c>
      <c r="H61" s="59">
        <f t="shared" si="3"/>
        <v>0</v>
      </c>
      <c r="I61" s="63">
        <f t="shared" si="4"/>
        <v>1.4830000000000001</v>
      </c>
      <c r="J61" s="11">
        <f t="shared" si="5"/>
        <v>0</v>
      </c>
      <c r="K61" s="60">
        <f t="shared" si="6"/>
        <v>14857</v>
      </c>
      <c r="L61" s="63">
        <f t="shared" si="7"/>
        <v>3.8435000000000001</v>
      </c>
      <c r="M61" s="64">
        <f t="shared" si="8"/>
        <v>1.5793000000000001E-2</v>
      </c>
      <c r="N61" s="69">
        <v>20</v>
      </c>
      <c r="O61" s="121">
        <f t="shared" si="28"/>
        <v>0.3490658503988659</v>
      </c>
      <c r="P61" s="59">
        <f t="shared" si="29"/>
        <v>6530</v>
      </c>
      <c r="Q61" s="61" t="str">
        <f t="shared" si="9"/>
        <v>1</v>
      </c>
      <c r="R61" s="56" t="str">
        <f t="shared" si="10"/>
        <v>1.483</v>
      </c>
      <c r="S61" s="62" t="str">
        <f t="shared" si="11"/>
        <v>3.8435+0.015793i</v>
      </c>
      <c r="T61" s="61" t="str">
        <f t="shared" si="12"/>
        <v>0.939692620785908</v>
      </c>
      <c r="U61" s="10" t="str">
        <f t="shared" si="13"/>
        <v>0.973042184511706</v>
      </c>
      <c r="V61" s="10" t="str">
        <f t="shared" si="14"/>
        <v>0.996033021741464+0.0000326662247950178i</v>
      </c>
      <c r="W61" s="10" t="str">
        <f t="shared" si="15"/>
        <v>0.177689869584193</v>
      </c>
      <c r="X61" s="10" t="str">
        <f t="shared" si="16"/>
        <v>-0.211241844691969</v>
      </c>
      <c r="Y61" s="10" t="str">
        <f t="shared" si="17"/>
        <v>0.433734746908635+0.00165468261074951i</v>
      </c>
      <c r="Z61" s="10" t="str">
        <f t="shared" si="18"/>
        <v>-0.452501041103112-0.00164686752753153i</v>
      </c>
      <c r="AA61" s="10" t="str">
        <f t="shared" si="19"/>
        <v>20.6286415842354</v>
      </c>
      <c r="AB61" s="10" t="str">
        <f t="shared" si="20"/>
        <v>-0.229821697703158+0.194852139806287i</v>
      </c>
      <c r="AC61" s="10" t="str">
        <f t="shared" si="21"/>
        <v>0.213982687711538-0.208011721129517i</v>
      </c>
      <c r="AD61" s="78" t="str">
        <f t="shared" si="22"/>
        <v>-1.00732029319911-0.0686143737503723i</v>
      </c>
      <c r="AE61" s="79">
        <f t="shared" si="23"/>
        <v>0.79020216054104453</v>
      </c>
      <c r="AF61" s="57">
        <f t="shared" si="24"/>
        <v>-3.0735819615639244</v>
      </c>
      <c r="AG61" s="91">
        <f t="shared" si="25"/>
        <v>45.27524876112097</v>
      </c>
      <c r="AH61" s="92">
        <f t="shared" si="30"/>
        <v>176.10327438515367</v>
      </c>
      <c r="AI61" s="119"/>
    </row>
    <row r="62" spans="1:35" s="75" customFormat="1">
      <c r="A62" s="79" t="str">
        <f>IFERROR(VLOOKUP(N62,'Exp. Data Processing'!$A$23:$C$34,2,FALSE),"")</f>
        <v/>
      </c>
      <c r="B62" s="123" t="str">
        <f>IFERROR(VLOOKUP(N62,'Exp. Data Processing'!$A$23:$C$34,3,FALSE),"")</f>
        <v/>
      </c>
      <c r="C62" s="124">
        <f t="shared" si="26"/>
        <v>45.708557994344361</v>
      </c>
      <c r="D62" s="123">
        <f t="shared" si="27"/>
        <v>176.54145122826804</v>
      </c>
      <c r="E62" s="79" t="str">
        <f t="shared" si="0"/>
        <v/>
      </c>
      <c r="F62" s="123" t="str">
        <f t="shared" si="1"/>
        <v/>
      </c>
      <c r="G62" s="58">
        <f t="shared" si="2"/>
        <v>1</v>
      </c>
      <c r="H62" s="59">
        <f t="shared" si="3"/>
        <v>0</v>
      </c>
      <c r="I62" s="63">
        <f t="shared" si="4"/>
        <v>1.4830000000000001</v>
      </c>
      <c r="J62" s="11">
        <f t="shared" si="5"/>
        <v>0</v>
      </c>
      <c r="K62" s="60">
        <f t="shared" si="6"/>
        <v>14857</v>
      </c>
      <c r="L62" s="63">
        <f t="shared" si="7"/>
        <v>3.8435000000000001</v>
      </c>
      <c r="M62" s="64">
        <f t="shared" si="8"/>
        <v>1.5793000000000001E-2</v>
      </c>
      <c r="N62" s="69">
        <v>21</v>
      </c>
      <c r="O62" s="121">
        <f t="shared" si="28"/>
        <v>0.36651914291880922</v>
      </c>
      <c r="P62" s="59">
        <f t="shared" si="29"/>
        <v>6530</v>
      </c>
      <c r="Q62" s="61" t="str">
        <f t="shared" si="9"/>
        <v>1</v>
      </c>
      <c r="R62" s="56" t="str">
        <f t="shared" si="10"/>
        <v>1.483</v>
      </c>
      <c r="S62" s="62" t="str">
        <f t="shared" si="11"/>
        <v>3.8435+0.015793i</v>
      </c>
      <c r="T62" s="61" t="str">
        <f t="shared" si="12"/>
        <v>0.933580426497202</v>
      </c>
      <c r="U62" s="10" t="str">
        <f t="shared" si="13"/>
        <v>0.970363309155017</v>
      </c>
      <c r="V62" s="10" t="str">
        <f t="shared" si="14"/>
        <v>0.995643883908822+0.0000358776184864747i</v>
      </c>
      <c r="W62" s="10" t="str">
        <f t="shared" si="15"/>
        <v>0.175864349213073</v>
      </c>
      <c r="X62" s="10" t="str">
        <f t="shared" si="16"/>
        <v>-0.213041447016933</v>
      </c>
      <c r="Y62" s="10" t="str">
        <f t="shared" si="17"/>
        <v>0.432773750569073+0.00165506386870413i</v>
      </c>
      <c r="Z62" s="10" t="str">
        <f t="shared" si="18"/>
        <v>-0.453441365057421-0.00164638960945848i</v>
      </c>
      <c r="AA62" s="10" t="str">
        <f t="shared" si="19"/>
        <v>20.5718490212186</v>
      </c>
      <c r="AB62" s="10" t="str">
        <f t="shared" si="20"/>
        <v>-0.25285663642493+0.143671964316714i</v>
      </c>
      <c r="AC62" s="10" t="str">
        <f t="shared" si="21"/>
        <v>0.237774004287481-0.154787674978861i</v>
      </c>
      <c r="AD62" s="78" t="str">
        <f t="shared" si="22"/>
        <v>-1.0231774218499-0.0618372472901648i</v>
      </c>
      <c r="AE62" s="79">
        <f t="shared" si="23"/>
        <v>0.79776483334008474</v>
      </c>
      <c r="AF62" s="57">
        <f t="shared" si="24"/>
        <v>-3.0812295901822648</v>
      </c>
      <c r="AG62" s="91">
        <f t="shared" si="25"/>
        <v>45.708557994344361</v>
      </c>
      <c r="AH62" s="92">
        <f t="shared" si="30"/>
        <v>176.54145122826804</v>
      </c>
      <c r="AI62" s="119"/>
    </row>
    <row r="63" spans="1:35" s="75" customFormat="1">
      <c r="A63" s="79" t="str">
        <f>IFERROR(VLOOKUP(N63,'Exp. Data Processing'!$A$23:$C$34,2,FALSE),"")</f>
        <v/>
      </c>
      <c r="B63" s="123" t="str">
        <f>IFERROR(VLOOKUP(N63,'Exp. Data Processing'!$A$23:$C$34,3,FALSE),"")</f>
        <v/>
      </c>
      <c r="C63" s="124">
        <f t="shared" si="26"/>
        <v>46.165368108762301</v>
      </c>
      <c r="D63" s="123">
        <f t="shared" si="27"/>
        <v>177.50263847562027</v>
      </c>
      <c r="E63" s="79" t="str">
        <f t="shared" si="0"/>
        <v/>
      </c>
      <c r="F63" s="123" t="str">
        <f t="shared" si="1"/>
        <v/>
      </c>
      <c r="G63" s="58">
        <f t="shared" si="2"/>
        <v>1</v>
      </c>
      <c r="H63" s="59">
        <f t="shared" si="3"/>
        <v>0</v>
      </c>
      <c r="I63" s="63">
        <f t="shared" si="4"/>
        <v>1.4830000000000001</v>
      </c>
      <c r="J63" s="11">
        <f t="shared" si="5"/>
        <v>0</v>
      </c>
      <c r="K63" s="60">
        <f t="shared" si="6"/>
        <v>14857</v>
      </c>
      <c r="L63" s="63">
        <f t="shared" si="7"/>
        <v>3.8435000000000001</v>
      </c>
      <c r="M63" s="64">
        <f t="shared" si="8"/>
        <v>1.5793000000000001E-2</v>
      </c>
      <c r="N63" s="69">
        <v>22</v>
      </c>
      <c r="O63" s="121">
        <f t="shared" si="28"/>
        <v>0.38397243543875248</v>
      </c>
      <c r="P63" s="59">
        <f t="shared" si="29"/>
        <v>6530</v>
      </c>
      <c r="Q63" s="61" t="str">
        <f t="shared" si="9"/>
        <v>1</v>
      </c>
      <c r="R63" s="56" t="str">
        <f t="shared" si="10"/>
        <v>1.483</v>
      </c>
      <c r="S63" s="62" t="str">
        <f t="shared" si="11"/>
        <v>3.8435+0.015793i</v>
      </c>
      <c r="T63" s="61" t="str">
        <f t="shared" si="12"/>
        <v>0.927183854566788</v>
      </c>
      <c r="U63" s="10" t="str">
        <f t="shared" si="13"/>
        <v>0.967570653603136</v>
      </c>
      <c r="V63" s="10" t="str">
        <f t="shared" si="14"/>
        <v>0.995239199019331+0.0000392186531622225i</v>
      </c>
      <c r="W63" s="10" t="str">
        <f t="shared" si="15"/>
        <v>0.173928853272452</v>
      </c>
      <c r="X63" s="10" t="str">
        <f t="shared" si="16"/>
        <v>-0.2149465858656</v>
      </c>
      <c r="Y63" s="10" t="str">
        <f t="shared" si="17"/>
        <v>0.431767253910895+0.00165546435890882i</v>
      </c>
      <c r="Z63" s="10" t="str">
        <f t="shared" si="18"/>
        <v>-0.454424099951265-0.00164587825050895i</v>
      </c>
      <c r="AA63" s="10" t="str">
        <f t="shared" si="19"/>
        <v>20.5126443008426</v>
      </c>
      <c r="AB63" s="10" t="str">
        <f t="shared" si="20"/>
        <v>-0.269534787767908+0.0877385607205412i</v>
      </c>
      <c r="AC63" s="10" t="str">
        <f t="shared" si="21"/>
        <v>0.254871073709126-0.0954363532510674i</v>
      </c>
      <c r="AD63" s="78" t="str">
        <f t="shared" si="22"/>
        <v>-1.04054022215954-0.0453829590195938i</v>
      </c>
      <c r="AE63" s="79">
        <f t="shared" si="23"/>
        <v>0.80573767389308981</v>
      </c>
      <c r="AF63" s="57">
        <f t="shared" si="24"/>
        <v>-3.0980054723767423</v>
      </c>
      <c r="AG63" s="91">
        <f t="shared" si="25"/>
        <v>46.165368108762301</v>
      </c>
      <c r="AH63" s="92">
        <f t="shared" si="30"/>
        <v>177.50263847562027</v>
      </c>
      <c r="AI63" s="119"/>
    </row>
    <row r="64" spans="1:35" s="75" customFormat="1">
      <c r="A64" s="79" t="str">
        <f>IFERROR(VLOOKUP(N64,'Exp. Data Processing'!$A$23:$C$34,2,FALSE),"")</f>
        <v/>
      </c>
      <c r="B64" s="123" t="str">
        <f>IFERROR(VLOOKUP(N64,'Exp. Data Processing'!$A$23:$C$34,3,FALSE),"")</f>
        <v/>
      </c>
      <c r="C64" s="124">
        <f t="shared" si="26"/>
        <v>46.538634993662455</v>
      </c>
      <c r="D64" s="123">
        <f t="shared" si="27"/>
        <v>179.06865396792952</v>
      </c>
      <c r="E64" s="79" t="str">
        <f t="shared" si="0"/>
        <v/>
      </c>
      <c r="F64" s="123" t="str">
        <f t="shared" si="1"/>
        <v/>
      </c>
      <c r="G64" s="58">
        <f t="shared" si="2"/>
        <v>1</v>
      </c>
      <c r="H64" s="59">
        <f t="shared" si="3"/>
        <v>0</v>
      </c>
      <c r="I64" s="63">
        <f t="shared" si="4"/>
        <v>1.4830000000000001</v>
      </c>
      <c r="J64" s="11">
        <f t="shared" si="5"/>
        <v>0</v>
      </c>
      <c r="K64" s="60">
        <f t="shared" si="6"/>
        <v>14857</v>
      </c>
      <c r="L64" s="63">
        <f t="shared" si="7"/>
        <v>3.8435000000000001</v>
      </c>
      <c r="M64" s="64">
        <f t="shared" si="8"/>
        <v>1.5793000000000001E-2</v>
      </c>
      <c r="N64" s="69">
        <v>23</v>
      </c>
      <c r="O64" s="121">
        <f t="shared" si="28"/>
        <v>0.4014257279586958</v>
      </c>
      <c r="P64" s="59">
        <f t="shared" si="29"/>
        <v>6530</v>
      </c>
      <c r="Q64" s="61" t="str">
        <f t="shared" si="9"/>
        <v>1</v>
      </c>
      <c r="R64" s="56" t="str">
        <f t="shared" si="10"/>
        <v>1.483</v>
      </c>
      <c r="S64" s="62" t="str">
        <f t="shared" si="11"/>
        <v>3.8435+0.015793i</v>
      </c>
      <c r="T64" s="61" t="str">
        <f t="shared" si="12"/>
        <v>0.92050485345244</v>
      </c>
      <c r="U64" s="10" t="str">
        <f t="shared" si="13"/>
        <v>0.964666647285455</v>
      </c>
      <c r="V64" s="10" t="str">
        <f t="shared" si="14"/>
        <v>0.99481944145566+0.0000426855688456264i</v>
      </c>
      <c r="W64" s="10" t="str">
        <f t="shared" si="15"/>
        <v>0.171880113355813</v>
      </c>
      <c r="X64" s="10" t="str">
        <f t="shared" si="16"/>
        <v>-0.2169599732308</v>
      </c>
      <c r="Y64" s="10" t="str">
        <f t="shared" si="17"/>
        <v>0.430715521661248+0.00165588411246146i</v>
      </c>
      <c r="Z64" s="10" t="str">
        <f t="shared" si="18"/>
        <v>-0.45544870290412-0.0016453321969758i</v>
      </c>
      <c r="AA64" s="10" t="str">
        <f t="shared" si="19"/>
        <v>20.4510789273785</v>
      </c>
      <c r="AB64" s="10" t="str">
        <f t="shared" si="20"/>
        <v>-0.278595184520744+0.0280609874580767i</v>
      </c>
      <c r="AC64" s="10" t="str">
        <f t="shared" si="21"/>
        <v>0.263553024051777-0.0308809042475711i</v>
      </c>
      <c r="AD64" s="78" t="str">
        <f t="shared" si="22"/>
        <v>-1.05506482859047-0.0171516472059814i</v>
      </c>
      <c r="AE64" s="79">
        <f t="shared" si="23"/>
        <v>0.81225241002326021</v>
      </c>
      <c r="AF64" s="57">
        <f t="shared" si="24"/>
        <v>-3.1253375988547787</v>
      </c>
      <c r="AG64" s="91">
        <f t="shared" si="25"/>
        <v>46.538634993662455</v>
      </c>
      <c r="AH64" s="92">
        <f t="shared" si="30"/>
        <v>179.06865396792952</v>
      </c>
      <c r="AI64" s="119"/>
    </row>
    <row r="65" spans="1:35" s="75" customFormat="1">
      <c r="A65" s="79" t="str">
        <f>IFERROR(VLOOKUP(N65,'Exp. Data Processing'!$A$23:$C$34,2,FALSE),"")</f>
        <v/>
      </c>
      <c r="B65" s="123" t="str">
        <f>IFERROR(VLOOKUP(N65,'Exp. Data Processing'!$A$23:$C$34,3,FALSE),"")</f>
        <v/>
      </c>
      <c r="C65" s="124">
        <f t="shared" si="26"/>
        <v>46.69487007127362</v>
      </c>
      <c r="D65" s="123">
        <f t="shared" si="27"/>
        <v>178.82312924301638</v>
      </c>
      <c r="E65" s="79" t="str">
        <f t="shared" si="0"/>
        <v/>
      </c>
      <c r="F65" s="123" t="str">
        <f t="shared" si="1"/>
        <v/>
      </c>
      <c r="G65" s="58">
        <f t="shared" si="2"/>
        <v>1</v>
      </c>
      <c r="H65" s="59">
        <f t="shared" si="3"/>
        <v>0</v>
      </c>
      <c r="I65" s="63">
        <f t="shared" si="4"/>
        <v>1.4830000000000001</v>
      </c>
      <c r="J65" s="11">
        <f t="shared" si="5"/>
        <v>0</v>
      </c>
      <c r="K65" s="60">
        <f t="shared" si="6"/>
        <v>14857</v>
      </c>
      <c r="L65" s="63">
        <f t="shared" si="7"/>
        <v>3.8435000000000001</v>
      </c>
      <c r="M65" s="64">
        <f t="shared" si="8"/>
        <v>1.5793000000000001E-2</v>
      </c>
      <c r="N65" s="69">
        <v>24</v>
      </c>
      <c r="O65" s="121">
        <f t="shared" si="28"/>
        <v>0.41887902047863912</v>
      </c>
      <c r="P65" s="59">
        <f t="shared" si="29"/>
        <v>6530</v>
      </c>
      <c r="Q65" s="61" t="str">
        <f t="shared" si="9"/>
        <v>1</v>
      </c>
      <c r="R65" s="56" t="str">
        <f t="shared" si="10"/>
        <v>1.483</v>
      </c>
      <c r="S65" s="62" t="str">
        <f t="shared" si="11"/>
        <v>3.8435+0.015793i</v>
      </c>
      <c r="T65" s="61" t="str">
        <f t="shared" si="12"/>
        <v>0.913545457642601</v>
      </c>
      <c r="U65" s="10" t="str">
        <f t="shared" si="13"/>
        <v>0.961653835943972</v>
      </c>
      <c r="V65" s="10" t="str">
        <f t="shared" si="14"/>
        <v>0.994385103872705+0.000046274454096959i</v>
      </c>
      <c r="W65" s="10" t="str">
        <f t="shared" si="15"/>
        <v>0.169714640052205</v>
      </c>
      <c r="X65" s="10" t="str">
        <f t="shared" si="16"/>
        <v>-0.219084489384464</v>
      </c>
      <c r="Y65" s="10" t="str">
        <f t="shared" si="17"/>
        <v>0.429618847090844+0.00165632314802673i</v>
      </c>
      <c r="Z65" s="10" t="str">
        <f t="shared" si="18"/>
        <v>-0.456514594560422-0.00164475018313204i</v>
      </c>
      <c r="AA65" s="10" t="str">
        <f t="shared" si="19"/>
        <v>20.3872068709419</v>
      </c>
      <c r="AB65" s="10" t="str">
        <f t="shared" si="20"/>
        <v>-0.278967425005949-0.0340109654408573i</v>
      </c>
      <c r="AC65" s="10" t="str">
        <f t="shared" si="21"/>
        <v>0.262218906110245+0.0374496303524842i</v>
      </c>
      <c r="AD65" s="78" t="str">
        <f t="shared" si="22"/>
        <v>-1.06076007507556+0.0217913625991309i</v>
      </c>
      <c r="AE65" s="79">
        <f t="shared" si="23"/>
        <v>0.81497922653468391</v>
      </c>
      <c r="AF65" s="57">
        <f t="shared" si="24"/>
        <v>3.1210523840099911</v>
      </c>
      <c r="AG65" s="91">
        <f t="shared" si="25"/>
        <v>46.69487007127362</v>
      </c>
      <c r="AH65" s="92">
        <f t="shared" si="30"/>
        <v>178.82312924301638</v>
      </c>
      <c r="AI65" s="119"/>
    </row>
    <row r="66" spans="1:35" s="75" customFormat="1">
      <c r="A66" s="79">
        <f>IFERROR(VLOOKUP(N66,'Exp. Data Processing'!$A$23:$C$34,2,FALSE),"")</f>
        <v>46.579818151446474</v>
      </c>
      <c r="B66" s="123">
        <f>IFERROR(VLOOKUP(N66,'Exp. Data Processing'!$A$23:$C$34,3,FALSE),"")</f>
        <v>170.75402436574791</v>
      </c>
      <c r="C66" s="124">
        <f t="shared" si="26"/>
        <v>46.53287189196508</v>
      </c>
      <c r="D66" s="123">
        <f t="shared" si="27"/>
        <v>176.40970068074145</v>
      </c>
      <c r="E66" s="79">
        <f t="shared" si="0"/>
        <v>1.0178464725612822E-6</v>
      </c>
      <c r="F66" s="123">
        <f t="shared" si="1"/>
        <v>1.0278368071430252E-3</v>
      </c>
      <c r="G66" s="58">
        <f t="shared" si="2"/>
        <v>1</v>
      </c>
      <c r="H66" s="59">
        <f t="shared" si="3"/>
        <v>0</v>
      </c>
      <c r="I66" s="63">
        <f t="shared" si="4"/>
        <v>1.4830000000000001</v>
      </c>
      <c r="J66" s="11">
        <f t="shared" si="5"/>
        <v>0</v>
      </c>
      <c r="K66" s="60">
        <f t="shared" si="6"/>
        <v>14857</v>
      </c>
      <c r="L66" s="63">
        <f t="shared" si="7"/>
        <v>3.8435000000000001</v>
      </c>
      <c r="M66" s="64">
        <f t="shared" si="8"/>
        <v>1.5793000000000001E-2</v>
      </c>
      <c r="N66" s="69">
        <v>25</v>
      </c>
      <c r="O66" s="121">
        <f t="shared" si="28"/>
        <v>0.43633231299858238</v>
      </c>
      <c r="P66" s="59">
        <f t="shared" si="29"/>
        <v>6530</v>
      </c>
      <c r="Q66" s="61" t="str">
        <f t="shared" si="9"/>
        <v>1</v>
      </c>
      <c r="R66" s="56" t="str">
        <f t="shared" si="10"/>
        <v>1.483</v>
      </c>
      <c r="S66" s="62" t="str">
        <f t="shared" si="11"/>
        <v>3.8435+0.015793i</v>
      </c>
      <c r="T66" s="61" t="str">
        <f t="shared" si="12"/>
        <v>0.90630778703665</v>
      </c>
      <c r="U66" s="10" t="str">
        <f t="shared" si="13"/>
        <v>0.958534881972475</v>
      </c>
      <c r="V66" s="10" t="str">
        <f t="shared" si="14"/>
        <v>0.993936696685862+0.0000499812493297462i</v>
      </c>
      <c r="W66" s="10" t="str">
        <f t="shared" si="15"/>
        <v>0.167428712169932</v>
      </c>
      <c r="X66" s="10" t="str">
        <f t="shared" si="16"/>
        <v>-0.221323188984361</v>
      </c>
      <c r="Y66" s="10" t="str">
        <f t="shared" si="17"/>
        <v>0.428477554349816+0.00165678146995254i</v>
      </c>
      <c r="Z66" s="10" t="str">
        <f t="shared" si="18"/>
        <v>-0.457621157610223-0.00164413093792865i</v>
      </c>
      <c r="AA66" s="10" t="str">
        <f t="shared" si="19"/>
        <v>20.321084574684</v>
      </c>
      <c r="AB66" s="10" t="str">
        <f t="shared" si="20"/>
        <v>-0.269874397392558-0.0968312609975602i</v>
      </c>
      <c r="AC66" s="10" t="str">
        <f t="shared" si="21"/>
        <v>0.24955742389532+0.107622807868499i</v>
      </c>
      <c r="AD66" s="78" t="str">
        <f t="shared" si="22"/>
        <v>-1.05292108795985+0.0660652073390125i</v>
      </c>
      <c r="AE66" s="79">
        <f t="shared" si="23"/>
        <v>0.81215182492351368</v>
      </c>
      <c r="AF66" s="57">
        <f t="shared" si="24"/>
        <v>3.0789301093366204</v>
      </c>
      <c r="AG66" s="91">
        <f t="shared" si="25"/>
        <v>46.53287189196508</v>
      </c>
      <c r="AH66" s="92">
        <f t="shared" si="30"/>
        <v>176.40970068074145</v>
      </c>
      <c r="AI66" s="119"/>
    </row>
    <row r="67" spans="1:35" s="75" customFormat="1">
      <c r="A67" s="79" t="str">
        <f>IFERROR(VLOOKUP(N67,'Exp. Data Processing'!$A$23:$C$34,2,FALSE),"")</f>
        <v/>
      </c>
      <c r="B67" s="123" t="str">
        <f>IFERROR(VLOOKUP(N67,'Exp. Data Processing'!$A$23:$C$34,3,FALSE),"")</f>
        <v/>
      </c>
      <c r="C67" s="124">
        <f t="shared" si="26"/>
        <v>46.039550424923242</v>
      </c>
      <c r="D67" s="123">
        <f t="shared" si="27"/>
        <v>174.01809108625821</v>
      </c>
      <c r="E67" s="79" t="str">
        <f t="shared" si="0"/>
        <v/>
      </c>
      <c r="F67" s="123" t="str">
        <f t="shared" si="1"/>
        <v/>
      </c>
      <c r="G67" s="58">
        <f t="shared" si="2"/>
        <v>1</v>
      </c>
      <c r="H67" s="59">
        <f t="shared" si="3"/>
        <v>0</v>
      </c>
      <c r="I67" s="63">
        <f t="shared" si="4"/>
        <v>1.4830000000000001</v>
      </c>
      <c r="J67" s="11">
        <f t="shared" si="5"/>
        <v>0</v>
      </c>
      <c r="K67" s="60">
        <f t="shared" si="6"/>
        <v>14857</v>
      </c>
      <c r="L67" s="63">
        <f t="shared" si="7"/>
        <v>3.8435000000000001</v>
      </c>
      <c r="M67" s="64">
        <f t="shared" si="8"/>
        <v>1.5793000000000001E-2</v>
      </c>
      <c r="N67" s="69">
        <v>26</v>
      </c>
      <c r="O67" s="121">
        <f t="shared" si="28"/>
        <v>0.4537856055185257</v>
      </c>
      <c r="P67" s="59">
        <f t="shared" si="29"/>
        <v>6530</v>
      </c>
      <c r="Q67" s="61" t="str">
        <f t="shared" si="9"/>
        <v>1</v>
      </c>
      <c r="R67" s="56" t="str">
        <f t="shared" si="10"/>
        <v>1.483</v>
      </c>
      <c r="S67" s="62" t="str">
        <f t="shared" si="11"/>
        <v>3.8435+0.015793i</v>
      </c>
      <c r="T67" s="61" t="str">
        <f t="shared" si="12"/>
        <v>0.898794046299167</v>
      </c>
      <c r="U67" s="10" t="str">
        <f t="shared" si="13"/>
        <v>0.955312564740735</v>
      </c>
      <c r="V67" s="10" t="str">
        <f t="shared" si="14"/>
        <v>0.99347474753793+0.0000538017502987063i</v>
      </c>
      <c r="W67" s="10" t="str">
        <f t="shared" si="15"/>
        <v>0.165018365150021</v>
      </c>
      <c r="X67" s="10" t="str">
        <f t="shared" si="16"/>
        <v>-0.223679307525437</v>
      </c>
      <c r="Y67" s="10" t="str">
        <f t="shared" si="17"/>
        <v>0.427292000928099+0.0016572590663135i</v>
      </c>
      <c r="Z67" s="10" t="str">
        <f t="shared" si="18"/>
        <v>-0.458767735260181-0.00164347319205339i</v>
      </c>
      <c r="AA67" s="10" t="str">
        <f t="shared" si="19"/>
        <v>20.2527709616646</v>
      </c>
      <c r="AB67" s="10" t="str">
        <f t="shared" si="20"/>
        <v>-0.250920401082388-0.15853778742903i</v>
      </c>
      <c r="AC67" s="10" t="str">
        <f t="shared" si="21"/>
        <v>0.224725894898171+0.177271765213833i</v>
      </c>
      <c r="AD67" s="78" t="str">
        <f t="shared" si="22"/>
        <v>-1.03131541892448+0.108066395227661i</v>
      </c>
      <c r="AE67" s="79">
        <f t="shared" si="23"/>
        <v>0.80354174105286491</v>
      </c>
      <c r="AF67" s="57">
        <f t="shared" si="24"/>
        <v>3.0371886474906016</v>
      </c>
      <c r="AG67" s="91">
        <f t="shared" si="25"/>
        <v>46.039550424923242</v>
      </c>
      <c r="AH67" s="92">
        <f t="shared" si="30"/>
        <v>174.01809108625821</v>
      </c>
      <c r="AI67" s="119"/>
    </row>
    <row r="68" spans="1:35" s="75" customFormat="1">
      <c r="A68" s="79" t="str">
        <f>IFERROR(VLOOKUP(N68,'Exp. Data Processing'!$A$23:$C$34,2,FALSE),"")</f>
        <v/>
      </c>
      <c r="B68" s="123" t="str">
        <f>IFERROR(VLOOKUP(N68,'Exp. Data Processing'!$A$23:$C$34,3,FALSE),"")</f>
        <v/>
      </c>
      <c r="C68" s="124">
        <f t="shared" si="26"/>
        <v>45.29127474046043</v>
      </c>
      <c r="D68" s="123">
        <f t="shared" si="27"/>
        <v>171.92054709528639</v>
      </c>
      <c r="E68" s="79" t="str">
        <f t="shared" si="0"/>
        <v/>
      </c>
      <c r="F68" s="123" t="str">
        <f t="shared" si="1"/>
        <v/>
      </c>
      <c r="G68" s="58">
        <f t="shared" si="2"/>
        <v>1</v>
      </c>
      <c r="H68" s="59">
        <f t="shared" si="3"/>
        <v>0</v>
      </c>
      <c r="I68" s="63">
        <f t="shared" si="4"/>
        <v>1.4830000000000001</v>
      </c>
      <c r="J68" s="11">
        <f t="shared" si="5"/>
        <v>0</v>
      </c>
      <c r="K68" s="60">
        <f t="shared" si="6"/>
        <v>14857</v>
      </c>
      <c r="L68" s="63">
        <f t="shared" si="7"/>
        <v>3.8435000000000001</v>
      </c>
      <c r="M68" s="64">
        <f t="shared" si="8"/>
        <v>1.5793000000000001E-2</v>
      </c>
      <c r="N68" s="69">
        <v>27</v>
      </c>
      <c r="O68" s="121">
        <f t="shared" si="28"/>
        <v>0.47123889803846897</v>
      </c>
      <c r="P68" s="59">
        <f t="shared" si="29"/>
        <v>6530</v>
      </c>
      <c r="Q68" s="61" t="str">
        <f t="shared" si="9"/>
        <v>1</v>
      </c>
      <c r="R68" s="56" t="str">
        <f t="shared" si="10"/>
        <v>1.483</v>
      </c>
      <c r="S68" s="62" t="str">
        <f t="shared" si="11"/>
        <v>3.8435+0.015793i</v>
      </c>
      <c r="T68" s="61" t="str">
        <f t="shared" si="12"/>
        <v>0.891006524188368</v>
      </c>
      <c r="U68" s="10" t="str">
        <f t="shared" si="13"/>
        <v>0.951989780898233</v>
      </c>
      <c r="V68" s="10" t="str">
        <f t="shared" si="14"/>
        <v>0.99299980074496+0.0000577316117609061i</v>
      </c>
      <c r="W68" s="10" t="str">
        <f t="shared" si="15"/>
        <v>0.162479378617442</v>
      </c>
      <c r="X68" s="10" t="str">
        <f t="shared" si="16"/>
        <v>-0.226156268142813</v>
      </c>
      <c r="Y68" s="10" t="str">
        <f t="shared" si="17"/>
        <v>0.426062580240851+0.0016577559068854i</v>
      </c>
      <c r="Z68" s="10" t="str">
        <f t="shared" si="18"/>
        <v>-0.459953629658476-0.00164277568535106i</v>
      </c>
      <c r="AA68" s="10" t="str">
        <f t="shared" si="19"/>
        <v>20.1823274412911</v>
      </c>
      <c r="AB68" s="10" t="str">
        <f t="shared" si="20"/>
        <v>-0.222150546366963-0.217161598976348i</v>
      </c>
      <c r="AC68" s="10" t="str">
        <f t="shared" si="21"/>
        <v>0.187508044376015+0.24373762793066i</v>
      </c>
      <c r="AD68" s="78" t="str">
        <f t="shared" si="22"/>
        <v>-1.00019213347387+0.141982490405005i</v>
      </c>
      <c r="AE68" s="79">
        <f t="shared" si="23"/>
        <v>0.79048186664637476</v>
      </c>
      <c r="AF68" s="57">
        <f t="shared" si="24"/>
        <v>3.0005795986427213</v>
      </c>
      <c r="AG68" s="91">
        <f t="shared" si="25"/>
        <v>45.29127474046043</v>
      </c>
      <c r="AH68" s="92">
        <f t="shared" si="30"/>
        <v>171.92054709528639</v>
      </c>
      <c r="AI68" s="119"/>
    </row>
    <row r="69" spans="1:35" s="75" customFormat="1">
      <c r="A69" s="79" t="str">
        <f>IFERROR(VLOOKUP(N69,'Exp. Data Processing'!$A$23:$C$34,2,FALSE),"")</f>
        <v/>
      </c>
      <c r="B69" s="123" t="str">
        <f>IFERROR(VLOOKUP(N69,'Exp. Data Processing'!$A$23:$C$34,3,FALSE),"")</f>
        <v/>
      </c>
      <c r="C69" s="124">
        <f t="shared" si="26"/>
        <v>44.404053126849028</v>
      </c>
      <c r="D69" s="123">
        <f t="shared" si="27"/>
        <v>170.25110994265239</v>
      </c>
      <c r="E69" s="79" t="str">
        <f t="shared" si="0"/>
        <v/>
      </c>
      <c r="F69" s="123" t="str">
        <f t="shared" si="1"/>
        <v/>
      </c>
      <c r="G69" s="58">
        <f t="shared" si="2"/>
        <v>1</v>
      </c>
      <c r="H69" s="59">
        <f t="shared" si="3"/>
        <v>0</v>
      </c>
      <c r="I69" s="63">
        <f t="shared" si="4"/>
        <v>1.4830000000000001</v>
      </c>
      <c r="J69" s="11">
        <f t="shared" si="5"/>
        <v>0</v>
      </c>
      <c r="K69" s="60">
        <f t="shared" si="6"/>
        <v>14857</v>
      </c>
      <c r="L69" s="63">
        <f t="shared" si="7"/>
        <v>3.8435000000000001</v>
      </c>
      <c r="M69" s="64">
        <f t="shared" si="8"/>
        <v>1.5793000000000001E-2</v>
      </c>
      <c r="N69" s="69">
        <v>28</v>
      </c>
      <c r="O69" s="121">
        <f t="shared" si="28"/>
        <v>0.48869219055841229</v>
      </c>
      <c r="P69" s="59">
        <f t="shared" si="29"/>
        <v>6530</v>
      </c>
      <c r="Q69" s="61" t="str">
        <f t="shared" si="9"/>
        <v>1</v>
      </c>
      <c r="R69" s="56" t="str">
        <f t="shared" si="10"/>
        <v>1.483</v>
      </c>
      <c r="S69" s="62" t="str">
        <f t="shared" si="11"/>
        <v>3.8435+0.015793i</v>
      </c>
      <c r="T69" s="61" t="str">
        <f t="shared" si="12"/>
        <v>0.882947592858927</v>
      </c>
      <c r="U69" s="10" t="str">
        <f t="shared" si="13"/>
        <v>0.948569544651335</v>
      </c>
      <c r="V69" s="10" t="str">
        <f t="shared" si="14"/>
        <v>0.99251241672123+0.0000617663513127148i</v>
      </c>
      <c r="W69" s="10" t="str">
        <f t="shared" si="15"/>
        <v>0.159807263013692</v>
      </c>
      <c r="X69" s="10" t="str">
        <f t="shared" si="16"/>
        <v>-0.228757688773017</v>
      </c>
      <c r="Y69" s="10" t="str">
        <f t="shared" si="17"/>
        <v>0.424789724338821+0.00165827194105533i</v>
      </c>
      <c r="Z69" s="10" t="str">
        <f t="shared" si="18"/>
        <v>-0.461178100277679-0.00164203717460502i</v>
      </c>
      <c r="AA69" s="10" t="str">
        <f t="shared" si="19"/>
        <v>20.1098179151948</v>
      </c>
      <c r="AB69" s="10" t="str">
        <f t="shared" si="20"/>
        <v>-0.184071054557304-0.270752413476834i</v>
      </c>
      <c r="AC69" s="10" t="str">
        <f t="shared" si="21"/>
        <v>0.138416188733154+0.304276157591251i</v>
      </c>
      <c r="AD69" s="78" t="str">
        <f t="shared" si="22"/>
        <v>-0.96526759814879+0.165844057297882i</v>
      </c>
      <c r="AE69" s="79">
        <f t="shared" si="23"/>
        <v>0.7749969282939988</v>
      </c>
      <c r="AF69" s="57">
        <f t="shared" si="24"/>
        <v>2.9714424236741386</v>
      </c>
      <c r="AG69" s="91">
        <f t="shared" si="25"/>
        <v>44.404053126849028</v>
      </c>
      <c r="AH69" s="92">
        <f t="shared" si="30"/>
        <v>170.25110994265239</v>
      </c>
      <c r="AI69" s="119"/>
    </row>
    <row r="70" spans="1:35" s="75" customFormat="1">
      <c r="A70" s="79" t="str">
        <f>IFERROR(VLOOKUP(N70,'Exp. Data Processing'!$A$23:$C$34,2,FALSE),"")</f>
        <v/>
      </c>
      <c r="B70" s="123" t="str">
        <f>IFERROR(VLOOKUP(N70,'Exp. Data Processing'!$A$23:$C$34,3,FALSE),"")</f>
        <v/>
      </c>
      <c r="C70" s="124">
        <f t="shared" si="26"/>
        <v>43.481797274248521</v>
      </c>
      <c r="D70" s="123">
        <f t="shared" si="27"/>
        <v>169.02188966460162</v>
      </c>
      <c r="E70" s="79" t="str">
        <f t="shared" si="0"/>
        <v/>
      </c>
      <c r="F70" s="123" t="str">
        <f t="shared" si="1"/>
        <v/>
      </c>
      <c r="G70" s="58">
        <f t="shared" si="2"/>
        <v>1</v>
      </c>
      <c r="H70" s="59">
        <f t="shared" si="3"/>
        <v>0</v>
      </c>
      <c r="I70" s="63">
        <f t="shared" si="4"/>
        <v>1.4830000000000001</v>
      </c>
      <c r="J70" s="11">
        <f t="shared" si="5"/>
        <v>0</v>
      </c>
      <c r="K70" s="60">
        <f t="shared" si="6"/>
        <v>14857</v>
      </c>
      <c r="L70" s="63">
        <f t="shared" si="7"/>
        <v>3.8435000000000001</v>
      </c>
      <c r="M70" s="64">
        <f t="shared" si="8"/>
        <v>1.5793000000000001E-2</v>
      </c>
      <c r="N70" s="69">
        <v>29</v>
      </c>
      <c r="O70" s="121">
        <f t="shared" si="28"/>
        <v>0.50614548307835561</v>
      </c>
      <c r="P70" s="59">
        <f t="shared" si="29"/>
        <v>6530</v>
      </c>
      <c r="Q70" s="61" t="str">
        <f t="shared" si="9"/>
        <v>1</v>
      </c>
      <c r="R70" s="56" t="str">
        <f t="shared" si="10"/>
        <v>1.483</v>
      </c>
      <c r="S70" s="62" t="str">
        <f t="shared" si="11"/>
        <v>3.8435+0.015793i</v>
      </c>
      <c r="T70" s="61" t="str">
        <f t="shared" si="12"/>
        <v>0.874619707139396</v>
      </c>
      <c r="U70" s="10" t="str">
        <f t="shared" si="13"/>
        <v>0.945054988007208</v>
      </c>
      <c r="V70" s="10" t="str">
        <f t="shared" si="14"/>
        <v>0.992013171383695+0.0000659013534042647i</v>
      </c>
      <c r="W70" s="10" t="str">
        <f t="shared" si="15"/>
        <v>0.156997245249776</v>
      </c>
      <c r="X70" s="10" t="str">
        <f t="shared" si="16"/>
        <v>-0.231487389679496</v>
      </c>
      <c r="Y70" s="10" t="str">
        <f t="shared" si="17"/>
        <v>0.423473906742935+0.0016588070956736i</v>
      </c>
      <c r="Z70" s="10" t="str">
        <f t="shared" si="18"/>
        <v>-0.462440362260223-0.00164125644167701i</v>
      </c>
      <c r="AA70" s="10" t="str">
        <f t="shared" si="19"/>
        <v>20.0353087824016</v>
      </c>
      <c r="AB70" s="10" t="str">
        <f t="shared" si="20"/>
        <v>-0.137626694219364-0.31750378320132i</v>
      </c>
      <c r="AC70" s="10" t="str">
        <f t="shared" si="21"/>
        <v>0.0787090884588906+0.35630132308825i</v>
      </c>
      <c r="AD70" s="78" t="str">
        <f t="shared" si="22"/>
        <v>-0.931005957656753+0.180600126277012i</v>
      </c>
      <c r="AE70" s="79">
        <f t="shared" si="23"/>
        <v>0.75890052712033251</v>
      </c>
      <c r="AF70" s="57">
        <f t="shared" si="24"/>
        <v>2.9499884825898723</v>
      </c>
      <c r="AG70" s="91">
        <f t="shared" si="25"/>
        <v>43.481797274248521</v>
      </c>
      <c r="AH70" s="92">
        <f t="shared" si="30"/>
        <v>169.02188966460162</v>
      </c>
      <c r="AI70" s="119"/>
    </row>
    <row r="71" spans="1:35" s="75" customFormat="1">
      <c r="A71" s="79">
        <f>IFERROR(VLOOKUP(N71,'Exp. Data Processing'!$A$23:$C$34,2,FALSE),"")</f>
        <v>43.027953143578067</v>
      </c>
      <c r="B71" s="123">
        <f>IFERROR(VLOOKUP(N71,'Exp. Data Processing'!$A$23:$C$34,3,FALSE),"")</f>
        <v>166.66451444628117</v>
      </c>
      <c r="C71" s="124">
        <f t="shared" si="26"/>
        <v>42.5933741689405</v>
      </c>
      <c r="D71" s="123">
        <f t="shared" si="27"/>
        <v>168.18305404898874</v>
      </c>
      <c r="E71" s="79">
        <f t="shared" si="0"/>
        <v>1.0410062355065762E-4</v>
      </c>
      <c r="F71" s="123">
        <f t="shared" si="1"/>
        <v>8.1524430926750894E-5</v>
      </c>
      <c r="G71" s="58">
        <f t="shared" si="2"/>
        <v>1</v>
      </c>
      <c r="H71" s="59">
        <f t="shared" si="3"/>
        <v>0</v>
      </c>
      <c r="I71" s="63">
        <f t="shared" si="4"/>
        <v>1.4830000000000001</v>
      </c>
      <c r="J71" s="11">
        <f t="shared" si="5"/>
        <v>0</v>
      </c>
      <c r="K71" s="60">
        <f t="shared" si="6"/>
        <v>14857</v>
      </c>
      <c r="L71" s="63">
        <f t="shared" si="7"/>
        <v>3.8435000000000001</v>
      </c>
      <c r="M71" s="64">
        <f t="shared" si="8"/>
        <v>1.5793000000000001E-2</v>
      </c>
      <c r="N71" s="69">
        <v>30</v>
      </c>
      <c r="O71" s="121">
        <f t="shared" si="28"/>
        <v>0.52359877559829882</v>
      </c>
      <c r="P71" s="59">
        <f t="shared" si="29"/>
        <v>6530</v>
      </c>
      <c r="Q71" s="61" t="str">
        <f t="shared" si="9"/>
        <v>1</v>
      </c>
      <c r="R71" s="56" t="str">
        <f t="shared" si="10"/>
        <v>1.483</v>
      </c>
      <c r="S71" s="62" t="str">
        <f t="shared" si="11"/>
        <v>3.8435+0.015793i</v>
      </c>
      <c r="T71" s="61" t="str">
        <f t="shared" si="12"/>
        <v>0.866025403784439</v>
      </c>
      <c r="U71" s="10" t="str">
        <f t="shared" si="13"/>
        <v>0.941449360977141</v>
      </c>
      <c r="V71" s="10" t="str">
        <f t="shared" si="14"/>
        <v>0.991502655536282+0.0000701318735323537i</v>
      </c>
      <c r="W71" s="10" t="str">
        <f t="shared" si="15"/>
        <v>0.154044253313383</v>
      </c>
      <c r="X71" s="10" t="str">
        <f t="shared" si="16"/>
        <v>-0.234349401347734</v>
      </c>
      <c r="Y71" s="10" t="str">
        <f t="shared" si="17"/>
        <v>0.422115645401631+0.00165936127285321i</v>
      </c>
      <c r="Z71" s="10" t="str">
        <f t="shared" si="18"/>
        <v>-0.463739584731618-0.00164043230200023i</v>
      </c>
      <c r="AA71" s="10" t="str">
        <f t="shared" si="19"/>
        <v>19.9588689436427</v>
      </c>
      <c r="AB71" s="10" t="str">
        <f t="shared" si="20"/>
        <v>-0.0841393838749344-0.355861316607651i</v>
      </c>
      <c r="AC71" s="10" t="str">
        <f t="shared" si="21"/>
        <v>0.0103128480494282+0.397624949391952i</v>
      </c>
      <c r="AD71" s="78" t="str">
        <f t="shared" si="22"/>
        <v>-0.899850169319498+0.188266269322298i</v>
      </c>
      <c r="AE71" s="79">
        <f t="shared" si="23"/>
        <v>0.74339461878191515</v>
      </c>
      <c r="AF71" s="57">
        <f t="shared" si="24"/>
        <v>2.9353480392144342</v>
      </c>
      <c r="AG71" s="91">
        <f t="shared" si="25"/>
        <v>42.5933741689405</v>
      </c>
      <c r="AH71" s="92">
        <f t="shared" si="30"/>
        <v>168.18305404898874</v>
      </c>
      <c r="AI71" s="119"/>
    </row>
    <row r="72" spans="1:35" s="75" customFormat="1">
      <c r="A72" s="79" t="str">
        <f>IFERROR(VLOOKUP(N72,'Exp. Data Processing'!$A$23:$C$34,2,FALSE),"")</f>
        <v/>
      </c>
      <c r="B72" s="123" t="str">
        <f>IFERROR(VLOOKUP(N72,'Exp. Data Processing'!$A$23:$C$34,3,FALSE),"")</f>
        <v/>
      </c>
      <c r="C72" s="124">
        <f t="shared" si="26"/>
        <v>41.773792720987672</v>
      </c>
      <c r="D72" s="123">
        <f t="shared" si="27"/>
        <v>167.67193296972815</v>
      </c>
      <c r="E72" s="79" t="str">
        <f t="shared" si="0"/>
        <v/>
      </c>
      <c r="F72" s="123" t="str">
        <f t="shared" si="1"/>
        <v/>
      </c>
      <c r="G72" s="58">
        <f t="shared" si="2"/>
        <v>1</v>
      </c>
      <c r="H72" s="59">
        <f t="shared" si="3"/>
        <v>0</v>
      </c>
      <c r="I72" s="63">
        <f t="shared" si="4"/>
        <v>1.4830000000000001</v>
      </c>
      <c r="J72" s="11">
        <f t="shared" si="5"/>
        <v>0</v>
      </c>
      <c r="K72" s="60">
        <f t="shared" si="6"/>
        <v>14857</v>
      </c>
      <c r="L72" s="63">
        <f t="shared" si="7"/>
        <v>3.8435000000000001</v>
      </c>
      <c r="M72" s="64">
        <f t="shared" si="8"/>
        <v>1.5793000000000001E-2</v>
      </c>
      <c r="N72" s="69">
        <v>31</v>
      </c>
      <c r="O72" s="121">
        <f t="shared" si="28"/>
        <v>0.54105206811824214</v>
      </c>
      <c r="P72" s="59">
        <f t="shared" si="29"/>
        <v>6530</v>
      </c>
      <c r="Q72" s="61" t="str">
        <f t="shared" si="9"/>
        <v>1</v>
      </c>
      <c r="R72" s="56" t="str">
        <f t="shared" si="10"/>
        <v>1.483</v>
      </c>
      <c r="S72" s="62" t="str">
        <f t="shared" si="11"/>
        <v>3.8435+0.015793i</v>
      </c>
      <c r="T72" s="61" t="str">
        <f t="shared" si="12"/>
        <v>0.857167300702113</v>
      </c>
      <c r="U72" s="10" t="str">
        <f t="shared" si="13"/>
        <v>0.937756031731072</v>
      </c>
      <c r="V72" s="10" t="str">
        <f t="shared" si="14"/>
        <v>0.990981474234219+0.0000744530426145371i</v>
      </c>
      <c r="W72" s="10" t="str">
        <f t="shared" si="15"/>
        <v>0.150942899758734</v>
      </c>
      <c r="X72" s="10" t="str">
        <f t="shared" si="16"/>
        <v>-0.237347972754343</v>
      </c>
      <c r="Y72" s="10" t="str">
        <f t="shared" si="17"/>
        <v>0.420715505768553+0.001659934347725i</v>
      </c>
      <c r="Z72" s="10" t="str">
        <f t="shared" si="18"/>
        <v>-0.465074889087223-0.00163956361341885i</v>
      </c>
      <c r="AA72" s="10" t="str">
        <f t="shared" si="19"/>
        <v>19.8805698046306</v>
      </c>
      <c r="AB72" s="10" t="str">
        <f t="shared" si="20"/>
        <v>-0.0252187709223198-0.384601114246273i</v>
      </c>
      <c r="AC72" s="10" t="str">
        <f t="shared" si="21"/>
        <v>-0.0643454539140098+0.42664883482716i</v>
      </c>
      <c r="AD72" s="78" t="str">
        <f t="shared" si="22"/>
        <v>-0.872682403240522+0.190723399759347i</v>
      </c>
      <c r="AE72" s="79">
        <f t="shared" si="23"/>
        <v>0.72909022402687584</v>
      </c>
      <c r="AF72" s="57">
        <f t="shared" si="24"/>
        <v>2.92642729350499</v>
      </c>
      <c r="AG72" s="91">
        <f t="shared" si="25"/>
        <v>41.773792720987672</v>
      </c>
      <c r="AH72" s="92">
        <f t="shared" si="30"/>
        <v>167.67193296972815</v>
      </c>
      <c r="AI72" s="119"/>
    </row>
    <row r="73" spans="1:35" s="75" customFormat="1">
      <c r="A73" s="79" t="str">
        <f>IFERROR(VLOOKUP(N73,'Exp. Data Processing'!$A$23:$C$34,2,FALSE),"")</f>
        <v/>
      </c>
      <c r="B73" s="123" t="str">
        <f>IFERROR(VLOOKUP(N73,'Exp. Data Processing'!$A$23:$C$34,3,FALSE),"")</f>
        <v/>
      </c>
      <c r="C73" s="124">
        <f t="shared" si="26"/>
        <v>41.034326878768056</v>
      </c>
      <c r="D73" s="123">
        <f t="shared" si="27"/>
        <v>167.43699502985481</v>
      </c>
      <c r="E73" s="79" t="str">
        <f t="shared" si="0"/>
        <v/>
      </c>
      <c r="F73" s="123" t="str">
        <f t="shared" si="1"/>
        <v/>
      </c>
      <c r="G73" s="58">
        <f t="shared" si="2"/>
        <v>1</v>
      </c>
      <c r="H73" s="59">
        <f t="shared" si="3"/>
        <v>0</v>
      </c>
      <c r="I73" s="63">
        <f t="shared" si="4"/>
        <v>1.4830000000000001</v>
      </c>
      <c r="J73" s="11">
        <f t="shared" si="5"/>
        <v>0</v>
      </c>
      <c r="K73" s="60">
        <f t="shared" si="6"/>
        <v>14857</v>
      </c>
      <c r="L73" s="63">
        <f t="shared" si="7"/>
        <v>3.8435000000000001</v>
      </c>
      <c r="M73" s="64">
        <f t="shared" si="8"/>
        <v>1.5793000000000001E-2</v>
      </c>
      <c r="N73" s="69">
        <v>32</v>
      </c>
      <c r="O73" s="121">
        <f t="shared" si="28"/>
        <v>0.55850536063818546</v>
      </c>
      <c r="P73" s="59">
        <f t="shared" si="29"/>
        <v>6530</v>
      </c>
      <c r="Q73" s="61" t="str">
        <f t="shared" si="9"/>
        <v>1</v>
      </c>
      <c r="R73" s="56" t="str">
        <f t="shared" si="10"/>
        <v>1.483</v>
      </c>
      <c r="S73" s="62" t="str">
        <f t="shared" si="11"/>
        <v>3.8435+0.015793i</v>
      </c>
      <c r="T73" s="61" t="str">
        <f t="shared" si="12"/>
        <v>0.848048096156426</v>
      </c>
      <c r="U73" s="10" t="str">
        <f t="shared" si="13"/>
        <v>0.933978486694525</v>
      </c>
      <c r="V73" s="10" t="str">
        <f t="shared" si="14"/>
        <v>0.990450246128956+0.0000788598715445564i</v>
      </c>
      <c r="W73" s="10" t="str">
        <f t="shared" si="15"/>
        <v>0.147687464001524</v>
      </c>
      <c r="X73" s="10" t="str">
        <f t="shared" si="16"/>
        <v>-0.240487580013469</v>
      </c>
      <c r="Y73" s="10" t="str">
        <f t="shared" si="17"/>
        <v>0.419274103997269+0.00166052616615649i</v>
      </c>
      <c r="Z73" s="10" t="str">
        <f t="shared" si="18"/>
        <v>-0.466445347259052-0.0016386492853634i</v>
      </c>
      <c r="AA73" s="10" t="str">
        <f t="shared" si="19"/>
        <v>19.8004852781141</v>
      </c>
      <c r="AB73" s="10" t="str">
        <f t="shared" si="20"/>
        <v>0.0373404698475345-0.402872001948351i</v>
      </c>
      <c r="AC73" s="10" t="str">
        <f t="shared" si="21"/>
        <v>-0.142560939947235+0.442475983280427i</v>
      </c>
      <c r="AD73" s="78" t="str">
        <f t="shared" si="22"/>
        <v>-0.849500958844916+0.189310128677394i</v>
      </c>
      <c r="AE73" s="79">
        <f t="shared" si="23"/>
        <v>0.71618411037411056</v>
      </c>
      <c r="AF73" s="57">
        <f t="shared" si="24"/>
        <v>2.9223268529163478</v>
      </c>
      <c r="AG73" s="91">
        <f t="shared" si="25"/>
        <v>41.034326878768056</v>
      </c>
      <c r="AH73" s="92">
        <f t="shared" si="30"/>
        <v>167.43699502985481</v>
      </c>
      <c r="AI73" s="119"/>
    </row>
    <row r="74" spans="1:35" s="75" customFormat="1">
      <c r="A74" s="79" t="str">
        <f>IFERROR(VLOOKUP(N74,'Exp. Data Processing'!$A$23:$C$34,2,FALSE),"")</f>
        <v/>
      </c>
      <c r="B74" s="123" t="str">
        <f>IFERROR(VLOOKUP(N74,'Exp. Data Processing'!$A$23:$C$34,3,FALSE),"")</f>
        <v/>
      </c>
      <c r="C74" s="124">
        <f t="shared" si="26"/>
        <v>40.372312679266315</v>
      </c>
      <c r="D74" s="123">
        <f t="shared" si="27"/>
        <v>167.44420677410423</v>
      </c>
      <c r="E74" s="79" t="str">
        <f t="shared" ref="E74:E105" si="31">IFERROR(((A74-C74)/C74)^2,"")</f>
        <v/>
      </c>
      <c r="F74" s="123" t="str">
        <f t="shared" ref="F74:F105" si="32">IFERROR(((B74-D74)/D74)^2,"")</f>
        <v/>
      </c>
      <c r="G74" s="58">
        <f t="shared" si="2"/>
        <v>1</v>
      </c>
      <c r="H74" s="59">
        <f t="shared" si="3"/>
        <v>0</v>
      </c>
      <c r="I74" s="63">
        <f t="shared" ref="I74:I105" si="33">n1_Index</f>
        <v>1.4830000000000001</v>
      </c>
      <c r="J74" s="11">
        <f t="shared" si="5"/>
        <v>0</v>
      </c>
      <c r="K74" s="60">
        <f t="shared" ref="K74:K105" si="34">d1_Thickness</f>
        <v>14857</v>
      </c>
      <c r="L74" s="63">
        <f t="shared" si="7"/>
        <v>3.8435000000000001</v>
      </c>
      <c r="M74" s="64">
        <f t="shared" si="8"/>
        <v>1.5793000000000001E-2</v>
      </c>
      <c r="N74" s="69">
        <v>33</v>
      </c>
      <c r="O74" s="121">
        <f t="shared" si="28"/>
        <v>0.57595865315812877</v>
      </c>
      <c r="P74" s="59">
        <f t="shared" si="29"/>
        <v>6530</v>
      </c>
      <c r="Q74" s="61" t="str">
        <f t="shared" ref="Q74:Q105" si="35">COMPLEX(G74,H74)</f>
        <v>1</v>
      </c>
      <c r="R74" s="56" t="str">
        <f t="shared" ref="R74:R105" si="36">COMPLEX(I74,J74)</f>
        <v>1.483</v>
      </c>
      <c r="S74" s="62" t="str">
        <f t="shared" ref="S74:S105" si="37">COMPLEX(L74,M74)</f>
        <v>3.8435+0.015793i</v>
      </c>
      <c r="T74" s="61" t="str">
        <f t="shared" si="12"/>
        <v>0.838670567945424</v>
      </c>
      <c r="U74" s="10" t="str">
        <f t="shared" si="13"/>
        <v>0.930120330578146</v>
      </c>
      <c r="V74" s="10" t="str">
        <f t="shared" si="14"/>
        <v>0.989909602793938+0.000083347255930565i</v>
      </c>
      <c r="W74" s="10" t="str">
        <f t="shared" si="15"/>
        <v>0.144271873334971</v>
      </c>
      <c r="X74" s="10" t="str">
        <f t="shared" si="16"/>
        <v>-0.243772935402421</v>
      </c>
      <c r="Y74" s="10" t="str">
        <f t="shared" si="17"/>
        <v>0.417792110248512+0.00166113654244387i</v>
      </c>
      <c r="Z74" s="10" t="str">
        <f t="shared" si="18"/>
        <v>-0.467849979969846-0.00163768828834906i</v>
      </c>
      <c r="AA74" s="10" t="str">
        <f t="shared" ref="AA74:AA105" si="38">IMPRODUCT(2,PI(),IMDIV(K74,P74),R74,U74)</f>
        <v>19.7186917845044</v>
      </c>
      <c r="AB74" s="10" t="str">
        <f t="shared" si="20"/>
        <v>0.101659562461833-0.410202252101015i</v>
      </c>
      <c r="AC74" s="10" t="str">
        <f t="shared" si="21"/>
        <v>-0.22158881779765+0.444927478977982i</v>
      </c>
      <c r="AD74" s="78" t="str">
        <f t="shared" si="22"/>
        <v>-0.829900274501475+0.184832499992574i</v>
      </c>
      <c r="AE74" s="79">
        <f t="shared" si="23"/>
        <v>0.70462978289785061</v>
      </c>
      <c r="AF74" s="57">
        <f t="shared" si="24"/>
        <v>2.922452721598312</v>
      </c>
      <c r="AG74" s="91">
        <f t="shared" si="25"/>
        <v>40.372312679266315</v>
      </c>
      <c r="AH74" s="92">
        <f t="shared" si="30"/>
        <v>167.44420677410423</v>
      </c>
      <c r="AI74" s="119"/>
    </row>
    <row r="75" spans="1:35" s="75" customFormat="1">
      <c r="A75" s="79" t="str">
        <f>IFERROR(VLOOKUP(N75,'Exp. Data Processing'!$A$23:$C$34,2,FALSE),"")</f>
        <v/>
      </c>
      <c r="B75" s="123" t="str">
        <f>IFERROR(VLOOKUP(N75,'Exp. Data Processing'!$A$23:$C$34,3,FALSE),"")</f>
        <v/>
      </c>
      <c r="C75" s="124">
        <f t="shared" si="26"/>
        <v>39.77794148063365</v>
      </c>
      <c r="D75" s="123">
        <f t="shared" si="27"/>
        <v>167.67541717357614</v>
      </c>
      <c r="E75" s="79" t="str">
        <f t="shared" si="31"/>
        <v/>
      </c>
      <c r="F75" s="123" t="str">
        <f t="shared" si="32"/>
        <v/>
      </c>
      <c r="G75" s="58">
        <f t="shared" si="2"/>
        <v>1</v>
      </c>
      <c r="H75" s="59">
        <f t="shared" si="3"/>
        <v>0</v>
      </c>
      <c r="I75" s="63">
        <f t="shared" si="33"/>
        <v>1.4830000000000001</v>
      </c>
      <c r="J75" s="11">
        <f t="shared" si="5"/>
        <v>0</v>
      </c>
      <c r="K75" s="60">
        <f t="shared" si="34"/>
        <v>14857</v>
      </c>
      <c r="L75" s="63">
        <f t="shared" si="7"/>
        <v>3.8435000000000001</v>
      </c>
      <c r="M75" s="64">
        <f t="shared" si="8"/>
        <v>1.5793000000000001E-2</v>
      </c>
      <c r="N75" s="69">
        <v>34</v>
      </c>
      <c r="O75" s="121">
        <f t="shared" si="28"/>
        <v>0.59341194567807209</v>
      </c>
      <c r="P75" s="59">
        <f t="shared" si="29"/>
        <v>6530</v>
      </c>
      <c r="Q75" s="61" t="str">
        <f t="shared" si="35"/>
        <v>1</v>
      </c>
      <c r="R75" s="56" t="str">
        <f t="shared" si="36"/>
        <v>1.483</v>
      </c>
      <c r="S75" s="62" t="str">
        <f t="shared" si="37"/>
        <v>3.8435+0.015793i</v>
      </c>
      <c r="T75" s="61" t="str">
        <f t="shared" si="12"/>
        <v>0.829037572555042</v>
      </c>
      <c r="U75" s="10" t="str">
        <f t="shared" si="13"/>
        <v>0.926185286329265</v>
      </c>
      <c r="V75" s="10" t="str">
        <f t="shared" si="14"/>
        <v>0.989360188031778+0.0000879099810167881i</v>
      </c>
      <c r="W75" s="10" t="str">
        <f t="shared" si="15"/>
        <v>0.140689682575939</v>
      </c>
      <c r="X75" s="10" t="str">
        <f t="shared" si="16"/>
        <v>-0.247208996766896</v>
      </c>
      <c r="Y75" s="10" t="str">
        <f t="shared" si="17"/>
        <v>0.416270252104155+0.00166176525698796i</v>
      </c>
      <c r="Z75" s="10" t="str">
        <f t="shared" si="18"/>
        <v>-0.469287754982398-0.00163667966378024i</v>
      </c>
      <c r="AA75" s="10" t="str">
        <f t="shared" si="38"/>
        <v>19.6352682508484</v>
      </c>
      <c r="AB75" s="10" t="str">
        <f t="shared" si="20"/>
        <v>0.165862592133724-0.406477386585117i</v>
      </c>
      <c r="AC75" s="10" t="str">
        <f t="shared" si="21"/>
        <v>-0.298855991213413+0.434473575738686i</v>
      </c>
      <c r="AD75" s="78" t="str">
        <f t="shared" si="22"/>
        <v>-0.813330446529016+0.177700299762737i</v>
      </c>
      <c r="AE75" s="79">
        <f t="shared" si="23"/>
        <v>0.69425604850268541</v>
      </c>
      <c r="AF75" s="57">
        <f t="shared" si="24"/>
        <v>2.9264881043339477</v>
      </c>
      <c r="AG75" s="91">
        <f t="shared" si="25"/>
        <v>39.77794148063365</v>
      </c>
      <c r="AH75" s="92">
        <f t="shared" si="30"/>
        <v>167.67541717357614</v>
      </c>
      <c r="AI75" s="119"/>
    </row>
    <row r="76" spans="1:35" s="75" customFormat="1">
      <c r="A76" s="79">
        <f>IFERROR(VLOOKUP(N76,'Exp. Data Processing'!$A$23:$C$34,2,FALSE),"")</f>
        <v>38.861338154560229</v>
      </c>
      <c r="B76" s="123">
        <f>IFERROR(VLOOKUP(N76,'Exp. Data Processing'!$A$23:$C$34,3,FALSE),"")</f>
        <v>164.74685228171722</v>
      </c>
      <c r="C76" s="124">
        <f t="shared" si="26"/>
        <v>39.238325761493783</v>
      </c>
      <c r="D76" s="123">
        <f t="shared" si="27"/>
        <v>168.12454171728305</v>
      </c>
      <c r="E76" s="79">
        <f t="shared" si="31"/>
        <v>9.2306696818315133E-5</v>
      </c>
      <c r="F76" s="123">
        <f t="shared" si="32"/>
        <v>4.0362420625227437E-4</v>
      </c>
      <c r="G76" s="58">
        <f t="shared" si="2"/>
        <v>1</v>
      </c>
      <c r="H76" s="59">
        <f t="shared" si="3"/>
        <v>0</v>
      </c>
      <c r="I76" s="63">
        <f t="shared" si="33"/>
        <v>1.4830000000000001</v>
      </c>
      <c r="J76" s="11">
        <f t="shared" si="5"/>
        <v>0</v>
      </c>
      <c r="K76" s="60">
        <f t="shared" si="34"/>
        <v>14857</v>
      </c>
      <c r="L76" s="63">
        <f t="shared" si="7"/>
        <v>3.8435000000000001</v>
      </c>
      <c r="M76" s="64">
        <f t="shared" si="8"/>
        <v>1.5793000000000001E-2</v>
      </c>
      <c r="N76" s="69">
        <v>35</v>
      </c>
      <c r="O76" s="121">
        <f t="shared" si="28"/>
        <v>0.6108652381980153</v>
      </c>
      <c r="P76" s="59">
        <f t="shared" si="29"/>
        <v>6530</v>
      </c>
      <c r="Q76" s="61" t="str">
        <f t="shared" si="35"/>
        <v>1</v>
      </c>
      <c r="R76" s="56" t="str">
        <f t="shared" si="36"/>
        <v>1.483</v>
      </c>
      <c r="S76" s="62" t="str">
        <f t="shared" si="37"/>
        <v>3.8435+0.015793i</v>
      </c>
      <c r="T76" s="61" t="str">
        <f t="shared" si="12"/>
        <v>0.819152044288992</v>
      </c>
      <c r="U76" s="10" t="str">
        <f t="shared" si="13"/>
        <v>0.922177194993823</v>
      </c>
      <c r="V76" s="10" t="str">
        <f t="shared" si="14"/>
        <v>0.98880265716318+0.0000925427267888873i</v>
      </c>
      <c r="W76" s="10" t="str">
        <f t="shared" si="15"/>
        <v>0.136934052242436</v>
      </c>
      <c r="X76" s="10" t="str">
        <f t="shared" si="16"/>
        <v>-0.250800977304235</v>
      </c>
      <c r="Y76" s="10" t="str">
        <f t="shared" si="17"/>
        <v>0.414709318080684+0.00166241205396605i</v>
      </c>
      <c r="Z76" s="10" t="str">
        <f t="shared" si="18"/>
        <v>-0.470757585352994-0.00163562253404105i</v>
      </c>
      <c r="AA76" s="10" t="str">
        <f t="shared" si="38"/>
        <v>19.5502961079015</v>
      </c>
      <c r="AB76" s="10" t="str">
        <f t="shared" si="20"/>
        <v>0.228142077839098-0.391899173981774i</v>
      </c>
      <c r="AC76" s="10" t="str">
        <f t="shared" si="21"/>
        <v>-0.372117319288489+0.41210414920319i</v>
      </c>
      <c r="AD76" s="78" t="str">
        <f t="shared" si="22"/>
        <v>-0.799215023327781+0.168063520618848i</v>
      </c>
      <c r="AE76" s="79">
        <f t="shared" si="23"/>
        <v>0.68483797750817776</v>
      </c>
      <c r="AF76" s="57">
        <f t="shared" si="24"/>
        <v>2.9343268063731509</v>
      </c>
      <c r="AG76" s="91">
        <f t="shared" si="25"/>
        <v>39.238325761493783</v>
      </c>
      <c r="AH76" s="92">
        <f t="shared" si="30"/>
        <v>168.12454171728305</v>
      </c>
      <c r="AI76" s="119"/>
    </row>
    <row r="77" spans="1:35" s="75" customFormat="1">
      <c r="A77" s="79" t="str">
        <f>IFERROR(VLOOKUP(N77,'Exp. Data Processing'!$A$23:$C$34,2,FALSE),"")</f>
        <v/>
      </c>
      <c r="B77" s="123" t="str">
        <f>IFERROR(VLOOKUP(N77,'Exp. Data Processing'!$A$23:$C$34,3,FALSE),"")</f>
        <v/>
      </c>
      <c r="C77" s="124">
        <f t="shared" si="26"/>
        <v>38.739754033969369</v>
      </c>
      <c r="D77" s="123">
        <f t="shared" si="27"/>
        <v>168.7940010055809</v>
      </c>
      <c r="E77" s="79" t="str">
        <f t="shared" si="31"/>
        <v/>
      </c>
      <c r="F77" s="123" t="str">
        <f t="shared" si="32"/>
        <v/>
      </c>
      <c r="G77" s="58">
        <f t="shared" si="2"/>
        <v>1</v>
      </c>
      <c r="H77" s="59">
        <f t="shared" si="3"/>
        <v>0</v>
      </c>
      <c r="I77" s="63">
        <f t="shared" si="33"/>
        <v>1.4830000000000001</v>
      </c>
      <c r="J77" s="11">
        <f t="shared" si="5"/>
        <v>0</v>
      </c>
      <c r="K77" s="60">
        <f t="shared" si="34"/>
        <v>14857</v>
      </c>
      <c r="L77" s="63">
        <f t="shared" si="7"/>
        <v>3.8435000000000001</v>
      </c>
      <c r="M77" s="64">
        <f t="shared" si="8"/>
        <v>1.5793000000000001E-2</v>
      </c>
      <c r="N77" s="69">
        <v>36</v>
      </c>
      <c r="O77" s="121">
        <f t="shared" si="28"/>
        <v>0.62831853071795862</v>
      </c>
      <c r="P77" s="59">
        <f t="shared" si="29"/>
        <v>6530</v>
      </c>
      <c r="Q77" s="61" t="str">
        <f t="shared" si="35"/>
        <v>1</v>
      </c>
      <c r="R77" s="56" t="str">
        <f t="shared" si="36"/>
        <v>1.483</v>
      </c>
      <c r="S77" s="62" t="str">
        <f t="shared" si="37"/>
        <v>3.8435+0.015793i</v>
      </c>
      <c r="T77" s="61" t="str">
        <f t="shared" si="12"/>
        <v>0.809016994374948</v>
      </c>
      <c r="U77" s="10" t="str">
        <f t="shared" si="13"/>
        <v>0.918100015476224</v>
      </c>
      <c r="V77" s="10" t="str">
        <f t="shared" si="14"/>
        <v>0.988237676298269+0.0000972400732627134i</v>
      </c>
      <c r="W77" s="10" t="str">
        <f t="shared" si="15"/>
        <v>0.132997725155469</v>
      </c>
      <c r="X77" s="10" t="str">
        <f t="shared" si="16"/>
        <v>-0.254554355721051</v>
      </c>
      <c r="Y77" s="10" t="str">
        <f t="shared" si="17"/>
        <v>0.413110161233362+0.00166307663901209i</v>
      </c>
      <c r="Z77" s="10" t="str">
        <f t="shared" si="18"/>
        <v>-0.472258327698696-0.00163451611284718i</v>
      </c>
      <c r="AA77" s="10" t="str">
        <f t="shared" si="38"/>
        <v>19.4638592850362</v>
      </c>
      <c r="AB77" s="10" t="str">
        <f t="shared" si="20"/>
        <v>0.286800894085748-0.366936833204238i</v>
      </c>
      <c r="AC77" s="10" t="str">
        <f t="shared" si="21"/>
        <v>-0.439544329349647+0.379170547656197i</v>
      </c>
      <c r="AD77" s="78" t="str">
        <f t="shared" si="22"/>
        <v>-0.786995053238576+0.155914849285962i</v>
      </c>
      <c r="AE77" s="79">
        <f t="shared" si="23"/>
        <v>0.67613625930552068</v>
      </c>
      <c r="AF77" s="57">
        <f t="shared" si="24"/>
        <v>2.9460110751620059</v>
      </c>
      <c r="AG77" s="91">
        <f t="shared" si="25"/>
        <v>38.739754033969369</v>
      </c>
      <c r="AH77" s="92">
        <f t="shared" si="30"/>
        <v>168.7940010055809</v>
      </c>
      <c r="AI77" s="119"/>
    </row>
    <row r="78" spans="1:35" s="75" customFormat="1">
      <c r="A78" s="79" t="str">
        <f>IFERROR(VLOOKUP(N78,'Exp. Data Processing'!$A$23:$C$34,2,FALSE),"")</f>
        <v/>
      </c>
      <c r="B78" s="123" t="str">
        <f>IFERROR(VLOOKUP(N78,'Exp. Data Processing'!$A$23:$C$34,3,FALSE),"")</f>
        <v/>
      </c>
      <c r="C78" s="124">
        <f t="shared" si="26"/>
        <v>38.268895810694445</v>
      </c>
      <c r="D78" s="123">
        <f t="shared" si="27"/>
        <v>169.6921162071834</v>
      </c>
      <c r="E78" s="79" t="str">
        <f t="shared" si="31"/>
        <v/>
      </c>
      <c r="F78" s="123" t="str">
        <f t="shared" si="32"/>
        <v/>
      </c>
      <c r="G78" s="58">
        <f t="shared" si="2"/>
        <v>1</v>
      </c>
      <c r="H78" s="59">
        <f t="shared" si="3"/>
        <v>0</v>
      </c>
      <c r="I78" s="63">
        <f t="shared" si="33"/>
        <v>1.4830000000000001</v>
      </c>
      <c r="J78" s="11">
        <f t="shared" si="5"/>
        <v>0</v>
      </c>
      <c r="K78" s="60">
        <f t="shared" si="34"/>
        <v>14857</v>
      </c>
      <c r="L78" s="63">
        <f t="shared" si="7"/>
        <v>3.8435000000000001</v>
      </c>
      <c r="M78" s="64">
        <f t="shared" si="8"/>
        <v>1.5793000000000001E-2</v>
      </c>
      <c r="N78" s="69">
        <v>37</v>
      </c>
      <c r="O78" s="121">
        <f t="shared" si="28"/>
        <v>0.64577182323790194</v>
      </c>
      <c r="P78" s="59">
        <f t="shared" si="29"/>
        <v>6530</v>
      </c>
      <c r="Q78" s="61" t="str">
        <f t="shared" si="35"/>
        <v>1</v>
      </c>
      <c r="R78" s="56" t="str">
        <f t="shared" si="36"/>
        <v>1.483</v>
      </c>
      <c r="S78" s="62" t="str">
        <f t="shared" si="37"/>
        <v>3.8435+0.015793i</v>
      </c>
      <c r="T78" s="61" t="str">
        <f t="shared" si="12"/>
        <v>0.798635510047293</v>
      </c>
      <c r="U78" s="10" t="str">
        <f t="shared" si="13"/>
        <v>0.913957824183453</v>
      </c>
      <c r="V78" s="10" t="str">
        <f t="shared" si="14"/>
        <v>0.987665921590672+0.000101996505957048i</v>
      </c>
      <c r="W78" s="10" t="str">
        <f t="shared" si="15"/>
        <v>0.12887300134901</v>
      </c>
      <c r="X78" s="10" t="str">
        <f t="shared" si="16"/>
        <v>-0.258474886758972</v>
      </c>
      <c r="Y78" s="10" t="str">
        <f t="shared" si="17"/>
        <v>0.411473702840522+0.00166375867691973i</v>
      </c>
      <c r="Z78" s="10" t="str">
        <f t="shared" si="18"/>
        <v>-0.473788780489099-0.00163335971583083i</v>
      </c>
      <c r="AA78" s="10" t="str">
        <f t="shared" si="38"/>
        <v>19.3760442026975</v>
      </c>
      <c r="AB78" s="10" t="str">
        <f t="shared" si="20"/>
        <v>0.34027268838693-0.332280247418944i</v>
      </c>
      <c r="AC78" s="10" t="str">
        <f t="shared" si="21"/>
        <v>-0.499749765223548+0.337228392751841i</v>
      </c>
      <c r="AD78" s="78" t="str">
        <f t="shared" si="22"/>
        <v>-0.776139279025474+0.141158737253343i</v>
      </c>
      <c r="AE78" s="79">
        <f t="shared" si="23"/>
        <v>0.66791823299928266</v>
      </c>
      <c r="AF78" s="57">
        <f t="shared" si="24"/>
        <v>2.9616861424921823</v>
      </c>
      <c r="AG78" s="91">
        <f t="shared" si="25"/>
        <v>38.268895810694445</v>
      </c>
      <c r="AH78" s="92">
        <f t="shared" si="30"/>
        <v>169.6921162071834</v>
      </c>
      <c r="AI78" s="119"/>
    </row>
    <row r="79" spans="1:35" s="75" customFormat="1">
      <c r="A79" s="79" t="str">
        <f>IFERROR(VLOOKUP(N79,'Exp. Data Processing'!$A$23:$C$34,2,FALSE),"")</f>
        <v/>
      </c>
      <c r="B79" s="123" t="str">
        <f>IFERROR(VLOOKUP(N79,'Exp. Data Processing'!$A$23:$C$34,3,FALSE),"")</f>
        <v/>
      </c>
      <c r="C79" s="124">
        <f t="shared" si="26"/>
        <v>37.813449230118223</v>
      </c>
      <c r="D79" s="123">
        <f t="shared" si="27"/>
        <v>170.83144696417756</v>
      </c>
      <c r="E79" s="79" t="str">
        <f t="shared" si="31"/>
        <v/>
      </c>
      <c r="F79" s="123" t="str">
        <f t="shared" si="32"/>
        <v/>
      </c>
      <c r="G79" s="58">
        <f t="shared" si="2"/>
        <v>1</v>
      </c>
      <c r="H79" s="59">
        <f t="shared" si="3"/>
        <v>0</v>
      </c>
      <c r="I79" s="63">
        <f t="shared" si="33"/>
        <v>1.4830000000000001</v>
      </c>
      <c r="J79" s="11">
        <f t="shared" si="5"/>
        <v>0</v>
      </c>
      <c r="K79" s="60">
        <f t="shared" si="34"/>
        <v>14857</v>
      </c>
      <c r="L79" s="63">
        <f t="shared" si="7"/>
        <v>3.8435000000000001</v>
      </c>
      <c r="M79" s="64">
        <f t="shared" si="8"/>
        <v>1.5793000000000001E-2</v>
      </c>
      <c r="N79" s="69">
        <v>38</v>
      </c>
      <c r="O79" s="121">
        <f t="shared" si="28"/>
        <v>0.66322511575784526</v>
      </c>
      <c r="P79" s="59">
        <f t="shared" si="29"/>
        <v>6530</v>
      </c>
      <c r="Q79" s="61" t="str">
        <f t="shared" si="35"/>
        <v>1</v>
      </c>
      <c r="R79" s="56" t="str">
        <f t="shared" si="36"/>
        <v>1.483</v>
      </c>
      <c r="S79" s="62" t="str">
        <f t="shared" si="37"/>
        <v>3.8435+0.015793i</v>
      </c>
      <c r="T79" s="61" t="str">
        <f t="shared" si="12"/>
        <v>0.788010753606722</v>
      </c>
      <c r="U79" s="10" t="str">
        <f t="shared" si="13"/>
        <v>0.909754814538631</v>
      </c>
      <c r="V79" s="10" t="str">
        <f t="shared" si="14"/>
        <v>0.98708807847512+0.0001068064215481i</v>
      </c>
      <c r="W79" s="10" t="str">
        <f t="shared" si="15"/>
        <v>0.124551711162005</v>
      </c>
      <c r="X79" s="10" t="str">
        <f t="shared" si="16"/>
        <v>-0.262568612079274</v>
      </c>
      <c r="Y79" s="10" t="str">
        <f t="shared" si="17"/>
        <v>0.409800936155363+0.00166445778938382i</v>
      </c>
      <c r="Z79" s="10" t="str">
        <f t="shared" si="18"/>
        <v>-0.475347682374362-0.00163215277132434i</v>
      </c>
      <c r="AA79" s="10" t="str">
        <f t="shared" si="38"/>
        <v>19.2869397620903</v>
      </c>
      <c r="AB79" s="10" t="str">
        <f t="shared" si="20"/>
        <v>0.387126014164086-0.288802524376477i</v>
      </c>
      <c r="AC79" s="10" t="str">
        <f t="shared" si="21"/>
        <v>-0.551761604195826+0.287902496729108i</v>
      </c>
      <c r="AD79" s="78" t="str">
        <f t="shared" si="22"/>
        <v>-0.766140558561982+0.123656202610347i</v>
      </c>
      <c r="AE79" s="79">
        <f t="shared" si="23"/>
        <v>0.6599691906012779</v>
      </c>
      <c r="AF79" s="57">
        <f t="shared" si="24"/>
        <v>2.9815712154709697</v>
      </c>
      <c r="AG79" s="91">
        <f t="shared" si="25"/>
        <v>37.813449230118223</v>
      </c>
      <c r="AH79" s="92">
        <f t="shared" si="30"/>
        <v>170.83144696417756</v>
      </c>
      <c r="AI79" s="119"/>
    </row>
    <row r="80" spans="1:35" s="75" customFormat="1">
      <c r="A80" s="79" t="str">
        <f>IFERROR(VLOOKUP(N80,'Exp. Data Processing'!$A$23:$C$34,2,FALSE),"")</f>
        <v/>
      </c>
      <c r="B80" s="123" t="str">
        <f>IFERROR(VLOOKUP(N80,'Exp. Data Processing'!$A$23:$C$34,3,FALSE),"")</f>
        <v/>
      </c>
      <c r="C80" s="124">
        <f t="shared" si="26"/>
        <v>37.36252869148673</v>
      </c>
      <c r="D80" s="123">
        <f t="shared" si="27"/>
        <v>172.227837910613</v>
      </c>
      <c r="E80" s="79" t="str">
        <f t="shared" si="31"/>
        <v/>
      </c>
      <c r="F80" s="123" t="str">
        <f t="shared" si="32"/>
        <v/>
      </c>
      <c r="G80" s="58">
        <f t="shared" si="2"/>
        <v>1</v>
      </c>
      <c r="H80" s="59">
        <f t="shared" si="3"/>
        <v>0</v>
      </c>
      <c r="I80" s="63">
        <f t="shared" si="33"/>
        <v>1.4830000000000001</v>
      </c>
      <c r="J80" s="11">
        <f t="shared" si="5"/>
        <v>0</v>
      </c>
      <c r="K80" s="60">
        <f t="shared" si="34"/>
        <v>14857</v>
      </c>
      <c r="L80" s="63">
        <f t="shared" si="7"/>
        <v>3.8435000000000001</v>
      </c>
      <c r="M80" s="64">
        <f t="shared" si="8"/>
        <v>1.5793000000000001E-2</v>
      </c>
      <c r="N80" s="69">
        <v>39</v>
      </c>
      <c r="O80" s="121">
        <f t="shared" si="28"/>
        <v>0.68067840827778847</v>
      </c>
      <c r="P80" s="59">
        <f t="shared" si="29"/>
        <v>6530</v>
      </c>
      <c r="Q80" s="61" t="str">
        <f t="shared" si="35"/>
        <v>1</v>
      </c>
      <c r="R80" s="56" t="str">
        <f t="shared" si="36"/>
        <v>1.483</v>
      </c>
      <c r="S80" s="62" t="str">
        <f t="shared" si="37"/>
        <v>3.8435+0.015793i</v>
      </c>
      <c r="T80" s="61" t="str">
        <f t="shared" si="12"/>
        <v>0.777145961456971</v>
      </c>
      <c r="U80" s="10" t="str">
        <f t="shared" si="13"/>
        <v>0.905495296348442</v>
      </c>
      <c r="V80" s="10" t="str">
        <f t="shared" si="14"/>
        <v>0.986504840889042+0.000111664133705699i</v>
      </c>
      <c r="W80" s="10" t="str">
        <f t="shared" si="15"/>
        <v>0.120025186375174</v>
      </c>
      <c r="X80" s="10" t="str">
        <f t="shared" si="16"/>
        <v>-0.266841871494118</v>
      </c>
      <c r="Y80" s="10" t="str">
        <f t="shared" si="17"/>
        <v>0.40809293021063+0.00166517355279674i</v>
      </c>
      <c r="Z80" s="10" t="str">
        <f t="shared" si="18"/>
        <v>-0.476933710562057-0.00163089483130465i</v>
      </c>
      <c r="AA80" s="10" t="str">
        <f t="shared" si="38"/>
        <v>19.1966373317686</v>
      </c>
      <c r="AB80" s="10" t="str">
        <f t="shared" si="20"/>
        <v>0.42605909847277-0.237536309030084i</v>
      </c>
      <c r="AC80" s="10" t="str">
        <f t="shared" si="21"/>
        <v>-0.594964167512534+0.232785006591536i</v>
      </c>
      <c r="AD80" s="78" t="str">
        <f t="shared" si="22"/>
        <v>-0.756507987406724+0.10325427235711i</v>
      </c>
      <c r="AE80" s="79">
        <f t="shared" si="23"/>
        <v>0.65209914253729206</v>
      </c>
      <c r="AF80" s="57">
        <f t="shared" si="24"/>
        <v>3.0059428351313082</v>
      </c>
      <c r="AG80" s="91">
        <f t="shared" si="25"/>
        <v>37.36252869148673</v>
      </c>
      <c r="AH80" s="92">
        <f t="shared" si="30"/>
        <v>172.227837910613</v>
      </c>
      <c r="AI80" s="119"/>
    </row>
    <row r="81" spans="1:35" s="75" customFormat="1">
      <c r="A81" s="79">
        <f>IFERROR(VLOOKUP(N81,'Exp. Data Processing'!$A$23:$C$34,2,FALSE),"")</f>
        <v>35.694268016732146</v>
      </c>
      <c r="B81" s="123">
        <f>IFERROR(VLOOKUP(N81,'Exp. Data Processing'!$A$23:$C$34,3,FALSE),"")</f>
        <v>169.10930014377632</v>
      </c>
      <c r="C81" s="124">
        <f t="shared" si="26"/>
        <v>36.906978349837694</v>
      </c>
      <c r="D81" s="123">
        <f t="shared" si="27"/>
        <v>173.89991566213038</v>
      </c>
      <c r="E81" s="79">
        <f t="shared" si="31"/>
        <v>1.0796852690086259E-3</v>
      </c>
      <c r="F81" s="123">
        <f t="shared" si="32"/>
        <v>7.588988438375924E-4</v>
      </c>
      <c r="G81" s="58">
        <f t="shared" si="2"/>
        <v>1</v>
      </c>
      <c r="H81" s="59">
        <f t="shared" si="3"/>
        <v>0</v>
      </c>
      <c r="I81" s="63">
        <f t="shared" si="33"/>
        <v>1.4830000000000001</v>
      </c>
      <c r="J81" s="11">
        <f t="shared" si="5"/>
        <v>0</v>
      </c>
      <c r="K81" s="60">
        <f t="shared" si="34"/>
        <v>14857</v>
      </c>
      <c r="L81" s="63">
        <f t="shared" si="7"/>
        <v>3.8435000000000001</v>
      </c>
      <c r="M81" s="64">
        <f t="shared" si="8"/>
        <v>1.5793000000000001E-2</v>
      </c>
      <c r="N81" s="69">
        <v>40</v>
      </c>
      <c r="O81" s="121">
        <f t="shared" si="28"/>
        <v>0.69813170079773179</v>
      </c>
      <c r="P81" s="59">
        <f t="shared" si="29"/>
        <v>6530</v>
      </c>
      <c r="Q81" s="61" t="str">
        <f t="shared" si="35"/>
        <v>1</v>
      </c>
      <c r="R81" s="56" t="str">
        <f t="shared" si="36"/>
        <v>1.483</v>
      </c>
      <c r="S81" s="62" t="str">
        <f t="shared" si="37"/>
        <v>3.8435+0.015793i</v>
      </c>
      <c r="T81" s="61" t="str">
        <f t="shared" si="12"/>
        <v>0.766044443118979</v>
      </c>
      <c r="U81" s="10" t="str">
        <f t="shared" si="13"/>
        <v>0.90118369500708</v>
      </c>
      <c r="V81" s="10" t="str">
        <f t="shared" si="14"/>
        <v>0.985916910478843+0.00011656387910892i</v>
      </c>
      <c r="W81" s="10" t="str">
        <f t="shared" si="15"/>
        <v>0.115284229243531</v>
      </c>
      <c r="X81" s="10" t="str">
        <f t="shared" si="16"/>
        <v>-0.271301314528006</v>
      </c>
      <c r="Y81" s="10" t="str">
        <f t="shared" si="17"/>
        <v>0.406350833659152+0.00166590549611775i</v>
      </c>
      <c r="Z81" s="10" t="str">
        <f t="shared" si="18"/>
        <v>-0.478545479256809-0.00162958558245398i</v>
      </c>
      <c r="AA81" s="10" t="str">
        <f t="shared" si="38"/>
        <v>19.1052307307591</v>
      </c>
      <c r="AB81" s="10" t="str">
        <f t="shared" si="20"/>
        <v>0.455892773218646-0.179665378939564i</v>
      </c>
      <c r="AC81" s="10" t="str">
        <f t="shared" si="21"/>
        <v>-0.629023013268574+0.17336931522917i</v>
      </c>
      <c r="AD81" s="78" t="str">
        <f t="shared" si="22"/>
        <v>-0.746759322810276+0.0798066611936721i</v>
      </c>
      <c r="AE81" s="79">
        <f t="shared" si="23"/>
        <v>0.64414828916693134</v>
      </c>
      <c r="AF81" s="57">
        <f t="shared" si="24"/>
        <v>3.0351260972446301</v>
      </c>
      <c r="AG81" s="91">
        <f t="shared" si="25"/>
        <v>36.906978349837694</v>
      </c>
      <c r="AH81" s="92">
        <f t="shared" si="30"/>
        <v>173.89991566213038</v>
      </c>
      <c r="AI81" s="119"/>
    </row>
    <row r="82" spans="1:35" s="75" customFormat="1">
      <c r="A82" s="79" t="str">
        <f>IFERROR(VLOOKUP(N82,'Exp. Data Processing'!$A$23:$C$34,2,FALSE),"")</f>
        <v/>
      </c>
      <c r="B82" s="123" t="str">
        <f>IFERROR(VLOOKUP(N82,'Exp. Data Processing'!$A$23:$C$34,3,FALSE),"")</f>
        <v/>
      </c>
      <c r="C82" s="124">
        <f t="shared" si="26"/>
        <v>36.43974318028836</v>
      </c>
      <c r="D82" s="123">
        <f t="shared" si="27"/>
        <v>175.86880975407709</v>
      </c>
      <c r="E82" s="79" t="str">
        <f t="shared" si="31"/>
        <v/>
      </c>
      <c r="F82" s="123" t="str">
        <f t="shared" si="32"/>
        <v/>
      </c>
      <c r="G82" s="58">
        <f t="shared" si="2"/>
        <v>1</v>
      </c>
      <c r="H82" s="59">
        <f t="shared" si="3"/>
        <v>0</v>
      </c>
      <c r="I82" s="63">
        <f t="shared" si="33"/>
        <v>1.4830000000000001</v>
      </c>
      <c r="J82" s="11">
        <f t="shared" si="5"/>
        <v>0</v>
      </c>
      <c r="K82" s="60">
        <f t="shared" si="34"/>
        <v>14857</v>
      </c>
      <c r="L82" s="63">
        <f t="shared" si="7"/>
        <v>3.8435000000000001</v>
      </c>
      <c r="M82" s="64">
        <f t="shared" si="8"/>
        <v>1.5793000000000001E-2</v>
      </c>
      <c r="N82" s="69">
        <v>41</v>
      </c>
      <c r="O82" s="121">
        <f t="shared" si="28"/>
        <v>0.71558499331767511</v>
      </c>
      <c r="P82" s="59">
        <f t="shared" si="29"/>
        <v>6530</v>
      </c>
      <c r="Q82" s="61" t="str">
        <f t="shared" si="35"/>
        <v>1</v>
      </c>
      <c r="R82" s="56" t="str">
        <f t="shared" si="36"/>
        <v>1.483</v>
      </c>
      <c r="S82" s="62" t="str">
        <f t="shared" si="37"/>
        <v>3.8435+0.015793i</v>
      </c>
      <c r="T82" s="61" t="str">
        <f t="shared" si="12"/>
        <v>0.754709580222772</v>
      </c>
      <c r="U82" s="10" t="str">
        <f t="shared" si="13"/>
        <v>0.8968245505188</v>
      </c>
      <c r="V82" s="10" t="str">
        <f t="shared" si="14"/>
        <v>0.98532499579159+0.000121499823638876i</v>
      </c>
      <c r="W82" s="10" t="str">
        <f t="shared" si="15"/>
        <v>0.110319079262102</v>
      </c>
      <c r="X82" s="10" t="str">
        <f t="shared" si="16"/>
        <v>-0.275953912289196</v>
      </c>
      <c r="Y82" s="10" t="str">
        <f t="shared" si="17"/>
        <v>0.404575878630706+0.00166665309883395i</v>
      </c>
      <c r="Z82" s="10" t="str">
        <f t="shared" si="18"/>
        <v>-0.480181538177521-0.00162822485728716i</v>
      </c>
      <c r="AA82" s="10" t="str">
        <f t="shared" si="38"/>
        <v>19.0128162078392</v>
      </c>
      <c r="AB82" s="10" t="str">
        <f t="shared" si="20"/>
        <v>0.47556897557716-0.116530420370094i</v>
      </c>
      <c r="AC82" s="10" t="str">
        <f t="shared" si="21"/>
        <v>-0.653806643494801+0.111016646201018i</v>
      </c>
      <c r="AD82" s="78" t="str">
        <f t="shared" si="22"/>
        <v>-0.736416415651744+0.0531899454419342i</v>
      </c>
      <c r="AE82" s="79">
        <f t="shared" si="23"/>
        <v>0.63599349707718156</v>
      </c>
      <c r="AF82" s="57">
        <f t="shared" si="24"/>
        <v>3.0694897817721642</v>
      </c>
      <c r="AG82" s="91">
        <f t="shared" si="25"/>
        <v>36.43974318028836</v>
      </c>
      <c r="AH82" s="92">
        <f t="shared" si="30"/>
        <v>175.86880975407709</v>
      </c>
      <c r="AI82" s="119"/>
    </row>
    <row r="83" spans="1:35" s="75" customFormat="1">
      <c r="A83" s="79" t="str">
        <f>IFERROR(VLOOKUP(N83,'Exp. Data Processing'!$A$23:$C$34,2,FALSE),"")</f>
        <v/>
      </c>
      <c r="B83" s="123" t="str">
        <f>IFERROR(VLOOKUP(N83,'Exp. Data Processing'!$A$23:$C$34,3,FALSE),"")</f>
        <v/>
      </c>
      <c r="C83" s="124">
        <f t="shared" si="26"/>
        <v>35.956408979151199</v>
      </c>
      <c r="D83" s="123">
        <f t="shared" si="27"/>
        <v>178.15789988297163</v>
      </c>
      <c r="E83" s="79" t="str">
        <f t="shared" si="31"/>
        <v/>
      </c>
      <c r="F83" s="123" t="str">
        <f t="shared" si="32"/>
        <v/>
      </c>
      <c r="G83" s="58">
        <f t="shared" si="2"/>
        <v>1</v>
      </c>
      <c r="H83" s="59">
        <f t="shared" si="3"/>
        <v>0</v>
      </c>
      <c r="I83" s="63">
        <f t="shared" si="33"/>
        <v>1.4830000000000001</v>
      </c>
      <c r="J83" s="11">
        <f t="shared" si="5"/>
        <v>0</v>
      </c>
      <c r="K83" s="60">
        <f t="shared" si="34"/>
        <v>14857</v>
      </c>
      <c r="L83" s="63">
        <f t="shared" si="7"/>
        <v>3.8435000000000001</v>
      </c>
      <c r="M83" s="64">
        <f t="shared" si="8"/>
        <v>1.5793000000000001E-2</v>
      </c>
      <c r="N83" s="69">
        <v>42</v>
      </c>
      <c r="O83" s="121">
        <f t="shared" si="28"/>
        <v>0.73303828583761843</v>
      </c>
      <c r="P83" s="59">
        <f t="shared" si="29"/>
        <v>6530</v>
      </c>
      <c r="Q83" s="61" t="str">
        <f t="shared" si="35"/>
        <v>1</v>
      </c>
      <c r="R83" s="56" t="str">
        <f t="shared" si="36"/>
        <v>1.483</v>
      </c>
      <c r="S83" s="62" t="str">
        <f t="shared" si="37"/>
        <v>3.8435+0.015793i</v>
      </c>
      <c r="T83" s="61" t="str">
        <f t="shared" si="12"/>
        <v>0.743144825477394</v>
      </c>
      <c r="U83" s="10" t="str">
        <f t="shared" si="13"/>
        <v>0.892422516319433</v>
      </c>
      <c r="V83" s="10" t="str">
        <f t="shared" si="14"/>
        <v>0.984729811452773+0.000126466068746i</v>
      </c>
      <c r="W83" s="10" t="str">
        <f t="shared" si="15"/>
        <v>0.105119377487897</v>
      </c>
      <c r="X83" s="10" t="str">
        <f t="shared" si="16"/>
        <v>-0.280806969625828</v>
      </c>
      <c r="Y83" s="10" t="str">
        <f t="shared" si="17"/>
        <v>0.402769384583023+0.00166741578903426i</v>
      </c>
      <c r="Z83" s="10" t="str">
        <f t="shared" si="18"/>
        <v>-0.481840371168345-0.00162681264528973i</v>
      </c>
      <c r="AA83" s="10" t="str">
        <f t="shared" si="38"/>
        <v>18.9194924165527</v>
      </c>
      <c r="AB83" s="10" t="str">
        <f t="shared" si="20"/>
        <v>0.484161608161154-0.0496454292083127i</v>
      </c>
      <c r="AC83" s="10" t="str">
        <f t="shared" si="21"/>
        <v>-0.669313670574468+0.0469495689220655i</v>
      </c>
      <c r="AD83" s="78" t="str">
        <f t="shared" si="22"/>
        <v>-0.725005891290638+0.0233174904867313i</v>
      </c>
      <c r="AE83" s="79">
        <f t="shared" si="23"/>
        <v>0.62755772387984154</v>
      </c>
      <c r="AF83" s="57">
        <f t="shared" si="24"/>
        <v>3.1094419413962755</v>
      </c>
      <c r="AG83" s="91">
        <f t="shared" si="25"/>
        <v>35.956408979151199</v>
      </c>
      <c r="AH83" s="92">
        <f t="shared" si="30"/>
        <v>178.15789988297163</v>
      </c>
      <c r="AI83" s="119"/>
    </row>
    <row r="84" spans="1:35" s="75" customFormat="1">
      <c r="A84" s="79" t="str">
        <f>IFERROR(VLOOKUP(N84,'Exp. Data Processing'!$A$23:$C$34,2,FALSE),"")</f>
        <v/>
      </c>
      <c r="B84" s="123" t="str">
        <f>IFERROR(VLOOKUP(N84,'Exp. Data Processing'!$A$23:$C$34,3,FALSE),"")</f>
        <v/>
      </c>
      <c r="C84" s="124">
        <f t="shared" si="26"/>
        <v>35.456020795412897</v>
      </c>
      <c r="D84" s="123">
        <f t="shared" si="27"/>
        <v>179.20760761391588</v>
      </c>
      <c r="E84" s="79" t="str">
        <f t="shared" si="31"/>
        <v/>
      </c>
      <c r="F84" s="123" t="str">
        <f t="shared" si="32"/>
        <v/>
      </c>
      <c r="G84" s="58">
        <f t="shared" si="2"/>
        <v>1</v>
      </c>
      <c r="H84" s="59">
        <f t="shared" si="3"/>
        <v>0</v>
      </c>
      <c r="I84" s="63">
        <f t="shared" si="33"/>
        <v>1.4830000000000001</v>
      </c>
      <c r="J84" s="11">
        <f t="shared" si="5"/>
        <v>0</v>
      </c>
      <c r="K84" s="60">
        <f t="shared" si="34"/>
        <v>14857</v>
      </c>
      <c r="L84" s="63">
        <f t="shared" si="7"/>
        <v>3.8435000000000001</v>
      </c>
      <c r="M84" s="64">
        <f t="shared" si="8"/>
        <v>1.5793000000000001E-2</v>
      </c>
      <c r="N84" s="69">
        <v>43</v>
      </c>
      <c r="O84" s="121">
        <f t="shared" si="28"/>
        <v>0.75049157835756175</v>
      </c>
      <c r="P84" s="59">
        <f t="shared" si="29"/>
        <v>6530</v>
      </c>
      <c r="Q84" s="61" t="str">
        <f t="shared" si="35"/>
        <v>1</v>
      </c>
      <c r="R84" s="56" t="str">
        <f t="shared" si="36"/>
        <v>1.483</v>
      </c>
      <c r="S84" s="62" t="str">
        <f t="shared" si="37"/>
        <v>3.8435+0.015793i</v>
      </c>
      <c r="T84" s="61" t="str">
        <f t="shared" si="12"/>
        <v>0.731353701619171</v>
      </c>
      <c r="U84" s="10" t="str">
        <f t="shared" si="13"/>
        <v>0.887982357876278</v>
      </c>
      <c r="V84" s="10" t="str">
        <f t="shared" si="14"/>
        <v>0.984132077330959+0.000131456657988752i</v>
      </c>
      <c r="W84" s="10" t="str">
        <f t="shared" si="15"/>
        <v>0.0996741282248422</v>
      </c>
      <c r="X84" s="10" t="str">
        <f t="shared" si="16"/>
        <v>-0.285868137536404</v>
      </c>
      <c r="Y84" s="10" t="str">
        <f t="shared" si="17"/>
        <v>0.400932762121794+0.00166819294161598i</v>
      </c>
      <c r="Z84" s="10" t="str">
        <f t="shared" si="18"/>
        <v>-0.483520394920618-0.00162534910400489i</v>
      </c>
      <c r="AA84" s="10" t="str">
        <f t="shared" si="38"/>
        <v>18.8253603855277</v>
      </c>
      <c r="AB84" s="10" t="str">
        <f t="shared" si="20"/>
        <v>0.480905452645946+0.0192812644822081i</v>
      </c>
      <c r="AC84" s="10" t="str">
        <f t="shared" si="21"/>
        <v>-0.675610266893207-0.0177336727511116i</v>
      </c>
      <c r="AD84" s="78" t="str">
        <f t="shared" si="22"/>
        <v>-0.712067481586021-0.00984841870099224i</v>
      </c>
      <c r="AE84" s="79">
        <f t="shared" si="23"/>
        <v>0.61882430253553389</v>
      </c>
      <c r="AF84" s="57">
        <f t="shared" si="24"/>
        <v>-3.1277627974848912</v>
      </c>
      <c r="AG84" s="91">
        <f t="shared" si="25"/>
        <v>35.456020795412897</v>
      </c>
      <c r="AH84" s="92">
        <f t="shared" si="30"/>
        <v>179.20760761391588</v>
      </c>
      <c r="AI84" s="119"/>
    </row>
    <row r="85" spans="1:35" s="75" customFormat="1">
      <c r="A85" s="79" t="str">
        <f>IFERROR(VLOOKUP(N85,'Exp. Data Processing'!$A$23:$C$34,2,FALSE),"")</f>
        <v/>
      </c>
      <c r="B85" s="123" t="str">
        <f>IFERROR(VLOOKUP(N85,'Exp. Data Processing'!$A$23:$C$34,3,FALSE),"")</f>
        <v/>
      </c>
      <c r="C85" s="124">
        <f t="shared" si="26"/>
        <v>34.942295488496192</v>
      </c>
      <c r="D85" s="123">
        <f t="shared" si="27"/>
        <v>176.20151417982325</v>
      </c>
      <c r="E85" s="79" t="str">
        <f t="shared" si="31"/>
        <v/>
      </c>
      <c r="F85" s="123" t="str">
        <f t="shared" si="32"/>
        <v/>
      </c>
      <c r="G85" s="58">
        <f t="shared" si="2"/>
        <v>1</v>
      </c>
      <c r="H85" s="59">
        <f t="shared" si="3"/>
        <v>0</v>
      </c>
      <c r="I85" s="63">
        <f t="shared" si="33"/>
        <v>1.4830000000000001</v>
      </c>
      <c r="J85" s="11">
        <f t="shared" si="5"/>
        <v>0</v>
      </c>
      <c r="K85" s="60">
        <f t="shared" si="34"/>
        <v>14857</v>
      </c>
      <c r="L85" s="63">
        <f t="shared" si="7"/>
        <v>3.8435000000000001</v>
      </c>
      <c r="M85" s="64">
        <f t="shared" si="8"/>
        <v>1.5793000000000001E-2</v>
      </c>
      <c r="N85" s="69">
        <v>44</v>
      </c>
      <c r="O85" s="121">
        <f t="shared" si="28"/>
        <v>0.76794487087750496</v>
      </c>
      <c r="P85" s="59">
        <f t="shared" si="29"/>
        <v>6530</v>
      </c>
      <c r="Q85" s="61" t="str">
        <f t="shared" si="35"/>
        <v>1</v>
      </c>
      <c r="R85" s="56" t="str">
        <f t="shared" si="36"/>
        <v>1.483</v>
      </c>
      <c r="S85" s="62" t="str">
        <f t="shared" si="37"/>
        <v>3.8435+0.015793i</v>
      </c>
      <c r="T85" s="61" t="str">
        <f t="shared" si="12"/>
        <v>0.719339800338652</v>
      </c>
      <c r="U85" s="10" t="str">
        <f t="shared" si="13"/>
        <v>0.883508951044484</v>
      </c>
      <c r="V85" s="10" t="str">
        <f t="shared" si="14"/>
        <v>0.983532517690096+0.000136465583739382i</v>
      </c>
      <c r="W85" s="10" t="str">
        <f t="shared" si="15"/>
        <v>0.0939716578607294</v>
      </c>
      <c r="X85" s="10" t="str">
        <f t="shared" si="16"/>
        <v>-0.291145425798348</v>
      </c>
      <c r="Y85" s="10" t="str">
        <f t="shared" si="17"/>
        <v>0.399067516761632+0.00166898387664782i</v>
      </c>
      <c r="Z85" s="10" t="str">
        <f t="shared" si="18"/>
        <v>-0.485219957824187-0.0016238345700006i</v>
      </c>
      <c r="AA85" s="10" t="str">
        <f t="shared" si="38"/>
        <v>18.7305234836314</v>
      </c>
      <c r="AB85" s="10" t="str">
        <f t="shared" si="20"/>
        <v>0.465247004566945+0.0883298862992858i</v>
      </c>
      <c r="AC85" s="10" t="str">
        <f t="shared" si="21"/>
        <v>-0.672780067664379-0.0820291256392582i</v>
      </c>
      <c r="AD85" s="78" t="str">
        <f t="shared" si="22"/>
        <v>-0.697172766032438-0.0462876582985762i</v>
      </c>
      <c r="AE85" s="79">
        <f t="shared" si="23"/>
        <v>0.60985810447901889</v>
      </c>
      <c r="AF85" s="57">
        <f t="shared" si="24"/>
        <v>-3.0752965694373917</v>
      </c>
      <c r="AG85" s="91">
        <f t="shared" si="25"/>
        <v>34.942295488496192</v>
      </c>
      <c r="AH85" s="92">
        <f t="shared" si="30"/>
        <v>176.20151417982325</v>
      </c>
      <c r="AI85" s="119"/>
    </row>
    <row r="86" spans="1:35" s="75" customFormat="1">
      <c r="A86" s="79">
        <f>IFERROR(VLOOKUP(N86,'Exp. Data Processing'!$A$23:$C$34,2,FALSE),"")</f>
        <v>33.210910760899075</v>
      </c>
      <c r="B86" s="123">
        <f>IFERROR(VLOOKUP(N86,'Exp. Data Processing'!$A$23:$C$34,3,FALSE),"")</f>
        <v>172.62123438740906</v>
      </c>
      <c r="C86" s="124">
        <f t="shared" si="26"/>
        <v>34.425348745840516</v>
      </c>
      <c r="D86" s="123">
        <f t="shared" si="27"/>
        <v>172.79821608387977</v>
      </c>
      <c r="E86" s="79">
        <f t="shared" si="31"/>
        <v>1.2444973837138873E-3</v>
      </c>
      <c r="F86" s="123">
        <f t="shared" si="32"/>
        <v>1.0490065458256402E-6</v>
      </c>
      <c r="G86" s="58">
        <f t="shared" si="2"/>
        <v>1</v>
      </c>
      <c r="H86" s="59">
        <f t="shared" si="3"/>
        <v>0</v>
      </c>
      <c r="I86" s="63">
        <f t="shared" si="33"/>
        <v>1.4830000000000001</v>
      </c>
      <c r="J86" s="11">
        <f t="shared" si="5"/>
        <v>0</v>
      </c>
      <c r="K86" s="60">
        <f t="shared" si="34"/>
        <v>14857</v>
      </c>
      <c r="L86" s="63">
        <f t="shared" si="7"/>
        <v>3.8435000000000001</v>
      </c>
      <c r="M86" s="64">
        <f t="shared" si="8"/>
        <v>1.5793000000000001E-2</v>
      </c>
      <c r="N86" s="69">
        <v>45</v>
      </c>
      <c r="O86" s="121">
        <f t="shared" si="28"/>
        <v>0.78539816339744828</v>
      </c>
      <c r="P86" s="59">
        <f t="shared" si="29"/>
        <v>6530</v>
      </c>
      <c r="Q86" s="61" t="str">
        <f t="shared" si="35"/>
        <v>1</v>
      </c>
      <c r="R86" s="56" t="str">
        <f t="shared" si="36"/>
        <v>1.483</v>
      </c>
      <c r="S86" s="62" t="str">
        <f t="shared" si="37"/>
        <v>3.8435+0.015793i</v>
      </c>
      <c r="T86" s="61" t="str">
        <f t="shared" si="12"/>
        <v>0.707106781186548</v>
      </c>
      <c r="U86" s="10" t="str">
        <f t="shared" si="13"/>
        <v>0.879007280156736</v>
      </c>
      <c r="V86" s="10" t="str">
        <f t="shared" si="14"/>
        <v>0.982931860330386+0.000141486794052404i</v>
      </c>
      <c r="W86" s="10" t="str">
        <f t="shared" si="15"/>
        <v>0.0879995706252211</v>
      </c>
      <c r="X86" s="10" t="str">
        <f t="shared" si="16"/>
        <v>-0.296647215771906</v>
      </c>
      <c r="Y86" s="10" t="str">
        <f t="shared" si="17"/>
        <v>0.397175252596523+0.00166978785791159i</v>
      </c>
      <c r="Z86" s="10" t="str">
        <f t="shared" si="18"/>
        <v>-0.486937338967805-0.00162226956964168i</v>
      </c>
      <c r="AA86" s="10" t="str">
        <f t="shared" si="38"/>
        <v>18.635087379471</v>
      </c>
      <c r="AB86" s="10" t="str">
        <f t="shared" si="20"/>
        <v>0.436918096637437+0.155367027248361i</v>
      </c>
      <c r="AC86" s="10" t="str">
        <f t="shared" si="21"/>
        <v>-0.660887348293525-0.144984860480444i</v>
      </c>
      <c r="AD86" s="78" t="str">
        <f t="shared" si="22"/>
        <v>-0.67995735009072-0.0859200979704425i</v>
      </c>
      <c r="AE86" s="79">
        <f t="shared" si="23"/>
        <v>0.60083568176221758</v>
      </c>
      <c r="AF86" s="57">
        <f t="shared" si="24"/>
        <v>-3.0158978122363238</v>
      </c>
      <c r="AG86" s="91">
        <f t="shared" si="25"/>
        <v>34.425348745840516</v>
      </c>
      <c r="AH86" s="92">
        <f t="shared" si="30"/>
        <v>172.79821608387977</v>
      </c>
      <c r="AI86" s="119"/>
    </row>
    <row r="87" spans="1:35" s="75" customFormat="1">
      <c r="A87" s="79" t="str">
        <f>IFERROR(VLOOKUP(N87,'Exp. Data Processing'!$A$23:$C$34,2,FALSE),"")</f>
        <v/>
      </c>
      <c r="B87" s="123" t="str">
        <f>IFERROR(VLOOKUP(N87,'Exp. Data Processing'!$A$23:$C$34,3,FALSE),"")</f>
        <v/>
      </c>
      <c r="C87" s="124">
        <f t="shared" si="26"/>
        <v>33.924047875371095</v>
      </c>
      <c r="D87" s="123">
        <f t="shared" si="27"/>
        <v>168.97556030324242</v>
      </c>
      <c r="E87" s="79" t="str">
        <f t="shared" si="31"/>
        <v/>
      </c>
      <c r="F87" s="123" t="str">
        <f t="shared" si="32"/>
        <v/>
      </c>
      <c r="G87" s="58">
        <f t="shared" si="2"/>
        <v>1</v>
      </c>
      <c r="H87" s="59">
        <f t="shared" si="3"/>
        <v>0</v>
      </c>
      <c r="I87" s="63">
        <f t="shared" si="33"/>
        <v>1.4830000000000001</v>
      </c>
      <c r="J87" s="11">
        <f t="shared" si="5"/>
        <v>0</v>
      </c>
      <c r="K87" s="60">
        <f t="shared" si="34"/>
        <v>14857</v>
      </c>
      <c r="L87" s="63">
        <f t="shared" si="7"/>
        <v>3.8435000000000001</v>
      </c>
      <c r="M87" s="64">
        <f t="shared" si="8"/>
        <v>1.5793000000000001E-2</v>
      </c>
      <c r="N87" s="69">
        <v>46</v>
      </c>
      <c r="O87" s="121">
        <f t="shared" si="28"/>
        <v>0.8028514559173916</v>
      </c>
      <c r="P87" s="59">
        <f t="shared" si="29"/>
        <v>6530</v>
      </c>
      <c r="Q87" s="61" t="str">
        <f t="shared" si="35"/>
        <v>1</v>
      </c>
      <c r="R87" s="56" t="str">
        <f t="shared" si="36"/>
        <v>1.483</v>
      </c>
      <c r="S87" s="62" t="str">
        <f t="shared" si="37"/>
        <v>3.8435+0.015793i</v>
      </c>
      <c r="T87" s="61" t="str">
        <f t="shared" si="12"/>
        <v>0.694658370458998</v>
      </c>
      <c r="U87" s="10" t="str">
        <f t="shared" si="13"/>
        <v>0.874482435822097</v>
      </c>
      <c r="V87" s="10" t="str">
        <f t="shared" si="14"/>
        <v>0.982330835718565+0.000146514199690854i</v>
      </c>
      <c r="W87" s="10" t="str">
        <f t="shared" si="15"/>
        <v>0.0817447010160251</v>
      </c>
      <c r="X87" s="10" t="str">
        <f t="shared" si="16"/>
        <v>-0.302382273329664</v>
      </c>
      <c r="Y87" s="10" t="str">
        <f t="shared" si="17"/>
        <v>0.395257675845221+0.00167060409164608i</v>
      </c>
      <c r="Z87" s="10" t="str">
        <f t="shared" si="18"/>
        <v>-0.488670747309309-0.00162065482958522i</v>
      </c>
      <c r="AA87" s="10" t="str">
        <f t="shared" si="38"/>
        <v>18.5391599947291</v>
      </c>
      <c r="AB87" s="10" t="str">
        <f t="shared" si="20"/>
        <v>0.39602853903778+0.218071176774519i</v>
      </c>
      <c r="AC87" s="10" t="str">
        <f t="shared" si="21"/>
        <v>-0.639954186324584-0.205648234789048i</v>
      </c>
      <c r="AD87" s="78" t="str">
        <f t="shared" si="22"/>
        <v>-0.660169501640351-0.128616213253223i</v>
      </c>
      <c r="AE87" s="79">
        <f t="shared" si="23"/>
        <v>0.59208633102941255</v>
      </c>
      <c r="AF87" s="57">
        <f t="shared" si="24"/>
        <v>-2.9491798826938083</v>
      </c>
      <c r="AG87" s="91">
        <f t="shared" si="25"/>
        <v>33.924047875371095</v>
      </c>
      <c r="AH87" s="92">
        <f t="shared" si="30"/>
        <v>168.97556030324242</v>
      </c>
      <c r="AI87" s="119"/>
    </row>
    <row r="88" spans="1:35" s="75" customFormat="1">
      <c r="A88" s="79" t="str">
        <f>IFERROR(VLOOKUP(N88,'Exp. Data Processing'!$A$23:$C$34,2,FALSE),"")</f>
        <v/>
      </c>
      <c r="B88" s="123" t="str">
        <f>IFERROR(VLOOKUP(N88,'Exp. Data Processing'!$A$23:$C$34,3,FALSE),"")</f>
        <v/>
      </c>
      <c r="C88" s="124">
        <f t="shared" si="26"/>
        <v>33.46906345048216</v>
      </c>
      <c r="D88" s="123">
        <f t="shared" si="27"/>
        <v>164.7197327646806</v>
      </c>
      <c r="E88" s="79" t="str">
        <f t="shared" si="31"/>
        <v/>
      </c>
      <c r="F88" s="123" t="str">
        <f t="shared" si="32"/>
        <v/>
      </c>
      <c r="G88" s="58">
        <f t="shared" si="2"/>
        <v>1</v>
      </c>
      <c r="H88" s="59">
        <f t="shared" si="3"/>
        <v>0</v>
      </c>
      <c r="I88" s="63">
        <f t="shared" si="33"/>
        <v>1.4830000000000001</v>
      </c>
      <c r="J88" s="11">
        <f t="shared" si="5"/>
        <v>0</v>
      </c>
      <c r="K88" s="60">
        <f t="shared" si="34"/>
        <v>14857</v>
      </c>
      <c r="L88" s="63">
        <f t="shared" si="7"/>
        <v>3.8435000000000001</v>
      </c>
      <c r="M88" s="64">
        <f t="shared" si="8"/>
        <v>1.5793000000000001E-2</v>
      </c>
      <c r="N88" s="69">
        <v>47</v>
      </c>
      <c r="O88" s="121">
        <f t="shared" si="28"/>
        <v>0.82030474843733492</v>
      </c>
      <c r="P88" s="59">
        <f t="shared" si="29"/>
        <v>6530</v>
      </c>
      <c r="Q88" s="61" t="str">
        <f t="shared" si="35"/>
        <v>1</v>
      </c>
      <c r="R88" s="56" t="str">
        <f t="shared" si="36"/>
        <v>1.483</v>
      </c>
      <c r="S88" s="62" t="str">
        <f t="shared" si="37"/>
        <v>3.8435+0.015793i</v>
      </c>
      <c r="T88" s="61" t="str">
        <f t="shared" si="12"/>
        <v>0.681998360062499</v>
      </c>
      <c r="U88" s="10" t="str">
        <f t="shared" si="13"/>
        <v>0.869939612408564</v>
      </c>
      <c r="V88" s="10" t="str">
        <f t="shared" si="14"/>
        <v>0.981730176108522+0.000151541681304415i</v>
      </c>
      <c r="W88" s="10" t="str">
        <f t="shared" si="15"/>
        <v>0.0751930626157524</v>
      </c>
      <c r="X88" s="10" t="str">
        <f t="shared" si="16"/>
        <v>-0.30835976185414</v>
      </c>
      <c r="Y88" s="10" t="str">
        <f t="shared" si="17"/>
        <v>0.393316598233412+0.00167143172551761i</v>
      </c>
      <c r="Z88" s="10" t="str">
        <f t="shared" si="18"/>
        <v>-0.490418321037531-0.00161899128691067i</v>
      </c>
      <c r="AA88" s="10" t="str">
        <f t="shared" si="38"/>
        <v>18.4428514507935</v>
      </c>
      <c r="AB88" s="10" t="str">
        <f t="shared" si="20"/>
        <v>0.343167577887815+0.273998779256161i</v>
      </c>
      <c r="AC88" s="10" t="str">
        <f t="shared" si="21"/>
        <v>-0.609953359756428-0.263003040435036i</v>
      </c>
      <c r="AD88" s="78" t="str">
        <f t="shared" si="22"/>
        <v>-0.637737968890874-0.174229312351742i</v>
      </c>
      <c r="AE88" s="79">
        <f t="shared" si="23"/>
        <v>0.58414535476980778</v>
      </c>
      <c r="AF88" s="57">
        <f t="shared" si="24"/>
        <v>-2.8749016797488585</v>
      </c>
      <c r="AG88" s="91">
        <f t="shared" si="25"/>
        <v>33.46906345048216</v>
      </c>
      <c r="AH88" s="92">
        <f t="shared" si="30"/>
        <v>164.7197327646806</v>
      </c>
      <c r="AI88" s="119"/>
    </row>
    <row r="89" spans="1:35" s="75" customFormat="1">
      <c r="A89" s="79" t="str">
        <f>IFERROR(VLOOKUP(N89,'Exp. Data Processing'!$A$23:$C$34,2,FALSE),"")</f>
        <v/>
      </c>
      <c r="B89" s="123" t="str">
        <f>IFERROR(VLOOKUP(N89,'Exp. Data Processing'!$A$23:$C$34,3,FALSE),"")</f>
        <v/>
      </c>
      <c r="C89" s="124">
        <f t="shared" si="26"/>
        <v>33.106610555875925</v>
      </c>
      <c r="D89" s="123">
        <f t="shared" si="27"/>
        <v>160.03320840593747</v>
      </c>
      <c r="E89" s="79" t="str">
        <f t="shared" si="31"/>
        <v/>
      </c>
      <c r="F89" s="123" t="str">
        <f t="shared" si="32"/>
        <v/>
      </c>
      <c r="G89" s="58">
        <f t="shared" si="2"/>
        <v>1</v>
      </c>
      <c r="H89" s="59">
        <f t="shared" si="3"/>
        <v>0</v>
      </c>
      <c r="I89" s="63">
        <f t="shared" si="33"/>
        <v>1.4830000000000001</v>
      </c>
      <c r="J89" s="11">
        <f t="shared" si="5"/>
        <v>0</v>
      </c>
      <c r="K89" s="60">
        <f t="shared" si="34"/>
        <v>14857</v>
      </c>
      <c r="L89" s="63">
        <f t="shared" si="7"/>
        <v>3.8435000000000001</v>
      </c>
      <c r="M89" s="64">
        <f t="shared" si="8"/>
        <v>1.5793000000000001E-2</v>
      </c>
      <c r="N89" s="69">
        <v>48</v>
      </c>
      <c r="O89" s="121">
        <f t="shared" si="28"/>
        <v>0.83775804095727824</v>
      </c>
      <c r="P89" s="59">
        <f t="shared" si="29"/>
        <v>6530</v>
      </c>
      <c r="Q89" s="61" t="str">
        <f t="shared" si="35"/>
        <v>1</v>
      </c>
      <c r="R89" s="56" t="str">
        <f t="shared" si="36"/>
        <v>1.483</v>
      </c>
      <c r="S89" s="62" t="str">
        <f t="shared" si="37"/>
        <v>3.8435+0.015793i</v>
      </c>
      <c r="T89" s="61" t="str">
        <f t="shared" si="12"/>
        <v>0.669130606358859</v>
      </c>
      <c r="U89" s="10" t="str">
        <f t="shared" si="13"/>
        <v>0.865384105182873</v>
      </c>
      <c r="V89" s="10" t="str">
        <f t="shared" si="14"/>
        <v>0.981130614653287+0.000156563096752503i</v>
      </c>
      <c r="W89" s="10" t="str">
        <f t="shared" si="15"/>
        <v>0.0683297929945971</v>
      </c>
      <c r="X89" s="10" t="str">
        <f t="shared" si="16"/>
        <v>-0.31458925523748</v>
      </c>
      <c r="Y89" s="10" t="str">
        <f t="shared" si="17"/>
        <v>0.391353940170983+0.00167226984784151i</v>
      </c>
      <c r="Z89" s="10" t="str">
        <f t="shared" si="18"/>
        <v>-0.492178127148984-0.00161728009878895i</v>
      </c>
      <c r="AA89" s="10" t="str">
        <f t="shared" si="38"/>
        <v>18.3462740081204</v>
      </c>
      <c r="AB89" s="10" t="str">
        <f t="shared" si="20"/>
        <v>0.279496394288774+0.320700287088779i</v>
      </c>
      <c r="AC89" s="10" t="str">
        <f t="shared" si="21"/>
        <v>-0.57082092542314-0.315896168690627i</v>
      </c>
      <c r="AD89" s="78" t="str">
        <f t="shared" si="22"/>
        <v>-0.612861572465876-0.222661186281633i</v>
      </c>
      <c r="AE89" s="79">
        <f t="shared" si="23"/>
        <v>0.57781935837554499</v>
      </c>
      <c r="AF89" s="57">
        <f t="shared" si="24"/>
        <v>-2.7931063992138747</v>
      </c>
      <c r="AG89" s="91">
        <f t="shared" si="25"/>
        <v>33.106610555875925</v>
      </c>
      <c r="AH89" s="92">
        <f t="shared" si="30"/>
        <v>160.03320840593747</v>
      </c>
      <c r="AI89" s="119"/>
    </row>
    <row r="90" spans="1:35" s="75" customFormat="1">
      <c r="A90" s="79" t="str">
        <f>IFERROR(VLOOKUP(N90,'Exp. Data Processing'!$A$23:$C$34,2,FALSE),"")</f>
        <v/>
      </c>
      <c r="B90" s="123" t="str">
        <f>IFERROR(VLOOKUP(N90,'Exp. Data Processing'!$A$23:$C$34,3,FALSE),"")</f>
        <v/>
      </c>
      <c r="C90" s="124">
        <f t="shared" si="26"/>
        <v>32.902745426507963</v>
      </c>
      <c r="D90" s="123">
        <f t="shared" si="27"/>
        <v>154.94689473099106</v>
      </c>
      <c r="E90" s="79" t="str">
        <f t="shared" si="31"/>
        <v/>
      </c>
      <c r="F90" s="123" t="str">
        <f t="shared" si="32"/>
        <v/>
      </c>
      <c r="G90" s="58">
        <f t="shared" si="2"/>
        <v>1</v>
      </c>
      <c r="H90" s="59">
        <f t="shared" si="3"/>
        <v>0</v>
      </c>
      <c r="I90" s="63">
        <f t="shared" si="33"/>
        <v>1.4830000000000001</v>
      </c>
      <c r="J90" s="11">
        <f t="shared" si="5"/>
        <v>0</v>
      </c>
      <c r="K90" s="60">
        <f t="shared" si="34"/>
        <v>14857</v>
      </c>
      <c r="L90" s="63">
        <f t="shared" si="7"/>
        <v>3.8435000000000001</v>
      </c>
      <c r="M90" s="64">
        <f t="shared" si="8"/>
        <v>1.5793000000000001E-2</v>
      </c>
      <c r="N90" s="69">
        <v>49</v>
      </c>
      <c r="O90" s="121">
        <f t="shared" si="28"/>
        <v>0.85521133347722145</v>
      </c>
      <c r="P90" s="59">
        <f t="shared" si="29"/>
        <v>6530</v>
      </c>
      <c r="Q90" s="61" t="str">
        <f t="shared" si="35"/>
        <v>1</v>
      </c>
      <c r="R90" s="56" t="str">
        <f t="shared" si="36"/>
        <v>1.483</v>
      </c>
      <c r="S90" s="62" t="str">
        <f t="shared" si="37"/>
        <v>3.8435+0.015793i</v>
      </c>
      <c r="T90" s="61" t="str">
        <f t="shared" si="12"/>
        <v>0.656059028990507</v>
      </c>
      <c r="U90" s="10" t="str">
        <f t="shared" si="13"/>
        <v>0.860821307080526</v>
      </c>
      <c r="V90" s="10" t="str">
        <f t="shared" si="14"/>
        <v>0.980532884509336+0.000161572288566191i</v>
      </c>
      <c r="W90" s="10" t="str">
        <f t="shared" si="15"/>
        <v>0.0611390943632045</v>
      </c>
      <c r="X90" s="10" t="str">
        <f t="shared" si="16"/>
        <v>-0.321080750808453</v>
      </c>
      <c r="Y90" s="10" t="str">
        <f t="shared" si="17"/>
        <v>0.389371733679353+0.00167311748707828i</v>
      </c>
      <c r="Z90" s="10" t="str">
        <f t="shared" si="18"/>
        <v>-0.493948161263169-0.00161552265158962i</v>
      </c>
      <c r="AA90" s="10" t="str">
        <f t="shared" si="38"/>
        <v>18.2495419977587</v>
      </c>
      <c r="AB90" s="10" t="str">
        <f t="shared" si="20"/>
        <v>0.206807008602079+0.355887667553313i</v>
      </c>
      <c r="AC90" s="10" t="str">
        <f t="shared" si="21"/>
        <v>-0.522495834741188-0.362953960365412i</v>
      </c>
      <c r="AD90" s="78" t="str">
        <f t="shared" si="22"/>
        <v>-0.586124719903527-0.273976115555387i</v>
      </c>
      <c r="AE90" s="79">
        <f t="shared" si="23"/>
        <v>0.57426124063806994</v>
      </c>
      <c r="AF90" s="57">
        <f t="shared" si="24"/>
        <v>-2.7043334787968476</v>
      </c>
      <c r="AG90" s="91">
        <f t="shared" si="25"/>
        <v>32.902745426507963</v>
      </c>
      <c r="AH90" s="92">
        <f t="shared" si="30"/>
        <v>154.94689473099106</v>
      </c>
      <c r="AI90" s="119"/>
    </row>
    <row r="91" spans="1:35" s="75" customFormat="1">
      <c r="A91" s="79">
        <f>IFERROR(VLOOKUP(N91,'Exp. Data Processing'!$A$23:$C$34,2,FALSE),"")</f>
        <v>32.201490261252303</v>
      </c>
      <c r="B91" s="123">
        <f>IFERROR(VLOOKUP(N91,'Exp. Data Processing'!$A$23:$C$34,3,FALSE),"")</f>
        <v>150.21361539703906</v>
      </c>
      <c r="C91" s="124">
        <f t="shared" si="26"/>
        <v>32.947968338928305</v>
      </c>
      <c r="D91" s="123">
        <f t="shared" si="27"/>
        <v>149.53715654420253</v>
      </c>
      <c r="E91" s="79">
        <f t="shared" si="31"/>
        <v>5.1330658549290594E-4</v>
      </c>
      <c r="F91" s="123">
        <f t="shared" si="32"/>
        <v>2.0463717559389363E-5</v>
      </c>
      <c r="G91" s="58">
        <f t="shared" si="2"/>
        <v>1</v>
      </c>
      <c r="H91" s="59">
        <f t="shared" si="3"/>
        <v>0</v>
      </c>
      <c r="I91" s="63">
        <f t="shared" si="33"/>
        <v>1.4830000000000001</v>
      </c>
      <c r="J91" s="11">
        <f t="shared" si="5"/>
        <v>0</v>
      </c>
      <c r="K91" s="60">
        <f t="shared" si="34"/>
        <v>14857</v>
      </c>
      <c r="L91" s="63">
        <f t="shared" si="7"/>
        <v>3.8435000000000001</v>
      </c>
      <c r="M91" s="64">
        <f t="shared" si="8"/>
        <v>1.5793000000000001E-2</v>
      </c>
      <c r="N91" s="69">
        <v>50</v>
      </c>
      <c r="O91" s="121">
        <f t="shared" si="28"/>
        <v>0.87266462599716477</v>
      </c>
      <c r="P91" s="59">
        <f t="shared" si="29"/>
        <v>6530</v>
      </c>
      <c r="Q91" s="61" t="str">
        <f t="shared" si="35"/>
        <v>1</v>
      </c>
      <c r="R91" s="56" t="str">
        <f t="shared" si="36"/>
        <v>1.483</v>
      </c>
      <c r="S91" s="62" t="str">
        <f t="shared" si="37"/>
        <v>3.8435+0.015793i</v>
      </c>
      <c r="T91" s="61" t="str">
        <f t="shared" si="12"/>
        <v>0.642787609686539</v>
      </c>
      <c r="U91" s="10" t="str">
        <f t="shared" si="13"/>
        <v>0.856256705077667</v>
      </c>
      <c r="V91" s="10" t="str">
        <f t="shared" si="14"/>
        <v>0.979937717934327+0.000166563091539945i</v>
      </c>
      <c r="W91" s="10" t="str">
        <f t="shared" si="15"/>
        <v>0.053604169605811</v>
      </c>
      <c r="X91" s="10" t="str">
        <f t="shared" si="16"/>
        <v>-0.327844682101827</v>
      </c>
      <c r="Y91" s="10" t="str">
        <f t="shared" si="17"/>
        <v>0.387372125020053+0.00167397361162848i</v>
      </c>
      <c r="Z91" s="10" t="str">
        <f t="shared" si="18"/>
        <v>-0.495726347701547-0.00161372056931722i</v>
      </c>
      <c r="AA91" s="10" t="str">
        <f t="shared" si="38"/>
        <v>18.1527717444331</v>
      </c>
      <c r="AB91" s="10" t="str">
        <f t="shared" si="20"/>
        <v>0.127519979499777+0.377641923057544i</v>
      </c>
      <c r="AC91" s="10" t="str">
        <f t="shared" si="21"/>
        <v>-0.464998565366536-0.402491230720898i</v>
      </c>
      <c r="AD91" s="78" t="str">
        <f t="shared" si="22"/>
        <v>-0.558649923501516-0.328582148817699i</v>
      </c>
      <c r="AE91" s="79">
        <f t="shared" si="23"/>
        <v>0.57505052935714585</v>
      </c>
      <c r="AF91" s="57">
        <f t="shared" si="24"/>
        <v>-2.6099157357665197</v>
      </c>
      <c r="AG91" s="91">
        <f t="shared" si="25"/>
        <v>32.947968338928305</v>
      </c>
      <c r="AH91" s="92">
        <f t="shared" si="30"/>
        <v>149.53715654420253</v>
      </c>
      <c r="AI91" s="119"/>
    </row>
    <row r="92" spans="1:35" s="75" customFormat="1">
      <c r="A92" s="79" t="str">
        <f>IFERROR(VLOOKUP(N92,'Exp. Data Processing'!$A$23:$C$34,2,FALSE),"")</f>
        <v/>
      </c>
      <c r="B92" s="123" t="str">
        <f>IFERROR(VLOOKUP(N92,'Exp. Data Processing'!$A$23:$C$34,3,FALSE),"")</f>
        <v/>
      </c>
      <c r="C92" s="124">
        <f t="shared" si="26"/>
        <v>33.361930057654085</v>
      </c>
      <c r="D92" s="123">
        <f t="shared" si="27"/>
        <v>143.94694603970979</v>
      </c>
      <c r="E92" s="79" t="str">
        <f t="shared" si="31"/>
        <v/>
      </c>
      <c r="F92" s="123" t="str">
        <f t="shared" si="32"/>
        <v/>
      </c>
      <c r="G92" s="58">
        <f t="shared" si="2"/>
        <v>1</v>
      </c>
      <c r="H92" s="59">
        <f t="shared" si="3"/>
        <v>0</v>
      </c>
      <c r="I92" s="63">
        <f t="shared" si="33"/>
        <v>1.4830000000000001</v>
      </c>
      <c r="J92" s="11">
        <f t="shared" si="5"/>
        <v>0</v>
      </c>
      <c r="K92" s="60">
        <f t="shared" si="34"/>
        <v>14857</v>
      </c>
      <c r="L92" s="63">
        <f t="shared" si="7"/>
        <v>3.8435000000000001</v>
      </c>
      <c r="M92" s="64">
        <f t="shared" si="8"/>
        <v>1.5793000000000001E-2</v>
      </c>
      <c r="N92" s="69">
        <v>51</v>
      </c>
      <c r="O92" s="121">
        <f t="shared" si="28"/>
        <v>0.89011791851710809</v>
      </c>
      <c r="P92" s="59">
        <f t="shared" si="29"/>
        <v>6530</v>
      </c>
      <c r="Q92" s="61" t="str">
        <f t="shared" si="35"/>
        <v>1</v>
      </c>
      <c r="R92" s="56" t="str">
        <f t="shared" si="36"/>
        <v>1.483</v>
      </c>
      <c r="S92" s="62" t="str">
        <f t="shared" si="37"/>
        <v>3.8435+0.015793i</v>
      </c>
      <c r="T92" s="61" t="str">
        <f t="shared" si="12"/>
        <v>0.629320391049837</v>
      </c>
      <c r="U92" s="10" t="str">
        <f t="shared" si="13"/>
        <v>0.851695876136507</v>
      </c>
      <c r="V92" s="10" t="str">
        <f t="shared" si="14"/>
        <v>0.979345845379335+0.000171529340445418i</v>
      </c>
      <c r="W92" s="10" t="str">
        <f t="shared" si="15"/>
        <v>0.0457071532849079</v>
      </c>
      <c r="X92" s="10" t="str">
        <f t="shared" si="16"/>
        <v>-0.334891931375208</v>
      </c>
      <c r="Y92" s="10" t="str">
        <f t="shared" si="17"/>
        <v>0.385357376972532+0.00167483712994932i</v>
      </c>
      <c r="Z92" s="10" t="str">
        <f t="shared" si="18"/>
        <v>-0.497510539855649-0.00161187572126379i</v>
      </c>
      <c r="AA92" s="10" t="str">
        <f t="shared" si="38"/>
        <v>18.0560814805867</v>
      </c>
      <c r="AB92" s="10" t="str">
        <f t="shared" si="20"/>
        <v>0.0445978181901365+0.384633551335454i</v>
      </c>
      <c r="AC92" s="10" t="str">
        <f t="shared" si="21"/>
        <v>-0.398566028340596-0.432422838606028i</v>
      </c>
      <c r="AD92" s="78" t="str">
        <f t="shared" si="22"/>
        <v>-0.532318905630083-0.387505929098543i</v>
      </c>
      <c r="AE92" s="79">
        <f t="shared" si="23"/>
        <v>0.58227552432612539</v>
      </c>
      <c r="AF92" s="57">
        <f t="shared" si="24"/>
        <v>-2.5123481565835482</v>
      </c>
      <c r="AG92" s="91">
        <f t="shared" si="25"/>
        <v>33.361930057654085</v>
      </c>
      <c r="AH92" s="92">
        <f t="shared" si="30"/>
        <v>143.94694603970979</v>
      </c>
      <c r="AI92" s="119"/>
    </row>
    <row r="93" spans="1:35" s="75" customFormat="1">
      <c r="A93" s="79" t="str">
        <f>IFERROR(VLOOKUP(N93,'Exp. Data Processing'!$A$23:$C$34,2,FALSE),"")</f>
        <v/>
      </c>
      <c r="B93" s="123" t="str">
        <f>IFERROR(VLOOKUP(N93,'Exp. Data Processing'!$A$23:$C$34,3,FALSE),"")</f>
        <v/>
      </c>
      <c r="C93" s="124">
        <f t="shared" si="26"/>
        <v>34.298487672911484</v>
      </c>
      <c r="D93" s="123">
        <f t="shared" si="27"/>
        <v>138.40789059609671</v>
      </c>
      <c r="E93" s="79" t="str">
        <f t="shared" si="31"/>
        <v/>
      </c>
      <c r="F93" s="123" t="str">
        <f t="shared" si="32"/>
        <v/>
      </c>
      <c r="G93" s="58">
        <f t="shared" si="2"/>
        <v>1</v>
      </c>
      <c r="H93" s="59">
        <f t="shared" si="3"/>
        <v>0</v>
      </c>
      <c r="I93" s="63">
        <f t="shared" si="33"/>
        <v>1.4830000000000001</v>
      </c>
      <c r="J93" s="11">
        <f t="shared" si="5"/>
        <v>0</v>
      </c>
      <c r="K93" s="60">
        <f t="shared" si="34"/>
        <v>14857</v>
      </c>
      <c r="L93" s="63">
        <f t="shared" si="7"/>
        <v>3.8435000000000001</v>
      </c>
      <c r="M93" s="64">
        <f t="shared" si="8"/>
        <v>1.5793000000000001E-2</v>
      </c>
      <c r="N93" s="69">
        <v>52</v>
      </c>
      <c r="O93" s="121">
        <f t="shared" si="28"/>
        <v>0.90757121103705141</v>
      </c>
      <c r="P93" s="59">
        <f t="shared" si="29"/>
        <v>6530</v>
      </c>
      <c r="Q93" s="61" t="str">
        <f t="shared" si="35"/>
        <v>1</v>
      </c>
      <c r="R93" s="56" t="str">
        <f t="shared" si="36"/>
        <v>1.483</v>
      </c>
      <c r="S93" s="62" t="str">
        <f t="shared" si="37"/>
        <v>3.8435+0.015793i</v>
      </c>
      <c r="T93" s="61" t="str">
        <f t="shared" si="12"/>
        <v>0.615661475325658</v>
      </c>
      <c r="U93" s="10" t="str">
        <f t="shared" si="13"/>
        <v>0.847144482695165</v>
      </c>
      <c r="V93" s="10" t="str">
        <f t="shared" si="14"/>
        <v>0.978757994576721+0.000176464877857981i</v>
      </c>
      <c r="W93" s="10" t="str">
        <f t="shared" si="15"/>
        <v>0.0374290371652426</v>
      </c>
      <c r="X93" s="10" t="str">
        <f t="shared" si="16"/>
        <v>-0.34223384176714</v>
      </c>
      <c r="Y93" s="10" t="str">
        <f t="shared" si="17"/>
        <v>0.383329870705782+0.00167570689101496i</v>
      </c>
      <c r="Z93" s="10" t="str">
        <f t="shared" si="18"/>
        <v>-0.499298520870632-0.00160999022875839i</v>
      </c>
      <c r="AA93" s="10" t="str">
        <f t="shared" si="38"/>
        <v>17.9595912507644</v>
      </c>
      <c r="AB93" s="10" t="str">
        <f t="shared" si="20"/>
        <v>-0.0386347413881306+0.376315480472431i</v>
      </c>
      <c r="AC93" s="10" t="str">
        <f t="shared" si="21"/>
        <v>-0.323863883890788-0.450201225473897i</v>
      </c>
      <c r="AD93" s="78" t="str">
        <f t="shared" si="22"/>
        <v>-0.510146712249565-0.452803825126883i</v>
      </c>
      <c r="AE93" s="79">
        <f t="shared" si="23"/>
        <v>0.59862153834699328</v>
      </c>
      <c r="AF93" s="57">
        <f t="shared" si="24"/>
        <v>-2.4156734016419845</v>
      </c>
      <c r="AG93" s="91">
        <f t="shared" si="25"/>
        <v>34.298487672911484</v>
      </c>
      <c r="AH93" s="92">
        <f t="shared" si="30"/>
        <v>138.40789059609671</v>
      </c>
      <c r="AI93" s="119"/>
    </row>
    <row r="94" spans="1:35" s="75" customFormat="1">
      <c r="A94" s="79" t="str">
        <f>IFERROR(VLOOKUP(N94,'Exp. Data Processing'!$A$23:$C$34,2,FALSE),"")</f>
        <v/>
      </c>
      <c r="B94" s="123" t="str">
        <f>IFERROR(VLOOKUP(N94,'Exp. Data Processing'!$A$23:$C$34,3,FALSE),"")</f>
        <v/>
      </c>
      <c r="C94" s="124">
        <f t="shared" si="26"/>
        <v>35.952254653618922</v>
      </c>
      <c r="D94" s="123">
        <f t="shared" si="27"/>
        <v>133.25908650316492</v>
      </c>
      <c r="E94" s="79" t="str">
        <f t="shared" si="31"/>
        <v/>
      </c>
      <c r="F94" s="123" t="str">
        <f t="shared" si="32"/>
        <v/>
      </c>
      <c r="G94" s="58">
        <f t="shared" si="2"/>
        <v>1</v>
      </c>
      <c r="H94" s="59">
        <f t="shared" si="3"/>
        <v>0</v>
      </c>
      <c r="I94" s="63">
        <f t="shared" si="33"/>
        <v>1.4830000000000001</v>
      </c>
      <c r="J94" s="11">
        <f t="shared" si="5"/>
        <v>0</v>
      </c>
      <c r="K94" s="60">
        <f t="shared" si="34"/>
        <v>14857</v>
      </c>
      <c r="L94" s="63">
        <f t="shared" si="7"/>
        <v>3.8435000000000001</v>
      </c>
      <c r="M94" s="64">
        <f t="shared" si="8"/>
        <v>1.5793000000000001E-2</v>
      </c>
      <c r="N94" s="69">
        <v>53</v>
      </c>
      <c r="O94" s="121">
        <f t="shared" si="28"/>
        <v>0.92502450355699462</v>
      </c>
      <c r="P94" s="59">
        <f t="shared" si="29"/>
        <v>6530</v>
      </c>
      <c r="Q94" s="61" t="str">
        <f t="shared" si="35"/>
        <v>1</v>
      </c>
      <c r="R94" s="56" t="str">
        <f t="shared" si="36"/>
        <v>1.483</v>
      </c>
      <c r="S94" s="62" t="str">
        <f t="shared" si="37"/>
        <v>3.8435+0.015793i</v>
      </c>
      <c r="T94" s="61" t="str">
        <f t="shared" si="12"/>
        <v>0.601815023152048</v>
      </c>
      <c r="U94" s="10" t="str">
        <f t="shared" si="13"/>
        <v>0.842608267673021</v>
      </c>
      <c r="V94" s="10" t="str">
        <f t="shared" si="14"/>
        <v>0.978174889624838+0.000181363562085658i</v>
      </c>
      <c r="W94" s="10" t="str">
        <f t="shared" si="15"/>
        <v>0.0287495897556212</v>
      </c>
      <c r="X94" s="10" t="str">
        <f t="shared" si="16"/>
        <v>-0.349882228978806</v>
      </c>
      <c r="Y94" s="10" t="str">
        <f t="shared" si="17"/>
        <v>0.381292107185395+0.00167658168514045i</v>
      </c>
      <c r="Z94" s="10" t="str">
        <f t="shared" si="18"/>
        <v>-0.501088004670806-0.00160806647089019i</v>
      </c>
      <c r="AA94" s="10" t="str">
        <f t="shared" si="38"/>
        <v>17.8634228057264</v>
      </c>
      <c r="AB94" s="10" t="str">
        <f t="shared" si="20"/>
        <v>-0.118750142632028+0.353043463581077i</v>
      </c>
      <c r="AC94" s="10" t="str">
        <f t="shared" si="21"/>
        <v>-0.242294488884225-0.452826335665366i</v>
      </c>
      <c r="AD94" s="78" t="str">
        <f t="shared" si="22"/>
        <v>-0.497026512723085-0.5281868757539i</v>
      </c>
      <c r="AE94" s="79">
        <f t="shared" si="23"/>
        <v>0.62748521722110362</v>
      </c>
      <c r="AF94" s="57">
        <f t="shared" si="24"/>
        <v>-2.3258098176801649</v>
      </c>
      <c r="AG94" s="91">
        <f t="shared" si="25"/>
        <v>35.952254653618922</v>
      </c>
      <c r="AH94" s="92">
        <f t="shared" si="30"/>
        <v>133.25908650316492</v>
      </c>
      <c r="AI94" s="119"/>
    </row>
    <row r="95" spans="1:35" s="75" customFormat="1">
      <c r="A95" s="79" t="str">
        <f>IFERROR(VLOOKUP(N95,'Exp. Data Processing'!$A$23:$C$34,2,FALSE),"")</f>
        <v/>
      </c>
      <c r="B95" s="123" t="str">
        <f>IFERROR(VLOOKUP(N95,'Exp. Data Processing'!$A$23:$C$34,3,FALSE),"")</f>
        <v/>
      </c>
      <c r="C95" s="124">
        <f t="shared" si="26"/>
        <v>38.568029342632286</v>
      </c>
      <c r="D95" s="123">
        <f t="shared" si="27"/>
        <v>128.96418395169218</v>
      </c>
      <c r="E95" s="79" t="str">
        <f t="shared" si="31"/>
        <v/>
      </c>
      <c r="F95" s="123" t="str">
        <f t="shared" si="32"/>
        <v/>
      </c>
      <c r="G95" s="58">
        <f t="shared" si="2"/>
        <v>1</v>
      </c>
      <c r="H95" s="59">
        <f t="shared" si="3"/>
        <v>0</v>
      </c>
      <c r="I95" s="63">
        <f t="shared" si="33"/>
        <v>1.4830000000000001</v>
      </c>
      <c r="J95" s="11">
        <f t="shared" si="5"/>
        <v>0</v>
      </c>
      <c r="K95" s="60">
        <f t="shared" si="34"/>
        <v>14857</v>
      </c>
      <c r="L95" s="63">
        <f t="shared" si="7"/>
        <v>3.8435000000000001</v>
      </c>
      <c r="M95" s="64">
        <f t="shared" si="8"/>
        <v>1.5793000000000001E-2</v>
      </c>
      <c r="N95" s="69">
        <v>54</v>
      </c>
      <c r="O95" s="121">
        <f t="shared" si="28"/>
        <v>0.94247779607693793</v>
      </c>
      <c r="P95" s="59">
        <f t="shared" si="29"/>
        <v>6530</v>
      </c>
      <c r="Q95" s="61" t="str">
        <f t="shared" si="35"/>
        <v>1</v>
      </c>
      <c r="R95" s="56" t="str">
        <f t="shared" si="36"/>
        <v>1.483</v>
      </c>
      <c r="S95" s="62" t="str">
        <f t="shared" si="37"/>
        <v>3.8435+0.015793i</v>
      </c>
      <c r="T95" s="61" t="str">
        <f t="shared" si="12"/>
        <v>0.587785252292474</v>
      </c>
      <c r="U95" s="10" t="str">
        <f t="shared" si="13"/>
        <v>0.838093048962717</v>
      </c>
      <c r="V95" s="10" t="str">
        <f t="shared" si="14"/>
        <v>0.97759725007077+0.00018621927519007i</v>
      </c>
      <c r="W95" s="10" t="str">
        <f t="shared" si="15"/>
        <v>0.0196472693113906</v>
      </c>
      <c r="X95" s="10" t="str">
        <f t="shared" si="16"/>
        <v>-0.357849392349537</v>
      </c>
      <c r="Y95" s="10" t="str">
        <f t="shared" si="17"/>
        <v>0.379246708054884+0.00167746024518822i</v>
      </c>
      <c r="Z95" s="10" t="str">
        <f t="shared" si="18"/>
        <v>-0.502876637353917-0.00160610708907833i</v>
      </c>
      <c r="AA95" s="10" t="str">
        <f t="shared" si="38"/>
        <v>17.7676994856773</v>
      </c>
      <c r="AB95" s="10" t="str">
        <f t="shared" si="20"/>
        <v>-0.192519586678351+0.316088256218394i</v>
      </c>
      <c r="AC95" s="10" t="str">
        <f t="shared" si="21"/>
        <v>-0.156397993442223-0.437006593866435i</v>
      </c>
      <c r="AD95" s="78" t="str">
        <f t="shared" si="22"/>
        <v>-0.501417723690726-0.619991360182443i</v>
      </c>
      <c r="AE95" s="79">
        <f t="shared" si="23"/>
        <v>0.67313909803471761</v>
      </c>
      <c r="AF95" s="57">
        <f t="shared" si="24"/>
        <v>-2.2508496271046603</v>
      </c>
      <c r="AG95" s="91">
        <f t="shared" si="25"/>
        <v>38.568029342632286</v>
      </c>
      <c r="AH95" s="92">
        <f t="shared" si="30"/>
        <v>128.96418395169218</v>
      </c>
      <c r="AI95" s="119"/>
    </row>
    <row r="96" spans="1:35" s="75" customFormat="1">
      <c r="A96" s="79">
        <f>IFERROR(VLOOKUP(N96,'Exp. Data Processing'!$A$23:$C$34,2,FALSE),"")</f>
        <v>41.437599422423631</v>
      </c>
      <c r="B96" s="123">
        <f>IFERROR(VLOOKUP(N96,'Exp. Data Processing'!$A$23:$C$34,3,FALSE),"")</f>
        <v>129.28229305675629</v>
      </c>
      <c r="C96" s="124">
        <f t="shared" si="26"/>
        <v>42.449466110732601</v>
      </c>
      <c r="D96" s="123">
        <f t="shared" si="27"/>
        <v>126.15052744666409</v>
      </c>
      <c r="E96" s="79">
        <f t="shared" si="31"/>
        <v>5.6820118158288962E-4</v>
      </c>
      <c r="F96" s="123">
        <f t="shared" si="32"/>
        <v>6.1631162599950183E-4</v>
      </c>
      <c r="G96" s="58">
        <f t="shared" si="2"/>
        <v>1</v>
      </c>
      <c r="H96" s="59">
        <f t="shared" si="3"/>
        <v>0</v>
      </c>
      <c r="I96" s="63">
        <f t="shared" si="33"/>
        <v>1.4830000000000001</v>
      </c>
      <c r="J96" s="11">
        <f t="shared" si="5"/>
        <v>0</v>
      </c>
      <c r="K96" s="60">
        <f t="shared" si="34"/>
        <v>14857</v>
      </c>
      <c r="L96" s="63">
        <f t="shared" si="7"/>
        <v>3.8435000000000001</v>
      </c>
      <c r="M96" s="64">
        <f t="shared" si="8"/>
        <v>1.5793000000000001E-2</v>
      </c>
      <c r="N96" s="69">
        <v>55</v>
      </c>
      <c r="O96" s="121">
        <f t="shared" si="28"/>
        <v>0.95993108859688125</v>
      </c>
      <c r="P96" s="59">
        <f t="shared" si="29"/>
        <v>6530</v>
      </c>
      <c r="Q96" s="61" t="str">
        <f t="shared" si="35"/>
        <v>1</v>
      </c>
      <c r="R96" s="56" t="str">
        <f t="shared" si="36"/>
        <v>1.483</v>
      </c>
      <c r="S96" s="62" t="str">
        <f t="shared" si="37"/>
        <v>3.8435+0.015793i</v>
      </c>
      <c r="T96" s="61" t="str">
        <f t="shared" si="12"/>
        <v>0.573576436351045</v>
      </c>
      <c r="U96" s="10" t="str">
        <f t="shared" si="13"/>
        <v>0.833604713380627</v>
      </c>
      <c r="V96" s="10" t="str">
        <f t="shared" si="14"/>
        <v>0.977025789992353+0.000191025931087958i</v>
      </c>
      <c r="W96" s="10" t="str">
        <f t="shared" si="15"/>
        <v>0.0100991296772309</v>
      </c>
      <c r="X96" s="10" t="str">
        <f t="shared" si="16"/>
        <v>-0.366148125183782</v>
      </c>
      <c r="Y96" s="10" t="str">
        <f t="shared" si="17"/>
        <v>0.377196415927988+0.00167834124817321i</v>
      </c>
      <c r="Z96" s="10" t="str">
        <f t="shared" si="18"/>
        <v>-0.504661998980765-0.00160411499035908i</v>
      </c>
      <c r="AA96" s="10" t="str">
        <f t="shared" si="38"/>
        <v>17.6725460920152</v>
      </c>
      <c r="AB96" s="10" t="str">
        <f t="shared" si="20"/>
        <v>-0.257203067709232+0.267526893876698i</v>
      </c>
      <c r="AC96" s="10" t="str">
        <f t="shared" si="21"/>
        <v>-0.0702885278582081-0.399580430634154i</v>
      </c>
      <c r="AD96" s="78" t="str">
        <f t="shared" si="22"/>
        <v>-0.539595320407907-0.738600806729937i</v>
      </c>
      <c r="AE96" s="79">
        <f t="shared" si="23"/>
        <v>0.74088294934603571</v>
      </c>
      <c r="AF96" s="57">
        <f t="shared" si="24"/>
        <v>-2.2017420570717636</v>
      </c>
      <c r="AG96" s="91">
        <f t="shared" si="25"/>
        <v>42.449466110732601</v>
      </c>
      <c r="AH96" s="92">
        <f t="shared" si="30"/>
        <v>126.15052744666409</v>
      </c>
      <c r="AI96" s="119"/>
    </row>
    <row r="97" spans="1:35" s="75" customFormat="1">
      <c r="A97" s="79" t="str">
        <f>IFERROR(VLOOKUP(N97,'Exp. Data Processing'!$A$23:$C$34,2,FALSE),"")</f>
        <v/>
      </c>
      <c r="B97" s="123" t="str">
        <f>IFERROR(VLOOKUP(N97,'Exp. Data Processing'!$A$23:$C$34,3,FALSE),"")</f>
        <v/>
      </c>
      <c r="C97" s="124">
        <f t="shared" si="26"/>
        <v>47.939387937360401</v>
      </c>
      <c r="D97" s="123">
        <f t="shared" si="27"/>
        <v>125.75144270271666</v>
      </c>
      <c r="E97" s="79" t="str">
        <f t="shared" si="31"/>
        <v/>
      </c>
      <c r="F97" s="123" t="str">
        <f t="shared" si="32"/>
        <v/>
      </c>
      <c r="G97" s="58">
        <f t="shared" si="2"/>
        <v>1</v>
      </c>
      <c r="H97" s="59">
        <f t="shared" si="3"/>
        <v>0</v>
      </c>
      <c r="I97" s="63">
        <f t="shared" si="33"/>
        <v>1.4830000000000001</v>
      </c>
      <c r="J97" s="11">
        <f t="shared" si="5"/>
        <v>0</v>
      </c>
      <c r="K97" s="60">
        <f t="shared" si="34"/>
        <v>14857</v>
      </c>
      <c r="L97" s="63">
        <f t="shared" si="7"/>
        <v>3.8435000000000001</v>
      </c>
      <c r="M97" s="64">
        <f t="shared" si="8"/>
        <v>1.5793000000000001E-2</v>
      </c>
      <c r="N97" s="69">
        <v>56</v>
      </c>
      <c r="O97" s="121">
        <f t="shared" si="28"/>
        <v>0.97738438111682457</v>
      </c>
      <c r="P97" s="59">
        <f t="shared" si="29"/>
        <v>6530</v>
      </c>
      <c r="Q97" s="61" t="str">
        <f t="shared" si="35"/>
        <v>1</v>
      </c>
      <c r="R97" s="56" t="str">
        <f t="shared" si="36"/>
        <v>1.483</v>
      </c>
      <c r="S97" s="62" t="str">
        <f t="shared" si="37"/>
        <v>3.8435+0.015793i</v>
      </c>
      <c r="T97" s="61" t="str">
        <f t="shared" si="12"/>
        <v>0.559192903470747</v>
      </c>
      <c r="U97" s="10" t="str">
        <f t="shared" si="13"/>
        <v>0.829149210048618</v>
      </c>
      <c r="V97" s="10" t="str">
        <f t="shared" si="14"/>
        <v>0.976461217080739+0.000195777483721371i</v>
      </c>
      <c r="W97" s="10" t="str">
        <f t="shared" si="15"/>
        <v>0.0000807182781223729</v>
      </c>
      <c r="X97" s="10" t="str">
        <f t="shared" si="16"/>
        <v>-0.374791724174434</v>
      </c>
      <c r="Y97" s="10" t="str">
        <f t="shared" si="17"/>
        <v>0.37514409402681+0.00167922331727923i</v>
      </c>
      <c r="Z97" s="10" t="str">
        <f t="shared" si="18"/>
        <v>-0.506441605786263-0.00160209334926025i</v>
      </c>
      <c r="AA97" s="10" t="str">
        <f t="shared" si="38"/>
        <v>17.578088747024</v>
      </c>
      <c r="AB97" s="10" t="str">
        <f t="shared" si="20"/>
        <v>-0.310773523136051+0.210030027728926i</v>
      </c>
      <c r="AC97" s="10" t="str">
        <f t="shared" si="21"/>
        <v>0.0100372984481408-0.338303212483376i</v>
      </c>
      <c r="AD97" s="78" t="str">
        <f t="shared" si="22"/>
        <v>-0.647518831271986-0.899412633838748i</v>
      </c>
      <c r="AE97" s="79">
        <f t="shared" si="23"/>
        <v>0.83670016089779209</v>
      </c>
      <c r="AF97" s="57">
        <f t="shared" si="24"/>
        <v>-2.1947767142954024</v>
      </c>
      <c r="AG97" s="91">
        <f t="shared" si="25"/>
        <v>47.939387937360401</v>
      </c>
      <c r="AH97" s="92">
        <f t="shared" si="30"/>
        <v>125.75144270271666</v>
      </c>
      <c r="AI97" s="119"/>
    </row>
    <row r="98" spans="1:35" s="75" customFormat="1">
      <c r="A98" s="79" t="str">
        <f>IFERROR(VLOOKUP(N98,'Exp. Data Processing'!$A$23:$C$34,2,FALSE),"")</f>
        <v/>
      </c>
      <c r="B98" s="123" t="str">
        <f>IFERROR(VLOOKUP(N98,'Exp. Data Processing'!$A$23:$C$34,3,FALSE),"")</f>
        <v/>
      </c>
      <c r="C98" s="124">
        <f t="shared" si="26"/>
        <v>55.263990539550505</v>
      </c>
      <c r="D98" s="123">
        <f t="shared" si="27"/>
        <v>129.49638291025531</v>
      </c>
      <c r="E98" s="79" t="str">
        <f t="shared" si="31"/>
        <v/>
      </c>
      <c r="F98" s="123" t="str">
        <f t="shared" si="32"/>
        <v/>
      </c>
      <c r="G98" s="58">
        <f t="shared" si="2"/>
        <v>1</v>
      </c>
      <c r="H98" s="59">
        <f t="shared" si="3"/>
        <v>0</v>
      </c>
      <c r="I98" s="63">
        <f t="shared" si="33"/>
        <v>1.4830000000000001</v>
      </c>
      <c r="J98" s="11">
        <f t="shared" si="5"/>
        <v>0</v>
      </c>
      <c r="K98" s="60">
        <f t="shared" si="34"/>
        <v>14857</v>
      </c>
      <c r="L98" s="63">
        <f t="shared" si="7"/>
        <v>3.8435000000000001</v>
      </c>
      <c r="M98" s="64">
        <f t="shared" si="8"/>
        <v>1.5793000000000001E-2</v>
      </c>
      <c r="N98" s="69">
        <v>57</v>
      </c>
      <c r="O98" s="121">
        <f t="shared" si="28"/>
        <v>0.99483767363676789</v>
      </c>
      <c r="P98" s="59">
        <f t="shared" si="29"/>
        <v>6530</v>
      </c>
      <c r="Q98" s="61" t="str">
        <f t="shared" si="35"/>
        <v>1</v>
      </c>
      <c r="R98" s="56" t="str">
        <f t="shared" si="36"/>
        <v>1.483</v>
      </c>
      <c r="S98" s="62" t="str">
        <f t="shared" si="37"/>
        <v>3.8435+0.015793i</v>
      </c>
      <c r="T98" s="61" t="str">
        <f t="shared" si="12"/>
        <v>0.544639035015027</v>
      </c>
      <c r="U98" s="10" t="str">
        <f t="shared" si="13"/>
        <v>0.824732543181288</v>
      </c>
      <c r="V98" s="10" t="str">
        <f t="shared" si="14"/>
        <v>0.97590423172491+0.000200467935283204i</v>
      </c>
      <c r="W98" s="10" t="str">
        <f t="shared" si="15"/>
        <v>-0.01043403451548</v>
      </c>
      <c r="X98" s="10" t="str">
        <f t="shared" si="16"/>
        <v>-0.383793997754283</v>
      </c>
      <c r="Y98" s="10" t="str">
        <f t="shared" si="17"/>
        <v>0.373092725099685+0.00168010502429769i</v>
      </c>
      <c r="Z98" s="10" t="str">
        <f t="shared" si="18"/>
        <v>-0.508212912837337-0.00160004560813195i</v>
      </c>
      <c r="AA98" s="10" t="str">
        <f t="shared" si="38"/>
        <v>17.4844547409621</v>
      </c>
      <c r="AB98" s="10" t="str">
        <f t="shared" si="20"/>
        <v>-0.352037173547464+0.146587469072694i</v>
      </c>
      <c r="AC98" s="10" t="str">
        <f t="shared" si="21"/>
        <v>0.0768174489806227-0.253000293050192i</v>
      </c>
      <c r="AD98" s="78" t="str">
        <f t="shared" si="22"/>
        <v>-0.917310930979201-1.11293028364889i</v>
      </c>
      <c r="AE98" s="79">
        <f t="shared" si="23"/>
        <v>0.96453859270615383</v>
      </c>
      <c r="AF98" s="57">
        <f t="shared" si="24"/>
        <v>-2.2601382512072719</v>
      </c>
      <c r="AG98" s="91">
        <f t="shared" si="25"/>
        <v>55.263990539550505</v>
      </c>
      <c r="AH98" s="92">
        <f t="shared" si="30"/>
        <v>129.49638291025531</v>
      </c>
      <c r="AI98" s="119"/>
    </row>
    <row r="99" spans="1:35" s="75" customFormat="1">
      <c r="A99" s="79" t="str">
        <f>IFERROR(VLOOKUP(N99,'Exp. Data Processing'!$A$23:$C$34,2,FALSE),"")</f>
        <v/>
      </c>
      <c r="B99" s="123" t="str">
        <f>IFERROR(VLOOKUP(N99,'Exp. Data Processing'!$A$23:$C$34,3,FALSE),"")</f>
        <v/>
      </c>
      <c r="C99" s="124">
        <f t="shared" si="26"/>
        <v>63.904657591686522</v>
      </c>
      <c r="D99" s="123">
        <f t="shared" si="27"/>
        <v>141.49369001241485</v>
      </c>
      <c r="E99" s="79" t="str">
        <f t="shared" si="31"/>
        <v/>
      </c>
      <c r="F99" s="123" t="str">
        <f t="shared" si="32"/>
        <v/>
      </c>
      <c r="G99" s="58">
        <f t="shared" si="2"/>
        <v>1</v>
      </c>
      <c r="H99" s="59">
        <f t="shared" si="3"/>
        <v>0</v>
      </c>
      <c r="I99" s="63">
        <f t="shared" si="33"/>
        <v>1.4830000000000001</v>
      </c>
      <c r="J99" s="11">
        <f t="shared" si="5"/>
        <v>0</v>
      </c>
      <c r="K99" s="60">
        <f t="shared" si="34"/>
        <v>14857</v>
      </c>
      <c r="L99" s="63">
        <f t="shared" si="7"/>
        <v>3.8435000000000001</v>
      </c>
      <c r="M99" s="64">
        <f t="shared" si="8"/>
        <v>1.5793000000000001E-2</v>
      </c>
      <c r="N99" s="69">
        <v>58</v>
      </c>
      <c r="O99" s="121">
        <f t="shared" si="28"/>
        <v>1.0122909661567112</v>
      </c>
      <c r="P99" s="59">
        <f t="shared" si="29"/>
        <v>6530</v>
      </c>
      <c r="Q99" s="61" t="str">
        <f t="shared" si="35"/>
        <v>1</v>
      </c>
      <c r="R99" s="56" t="str">
        <f t="shared" si="36"/>
        <v>1.483</v>
      </c>
      <c r="S99" s="62" t="str">
        <f t="shared" si="37"/>
        <v>3.8435+0.015793i</v>
      </c>
      <c r="T99" s="61" t="str">
        <f t="shared" si="12"/>
        <v>0.529919264233205</v>
      </c>
      <c r="U99" s="10" t="str">
        <f t="shared" si="13"/>
        <v>0.820360764254902</v>
      </c>
      <c r="V99" s="10" t="str">
        <f t="shared" si="14"/>
        <v>0.975355526099337+0.000205091344485641i</v>
      </c>
      <c r="W99" s="10" t="str">
        <f t="shared" si="15"/>
        <v>-0.0214729355155213</v>
      </c>
      <c r="X99" s="10" t="str">
        <f t="shared" si="16"/>
        <v>-0.393169273194427</v>
      </c>
      <c r="Y99" s="10" t="str">
        <f t="shared" si="17"/>
        <v>0.371045409552438+0.00168098489249377i</v>
      </c>
      <c r="Z99" s="10" t="str">
        <f t="shared" si="18"/>
        <v>-0.509973317161676-0.00159797547580679i</v>
      </c>
      <c r="AA99" s="10" t="str">
        <f t="shared" si="38"/>
        <v>17.391772366042</v>
      </c>
      <c r="AB99" s="10" t="str">
        <f t="shared" si="20"/>
        <v>-0.380639210803613+0.0802254088910997i</v>
      </c>
      <c r="AC99" s="10" t="str">
        <f t="shared" si="21"/>
        <v>0.121428221759595-0.146823556697073i</v>
      </c>
      <c r="AD99" s="78" t="str">
        <f t="shared" si="22"/>
        <v>-1.59769077614679-1.27114793520134i</v>
      </c>
      <c r="AE99" s="79">
        <f t="shared" si="23"/>
        <v>1.1153466823345199</v>
      </c>
      <c r="AF99" s="57">
        <f t="shared" si="24"/>
        <v>-2.4695307615128552</v>
      </c>
      <c r="AG99" s="91">
        <f t="shared" si="25"/>
        <v>63.904657591686522</v>
      </c>
      <c r="AH99" s="92">
        <f t="shared" si="30"/>
        <v>141.49369001241485</v>
      </c>
      <c r="AI99" s="119"/>
    </row>
    <row r="100" spans="1:35" s="75" customFormat="1">
      <c r="A100" s="79" t="str">
        <f>IFERROR(VLOOKUP(N100,'Exp. Data Processing'!$A$23:$C$34,2,FALSE),"")</f>
        <v/>
      </c>
      <c r="B100" s="123" t="str">
        <f>IFERROR(VLOOKUP(N100,'Exp. Data Processing'!$A$23:$C$34,3,FALSE),"")</f>
        <v/>
      </c>
      <c r="C100" s="124">
        <f t="shared" si="26"/>
        <v>70.728218977970414</v>
      </c>
      <c r="D100" s="123">
        <f t="shared" si="27"/>
        <v>170.78090452466</v>
      </c>
      <c r="E100" s="79" t="str">
        <f t="shared" si="31"/>
        <v/>
      </c>
      <c r="F100" s="123" t="str">
        <f t="shared" si="32"/>
        <v/>
      </c>
      <c r="G100" s="58">
        <f t="shared" si="2"/>
        <v>1</v>
      </c>
      <c r="H100" s="59">
        <f t="shared" si="3"/>
        <v>0</v>
      </c>
      <c r="I100" s="63">
        <f t="shared" si="33"/>
        <v>1.4830000000000001</v>
      </c>
      <c r="J100" s="11">
        <f t="shared" si="5"/>
        <v>0</v>
      </c>
      <c r="K100" s="60">
        <f t="shared" si="34"/>
        <v>14857</v>
      </c>
      <c r="L100" s="63">
        <f t="shared" si="7"/>
        <v>3.8435000000000001</v>
      </c>
      <c r="M100" s="64">
        <f t="shared" si="8"/>
        <v>1.5793000000000001E-2</v>
      </c>
      <c r="N100" s="69">
        <v>59</v>
      </c>
      <c r="O100" s="121">
        <f t="shared" si="28"/>
        <v>1.0297442586766545</v>
      </c>
      <c r="P100" s="59">
        <f t="shared" si="29"/>
        <v>6530</v>
      </c>
      <c r="Q100" s="61" t="str">
        <f t="shared" si="35"/>
        <v>1</v>
      </c>
      <c r="R100" s="56" t="str">
        <f t="shared" si="36"/>
        <v>1.483</v>
      </c>
      <c r="S100" s="62" t="str">
        <f t="shared" si="37"/>
        <v>3.8435+0.015793i</v>
      </c>
      <c r="T100" s="61" t="str">
        <f t="shared" si="12"/>
        <v>0.515038074910055</v>
      </c>
      <c r="U100" s="10" t="str">
        <f t="shared" si="13"/>
        <v>0.816039963536756</v>
      </c>
      <c r="V100" s="10" t="str">
        <f t="shared" si="14"/>
        <v>0.97481578325631+0.000209641834856406i</v>
      </c>
      <c r="W100" s="10" t="str">
        <f t="shared" si="15"/>
        <v>-0.0330656593114525</v>
      </c>
      <c r="X100" s="10" t="str">
        <f t="shared" si="16"/>
        <v>-0.402932402255625</v>
      </c>
      <c r="Y100" s="10" t="str">
        <f t="shared" si="17"/>
        <v>0.36900536272736+0.00168186139990334i</v>
      </c>
      <c r="Z100" s="10" t="str">
        <f t="shared" si="18"/>
        <v>-0.511720161369797-0.00159588692446466i</v>
      </c>
      <c r="AA100" s="10" t="str">
        <f t="shared" si="38"/>
        <v>17.3001707368524</v>
      </c>
      <c r="AB100" s="10" t="str">
        <f t="shared" si="20"/>
        <v>-0.396971056165913+0.0137633976139048i</v>
      </c>
      <c r="AC100" s="10" t="str">
        <f t="shared" si="21"/>
        <v>0.136233997908139-0.0269869288412856i</v>
      </c>
      <c r="AD100" s="78" t="str">
        <f t="shared" si="22"/>
        <v>-2.82312296286937-0.458211766914026i</v>
      </c>
      <c r="AE100" s="79">
        <f t="shared" si="23"/>
        <v>1.2344402952371225</v>
      </c>
      <c r="AF100" s="57">
        <f t="shared" si="24"/>
        <v>-2.9806890834893984</v>
      </c>
      <c r="AG100" s="91">
        <f t="shared" si="25"/>
        <v>70.728218977970414</v>
      </c>
      <c r="AH100" s="92">
        <f t="shared" si="30"/>
        <v>170.78090452466</v>
      </c>
      <c r="AI100" s="119"/>
    </row>
    <row r="101" spans="1:35" s="75" customFormat="1">
      <c r="A101" s="79">
        <f>IFERROR(VLOOKUP(N101,'Exp. Data Processing'!$A$23:$C$34,2,FALSE),"")</f>
        <v>64.396405593318363</v>
      </c>
      <c r="B101" s="123">
        <f>IFERROR(VLOOKUP(N101,'Exp. Data Processing'!$A$23:$C$34,3,FALSE),"")</f>
        <v>147.70171196832246</v>
      </c>
      <c r="C101" s="124">
        <f t="shared" si="26"/>
        <v>69.537141472658888</v>
      </c>
      <c r="D101" s="123">
        <f t="shared" si="27"/>
        <v>147.82099181378527</v>
      </c>
      <c r="E101" s="79">
        <f t="shared" si="31"/>
        <v>5.4653366060555628E-3</v>
      </c>
      <c r="F101" s="123">
        <f t="shared" si="32"/>
        <v>6.5112131385062915E-7</v>
      </c>
      <c r="G101" s="58">
        <f t="shared" si="2"/>
        <v>1</v>
      </c>
      <c r="H101" s="59">
        <f t="shared" si="3"/>
        <v>0</v>
      </c>
      <c r="I101" s="63">
        <f t="shared" si="33"/>
        <v>1.4830000000000001</v>
      </c>
      <c r="J101" s="11">
        <f t="shared" si="5"/>
        <v>0</v>
      </c>
      <c r="K101" s="60">
        <f t="shared" si="34"/>
        <v>14857</v>
      </c>
      <c r="L101" s="63">
        <f t="shared" si="7"/>
        <v>3.8435000000000001</v>
      </c>
      <c r="M101" s="64">
        <f t="shared" si="8"/>
        <v>1.5793000000000001E-2</v>
      </c>
      <c r="N101" s="69">
        <v>60</v>
      </c>
      <c r="O101" s="121">
        <f t="shared" si="28"/>
        <v>1.0471975511965976</v>
      </c>
      <c r="P101" s="59">
        <f t="shared" si="29"/>
        <v>6530</v>
      </c>
      <c r="Q101" s="61" t="str">
        <f t="shared" si="35"/>
        <v>1</v>
      </c>
      <c r="R101" s="56" t="str">
        <f t="shared" si="36"/>
        <v>1.483</v>
      </c>
      <c r="S101" s="62" t="str">
        <f t="shared" si="37"/>
        <v>3.8435+0.015793i</v>
      </c>
      <c r="T101" s="61" t="str">
        <f t="shared" si="12"/>
        <v>0.499999999999999</v>
      </c>
      <c r="U101" s="10" t="str">
        <f t="shared" si="13"/>
        <v>0.811776260956676</v>
      </c>
      <c r="V101" s="10" t="str">
        <f t="shared" si="14"/>
        <v>0.974285676224226+0.000214113603048757i</v>
      </c>
      <c r="W101" s="10" t="str">
        <f t="shared" si="15"/>
        <v>-0.045243890428991</v>
      </c>
      <c r="X101" s="10" t="str">
        <f t="shared" si="16"/>
        <v>-0.413098765186076</v>
      </c>
      <c r="Y101" s="10" t="str">
        <f t="shared" si="17"/>
        <v>0.36697591126594+0.00168273298305795i</v>
      </c>
      <c r="Z101" s="10" t="str">
        <f t="shared" si="18"/>
        <v>-0.513450737790702-0.00159378418458488i</v>
      </c>
      <c r="AA101" s="10" t="str">
        <f t="shared" si="38"/>
        <v>17.2097795968316</v>
      </c>
      <c r="AB101" s="10" t="str">
        <f t="shared" si="20"/>
        <v>-0.402013222842384-0.0503583906942545i</v>
      </c>
      <c r="AC101" s="10" t="str">
        <f t="shared" si="21"/>
        <v>0.116958929931908+0.0957945692619156i</v>
      </c>
      <c r="AD101" s="78" t="str">
        <f t="shared" si="22"/>
        <v>-2.26824980731351+1.42723281303061i</v>
      </c>
      <c r="AE101" s="79">
        <f t="shared" si="23"/>
        <v>1.2136520711229961</v>
      </c>
      <c r="AF101" s="57">
        <f t="shared" si="24"/>
        <v>2.5799630107141374</v>
      </c>
      <c r="AG101" s="91">
        <f t="shared" si="25"/>
        <v>69.537141472658888</v>
      </c>
      <c r="AH101" s="92">
        <f t="shared" si="30"/>
        <v>147.82099181378527</v>
      </c>
      <c r="AI101" s="119"/>
    </row>
    <row r="102" spans="1:35" s="75" customFormat="1">
      <c r="A102" s="79" t="str">
        <f>IFERROR(VLOOKUP(N102,'Exp. Data Processing'!$A$23:$C$34,2,FALSE),"")</f>
        <v/>
      </c>
      <c r="B102" s="123" t="str">
        <f>IFERROR(VLOOKUP(N102,'Exp. Data Processing'!$A$23:$C$34,3,FALSE),"")</f>
        <v/>
      </c>
      <c r="C102" s="124">
        <f t="shared" si="26"/>
        <v>61.997620542444849</v>
      </c>
      <c r="D102" s="123">
        <f t="shared" si="27"/>
        <v>122.61564565550469</v>
      </c>
      <c r="E102" s="79" t="str">
        <f t="shared" si="31"/>
        <v/>
      </c>
      <c r="F102" s="123" t="str">
        <f t="shared" si="32"/>
        <v/>
      </c>
      <c r="G102" s="58">
        <f t="shared" si="2"/>
        <v>1</v>
      </c>
      <c r="H102" s="59">
        <f t="shared" si="3"/>
        <v>0</v>
      </c>
      <c r="I102" s="63">
        <f t="shared" si="33"/>
        <v>1.4830000000000001</v>
      </c>
      <c r="J102" s="11">
        <f t="shared" si="5"/>
        <v>0</v>
      </c>
      <c r="K102" s="60">
        <f t="shared" si="34"/>
        <v>14857</v>
      </c>
      <c r="L102" s="63">
        <f t="shared" si="7"/>
        <v>3.8435000000000001</v>
      </c>
      <c r="M102" s="64">
        <f t="shared" si="8"/>
        <v>1.5793000000000001E-2</v>
      </c>
      <c r="N102" s="69">
        <v>61</v>
      </c>
      <c r="O102" s="121">
        <f t="shared" si="28"/>
        <v>1.064650843716541</v>
      </c>
      <c r="P102" s="59">
        <f t="shared" si="29"/>
        <v>6530</v>
      </c>
      <c r="Q102" s="61" t="str">
        <f t="shared" si="35"/>
        <v>1</v>
      </c>
      <c r="R102" s="56" t="str">
        <f t="shared" si="36"/>
        <v>1.483</v>
      </c>
      <c r="S102" s="62" t="str">
        <f t="shared" si="37"/>
        <v>3.8435+0.015793i</v>
      </c>
      <c r="T102" s="61" t="str">
        <f t="shared" si="12"/>
        <v>0.484809620246337</v>
      </c>
      <c r="U102" s="10" t="str">
        <f t="shared" si="13"/>
        <v>0.807575796306305</v>
      </c>
      <c r="V102" s="10" t="str">
        <f t="shared" si="14"/>
        <v>0.973765867113337+0.000218500927149879i</v>
      </c>
      <c r="W102" s="10" t="str">
        <f t="shared" si="15"/>
        <v>-0.0580414782896726</v>
      </c>
      <c r="X102" s="10" t="str">
        <f t="shared" si="16"/>
        <v>-0.423684272847451</v>
      </c>
      <c r="Y102" s="10" t="str">
        <f t="shared" si="17"/>
        <v>0.364960488494456+0.001683598041131i</v>
      </c>
      <c r="Z102" s="10" t="str">
        <f t="shared" si="18"/>
        <v>-0.515162293138661-0.00159167173787636i</v>
      </c>
      <c r="AA102" s="10" t="str">
        <f t="shared" si="38"/>
        <v>17.120729110492</v>
      </c>
      <c r="AB102" s="10" t="str">
        <f t="shared" si="20"/>
        <v>-0.397152700053746-0.110172445823987i</v>
      </c>
      <c r="AC102" s="10" t="str">
        <f t="shared" si="21"/>
        <v>0.0644851607673305+0.209464965954224i</v>
      </c>
      <c r="AD102" s="78" t="str">
        <f t="shared" si="22"/>
        <v>-1.01361153886204+1.5839870667781i</v>
      </c>
      <c r="AE102" s="79">
        <f t="shared" si="23"/>
        <v>1.0820626068677355</v>
      </c>
      <c r="AF102" s="57">
        <f t="shared" si="24"/>
        <v>2.1400467311472378</v>
      </c>
      <c r="AG102" s="91">
        <f t="shared" si="25"/>
        <v>61.997620542444849</v>
      </c>
      <c r="AH102" s="92">
        <f t="shared" si="30"/>
        <v>122.61564565550469</v>
      </c>
      <c r="AI102" s="119"/>
    </row>
    <row r="103" spans="1:35" s="75" customFormat="1">
      <c r="A103" s="79" t="str">
        <f>IFERROR(VLOOKUP(N103,'Exp. Data Processing'!$A$23:$C$34,2,FALSE),"")</f>
        <v/>
      </c>
      <c r="B103" s="123" t="str">
        <f>IFERROR(VLOOKUP(N103,'Exp. Data Processing'!$A$23:$C$34,3,FALSE),"")</f>
        <v/>
      </c>
      <c r="C103" s="124">
        <f t="shared" si="26"/>
        <v>53.946810110593624</v>
      </c>
      <c r="D103" s="123">
        <f t="shared" si="27"/>
        <v>110.31232521028227</v>
      </c>
      <c r="E103" s="79" t="str">
        <f t="shared" si="31"/>
        <v/>
      </c>
      <c r="F103" s="123" t="str">
        <f t="shared" si="32"/>
        <v/>
      </c>
      <c r="G103" s="58">
        <f t="shared" si="2"/>
        <v>1</v>
      </c>
      <c r="H103" s="59">
        <f t="shared" si="3"/>
        <v>0</v>
      </c>
      <c r="I103" s="63">
        <f t="shared" si="33"/>
        <v>1.4830000000000001</v>
      </c>
      <c r="J103" s="11">
        <f t="shared" si="5"/>
        <v>0</v>
      </c>
      <c r="K103" s="60">
        <f t="shared" si="34"/>
        <v>14857</v>
      </c>
      <c r="L103" s="63">
        <f t="shared" si="7"/>
        <v>3.8435000000000001</v>
      </c>
      <c r="M103" s="64">
        <f t="shared" si="8"/>
        <v>1.5793000000000001E-2</v>
      </c>
      <c r="N103" s="69">
        <v>62</v>
      </c>
      <c r="O103" s="121">
        <f t="shared" si="28"/>
        <v>1.0821041362364843</v>
      </c>
      <c r="P103" s="59">
        <f t="shared" si="29"/>
        <v>6530</v>
      </c>
      <c r="Q103" s="61" t="str">
        <f t="shared" si="35"/>
        <v>1</v>
      </c>
      <c r="R103" s="56" t="str">
        <f t="shared" si="36"/>
        <v>1.483</v>
      </c>
      <c r="S103" s="62" t="str">
        <f t="shared" si="37"/>
        <v>3.8435+0.015793i</v>
      </c>
      <c r="T103" s="61" t="str">
        <f t="shared" si="12"/>
        <v>0.46947156278589</v>
      </c>
      <c r="U103" s="10" t="str">
        <f t="shared" si="13"/>
        <v>0.803444718756075</v>
      </c>
      <c r="V103" s="10" t="str">
        <f t="shared" si="14"/>
        <v>0.973257006230308+0.00022279817497194i</v>
      </c>
      <c r="W103" s="10" t="str">
        <f t="shared" si="15"/>
        <v>-0.071494606370044</v>
      </c>
      <c r="X103" s="10" t="str">
        <f t="shared" si="16"/>
        <v>-0.434705366740206</v>
      </c>
      <c r="Y103" s="10" t="str">
        <f t="shared" si="17"/>
        <v>0.362962628775762+0.00168445494049331i</v>
      </c>
      <c r="Z103" s="10" t="str">
        <f t="shared" si="18"/>
        <v>-0.516852033725491-0.00158955430808768i</v>
      </c>
      <c r="AA103" s="10" t="str">
        <f t="shared" si="38"/>
        <v>17.0331496411773</v>
      </c>
      <c r="AB103" s="10" t="str">
        <f t="shared" si="20"/>
        <v>-0.384007833468743-0.164206221001477i</v>
      </c>
      <c r="AC103" s="10" t="str">
        <f t="shared" si="21"/>
        <v>-0.015062593056848+0.303654840869024i</v>
      </c>
      <c r="AD103" s="78" t="str">
        <f t="shared" si="22"/>
        <v>-0.476862067328127+1.28827392184367i</v>
      </c>
      <c r="AE103" s="79">
        <f t="shared" si="23"/>
        <v>0.94154945737802509</v>
      </c>
      <c r="AF103" s="57">
        <f t="shared" si="24"/>
        <v>1.9253132804501718</v>
      </c>
      <c r="AG103" s="91">
        <f t="shared" si="25"/>
        <v>53.946810110593624</v>
      </c>
      <c r="AH103" s="92">
        <f t="shared" si="30"/>
        <v>110.31232521028227</v>
      </c>
      <c r="AI103" s="119"/>
    </row>
    <row r="104" spans="1:35" s="75" customFormat="1">
      <c r="A104" s="79" t="str">
        <f>IFERROR(VLOOKUP(N104,'Exp. Data Processing'!$A$23:$C$34,2,FALSE),"")</f>
        <v/>
      </c>
      <c r="B104" s="123" t="str">
        <f>IFERROR(VLOOKUP(N104,'Exp. Data Processing'!$A$23:$C$34,3,FALSE),"")</f>
        <v/>
      </c>
      <c r="C104" s="124">
        <f t="shared" si="26"/>
        <v>47.302911931357073</v>
      </c>
      <c r="D104" s="123">
        <f t="shared" si="27"/>
        <v>103.36175819882382</v>
      </c>
      <c r="E104" s="79" t="str">
        <f t="shared" si="31"/>
        <v/>
      </c>
      <c r="F104" s="123" t="str">
        <f t="shared" si="32"/>
        <v/>
      </c>
      <c r="G104" s="58">
        <f t="shared" si="2"/>
        <v>1</v>
      </c>
      <c r="H104" s="59">
        <f t="shared" si="3"/>
        <v>0</v>
      </c>
      <c r="I104" s="63">
        <f t="shared" si="33"/>
        <v>1.4830000000000001</v>
      </c>
      <c r="J104" s="11">
        <f t="shared" si="5"/>
        <v>0</v>
      </c>
      <c r="K104" s="60">
        <f t="shared" si="34"/>
        <v>14857</v>
      </c>
      <c r="L104" s="63">
        <f t="shared" si="7"/>
        <v>3.8435000000000001</v>
      </c>
      <c r="M104" s="64">
        <f t="shared" si="8"/>
        <v>1.5793000000000001E-2</v>
      </c>
      <c r="N104" s="69">
        <v>63</v>
      </c>
      <c r="O104" s="121">
        <f t="shared" si="28"/>
        <v>1.0995574287564276</v>
      </c>
      <c r="P104" s="59">
        <f t="shared" si="29"/>
        <v>6530</v>
      </c>
      <c r="Q104" s="61" t="str">
        <f t="shared" si="35"/>
        <v>1</v>
      </c>
      <c r="R104" s="56" t="str">
        <f t="shared" si="36"/>
        <v>1.483</v>
      </c>
      <c r="S104" s="62" t="str">
        <f t="shared" si="37"/>
        <v>3.8435+0.015793i</v>
      </c>
      <c r="T104" s="61" t="str">
        <f t="shared" si="12"/>
        <v>0.453990499739546</v>
      </c>
      <c r="U104" s="10" t="str">
        <f t="shared" si="13"/>
        <v>0.799389175685037</v>
      </c>
      <c r="V104" s="10" t="str">
        <f t="shared" si="14"/>
        <v>0.972759731203139+0.000226999812309099i</v>
      </c>
      <c r="W104" s="10" t="str">
        <f t="shared" si="15"/>
        <v>-0.0856419771458465</v>
      </c>
      <c r="X104" s="10" t="str">
        <f t="shared" si="16"/>
        <v>-0.446179016689644</v>
      </c>
      <c r="Y104" s="10" t="str">
        <f t="shared" si="17"/>
        <v>0.360985960776359+0.00168530201966098i</v>
      </c>
      <c r="Z104" s="10" t="str">
        <f t="shared" si="18"/>
        <v>-0.518517131228825-0.00158743684961239i</v>
      </c>
      <c r="AA104" s="10" t="str">
        <f t="shared" si="38"/>
        <v>16.9471715142538</v>
      </c>
      <c r="AB104" s="10" t="str">
        <f t="shared" si="20"/>
        <v>-0.364282103599886-0.211451985811318i</v>
      </c>
      <c r="AC104" s="10" t="str">
        <f t="shared" si="21"/>
        <v>-0.112145194349322+0.372104921660687i</v>
      </c>
      <c r="AD104" s="78" t="str">
        <f t="shared" si="22"/>
        <v>-0.250464669072228+1.05446203409377i</v>
      </c>
      <c r="AE104" s="79">
        <f t="shared" si="23"/>
        <v>0.82559155898309089</v>
      </c>
      <c r="AF104" s="57">
        <f t="shared" si="24"/>
        <v>1.8040030012197195</v>
      </c>
      <c r="AG104" s="91">
        <f t="shared" si="25"/>
        <v>47.302911931357073</v>
      </c>
      <c r="AH104" s="92">
        <f t="shared" si="30"/>
        <v>103.36175819882382</v>
      </c>
      <c r="AI104" s="119"/>
    </row>
    <row r="105" spans="1:35" s="75" customFormat="1">
      <c r="A105" s="79" t="str">
        <f>IFERROR(VLOOKUP(N105,'Exp. Data Processing'!$A$23:$C$34,2,FALSE),"")</f>
        <v/>
      </c>
      <c r="B105" s="123" t="str">
        <f>IFERROR(VLOOKUP(N105,'Exp. Data Processing'!$A$23:$C$34,3,FALSE),"")</f>
        <v/>
      </c>
      <c r="C105" s="124">
        <f t="shared" si="26"/>
        <v>42.157304240283715</v>
      </c>
      <c r="D105" s="123">
        <f t="shared" si="27"/>
        <v>98.849982569312758</v>
      </c>
      <c r="E105" s="79" t="str">
        <f t="shared" si="31"/>
        <v/>
      </c>
      <c r="F105" s="123" t="str">
        <f t="shared" si="32"/>
        <v/>
      </c>
      <c r="G105" s="58">
        <f t="shared" si="2"/>
        <v>1</v>
      </c>
      <c r="H105" s="59">
        <f t="shared" si="3"/>
        <v>0</v>
      </c>
      <c r="I105" s="63">
        <f t="shared" si="33"/>
        <v>1.4830000000000001</v>
      </c>
      <c r="J105" s="11">
        <f t="shared" si="5"/>
        <v>0</v>
      </c>
      <c r="K105" s="60">
        <f t="shared" si="34"/>
        <v>14857</v>
      </c>
      <c r="L105" s="63">
        <f t="shared" si="7"/>
        <v>3.8435000000000001</v>
      </c>
      <c r="M105" s="64">
        <f t="shared" si="8"/>
        <v>1.5793000000000001E-2</v>
      </c>
      <c r="N105" s="69">
        <v>64</v>
      </c>
      <c r="O105" s="121">
        <f t="shared" si="28"/>
        <v>1.1170107212763709</v>
      </c>
      <c r="P105" s="59">
        <f t="shared" si="29"/>
        <v>6530</v>
      </c>
      <c r="Q105" s="61" t="str">
        <f t="shared" si="35"/>
        <v>1</v>
      </c>
      <c r="R105" s="56" t="str">
        <f t="shared" si="36"/>
        <v>1.483</v>
      </c>
      <c r="S105" s="62" t="str">
        <f t="shared" si="37"/>
        <v>3.8435+0.015793i</v>
      </c>
      <c r="T105" s="61" t="str">
        <f t="shared" si="12"/>
        <v>0.438371146789078</v>
      </c>
      <c r="U105" s="10" t="str">
        <f t="shared" si="13"/>
        <v>0.79541530082439</v>
      </c>
      <c r="V105" s="10" t="str">
        <f t="shared" si="14"/>
        <v>0.972274666117841+0.000231100411144382i</v>
      </c>
      <c r="W105" s="10" t="str">
        <f t="shared" si="15"/>
        <v>-0.100525014621996</v>
      </c>
      <c r="X105" s="10" t="str">
        <f t="shared" si="16"/>
        <v>-0.458122715946446</v>
      </c>
      <c r="Y105" s="10" t="str">
        <f t="shared" si="17"/>
        <v>0.359034199605106+0.00168613759461327i</v>
      </c>
      <c r="Z105" s="10" t="str">
        <f t="shared" si="18"/>
        <v>-0.520154729022496-0.00158532453382171i</v>
      </c>
      <c r="AA105" s="10" t="str">
        <f t="shared" si="38"/>
        <v>16.8629247657513</v>
      </c>
      <c r="AB105" s="10" t="str">
        <f t="shared" si="20"/>
        <v>-0.33965612061517-0.251305360399019i</v>
      </c>
      <c r="AC105" s="10" t="str">
        <f t="shared" si="21"/>
        <v>-0.216546004028992+0.413386618939771i</v>
      </c>
      <c r="AD105" s="78" t="str">
        <f t="shared" si="22"/>
        <v>-0.139291966506797+0.894608636109333i</v>
      </c>
      <c r="AE105" s="79">
        <f t="shared" si="23"/>
        <v>0.73578376275791757</v>
      </c>
      <c r="AF105" s="57">
        <f t="shared" si="24"/>
        <v>1.7252576613735116</v>
      </c>
      <c r="AG105" s="91">
        <f t="shared" si="25"/>
        <v>42.157304240283715</v>
      </c>
      <c r="AH105" s="92">
        <f t="shared" si="30"/>
        <v>98.849982569312758</v>
      </c>
      <c r="AI105" s="119"/>
    </row>
    <row r="106" spans="1:35" s="75" customFormat="1">
      <c r="A106" s="79">
        <f>IFERROR(VLOOKUP(N106,'Exp. Data Processing'!$A$23:$C$34,2,FALSE),"")</f>
        <v>39.692446074646021</v>
      </c>
      <c r="B106" s="123">
        <f>IFERROR(VLOOKUP(N106,'Exp. Data Processing'!$A$23:$C$34,3,FALSE),"")</f>
        <v>97.210059130547009</v>
      </c>
      <c r="C106" s="124">
        <f t="shared" si="26"/>
        <v>38.182768064530634</v>
      </c>
      <c r="D106" s="123">
        <f t="shared" si="27"/>
        <v>95.656641456171982</v>
      </c>
      <c r="E106" s="79">
        <f t="shared" ref="E106:E130" si="39">IFERROR(((A106-C106)/C106)^2,"")</f>
        <v>1.5632694452701356E-3</v>
      </c>
      <c r="F106" s="123">
        <f t="shared" ref="F106:F130" si="40">IFERROR(((B106-D106)/D106)^2,"")</f>
        <v>2.6372191894114303E-4</v>
      </c>
      <c r="G106" s="58">
        <f t="shared" ref="G106:G130" si="41">$C$3</f>
        <v>1</v>
      </c>
      <c r="H106" s="59">
        <f t="shared" ref="H106:H130" si="42">$C$4</f>
        <v>0</v>
      </c>
      <c r="I106" s="63">
        <f t="shared" ref="I106:I130" si="43">n1_Index</f>
        <v>1.4830000000000001</v>
      </c>
      <c r="J106" s="11">
        <f t="shared" ref="J106:J130" si="44">$C$6</f>
        <v>0</v>
      </c>
      <c r="K106" s="60">
        <f t="shared" ref="K106:K130" si="45">d1_Thickness</f>
        <v>14857</v>
      </c>
      <c r="L106" s="63">
        <f t="shared" ref="L106:L130" si="46">$C$8</f>
        <v>3.8435000000000001</v>
      </c>
      <c r="M106" s="64">
        <f t="shared" ref="M106:M130" si="47">$C$9</f>
        <v>1.5793000000000001E-2</v>
      </c>
      <c r="N106" s="69">
        <v>65</v>
      </c>
      <c r="O106" s="121">
        <f t="shared" ref="O106:O130" si="48">RADIANS(N106)</f>
        <v>1.1344640137963142</v>
      </c>
      <c r="P106" s="59">
        <f t="shared" ref="P106:P130" si="49">$C$11</f>
        <v>6530</v>
      </c>
      <c r="Q106" s="61" t="str">
        <f t="shared" ref="Q106:Q130" si="50">COMPLEX(G106,H106)</f>
        <v>1</v>
      </c>
      <c r="R106" s="56" t="str">
        <f t="shared" ref="R106:R130" si="51">COMPLEX(I106,J106)</f>
        <v>1.483</v>
      </c>
      <c r="S106" s="62" t="str">
        <f t="shared" ref="S106:S130" si="52">COMPLEX(L106,M106)</f>
        <v>3.8435+0.015793i</v>
      </c>
      <c r="T106" s="61" t="str">
        <f t="shared" ref="T106:T130" si="53">IMSQRT(IMSUB("1.0-0i",IMPRODUCT(IMSIN(O106),IMSIN(O106))))</f>
        <v>0.422618261740699</v>
      </c>
      <c r="U106" s="10" t="str">
        <f t="shared" ref="U106:U130" si="54">IMDIV(IMSQRT(IMSUB(IMPRODUCT(R106,R106),IMPRODUCT(IMPRODUCT(Q106,Q106),IMSIN(O106)^2))),R106)</f>
        <v>0.791529201722272</v>
      </c>
      <c r="V106" s="10" t="str">
        <f t="shared" ref="V106:V130" si="55">IMDIV(IMSQRT(IMSUB(IMPRODUCT(S106,S106),IMPRODUCT(IMPRODUCT(Q106,Q106),IMSIN(O106)^2))),S106)</f>
        <v>0.971802420668373+0.000235094657788601i</v>
      </c>
      <c r="W106" s="10" t="str">
        <f t="shared" ref="W106:W130" si="56">IMDIV(IMSUB(IMPRODUCT(R106,T106),IMPRODUCT(Q106,U106)),IMSUM(IMPRODUCT(R106,T106),IMPRODUCT(Q106,U106)))</f>
        <v>-0.116188086498588</v>
      </c>
      <c r="X106" s="10" t="str">
        <f t="shared" ref="X106:X130" si="57">IMDIV(IMSUB(IMPRODUCT(Q106,T106),IMPRODUCT(R106,U106)),IMSUM(IMPRODUCT(Q106,T106),IMPRODUCT(R106,U106)))</f>
        <v>-0.47055447344945</v>
      </c>
      <c r="Y106" s="10" t="str">
        <f t="shared" ref="Y106:Y130" si="58">IMDIV(IMSUB(IMPRODUCT(S106,U106),IMPRODUCT(R106,V106)),IMSUM(IMPRODUCT(S106,U106),IMPRODUCT(R106,V106)))</f>
        <v>0.35711113778893+0.00168695996445314i</v>
      </c>
      <c r="Z106" s="10" t="str">
        <f t="shared" ref="Z106:Z130" si="59">IMDIV(IMSUB(IMPRODUCT(R106,U106),IMPRODUCT(S106,V106)),IMSUM(IMPRODUCT(R106,U106),IMPRODUCT(S106,V106)))</f>
        <v>-0.521761949070118-0.00158322273307569i</v>
      </c>
      <c r="AA106" s="10" t="str">
        <f t="shared" ref="AA106:AA130" si="60">IMPRODUCT(2,PI(),IMDIV(K106,P106),R106,U106)</f>
        <v>16.7805388766147</v>
      </c>
      <c r="AB106" s="10" t="str">
        <f t="shared" ref="AB106:AB130" si="61">IMDIV(IMSUM(W106,IMPRODUCT(Y106,IMEXP(IMPRODUCT("0-2i",AA106)))),IMSUM(1,IMPRODUCT(W106,IMPRODUCT(Y106,IMEXP(IMPRODUCT("0-2i",AA106))))))</f>
        <v>-0.311717763079214-0.28349106345712i</v>
      </c>
      <c r="AC106" s="10" t="str">
        <f t="shared" ref="AC106:AC130" si="62">IMDIV(IMSUM(X106,IMPRODUCT(Z106,IMEXP(IMPRODUCT("0-2i",AA106)))),IMSUM(1,IMPRODUCT(X106,IMPRODUCT(Z106,IMEXP(IMPRODUCT("0-2i",AA106))))))</f>
        <v>-0.319651878654974+0.429968647836752i</v>
      </c>
      <c r="AD106" s="78" t="str">
        <f t="shared" ref="AD106:AD130" si="63">IMDIV($AB106,$AC106)</f>
        <v>-0.0775163651498117+0.78260593305774i</v>
      </c>
      <c r="AE106" s="79">
        <f t="shared" ref="AE106:AE130" si="64">ATAN(IMABS(AD106))</f>
        <v>0.6664150202514022</v>
      </c>
      <c r="AF106" s="57">
        <f t="shared" ref="AF106:AF130" si="65">IMARGUMENT(AD106)</f>
        <v>1.6695233448099041</v>
      </c>
      <c r="AG106" s="91">
        <f t="shared" ref="AG106:AG130" si="66">DEGREES(AE106)</f>
        <v>38.182768064530634</v>
      </c>
      <c r="AH106" s="92">
        <f t="shared" si="30"/>
        <v>95.656641456171982</v>
      </c>
      <c r="AI106" s="119"/>
    </row>
    <row r="107" spans="1:35" s="75" customFormat="1">
      <c r="A107" s="79" t="str">
        <f>IFERROR(VLOOKUP(N107,'Exp. Data Processing'!$A$23:$C$34,2,FALSE),"")</f>
        <v/>
      </c>
      <c r="B107" s="123" t="str">
        <f>IFERROR(VLOOKUP(N107,'Exp. Data Processing'!$A$23:$C$34,3,FALSE),"")</f>
        <v/>
      </c>
      <c r="C107" s="124">
        <f t="shared" ref="C107:C128" si="67">AG107</f>
        <v>35.037587833913371</v>
      </c>
      <c r="D107" s="123">
        <f t="shared" ref="D107:D128" si="68">AH107</f>
        <v>93.276437146276436</v>
      </c>
      <c r="E107" s="79" t="str">
        <f t="shared" si="39"/>
        <v/>
      </c>
      <c r="F107" s="123" t="str">
        <f t="shared" si="40"/>
        <v/>
      </c>
      <c r="G107" s="58">
        <f t="shared" si="41"/>
        <v>1</v>
      </c>
      <c r="H107" s="59">
        <f t="shared" si="42"/>
        <v>0</v>
      </c>
      <c r="I107" s="63">
        <f t="shared" si="43"/>
        <v>1.4830000000000001</v>
      </c>
      <c r="J107" s="11">
        <f t="shared" si="44"/>
        <v>0</v>
      </c>
      <c r="K107" s="60">
        <f t="shared" si="45"/>
        <v>14857</v>
      </c>
      <c r="L107" s="63">
        <f t="shared" si="46"/>
        <v>3.8435000000000001</v>
      </c>
      <c r="M107" s="64">
        <f t="shared" si="47"/>
        <v>1.5793000000000001E-2</v>
      </c>
      <c r="N107" s="69">
        <v>66</v>
      </c>
      <c r="O107" s="121">
        <f t="shared" si="48"/>
        <v>1.1519173063162575</v>
      </c>
      <c r="P107" s="59">
        <f t="shared" si="49"/>
        <v>6530</v>
      </c>
      <c r="Q107" s="61" t="str">
        <f t="shared" si="50"/>
        <v>1</v>
      </c>
      <c r="R107" s="56" t="str">
        <f t="shared" si="51"/>
        <v>1.483</v>
      </c>
      <c r="S107" s="62" t="str">
        <f t="shared" si="52"/>
        <v>3.8435+0.015793i</v>
      </c>
      <c r="T107" s="61" t="str">
        <f t="shared" si="53"/>
        <v>0.4067366430758</v>
      </c>
      <c r="U107" s="10" t="str">
        <f t="shared" si="54"/>
        <v>0.787736946544545</v>
      </c>
      <c r="V107" s="10" t="str">
        <f t="shared" si="55"/>
        <v>0.971343589321338+0.000238977360934178i</v>
      </c>
      <c r="W107" s="10" t="str">
        <f t="shared" si="56"/>
        <v>-0.132678748312312</v>
      </c>
      <c r="X107" s="10" t="str">
        <f t="shared" si="57"/>
        <v>-0.483492802995112</v>
      </c>
      <c r="Y107" s="10" t="str">
        <f t="shared" si="58"/>
        <v>0.355220635061413+0.00168776741737808i</v>
      </c>
      <c r="Z107" s="10" t="str">
        <f t="shared" si="59"/>
        <v>-0.52333589937735-0.00158113700238609i</v>
      </c>
      <c r="AA107" s="10" t="str">
        <f t="shared" si="60"/>
        <v>16.7001424928787</v>
      </c>
      <c r="AB107" s="10" t="str">
        <f t="shared" si="61"/>
        <v>-0.281924728449348-0.307989406101382i</v>
      </c>
      <c r="AC107" s="10" t="str">
        <f t="shared" si="62"/>
        <v>-0.415543286973802+0.426515499684059i</v>
      </c>
      <c r="AD107" s="78" t="str">
        <f t="shared" si="63"/>
        <v>-0.0400751831170583+0.700039510847926i</v>
      </c>
      <c r="AE107" s="79">
        <f t="shared" si="64"/>
        <v>0.6115212696584964</v>
      </c>
      <c r="AF107" s="57">
        <f t="shared" si="65"/>
        <v>1.6279809427320675</v>
      </c>
      <c r="AG107" s="91">
        <f t="shared" si="66"/>
        <v>35.037587833913371</v>
      </c>
      <c r="AH107" s="92">
        <f t="shared" ref="AH107:AH130" si="69">DEGREES(ABS(AF107))</f>
        <v>93.276437146276436</v>
      </c>
      <c r="AI107" s="119"/>
    </row>
    <row r="108" spans="1:35" s="75" customFormat="1">
      <c r="A108" s="79" t="str">
        <f>IFERROR(VLOOKUP(N108,'Exp. Data Processing'!$A$23:$C$34,2,FALSE),"")</f>
        <v/>
      </c>
      <c r="B108" s="123" t="str">
        <f>IFERROR(VLOOKUP(N108,'Exp. Data Processing'!$A$23:$C$34,3,FALSE),"")</f>
        <v/>
      </c>
      <c r="C108" s="124">
        <f t="shared" si="67"/>
        <v>32.451917996096704</v>
      </c>
      <c r="D108" s="123">
        <f t="shared" si="68"/>
        <v>91.433315458356006</v>
      </c>
      <c r="E108" s="79" t="str">
        <f t="shared" si="39"/>
        <v/>
      </c>
      <c r="F108" s="123" t="str">
        <f t="shared" si="40"/>
        <v/>
      </c>
      <c r="G108" s="58">
        <f t="shared" si="41"/>
        <v>1</v>
      </c>
      <c r="H108" s="59">
        <f t="shared" si="42"/>
        <v>0</v>
      </c>
      <c r="I108" s="63">
        <f t="shared" si="43"/>
        <v>1.4830000000000001</v>
      </c>
      <c r="J108" s="11">
        <f t="shared" si="44"/>
        <v>0</v>
      </c>
      <c r="K108" s="60">
        <f t="shared" si="45"/>
        <v>14857</v>
      </c>
      <c r="L108" s="63">
        <f t="shared" si="46"/>
        <v>3.8435000000000001</v>
      </c>
      <c r="M108" s="64">
        <f t="shared" si="47"/>
        <v>1.5793000000000001E-2</v>
      </c>
      <c r="N108" s="69">
        <v>67</v>
      </c>
      <c r="O108" s="121">
        <f t="shared" si="48"/>
        <v>1.1693705988362009</v>
      </c>
      <c r="P108" s="59">
        <f t="shared" si="49"/>
        <v>6530</v>
      </c>
      <c r="Q108" s="61" t="str">
        <f t="shared" si="50"/>
        <v>1</v>
      </c>
      <c r="R108" s="56" t="str">
        <f t="shared" si="51"/>
        <v>1.483</v>
      </c>
      <c r="S108" s="62" t="str">
        <f t="shared" si="52"/>
        <v>3.8435+0.015793i</v>
      </c>
      <c r="T108" s="61" t="str">
        <f t="shared" si="53"/>
        <v>0.390731128489275</v>
      </c>
      <c r="U108" s="10" t="str">
        <f t="shared" si="54"/>
        <v>0.784044550234302</v>
      </c>
      <c r="V108" s="10" t="str">
        <f t="shared" si="55"/>
        <v>0.970898750496867+0.00024274345960624i</v>
      </c>
      <c r="W108" s="10" t="str">
        <f t="shared" si="56"/>
        <v>-0.150048012228878</v>
      </c>
      <c r="X108" s="10" t="str">
        <f t="shared" si="57"/>
        <v>-0.496956709057465</v>
      </c>
      <c r="Y108" s="10" t="str">
        <f t="shared" si="58"/>
        <v>0.353366606952519+0.00168855823692362i</v>
      </c>
      <c r="Z108" s="10" t="str">
        <f t="shared" si="59"/>
        <v>-0.524873681992107-0.00157907305872948i</v>
      </c>
      <c r="AA108" s="10" t="str">
        <f t="shared" si="60"/>
        <v>16.6218631322473</v>
      </c>
      <c r="AB108" s="10" t="str">
        <f t="shared" si="61"/>
        <v>-0.251591402658068-0.324971790268645i</v>
      </c>
      <c r="AC108" s="10" t="str">
        <f t="shared" si="62"/>
        <v>-0.500992911788214+0.408311029793369i</v>
      </c>
      <c r="AD108" s="78" t="str">
        <f t="shared" si="63"/>
        <v>-0.0159058399210497+0.635692148326009i</v>
      </c>
      <c r="AE108" s="79">
        <f t="shared" si="64"/>
        <v>0.56639281761908777</v>
      </c>
      <c r="AF108" s="57">
        <f t="shared" si="65"/>
        <v>1.5958124007629406</v>
      </c>
      <c r="AG108" s="91">
        <f t="shared" si="66"/>
        <v>32.451917996096704</v>
      </c>
      <c r="AH108" s="92">
        <f t="shared" si="69"/>
        <v>91.433315458356006</v>
      </c>
      <c r="AI108" s="119"/>
    </row>
    <row r="109" spans="1:35" s="75" customFormat="1">
      <c r="A109" s="79" t="str">
        <f>IFERROR(VLOOKUP(N109,'Exp. Data Processing'!$A$23:$C$34,2,FALSE),"")</f>
        <v/>
      </c>
      <c r="B109" s="123" t="str">
        <f>IFERROR(VLOOKUP(N109,'Exp. Data Processing'!$A$23:$C$34,3,FALSE),"")</f>
        <v/>
      </c>
      <c r="C109" s="124">
        <f t="shared" si="67"/>
        <v>30.228774027658716</v>
      </c>
      <c r="D109" s="123">
        <f t="shared" si="68"/>
        <v>89.942747976915939</v>
      </c>
      <c r="E109" s="79" t="str">
        <f t="shared" si="39"/>
        <v/>
      </c>
      <c r="F109" s="123" t="str">
        <f t="shared" si="40"/>
        <v/>
      </c>
      <c r="G109" s="58">
        <f t="shared" si="41"/>
        <v>1</v>
      </c>
      <c r="H109" s="59">
        <f t="shared" si="42"/>
        <v>0</v>
      </c>
      <c r="I109" s="63">
        <f t="shared" si="43"/>
        <v>1.4830000000000001</v>
      </c>
      <c r="J109" s="11">
        <f t="shared" si="44"/>
        <v>0</v>
      </c>
      <c r="K109" s="60">
        <f t="shared" si="45"/>
        <v>14857</v>
      </c>
      <c r="L109" s="63">
        <f t="shared" si="46"/>
        <v>3.8435000000000001</v>
      </c>
      <c r="M109" s="64">
        <f t="shared" si="47"/>
        <v>1.5793000000000001E-2</v>
      </c>
      <c r="N109" s="69">
        <v>68</v>
      </c>
      <c r="O109" s="121">
        <f t="shared" si="48"/>
        <v>1.1868238913561442</v>
      </c>
      <c r="P109" s="59">
        <f t="shared" si="49"/>
        <v>6530</v>
      </c>
      <c r="Q109" s="61" t="str">
        <f t="shared" si="50"/>
        <v>1</v>
      </c>
      <c r="R109" s="56" t="str">
        <f t="shared" si="51"/>
        <v>1.483</v>
      </c>
      <c r="S109" s="62" t="str">
        <f t="shared" si="52"/>
        <v>3.8435+0.015793i</v>
      </c>
      <c r="T109" s="61" t="str">
        <f t="shared" si="53"/>
        <v>0.374606593415913</v>
      </c>
      <c r="U109" s="10" t="str">
        <f t="shared" si="54"/>
        <v>0.780457960061322</v>
      </c>
      <c r="V109" s="10" t="str">
        <f t="shared" si="55"/>
        <v>0.970468465767234+0.000246388030992214i</v>
      </c>
      <c r="W109" s="10" t="str">
        <f t="shared" si="56"/>
        <v>-0.168350643553271</v>
      </c>
      <c r="X109" s="10" t="str">
        <f t="shared" si="57"/>
        <v>-0.5109656690049</v>
      </c>
      <c r="Y109" s="10" t="str">
        <f t="shared" si="58"/>
        <v>0.35155301218166+0.00168933070843875i</v>
      </c>
      <c r="Z109" s="10" t="str">
        <f t="shared" si="59"/>
        <v>-0.526372401535351-0.00157703675803562i</v>
      </c>
      <c r="AA109" s="10" t="str">
        <f t="shared" si="60"/>
        <v>16.5458268777399</v>
      </c>
      <c r="AB109" s="10" t="str">
        <f t="shared" si="61"/>
        <v>-0.221891853405073-0.33474909126788i</v>
      </c>
      <c r="AC109" s="10" t="str">
        <f t="shared" si="62"/>
        <v>-0.574872932485267+0.380234109797456i</v>
      </c>
      <c r="AD109" s="78" t="str">
        <f t="shared" si="63"/>
        <v>0.000582241321346306+0.582686121314251i</v>
      </c>
      <c r="AE109" s="79">
        <f t="shared" si="64"/>
        <v>0.52759163562399203</v>
      </c>
      <c r="AF109" s="57">
        <f t="shared" si="65"/>
        <v>1.5697970904886518</v>
      </c>
      <c r="AG109" s="91">
        <f t="shared" si="66"/>
        <v>30.228774027658716</v>
      </c>
      <c r="AH109" s="92">
        <f t="shared" si="69"/>
        <v>89.942747976915939</v>
      </c>
      <c r="AI109" s="119"/>
    </row>
    <row r="110" spans="1:35" s="75" customFormat="1">
      <c r="A110" s="79" t="str">
        <f>IFERROR(VLOOKUP(N110,'Exp. Data Processing'!$A$23:$C$34,2,FALSE),"")</f>
        <v/>
      </c>
      <c r="B110" s="123" t="str">
        <f>IFERROR(VLOOKUP(N110,'Exp. Data Processing'!$A$23:$C$34,3,FALSE),"")</f>
        <v/>
      </c>
      <c r="C110" s="124">
        <f t="shared" si="67"/>
        <v>28.228041550735551</v>
      </c>
      <c r="D110" s="123">
        <f t="shared" si="68"/>
        <v>88.656162040057538</v>
      </c>
      <c r="E110" s="79" t="str">
        <f t="shared" si="39"/>
        <v/>
      </c>
      <c r="F110" s="123" t="str">
        <f t="shared" si="40"/>
        <v/>
      </c>
      <c r="G110" s="58">
        <f t="shared" si="41"/>
        <v>1</v>
      </c>
      <c r="H110" s="59">
        <f t="shared" si="42"/>
        <v>0</v>
      </c>
      <c r="I110" s="63">
        <f t="shared" si="43"/>
        <v>1.4830000000000001</v>
      </c>
      <c r="J110" s="11">
        <f t="shared" si="44"/>
        <v>0</v>
      </c>
      <c r="K110" s="60">
        <f t="shared" si="45"/>
        <v>14857</v>
      </c>
      <c r="L110" s="63">
        <f t="shared" si="46"/>
        <v>3.8435000000000001</v>
      </c>
      <c r="M110" s="64">
        <f t="shared" si="47"/>
        <v>1.5793000000000001E-2</v>
      </c>
      <c r="N110" s="69">
        <v>69</v>
      </c>
      <c r="O110" s="121">
        <f t="shared" si="48"/>
        <v>1.2042771838760873</v>
      </c>
      <c r="P110" s="59">
        <f t="shared" si="49"/>
        <v>6530</v>
      </c>
      <c r="Q110" s="61" t="str">
        <f t="shared" si="50"/>
        <v>1</v>
      </c>
      <c r="R110" s="56" t="str">
        <f t="shared" si="51"/>
        <v>1.483</v>
      </c>
      <c r="S110" s="62" t="str">
        <f t="shared" si="52"/>
        <v>3.8435+0.015793i</v>
      </c>
      <c r="T110" s="61" t="str">
        <f t="shared" si="53"/>
        <v>0.358367949545299</v>
      </c>
      <c r="U110" s="10" t="str">
        <f t="shared" si="54"/>
        <v>0.776983040601787</v>
      </c>
      <c r="V110" s="10" t="str">
        <f t="shared" si="55"/>
        <v>0.970053279074608+0.000249906298132617i</v>
      </c>
      <c r="W110" s="10" t="str">
        <f t="shared" si="56"/>
        <v>-0.187645488481392</v>
      </c>
      <c r="X110" s="10" t="str">
        <f t="shared" si="57"/>
        <v>-0.525539611466394</v>
      </c>
      <c r="Y110" s="10" t="str">
        <f t="shared" si="58"/>
        <v>0.349783838871831+0.00169008312574719i</v>
      </c>
      <c r="Z110" s="10" t="str">
        <f t="shared" si="59"/>
        <v>-0.527829174237851-0.00157503406990734i</v>
      </c>
      <c r="AA110" s="10" t="str">
        <f t="shared" si="60"/>
        <v>16.4721580592593</v>
      </c>
      <c r="AB110" s="10" t="str">
        <f t="shared" si="61"/>
        <v>-0.193871865125465-0.337733691383729i</v>
      </c>
      <c r="AC110" s="10" t="str">
        <f t="shared" si="62"/>
        <v>-0.637427758074576+0.346291109129458i</v>
      </c>
      <c r="AD110" s="78" t="str">
        <f t="shared" si="63"/>
        <v>0.0125897661145476+0.53667793898488i</v>
      </c>
      <c r="AE110" s="79">
        <f t="shared" si="64"/>
        <v>0.49267226645010131</v>
      </c>
      <c r="AF110" s="57">
        <f t="shared" si="65"/>
        <v>1.547341929780617</v>
      </c>
      <c r="AG110" s="91">
        <f t="shared" si="66"/>
        <v>28.228041550735551</v>
      </c>
      <c r="AH110" s="92">
        <f t="shared" si="69"/>
        <v>88.656162040057538</v>
      </c>
      <c r="AI110" s="119"/>
    </row>
    <row r="111" spans="1:35" s="75" customFormat="1">
      <c r="A111" s="79" t="str">
        <f>IFERROR(VLOOKUP(N111,'Exp. Data Processing'!$A$23:$C$34,2,FALSE),"")</f>
        <v/>
      </c>
      <c r="B111" s="123" t="str">
        <f>IFERROR(VLOOKUP(N111,'Exp. Data Processing'!$A$23:$C$34,3,FALSE),"")</f>
        <v/>
      </c>
      <c r="C111" s="124">
        <f t="shared" si="67"/>
        <v>26.351391781312614</v>
      </c>
      <c r="D111" s="123">
        <f t="shared" si="68"/>
        <v>87.433896550046825</v>
      </c>
      <c r="E111" s="79" t="str">
        <f t="shared" si="39"/>
        <v/>
      </c>
      <c r="F111" s="123" t="str">
        <f t="shared" si="40"/>
        <v/>
      </c>
      <c r="G111" s="58">
        <f t="shared" si="41"/>
        <v>1</v>
      </c>
      <c r="H111" s="59">
        <f t="shared" si="42"/>
        <v>0</v>
      </c>
      <c r="I111" s="63">
        <f t="shared" si="43"/>
        <v>1.4830000000000001</v>
      </c>
      <c r="J111" s="11">
        <f t="shared" si="44"/>
        <v>0</v>
      </c>
      <c r="K111" s="60">
        <f t="shared" si="45"/>
        <v>14857</v>
      </c>
      <c r="L111" s="63">
        <f t="shared" si="46"/>
        <v>3.8435000000000001</v>
      </c>
      <c r="M111" s="64">
        <f t="shared" si="47"/>
        <v>1.5793000000000001E-2</v>
      </c>
      <c r="N111" s="69">
        <v>70</v>
      </c>
      <c r="O111" s="121">
        <f t="shared" si="48"/>
        <v>1.2217304763960306</v>
      </c>
      <c r="P111" s="59">
        <f t="shared" si="49"/>
        <v>6530</v>
      </c>
      <c r="Q111" s="61" t="str">
        <f t="shared" si="50"/>
        <v>1</v>
      </c>
      <c r="R111" s="56" t="str">
        <f t="shared" si="51"/>
        <v>1.483</v>
      </c>
      <c r="S111" s="62" t="str">
        <f t="shared" si="52"/>
        <v>3.8435+0.015793i</v>
      </c>
      <c r="T111" s="61" t="str">
        <f t="shared" si="53"/>
        <v>0.34202014332567</v>
      </c>
      <c r="U111" s="10" t="str">
        <f t="shared" si="54"/>
        <v>0.773625558198382</v>
      </c>
      <c r="V111" s="10" t="str">
        <f t="shared" si="55"/>
        <v>0.96965371596947+0.000253293637454056i</v>
      </c>
      <c r="W111" s="10" t="str">
        <f t="shared" si="56"/>
        <v>-0.207995837150851</v>
      </c>
      <c r="X111" s="10" t="str">
        <f t="shared" si="57"/>
        <v>-0.540698890610046</v>
      </c>
      <c r="Y111" s="10" t="str">
        <f t="shared" si="58"/>
        <v>0.348063089619722+0.00169081379794663i</v>
      </c>
      <c r="Z111" s="10" t="str">
        <f t="shared" si="59"/>
        <v>-0.529241137450642-0.0015730710501591i</v>
      </c>
      <c r="AA111" s="10" t="str">
        <f t="shared" si="60"/>
        <v>16.400978924143</v>
      </c>
      <c r="AB111" s="10" t="str">
        <f t="shared" si="61"/>
        <v>-0.168464499825777-0.334413985165586i</v>
      </c>
      <c r="AC111" s="10" t="str">
        <f t="shared" si="62"/>
        <v>-0.689659791264865+0.309526635092963i</v>
      </c>
      <c r="AD111" s="78" t="str">
        <f t="shared" si="63"/>
        <v>0.0221776820938769+0.494850610113642i</v>
      </c>
      <c r="AE111" s="79">
        <f t="shared" si="64"/>
        <v>0.45991854906687868</v>
      </c>
      <c r="AF111" s="57">
        <f t="shared" si="65"/>
        <v>1.5260093726464281</v>
      </c>
      <c r="AG111" s="91">
        <f t="shared" si="66"/>
        <v>26.351391781312614</v>
      </c>
      <c r="AH111" s="92">
        <f t="shared" si="69"/>
        <v>87.433896550046825</v>
      </c>
      <c r="AI111" s="119"/>
    </row>
    <row r="112" spans="1:35" s="75" customFormat="1">
      <c r="A112" s="79" t="str">
        <f>IFERROR(VLOOKUP(N112,'Exp. Data Processing'!$A$23:$C$34,2,FALSE),"")</f>
        <v/>
      </c>
      <c r="B112" s="123" t="str">
        <f>IFERROR(VLOOKUP(N112,'Exp. Data Processing'!$A$23:$C$34,3,FALSE),"")</f>
        <v/>
      </c>
      <c r="C112" s="124">
        <f t="shared" si="67"/>
        <v>24.531662799594287</v>
      </c>
      <c r="D112" s="123">
        <f t="shared" si="68"/>
        <v>86.127284817861351</v>
      </c>
      <c r="E112" s="79" t="str">
        <f t="shared" si="39"/>
        <v/>
      </c>
      <c r="F112" s="123" t="str">
        <f t="shared" si="40"/>
        <v/>
      </c>
      <c r="G112" s="58">
        <f t="shared" si="41"/>
        <v>1</v>
      </c>
      <c r="H112" s="59">
        <f t="shared" si="42"/>
        <v>0</v>
      </c>
      <c r="I112" s="63">
        <f t="shared" si="43"/>
        <v>1.4830000000000001</v>
      </c>
      <c r="J112" s="11">
        <f t="shared" si="44"/>
        <v>0</v>
      </c>
      <c r="K112" s="60">
        <f t="shared" si="45"/>
        <v>14857</v>
      </c>
      <c r="L112" s="63">
        <f t="shared" si="46"/>
        <v>3.8435000000000001</v>
      </c>
      <c r="M112" s="64">
        <f t="shared" si="47"/>
        <v>1.5793000000000001E-2</v>
      </c>
      <c r="N112" s="69">
        <v>71</v>
      </c>
      <c r="O112" s="121">
        <f t="shared" si="48"/>
        <v>1.2391837689159739</v>
      </c>
      <c r="P112" s="59">
        <f t="shared" si="49"/>
        <v>6530</v>
      </c>
      <c r="Q112" s="61" t="str">
        <f t="shared" si="50"/>
        <v>1</v>
      </c>
      <c r="R112" s="56" t="str">
        <f t="shared" si="51"/>
        <v>1.483</v>
      </c>
      <c r="S112" s="62" t="str">
        <f t="shared" si="52"/>
        <v>3.8435+0.015793i</v>
      </c>
      <c r="T112" s="61" t="str">
        <f t="shared" si="53"/>
        <v>0.325568154457157</v>
      </c>
      <c r="U112" s="10" t="str">
        <f t="shared" si="54"/>
        <v>0.77039116496031</v>
      </c>
      <c r="V112" s="10" t="str">
        <f t="shared" si="55"/>
        <v>0.969270282871048+0.000256545586126563i</v>
      </c>
      <c r="W112" s="10" t="str">
        <f t="shared" si="56"/>
        <v>-0.229469826674393</v>
      </c>
      <c r="X112" s="10" t="str">
        <f t="shared" si="57"/>
        <v>-0.556464256111184</v>
      </c>
      <c r="Y112" s="10" t="str">
        <f t="shared" si="58"/>
        <v>0.346394765474895+0.00169152105629458i</v>
      </c>
      <c r="Z112" s="10" t="str">
        <f t="shared" si="59"/>
        <v>-0.53060545958919-0.0015711538112959i</v>
      </c>
      <c r="AA112" s="10" t="str">
        <f t="shared" si="60"/>
        <v>16.3324092979616</v>
      </c>
      <c r="AB112" s="10" t="str">
        <f t="shared" si="61"/>
        <v>-0.146505246518657-0.325339108866914i</v>
      </c>
      <c r="AC112" s="10" t="str">
        <f t="shared" si="62"/>
        <v>-0.732900389379871+0.272127371240306i</v>
      </c>
      <c r="AD112" s="78" t="str">
        <f t="shared" si="63"/>
        <v>0.0308249185489858+0.455351665459917i</v>
      </c>
      <c r="AE112" s="79">
        <f t="shared" si="64"/>
        <v>0.42815828684193014</v>
      </c>
      <c r="AF112" s="57">
        <f t="shared" si="65"/>
        <v>1.5032046958746053</v>
      </c>
      <c r="AG112" s="91">
        <f t="shared" si="66"/>
        <v>24.531662799594287</v>
      </c>
      <c r="AH112" s="92">
        <f t="shared" si="69"/>
        <v>86.127284817861351</v>
      </c>
      <c r="AI112" s="119"/>
    </row>
    <row r="113" spans="1:35" s="75" customFormat="1">
      <c r="A113" s="79" t="str">
        <f>IFERROR(VLOOKUP(N113,'Exp. Data Processing'!$A$23:$C$34,2,FALSE),"")</f>
        <v/>
      </c>
      <c r="B113" s="123" t="str">
        <f>IFERROR(VLOOKUP(N113,'Exp. Data Processing'!$A$23:$C$34,3,FALSE),"")</f>
        <v/>
      </c>
      <c r="C113" s="124">
        <f t="shared" si="67"/>
        <v>22.726755470316338</v>
      </c>
      <c r="D113" s="123">
        <f t="shared" si="68"/>
        <v>84.561772232360511</v>
      </c>
      <c r="E113" s="79" t="str">
        <f t="shared" si="39"/>
        <v/>
      </c>
      <c r="F113" s="123" t="str">
        <f t="shared" si="40"/>
        <v/>
      </c>
      <c r="G113" s="58">
        <f t="shared" si="41"/>
        <v>1</v>
      </c>
      <c r="H113" s="59">
        <f t="shared" si="42"/>
        <v>0</v>
      </c>
      <c r="I113" s="63">
        <f t="shared" si="43"/>
        <v>1.4830000000000001</v>
      </c>
      <c r="J113" s="11">
        <f t="shared" si="44"/>
        <v>0</v>
      </c>
      <c r="K113" s="60">
        <f t="shared" si="45"/>
        <v>14857</v>
      </c>
      <c r="L113" s="63">
        <f t="shared" si="46"/>
        <v>3.8435000000000001</v>
      </c>
      <c r="M113" s="64">
        <f t="shared" si="47"/>
        <v>1.5793000000000001E-2</v>
      </c>
      <c r="N113" s="69">
        <v>72</v>
      </c>
      <c r="O113" s="121">
        <f t="shared" si="48"/>
        <v>1.2566370614359172</v>
      </c>
      <c r="P113" s="59">
        <f t="shared" si="49"/>
        <v>6530</v>
      </c>
      <c r="Q113" s="61" t="str">
        <f t="shared" si="50"/>
        <v>1</v>
      </c>
      <c r="R113" s="56" t="str">
        <f t="shared" si="51"/>
        <v>1.483</v>
      </c>
      <c r="S113" s="62" t="str">
        <f t="shared" si="52"/>
        <v>3.8435+0.015793i</v>
      </c>
      <c r="T113" s="61" t="str">
        <f t="shared" si="53"/>
        <v>0.309016994374946</v>
      </c>
      <c r="U113" s="10" t="str">
        <f t="shared" si="54"/>
        <v>0.767285382373398</v>
      </c>
      <c r="V113" s="10" t="str">
        <f t="shared" si="55"/>
        <v>0.968903466351285+0.000259657849226684i</v>
      </c>
      <c r="W113" s="10" t="str">
        <f t="shared" si="56"/>
        <v>-0.252140889575112</v>
      </c>
      <c r="X113" s="10" t="str">
        <f t="shared" si="57"/>
        <v>-0.572856818606602</v>
      </c>
      <c r="Y113" s="10" t="str">
        <f t="shared" si="58"/>
        <v>0.344782848900546+0.00169220326112849i</v>
      </c>
      <c r="Z113" s="10" t="str">
        <f t="shared" si="59"/>
        <v>-0.531919350462953-0.00156928849108878i</v>
      </c>
      <c r="AA113" s="10" t="str">
        <f t="shared" si="60"/>
        <v>16.2665662370504</v>
      </c>
      <c r="AB113" s="10" t="str">
        <f t="shared" si="61"/>
        <v>-0.128744225976104-0.311111157983122i</v>
      </c>
      <c r="AC113" s="10" t="str">
        <f t="shared" si="62"/>
        <v>-0.76854772433374+0.23559293412737i</v>
      </c>
      <c r="AD113" s="78" t="str">
        <f t="shared" si="63"/>
        <v>0.0396962189944456+0.416972552963576i</v>
      </c>
      <c r="AE113" s="79">
        <f t="shared" si="64"/>
        <v>0.39665671125265251</v>
      </c>
      <c r="AF113" s="57">
        <f t="shared" si="65"/>
        <v>1.4758813467762064</v>
      </c>
      <c r="AG113" s="91">
        <f t="shared" si="66"/>
        <v>22.726755470316338</v>
      </c>
      <c r="AH113" s="92">
        <f t="shared" si="69"/>
        <v>84.561772232360511</v>
      </c>
      <c r="AI113" s="74"/>
    </row>
    <row r="114" spans="1:35" s="75" customFormat="1">
      <c r="A114" s="79" t="str">
        <f>IFERROR(VLOOKUP(N114,'Exp. Data Processing'!$A$23:$C$34,2,FALSE),"")</f>
        <v/>
      </c>
      <c r="B114" s="123" t="str">
        <f>IFERROR(VLOOKUP(N114,'Exp. Data Processing'!$A$23:$C$34,3,FALSE),"")</f>
        <v/>
      </c>
      <c r="C114" s="124">
        <f t="shared" si="67"/>
        <v>20.917659298413025</v>
      </c>
      <c r="D114" s="123">
        <f t="shared" si="68"/>
        <v>82.516990182991961</v>
      </c>
      <c r="E114" s="79" t="str">
        <f t="shared" si="39"/>
        <v/>
      </c>
      <c r="F114" s="123" t="str">
        <f t="shared" si="40"/>
        <v/>
      </c>
      <c r="G114" s="58">
        <f t="shared" si="41"/>
        <v>1</v>
      </c>
      <c r="H114" s="59">
        <f t="shared" si="42"/>
        <v>0</v>
      </c>
      <c r="I114" s="63">
        <f t="shared" si="43"/>
        <v>1.4830000000000001</v>
      </c>
      <c r="J114" s="11">
        <f t="shared" si="44"/>
        <v>0</v>
      </c>
      <c r="K114" s="60">
        <f t="shared" si="45"/>
        <v>14857</v>
      </c>
      <c r="L114" s="63">
        <f t="shared" si="46"/>
        <v>3.8435000000000001</v>
      </c>
      <c r="M114" s="64">
        <f t="shared" si="47"/>
        <v>1.5793000000000001E-2</v>
      </c>
      <c r="N114" s="69">
        <v>73</v>
      </c>
      <c r="O114" s="121">
        <f t="shared" si="48"/>
        <v>1.2740903539558606</v>
      </c>
      <c r="P114" s="59">
        <f t="shared" si="49"/>
        <v>6530</v>
      </c>
      <c r="Q114" s="61" t="str">
        <f t="shared" si="50"/>
        <v>1</v>
      </c>
      <c r="R114" s="56" t="str">
        <f t="shared" si="51"/>
        <v>1.483</v>
      </c>
      <c r="S114" s="62" t="str">
        <f t="shared" si="52"/>
        <v>3.8435+0.015793i</v>
      </c>
      <c r="T114" s="61" t="str">
        <f t="shared" si="53"/>
        <v>0.292371704722738</v>
      </c>
      <c r="U114" s="10" t="str">
        <f t="shared" si="54"/>
        <v>0.764313584600054</v>
      </c>
      <c r="V114" s="10" t="str">
        <f t="shared" si="55"/>
        <v>0.968553732443658+0.000262626306688435i</v>
      </c>
      <c r="W114" s="10" t="str">
        <f t="shared" si="56"/>
        <v>-0.276088253908806</v>
      </c>
      <c r="X114" s="10" t="str">
        <f t="shared" si="57"/>
        <v>-0.589898010455377</v>
      </c>
      <c r="Y114" s="10" t="str">
        <f t="shared" si="58"/>
        <v>0.343231285808431+0.00169285880876714i</v>
      </c>
      <c r="Z114" s="10" t="str">
        <f t="shared" si="59"/>
        <v>-0.533180071934082-0.0015674812194391i</v>
      </c>
      <c r="AA114" s="10" t="str">
        <f t="shared" si="60"/>
        <v>16.2035636744658</v>
      </c>
      <c r="AB114" s="10" t="str">
        <f t="shared" si="61"/>
        <v>-0.11585411604317-0.292382023400726i</v>
      </c>
      <c r="AC114" s="10" t="str">
        <f t="shared" si="62"/>
        <v>-0.797925366128657+0.200907034749457i</v>
      </c>
      <c r="AD114" s="78" t="str">
        <f t="shared" si="63"/>
        <v>0.0497768347548553+0.378960931067558i</v>
      </c>
      <c r="AE114" s="79">
        <f t="shared" si="64"/>
        <v>0.36508202656771438</v>
      </c>
      <c r="AF114" s="57">
        <f t="shared" si="65"/>
        <v>1.4401931675290478</v>
      </c>
      <c r="AG114" s="91">
        <f t="shared" si="66"/>
        <v>20.917659298413025</v>
      </c>
      <c r="AH114" s="92">
        <f t="shared" si="69"/>
        <v>82.516990182991961</v>
      </c>
      <c r="AI114" s="74"/>
    </row>
    <row r="115" spans="1:35" s="75" customFormat="1">
      <c r="A115" s="79" t="str">
        <f>IFERROR(VLOOKUP(N115,'Exp. Data Processing'!$A$23:$C$34,2,FALSE),"")</f>
        <v/>
      </c>
      <c r="B115" s="123" t="str">
        <f>IFERROR(VLOOKUP(N115,'Exp. Data Processing'!$A$23:$C$34,3,FALSE),"")</f>
        <v/>
      </c>
      <c r="C115" s="124">
        <f t="shared" si="67"/>
        <v>19.110641676719265</v>
      </c>
      <c r="D115" s="123">
        <f t="shared" si="68"/>
        <v>79.702101166241462</v>
      </c>
      <c r="E115" s="79" t="str">
        <f t="shared" si="39"/>
        <v/>
      </c>
      <c r="F115" s="123" t="str">
        <f t="shared" si="40"/>
        <v/>
      </c>
      <c r="G115" s="58">
        <f t="shared" si="41"/>
        <v>1</v>
      </c>
      <c r="H115" s="59">
        <f t="shared" si="42"/>
        <v>0</v>
      </c>
      <c r="I115" s="63">
        <f t="shared" si="43"/>
        <v>1.4830000000000001</v>
      </c>
      <c r="J115" s="11">
        <f t="shared" si="44"/>
        <v>0</v>
      </c>
      <c r="K115" s="60">
        <f t="shared" si="45"/>
        <v>14857</v>
      </c>
      <c r="L115" s="63">
        <f t="shared" si="46"/>
        <v>3.8435000000000001</v>
      </c>
      <c r="M115" s="64">
        <f t="shared" si="47"/>
        <v>1.5793000000000001E-2</v>
      </c>
      <c r="N115" s="69">
        <v>74</v>
      </c>
      <c r="O115" s="121">
        <f t="shared" si="48"/>
        <v>1.2915436464758039</v>
      </c>
      <c r="P115" s="59">
        <f t="shared" si="49"/>
        <v>6530</v>
      </c>
      <c r="Q115" s="61" t="str">
        <f t="shared" si="50"/>
        <v>1</v>
      </c>
      <c r="R115" s="56" t="str">
        <f t="shared" si="51"/>
        <v>1.483</v>
      </c>
      <c r="S115" s="62" t="str">
        <f t="shared" si="52"/>
        <v>3.8435+0.015793i</v>
      </c>
      <c r="T115" s="61" t="str">
        <f t="shared" si="53"/>
        <v>0.275637355816999</v>
      </c>
      <c r="U115" s="10" t="str">
        <f t="shared" si="54"/>
        <v>0.76148098155909</v>
      </c>
      <c r="V115" s="10" t="str">
        <f t="shared" si="55"/>
        <v>0.968221525978264+0.000265447020024087i</v>
      </c>
      <c r="W115" s="10" t="str">
        <f t="shared" si="56"/>
        <v>-0.301397502381874</v>
      </c>
      <c r="X115" s="10" t="str">
        <f t="shared" si="57"/>
        <v>-0.607609541655798</v>
      </c>
      <c r="Y115" s="10" t="str">
        <f t="shared" si="58"/>
        <v>0.3417439667809+0.00169348613833972i</v>
      </c>
      <c r="Z115" s="10" t="str">
        <f t="shared" si="59"/>
        <v>-0.534384948840814-0.00156573808375921i</v>
      </c>
      <c r="AA115" s="10" t="str">
        <f t="shared" si="60"/>
        <v>16.1435120612752</v>
      </c>
      <c r="AB115" s="10" t="str">
        <f t="shared" si="61"/>
        <v>-0.108433494782618-0.269852068889811i</v>
      </c>
      <c r="AC115" s="10" t="str">
        <f t="shared" si="62"/>
        <v>-0.822217634835919+0.168681782667602i</v>
      </c>
      <c r="AD115" s="78" t="str">
        <f t="shared" si="63"/>
        <v>0.0619405103897607+0.340907677877322i</v>
      </c>
      <c r="AE115" s="79">
        <f t="shared" si="64"/>
        <v>0.33354361942760091</v>
      </c>
      <c r="AF115" s="57">
        <f t="shared" si="65"/>
        <v>1.3910640861085259</v>
      </c>
      <c r="AG115" s="91">
        <f t="shared" si="66"/>
        <v>19.110641676719265</v>
      </c>
      <c r="AH115" s="92">
        <f t="shared" si="69"/>
        <v>79.702101166241462</v>
      </c>
      <c r="AI115" s="74"/>
    </row>
    <row r="116" spans="1:35" s="75" customFormat="1">
      <c r="A116" s="79" t="str">
        <f>IFERROR(VLOOKUP(N116,'Exp. Data Processing'!$A$23:$C$34,2,FALSE),"")</f>
        <v/>
      </c>
      <c r="B116" s="123" t="str">
        <f>IFERROR(VLOOKUP(N116,'Exp. Data Processing'!$A$23:$C$34,3,FALSE),"")</f>
        <v/>
      </c>
      <c r="C116" s="124">
        <f t="shared" si="67"/>
        <v>17.344223505173044</v>
      </c>
      <c r="D116" s="123">
        <f t="shared" si="68"/>
        <v>75.730205058062424</v>
      </c>
      <c r="E116" s="79" t="str">
        <f t="shared" si="39"/>
        <v/>
      </c>
      <c r="F116" s="123" t="str">
        <f t="shared" si="40"/>
        <v/>
      </c>
      <c r="G116" s="58">
        <f t="shared" si="41"/>
        <v>1</v>
      </c>
      <c r="H116" s="59">
        <f t="shared" si="42"/>
        <v>0</v>
      </c>
      <c r="I116" s="63">
        <f t="shared" si="43"/>
        <v>1.4830000000000001</v>
      </c>
      <c r="J116" s="11">
        <f t="shared" si="44"/>
        <v>0</v>
      </c>
      <c r="K116" s="60">
        <f t="shared" si="45"/>
        <v>14857</v>
      </c>
      <c r="L116" s="63">
        <f t="shared" si="46"/>
        <v>3.8435000000000001</v>
      </c>
      <c r="M116" s="64">
        <f t="shared" si="47"/>
        <v>1.5793000000000001E-2</v>
      </c>
      <c r="N116" s="69">
        <v>75</v>
      </c>
      <c r="O116" s="121">
        <f t="shared" si="48"/>
        <v>1.3089969389957472</v>
      </c>
      <c r="P116" s="59">
        <f t="shared" si="49"/>
        <v>6530</v>
      </c>
      <c r="Q116" s="61" t="str">
        <f t="shared" si="50"/>
        <v>1</v>
      </c>
      <c r="R116" s="56" t="str">
        <f t="shared" si="51"/>
        <v>1.483</v>
      </c>
      <c r="S116" s="62" t="str">
        <f t="shared" si="52"/>
        <v>3.8435+0.015793i</v>
      </c>
      <c r="T116" s="61" t="str">
        <f t="shared" si="53"/>
        <v>0.258819045102521</v>
      </c>
      <c r="U116" s="10" t="str">
        <f t="shared" si="54"/>
        <v>0.758792601884727</v>
      </c>
      <c r="V116" s="10" t="str">
        <f t="shared" si="55"/>
        <v>0.967907269944449+0.000268116238796961i</v>
      </c>
      <c r="W116" s="10" t="str">
        <f t="shared" si="56"/>
        <v>-0.328161198984553</v>
      </c>
      <c r="X116" s="10" t="str">
        <f t="shared" si="57"/>
        <v>-0.626013350801763</v>
      </c>
      <c r="Y116" s="10" t="str">
        <f t="shared" si="58"/>
        <v>0.340324707613472+0.00169408373849158i</v>
      </c>
      <c r="Z116" s="10" t="str">
        <f t="shared" si="59"/>
        <v>-0.535531380113406-0.00156406509313213i</v>
      </c>
      <c r="AA116" s="10" t="str">
        <f t="shared" si="60"/>
        <v>16.0865180052851</v>
      </c>
      <c r="AB116" s="10" t="str">
        <f t="shared" si="61"/>
        <v>-0.107006210522378-0.244268142706369i</v>
      </c>
      <c r="AC116" s="10" t="str">
        <f t="shared" si="62"/>
        <v>-0.842449228836047+0.139269025053307i</v>
      </c>
      <c r="AD116" s="78" t="str">
        <f t="shared" si="63"/>
        <v>0.0769812622306765+0.30267610120186i</v>
      </c>
      <c r="AE116" s="79">
        <f t="shared" si="64"/>
        <v>0.30271380636706136</v>
      </c>
      <c r="AF116" s="57">
        <f t="shared" si="65"/>
        <v>1.3217414214736527</v>
      </c>
      <c r="AG116" s="91">
        <f t="shared" si="66"/>
        <v>17.344223505173044</v>
      </c>
      <c r="AH116" s="92">
        <f t="shared" si="69"/>
        <v>75.730205058062424</v>
      </c>
      <c r="AI116" s="74"/>
    </row>
    <row r="117" spans="1:35" s="75" customFormat="1">
      <c r="A117" s="79" t="str">
        <f>IFERROR(VLOOKUP(N117,'Exp. Data Processing'!$A$23:$C$34,2,FALSE),"")</f>
        <v/>
      </c>
      <c r="B117" s="123" t="str">
        <f>IFERROR(VLOOKUP(N117,'Exp. Data Processing'!$A$23:$C$34,3,FALSE),"")</f>
        <v/>
      </c>
      <c r="C117" s="124">
        <f t="shared" si="67"/>
        <v>15.701614248927074</v>
      </c>
      <c r="D117" s="123">
        <f t="shared" si="68"/>
        <v>70.113515795762197</v>
      </c>
      <c r="E117" s="79" t="str">
        <f t="shared" si="39"/>
        <v/>
      </c>
      <c r="F117" s="123" t="str">
        <f t="shared" si="40"/>
        <v/>
      </c>
      <c r="G117" s="58">
        <f t="shared" si="41"/>
        <v>1</v>
      </c>
      <c r="H117" s="59">
        <f t="shared" si="42"/>
        <v>0</v>
      </c>
      <c r="I117" s="63">
        <f t="shared" si="43"/>
        <v>1.4830000000000001</v>
      </c>
      <c r="J117" s="11">
        <f t="shared" si="44"/>
        <v>0</v>
      </c>
      <c r="K117" s="60">
        <f t="shared" si="45"/>
        <v>14857</v>
      </c>
      <c r="L117" s="63">
        <f t="shared" si="46"/>
        <v>3.8435000000000001</v>
      </c>
      <c r="M117" s="64">
        <f t="shared" si="47"/>
        <v>1.5793000000000001E-2</v>
      </c>
      <c r="N117" s="69">
        <v>76</v>
      </c>
      <c r="O117" s="121">
        <f t="shared" si="48"/>
        <v>1.3264502315156905</v>
      </c>
      <c r="P117" s="59">
        <f t="shared" si="49"/>
        <v>6530</v>
      </c>
      <c r="Q117" s="61" t="str">
        <f t="shared" si="50"/>
        <v>1</v>
      </c>
      <c r="R117" s="56" t="str">
        <f t="shared" si="51"/>
        <v>1.483</v>
      </c>
      <c r="S117" s="62" t="str">
        <f t="shared" si="52"/>
        <v>3.8435+0.015793i</v>
      </c>
      <c r="T117" s="61" t="str">
        <f t="shared" si="53"/>
        <v>0.241921895599668</v>
      </c>
      <c r="U117" s="10" t="str">
        <f t="shared" si="54"/>
        <v>0.756253275873243</v>
      </c>
      <c r="V117" s="10" t="str">
        <f t="shared" si="55"/>
        <v>0.967611364882332+0.00027063040682951i</v>
      </c>
      <c r="W117" s="10" t="str">
        <f t="shared" si="56"/>
        <v>-0.356479593098623</v>
      </c>
      <c r="X117" s="10" t="str">
        <f t="shared" si="57"/>
        <v>-0.645131551001241</v>
      </c>
      <c r="Y117" s="10" t="str">
        <f t="shared" si="58"/>
        <v>0.338977229330951+0.00169465015391586i</v>
      </c>
      <c r="Z117" s="10" t="str">
        <f t="shared" si="59"/>
        <v>-0.536616850003041-0.00156246814154631i</v>
      </c>
      <c r="AA117" s="10" t="str">
        <f t="shared" si="60"/>
        <v>16.0326839095077</v>
      </c>
      <c r="AB117" s="10" t="str">
        <f t="shared" si="61"/>
        <v>-0.112018194609236-0.216418866485978i</v>
      </c>
      <c r="AC117" s="10" t="str">
        <f t="shared" si="62"/>
        <v>-0.859488025704336+0.112841761894838i</v>
      </c>
      <c r="AD117" s="78" t="str">
        <f t="shared" si="63"/>
        <v>0.0956243670092392+0.2643542222164i</v>
      </c>
      <c r="AE117" s="79">
        <f t="shared" si="64"/>
        <v>0.27404486652183396</v>
      </c>
      <c r="AF117" s="57">
        <f t="shared" si="65"/>
        <v>1.2237117007851024</v>
      </c>
      <c r="AG117" s="91">
        <f t="shared" si="66"/>
        <v>15.701614248927074</v>
      </c>
      <c r="AH117" s="92">
        <f t="shared" si="69"/>
        <v>70.113515795762197</v>
      </c>
      <c r="AI117" s="74"/>
    </row>
    <row r="118" spans="1:35" s="75" customFormat="1">
      <c r="A118" s="79" t="str">
        <f>IFERROR(VLOOKUP(N118,'Exp. Data Processing'!$A$23:$C$34,2,FALSE),"")</f>
        <v/>
      </c>
      <c r="B118" s="123" t="str">
        <f>IFERROR(VLOOKUP(N118,'Exp. Data Processing'!$A$23:$C$34,3,FALSE),"")</f>
        <v/>
      </c>
      <c r="C118" s="124">
        <f t="shared" si="67"/>
        <v>14.326424608389603</v>
      </c>
      <c r="D118" s="123">
        <f t="shared" si="68"/>
        <v>62.348028345136534</v>
      </c>
      <c r="E118" s="79" t="str">
        <f t="shared" si="39"/>
        <v/>
      </c>
      <c r="F118" s="123" t="str">
        <f t="shared" si="40"/>
        <v/>
      </c>
      <c r="G118" s="58">
        <f t="shared" si="41"/>
        <v>1</v>
      </c>
      <c r="H118" s="59">
        <f t="shared" si="42"/>
        <v>0</v>
      </c>
      <c r="I118" s="63">
        <f t="shared" si="43"/>
        <v>1.4830000000000001</v>
      </c>
      <c r="J118" s="11">
        <f t="shared" si="44"/>
        <v>0</v>
      </c>
      <c r="K118" s="60">
        <f t="shared" si="45"/>
        <v>14857</v>
      </c>
      <c r="L118" s="63">
        <f t="shared" si="46"/>
        <v>3.8435000000000001</v>
      </c>
      <c r="M118" s="64">
        <f t="shared" si="47"/>
        <v>1.5793000000000001E-2</v>
      </c>
      <c r="N118" s="69">
        <v>77</v>
      </c>
      <c r="O118" s="121">
        <f t="shared" si="48"/>
        <v>1.3439035240356338</v>
      </c>
      <c r="P118" s="59">
        <f t="shared" si="49"/>
        <v>6530</v>
      </c>
      <c r="Q118" s="61" t="str">
        <f t="shared" si="50"/>
        <v>1</v>
      </c>
      <c r="R118" s="56" t="str">
        <f t="shared" si="51"/>
        <v>1.483</v>
      </c>
      <c r="S118" s="62" t="str">
        <f t="shared" si="52"/>
        <v>3.8435+0.015793i</v>
      </c>
      <c r="T118" s="61" t="str">
        <f t="shared" si="53"/>
        <v>0.224951054343866</v>
      </c>
      <c r="U118" s="10" t="str">
        <f t="shared" si="54"/>
        <v>0.753867618533392</v>
      </c>
      <c r="V118" s="10" t="str">
        <f t="shared" si="55"/>
        <v>0.967334188304414+0.00027298616812923i</v>
      </c>
      <c r="W118" s="10" t="str">
        <f t="shared" si="56"/>
        <v>-0.386461412752751</v>
      </c>
      <c r="X118" s="10" t="str">
        <f t="shared" si="57"/>
        <v>-0.66498637072275</v>
      </c>
      <c r="Y118" s="10" t="str">
        <f t="shared" si="58"/>
        <v>0.337705137848932+0.00169518399166491i</v>
      </c>
      <c r="Z118" s="10" t="str">
        <f t="shared" si="59"/>
        <v>-0.537638939337588-0.00156095297053192i</v>
      </c>
      <c r="AA118" s="10" t="str">
        <f t="shared" si="60"/>
        <v>15.9821076128271</v>
      </c>
      <c r="AB118" s="10" t="str">
        <f t="shared" si="61"/>
        <v>-0.123833802489426-0.187125789365369i</v>
      </c>
      <c r="AC118" s="10" t="str">
        <f t="shared" si="62"/>
        <v>-0.874058482688829+0.0894515356211098i</v>
      </c>
      <c r="AD118" s="78" t="str">
        <f t="shared" si="63"/>
        <v>0.118525504556703+0.226218361441869i</v>
      </c>
      <c r="AE118" s="79">
        <f t="shared" si="64"/>
        <v>0.25004327945513782</v>
      </c>
      <c r="AF118" s="57">
        <f t="shared" si="65"/>
        <v>1.088178376749384</v>
      </c>
      <c r="AG118" s="91">
        <f t="shared" si="66"/>
        <v>14.326424608389603</v>
      </c>
      <c r="AH118" s="92">
        <f t="shared" si="69"/>
        <v>62.348028345136534</v>
      </c>
      <c r="AI118" s="74"/>
    </row>
    <row r="119" spans="1:35" s="75" customFormat="1">
      <c r="A119" s="79" t="str">
        <f>IFERROR(VLOOKUP(N119,'Exp. Data Processing'!$A$23:$C$34,2,FALSE),"")</f>
        <v/>
      </c>
      <c r="B119" s="123" t="str">
        <f>IFERROR(VLOOKUP(N119,'Exp. Data Processing'!$A$23:$C$34,3,FALSE),"")</f>
        <v/>
      </c>
      <c r="C119" s="124">
        <f t="shared" si="67"/>
        <v>13.427951463590709</v>
      </c>
      <c r="D119" s="123">
        <f t="shared" si="68"/>
        <v>52.22028745858136</v>
      </c>
      <c r="E119" s="79" t="str">
        <f t="shared" si="39"/>
        <v/>
      </c>
      <c r="F119" s="123" t="str">
        <f t="shared" si="40"/>
        <v/>
      </c>
      <c r="G119" s="58">
        <f t="shared" si="41"/>
        <v>1</v>
      </c>
      <c r="H119" s="59">
        <f t="shared" si="42"/>
        <v>0</v>
      </c>
      <c r="I119" s="63">
        <f t="shared" si="43"/>
        <v>1.4830000000000001</v>
      </c>
      <c r="J119" s="11">
        <f t="shared" si="44"/>
        <v>0</v>
      </c>
      <c r="K119" s="60">
        <f t="shared" si="45"/>
        <v>14857</v>
      </c>
      <c r="L119" s="63">
        <f t="shared" si="46"/>
        <v>3.8435000000000001</v>
      </c>
      <c r="M119" s="64">
        <f t="shared" si="47"/>
        <v>1.5793000000000001E-2</v>
      </c>
      <c r="N119" s="69">
        <v>78</v>
      </c>
      <c r="O119" s="121">
        <f t="shared" si="48"/>
        <v>1.3613568165555769</v>
      </c>
      <c r="P119" s="59">
        <f t="shared" si="49"/>
        <v>6530</v>
      </c>
      <c r="Q119" s="61" t="str">
        <f t="shared" si="50"/>
        <v>1</v>
      </c>
      <c r="R119" s="56" t="str">
        <f t="shared" si="51"/>
        <v>1.483</v>
      </c>
      <c r="S119" s="62" t="str">
        <f t="shared" si="52"/>
        <v>3.8435+0.015793i</v>
      </c>
      <c r="T119" s="61" t="str">
        <f t="shared" si="53"/>
        <v>0.207911690817758</v>
      </c>
      <c r="U119" s="10" t="str">
        <f t="shared" si="54"/>
        <v>0.751640012864221</v>
      </c>
      <c r="V119" s="10" t="str">
        <f t="shared" si="55"/>
        <v>0.967076094148472+0.000275180372516659i</v>
      </c>
      <c r="W119" s="10" t="str">
        <f t="shared" si="56"/>
        <v>-0.418224760748756</v>
      </c>
      <c r="X119" s="10" t="str">
        <f t="shared" si="57"/>
        <v>-0.685600089584265</v>
      </c>
      <c r="Y119" s="10" t="str">
        <f t="shared" si="58"/>
        <v>0.336511903469661+0.00169568392719734i</v>
      </c>
      <c r="Z119" s="10" t="str">
        <f t="shared" si="59"/>
        <v>-0.538595336711997-0.00155952513155349i</v>
      </c>
      <c r="AA119" s="10" t="str">
        <f t="shared" si="60"/>
        <v>15.9348820354865</v>
      </c>
      <c r="AB119" s="10" t="str">
        <f t="shared" si="61"/>
        <v>-0.142734229479868-0.1572298207395i</v>
      </c>
      <c r="AC119" s="10" t="str">
        <f t="shared" si="62"/>
        <v>-0.88675867476558+0.0690677324304661i</v>
      </c>
      <c r="AD119" s="78" t="str">
        <f t="shared" si="63"/>
        <v>0.146264260343754+0.188700676180357i</v>
      </c>
      <c r="AE119" s="79">
        <f t="shared" si="64"/>
        <v>0.23436196483764934</v>
      </c>
      <c r="AF119" s="57">
        <f t="shared" si="65"/>
        <v>0.91141595249014673</v>
      </c>
      <c r="AG119" s="91">
        <f t="shared" si="66"/>
        <v>13.427951463590709</v>
      </c>
      <c r="AH119" s="92">
        <f t="shared" si="69"/>
        <v>52.22028745858136</v>
      </c>
      <c r="AI119" s="74"/>
    </row>
    <row r="120" spans="1:35" s="75" customFormat="1">
      <c r="A120" s="79" t="str">
        <f>IFERROR(VLOOKUP(N120,'Exp. Data Processing'!$A$23:$C$34,2,FALSE),"")</f>
        <v/>
      </c>
      <c r="B120" s="123" t="str">
        <f>IFERROR(VLOOKUP(N120,'Exp. Data Processing'!$A$23:$C$34,3,FALSE),"")</f>
        <v/>
      </c>
      <c r="C120" s="124">
        <f t="shared" si="67"/>
        <v>13.241777260645222</v>
      </c>
      <c r="D120" s="123">
        <f t="shared" si="68"/>
        <v>40.349660346090673</v>
      </c>
      <c r="E120" s="79" t="str">
        <f t="shared" si="39"/>
        <v/>
      </c>
      <c r="F120" s="123" t="str">
        <f t="shared" si="40"/>
        <v/>
      </c>
      <c r="G120" s="58">
        <f t="shared" si="41"/>
        <v>1</v>
      </c>
      <c r="H120" s="59">
        <f t="shared" si="42"/>
        <v>0</v>
      </c>
      <c r="I120" s="63">
        <f t="shared" si="43"/>
        <v>1.4830000000000001</v>
      </c>
      <c r="J120" s="11">
        <f t="shared" si="44"/>
        <v>0</v>
      </c>
      <c r="K120" s="60">
        <f t="shared" si="45"/>
        <v>14857</v>
      </c>
      <c r="L120" s="63">
        <f t="shared" si="46"/>
        <v>3.8435000000000001</v>
      </c>
      <c r="M120" s="64">
        <f t="shared" si="47"/>
        <v>1.5793000000000001E-2</v>
      </c>
      <c r="N120" s="69">
        <v>79</v>
      </c>
      <c r="O120" s="121">
        <f t="shared" si="48"/>
        <v>1.3788101090755203</v>
      </c>
      <c r="P120" s="59">
        <f t="shared" si="49"/>
        <v>6530</v>
      </c>
      <c r="Q120" s="61" t="str">
        <f t="shared" si="50"/>
        <v>1</v>
      </c>
      <c r="R120" s="56" t="str">
        <f t="shared" si="51"/>
        <v>1.483</v>
      </c>
      <c r="S120" s="62" t="str">
        <f t="shared" si="52"/>
        <v>3.8435+0.015793i</v>
      </c>
      <c r="T120" s="61" t="str">
        <f t="shared" si="53"/>
        <v>0.190808995376544</v>
      </c>
      <c r="U120" s="10" t="str">
        <f t="shared" si="54"/>
        <v>0.749574593489002</v>
      </c>
      <c r="V120" s="10" t="str">
        <f t="shared" si="55"/>
        <v>0.966837412262924+0.000277210080939415i</v>
      </c>
      <c r="W120" s="10" t="str">
        <f t="shared" si="56"/>
        <v>-0.451898129840201</v>
      </c>
      <c r="X120" s="10" t="str">
        <f t="shared" si="57"/>
        <v>-0.706994969150756</v>
      </c>
      <c r="Y120" s="10" t="str">
        <f t="shared" si="58"/>
        <v>0.335400840415876+0.00169614871012267i</v>
      </c>
      <c r="Z120" s="10" t="str">
        <f t="shared" si="59"/>
        <v>-0.539483849516567-0.00155818994853638i</v>
      </c>
      <c r="AA120" s="10" t="str">
        <f t="shared" si="60"/>
        <v>15.891094832125</v>
      </c>
      <c r="AB120" s="10" t="str">
        <f t="shared" si="61"/>
        <v>-0.168920714537329-0.127573290443466i</v>
      </c>
      <c r="AC120" s="10" t="str">
        <f t="shared" si="62"/>
        <v>-0.898077422130599+0.0516037674367005i</v>
      </c>
      <c r="AD120" s="78" t="str">
        <f t="shared" si="63"/>
        <v>0.179337049597329+0.152356305227071i</v>
      </c>
      <c r="AE120" s="79">
        <f t="shared" si="64"/>
        <v>0.23111261201397446</v>
      </c>
      <c r="AF120" s="57">
        <f t="shared" si="65"/>
        <v>0.70423442510067691</v>
      </c>
      <c r="AG120" s="91">
        <f t="shared" si="66"/>
        <v>13.241777260645222</v>
      </c>
      <c r="AH120" s="92">
        <f t="shared" si="69"/>
        <v>40.349660346090673</v>
      </c>
      <c r="AI120" s="74"/>
    </row>
    <row r="121" spans="1:35" s="75" customFormat="1">
      <c r="A121" s="79" t="str">
        <f>IFERROR(VLOOKUP(N121,'Exp. Data Processing'!$A$23:$C$34,2,FALSE),"")</f>
        <v/>
      </c>
      <c r="B121" s="123" t="str">
        <f>IFERROR(VLOOKUP(N121,'Exp. Data Processing'!$A$23:$C$34,3,FALSE),"")</f>
        <v/>
      </c>
      <c r="C121" s="124">
        <f t="shared" si="67"/>
        <v>13.925141661549221</v>
      </c>
      <c r="D121" s="123">
        <f t="shared" si="68"/>
        <v>28.374117621198852</v>
      </c>
      <c r="E121" s="79" t="str">
        <f t="shared" si="39"/>
        <v/>
      </c>
      <c r="F121" s="123" t="str">
        <f t="shared" si="40"/>
        <v/>
      </c>
      <c r="G121" s="58">
        <f t="shared" si="41"/>
        <v>1</v>
      </c>
      <c r="H121" s="59">
        <f t="shared" si="42"/>
        <v>0</v>
      </c>
      <c r="I121" s="63">
        <f t="shared" si="43"/>
        <v>1.4830000000000001</v>
      </c>
      <c r="J121" s="11">
        <f t="shared" si="44"/>
        <v>0</v>
      </c>
      <c r="K121" s="60">
        <f t="shared" si="45"/>
        <v>14857</v>
      </c>
      <c r="L121" s="63">
        <f t="shared" si="46"/>
        <v>3.8435000000000001</v>
      </c>
      <c r="M121" s="64">
        <f t="shared" si="47"/>
        <v>1.5793000000000001E-2</v>
      </c>
      <c r="N121" s="69">
        <v>80</v>
      </c>
      <c r="O121" s="121">
        <f t="shared" si="48"/>
        <v>1.3962634015954636</v>
      </c>
      <c r="P121" s="59">
        <f t="shared" si="49"/>
        <v>6530</v>
      </c>
      <c r="Q121" s="61" t="str">
        <f t="shared" si="50"/>
        <v>1</v>
      </c>
      <c r="R121" s="56" t="str">
        <f t="shared" si="51"/>
        <v>1.483</v>
      </c>
      <c r="S121" s="62" t="str">
        <f t="shared" si="52"/>
        <v>3.8435+0.015793i</v>
      </c>
      <c r="T121" s="61" t="str">
        <f t="shared" si="53"/>
        <v>0.173648177666931</v>
      </c>
      <c r="U121" s="10" t="str">
        <f t="shared" si="54"/>
        <v>0.747675230778503</v>
      </c>
      <c r="V121" s="10" t="str">
        <f t="shared" si="55"/>
        <v>0.966618447925689+0.000279072570457602i</v>
      </c>
      <c r="W121" s="10" t="str">
        <f t="shared" si="56"/>
        <v>-0.487621556105294</v>
      </c>
      <c r="X121" s="10" t="str">
        <f t="shared" si="57"/>
        <v>-0.729193178862238</v>
      </c>
      <c r="Y121" s="10" t="str">
        <f t="shared" si="58"/>
        <v>0.334375086618801+0.00169657716960767i</v>
      </c>
      <c r="Z121" s="10" t="str">
        <f t="shared" si="59"/>
        <v>-0.540302414702438-0.00155695248092334i</v>
      </c>
      <c r="AA121" s="10" t="str">
        <f t="shared" si="60"/>
        <v>15.8508280551887</v>
      </c>
      <c r="AB121" s="10" t="str">
        <f t="shared" si="61"/>
        <v>-0.202525064259801-0.0989788931480195i</v>
      </c>
      <c r="AC121" s="10" t="str">
        <f t="shared" si="62"/>
        <v>-0.908409922309096+0.0369339821667524i</v>
      </c>
      <c r="AD121" s="78" t="str">
        <f t="shared" si="63"/>
        <v>0.218153940856143+0.117828068893315i</v>
      </c>
      <c r="AE121" s="79">
        <f t="shared" si="64"/>
        <v>0.24303957080066776</v>
      </c>
      <c r="AF121" s="57">
        <f t="shared" si="65"/>
        <v>0.49522177483806118</v>
      </c>
      <c r="AG121" s="91">
        <f t="shared" si="66"/>
        <v>13.925141661549221</v>
      </c>
      <c r="AH121" s="92">
        <f t="shared" si="69"/>
        <v>28.374117621198852</v>
      </c>
      <c r="AI121" s="74"/>
    </row>
    <row r="122" spans="1:35" s="71" customFormat="1">
      <c r="A122" s="79" t="str">
        <f>IFERROR(VLOOKUP(N122,'Exp. Data Processing'!$A$23:$C$34,2,FALSE),"")</f>
        <v/>
      </c>
      <c r="B122" s="123" t="str">
        <f>IFERROR(VLOOKUP(N122,'Exp. Data Processing'!$A$23:$C$34,3,FALSE),"")</f>
        <v/>
      </c>
      <c r="C122" s="124">
        <f t="shared" si="67"/>
        <v>15.465996468004226</v>
      </c>
      <c r="D122" s="123">
        <f t="shared" si="68"/>
        <v>18.067066703328226</v>
      </c>
      <c r="E122" s="79" t="str">
        <f t="shared" si="39"/>
        <v/>
      </c>
      <c r="F122" s="123" t="str">
        <f t="shared" si="40"/>
        <v/>
      </c>
      <c r="G122" s="58">
        <f t="shared" si="41"/>
        <v>1</v>
      </c>
      <c r="H122" s="59">
        <f t="shared" si="42"/>
        <v>0</v>
      </c>
      <c r="I122" s="63">
        <f t="shared" si="43"/>
        <v>1.4830000000000001</v>
      </c>
      <c r="J122" s="11">
        <f t="shared" si="44"/>
        <v>0</v>
      </c>
      <c r="K122" s="60">
        <f t="shared" si="45"/>
        <v>14857</v>
      </c>
      <c r="L122" s="63">
        <f t="shared" si="46"/>
        <v>3.8435000000000001</v>
      </c>
      <c r="M122" s="64">
        <f t="shared" si="47"/>
        <v>1.5793000000000001E-2</v>
      </c>
      <c r="N122" s="69">
        <v>81</v>
      </c>
      <c r="O122" s="121">
        <f t="shared" si="48"/>
        <v>1.4137166941154069</v>
      </c>
      <c r="P122" s="59">
        <f t="shared" si="49"/>
        <v>6530</v>
      </c>
      <c r="Q122" s="61" t="str">
        <f t="shared" si="50"/>
        <v>1</v>
      </c>
      <c r="R122" s="56" t="str">
        <f t="shared" si="51"/>
        <v>1.483</v>
      </c>
      <c r="S122" s="62" t="str">
        <f t="shared" si="52"/>
        <v>3.8435+0.015793i</v>
      </c>
      <c r="T122" s="61" t="str">
        <f t="shared" si="53"/>
        <v>0.15643446504023</v>
      </c>
      <c r="U122" s="10" t="str">
        <f t="shared" si="54"/>
        <v>0.745945515598955</v>
      </c>
      <c r="V122" s="10" t="str">
        <f t="shared" si="55"/>
        <v>0.966419481397611+0.000280765338886076i</v>
      </c>
      <c r="W122" s="10" t="str">
        <f t="shared" si="56"/>
        <v>-0.525547933233803</v>
      </c>
      <c r="X122" s="10" t="str">
        <f t="shared" si="57"/>
        <v>-0.752216717271971</v>
      </c>
      <c r="Y122" s="10" t="str">
        <f t="shared" si="58"/>
        <v>0.333437583985097+0.00169696821941592i</v>
      </c>
      <c r="Z122" s="10" t="str">
        <f t="shared" si="59"/>
        <v>-0.541049109181565-0.0015558174876701i</v>
      </c>
      <c r="AA122" s="10" t="str">
        <f t="shared" si="60"/>
        <v>15.8141578315852</v>
      </c>
      <c r="AB122" s="10" t="str">
        <f t="shared" si="61"/>
        <v>-0.24362952100636-0.0722274685937939i</v>
      </c>
      <c r="AC122" s="10" t="str">
        <f t="shared" si="62"/>
        <v>-0.918071375554509+0.0249040781939996i</v>
      </c>
      <c r="AD122" s="78" t="str">
        <f t="shared" si="63"/>
        <v>0.263043316731076+0.085808491605015i</v>
      </c>
      <c r="AE122" s="79">
        <f t="shared" si="64"/>
        <v>0.26993256046848757</v>
      </c>
      <c r="AF122" s="57">
        <f t="shared" si="65"/>
        <v>0.31532980015051509</v>
      </c>
      <c r="AG122" s="91">
        <f t="shared" si="66"/>
        <v>15.465996468004226</v>
      </c>
      <c r="AH122" s="92">
        <f t="shared" si="69"/>
        <v>18.067066703328226</v>
      </c>
      <c r="AI122" s="74"/>
    </row>
    <row r="123" spans="1:35" s="71" customFormat="1">
      <c r="A123" s="79" t="str">
        <f>IFERROR(VLOOKUP(N123,'Exp. Data Processing'!$A$23:$C$34,2,FALSE),"")</f>
        <v/>
      </c>
      <c r="B123" s="123" t="str">
        <f>IFERROR(VLOOKUP(N123,'Exp. Data Processing'!$A$23:$C$34,3,FALSE),"")</f>
        <v/>
      </c>
      <c r="C123" s="124">
        <f t="shared" si="67"/>
        <v>17.713221199429562</v>
      </c>
      <c r="D123" s="123">
        <f t="shared" si="68"/>
        <v>10.280257707344905</v>
      </c>
      <c r="E123" s="79" t="str">
        <f t="shared" si="39"/>
        <v/>
      </c>
      <c r="F123" s="123" t="str">
        <f t="shared" si="40"/>
        <v/>
      </c>
      <c r="G123" s="58">
        <f t="shared" si="41"/>
        <v>1</v>
      </c>
      <c r="H123" s="59">
        <f t="shared" si="42"/>
        <v>0</v>
      </c>
      <c r="I123" s="63">
        <f t="shared" si="43"/>
        <v>1.4830000000000001</v>
      </c>
      <c r="J123" s="11">
        <f t="shared" si="44"/>
        <v>0</v>
      </c>
      <c r="K123" s="60">
        <f t="shared" si="45"/>
        <v>14857</v>
      </c>
      <c r="L123" s="63">
        <f t="shared" si="46"/>
        <v>3.8435000000000001</v>
      </c>
      <c r="M123" s="64">
        <f t="shared" si="47"/>
        <v>1.5793000000000001E-2</v>
      </c>
      <c r="N123" s="69">
        <v>82</v>
      </c>
      <c r="O123" s="121">
        <f t="shared" si="48"/>
        <v>1.4311699866353502</v>
      </c>
      <c r="P123" s="59">
        <f t="shared" si="49"/>
        <v>6530</v>
      </c>
      <c r="Q123" s="61" t="str">
        <f t="shared" si="50"/>
        <v>1</v>
      </c>
      <c r="R123" s="56" t="str">
        <f t="shared" si="51"/>
        <v>1.483</v>
      </c>
      <c r="S123" s="62" t="str">
        <f t="shared" si="52"/>
        <v>3.8435+0.015793i</v>
      </c>
      <c r="T123" s="61" t="str">
        <f t="shared" si="53"/>
        <v>0.139173100960067</v>
      </c>
      <c r="U123" s="10" t="str">
        <f t="shared" si="54"/>
        <v>0.744388744820472</v>
      </c>
      <c r="V123" s="10" t="str">
        <f t="shared" si="55"/>
        <v>0.966240767511357+0.000282286109080613i</v>
      </c>
      <c r="W123" s="10" t="str">
        <f t="shared" si="56"/>
        <v>-0.565844514790106</v>
      </c>
      <c r="X123" s="10" t="str">
        <f t="shared" si="57"/>
        <v>-0.776087328834175</v>
      </c>
      <c r="Y123" s="10" t="str">
        <f t="shared" si="58"/>
        <v>0.332591059373092+0.00169732086255572i</v>
      </c>
      <c r="Z123" s="10" t="str">
        <f t="shared" si="59"/>
        <v>-0.541722159757669-0.00155478939259469i</v>
      </c>
      <c r="AA123" s="10" t="str">
        <f t="shared" si="60"/>
        <v>15.7811540554598</v>
      </c>
      <c r="AB123" s="10" t="str">
        <f t="shared" si="61"/>
        <v>-0.292297286980591-0.0480368595912899i</v>
      </c>
      <c r="AC123" s="10" t="str">
        <f t="shared" si="62"/>
        <v>-0.927308644524281+0.0153371284184759i</v>
      </c>
      <c r="AD123" s="78" t="str">
        <f t="shared" si="63"/>
        <v>0.314267605059312+0.0570002474580268i</v>
      </c>
      <c r="AE123" s="79">
        <f t="shared" si="64"/>
        <v>0.30915403106410499</v>
      </c>
      <c r="AF123" s="57">
        <f t="shared" si="65"/>
        <v>0.17942434494669224</v>
      </c>
      <c r="AG123" s="91">
        <f t="shared" si="66"/>
        <v>17.713221199429562</v>
      </c>
      <c r="AH123" s="92">
        <f t="shared" si="69"/>
        <v>10.280257707344905</v>
      </c>
      <c r="AI123" s="74"/>
    </row>
    <row r="124" spans="1:35" s="71" customFormat="1">
      <c r="A124" s="79" t="str">
        <f>IFERROR(VLOOKUP(N124,'Exp. Data Processing'!$A$23:$C$34,2,FALSE),"")</f>
        <v/>
      </c>
      <c r="B124" s="123" t="str">
        <f>IFERROR(VLOOKUP(N124,'Exp. Data Processing'!$A$23:$C$34,3,FALSE),"")</f>
        <v/>
      </c>
      <c r="C124" s="124">
        <f t="shared" si="67"/>
        <v>20.477274700735226</v>
      </c>
      <c r="D124" s="123">
        <f t="shared" si="68"/>
        <v>4.9276233647920256</v>
      </c>
      <c r="E124" s="79" t="str">
        <f t="shared" si="39"/>
        <v/>
      </c>
      <c r="F124" s="123" t="str">
        <f t="shared" si="40"/>
        <v/>
      </c>
      <c r="G124" s="58">
        <f t="shared" si="41"/>
        <v>1</v>
      </c>
      <c r="H124" s="59">
        <f t="shared" si="42"/>
        <v>0</v>
      </c>
      <c r="I124" s="63">
        <f t="shared" si="43"/>
        <v>1.4830000000000001</v>
      </c>
      <c r="J124" s="11">
        <f t="shared" si="44"/>
        <v>0</v>
      </c>
      <c r="K124" s="60">
        <f t="shared" si="45"/>
        <v>14857</v>
      </c>
      <c r="L124" s="63">
        <f t="shared" si="46"/>
        <v>3.8435000000000001</v>
      </c>
      <c r="M124" s="64">
        <f t="shared" si="47"/>
        <v>1.5793000000000001E-2</v>
      </c>
      <c r="N124" s="69">
        <v>83</v>
      </c>
      <c r="O124" s="121">
        <f t="shared" si="48"/>
        <v>1.4486232791552935</v>
      </c>
      <c r="P124" s="59">
        <f t="shared" si="49"/>
        <v>6530</v>
      </c>
      <c r="Q124" s="61" t="str">
        <f t="shared" si="50"/>
        <v>1</v>
      </c>
      <c r="R124" s="56" t="str">
        <f t="shared" si="51"/>
        <v>1.483</v>
      </c>
      <c r="S124" s="62" t="str">
        <f t="shared" si="52"/>
        <v>3.8435+0.015793i</v>
      </c>
      <c r="T124" s="61" t="str">
        <f t="shared" si="53"/>
        <v>0.121869343405148</v>
      </c>
      <c r="U124" s="10" t="str">
        <f t="shared" si="54"/>
        <v>0.743007907720034</v>
      </c>
      <c r="V124" s="10" t="str">
        <f t="shared" si="55"/>
        <v>0.966082535296727+0.000283632832855052i</v>
      </c>
      <c r="W124" s="10" t="str">
        <f t="shared" si="56"/>
        <v>-0.60869463680726</v>
      </c>
      <c r="X124" s="10" t="str">
        <f t="shared" si="57"/>
        <v>-0.800826416541113</v>
      </c>
      <c r="Y124" s="10" t="str">
        <f t="shared" si="58"/>
        <v>0.331838006509588+0.00169763419551624i</v>
      </c>
      <c r="Z124" s="10" t="str">
        <f t="shared" si="59"/>
        <v>-0.5423199524856-0.00155387225149463i</v>
      </c>
      <c r="AA124" s="10" t="str">
        <f t="shared" si="60"/>
        <v>15.7518800999371</v>
      </c>
      <c r="AB124" s="10" t="str">
        <f t="shared" si="61"/>
        <v>-0.348614322556016-0.0270438297525998i</v>
      </c>
      <c r="AC124" s="10" t="str">
        <f t="shared" si="62"/>
        <v>-0.936310244971444+0.00803663696556418i</v>
      </c>
      <c r="AD124" s="78" t="str">
        <f t="shared" si="63"/>
        <v>0.372052462796174+0.0320768468459434i</v>
      </c>
      <c r="AE124" s="79">
        <f t="shared" si="64"/>
        <v>0.3573958653631662</v>
      </c>
      <c r="AF124" s="57">
        <f t="shared" si="65"/>
        <v>8.6003252013822473E-2</v>
      </c>
      <c r="AG124" s="91">
        <f t="shared" si="66"/>
        <v>20.477274700735226</v>
      </c>
      <c r="AH124" s="92">
        <f t="shared" si="69"/>
        <v>4.9276233647920256</v>
      </c>
      <c r="AI124" s="74"/>
    </row>
    <row r="125" spans="1:35" s="71" customFormat="1">
      <c r="A125" s="79" t="str">
        <f>IFERROR(VLOOKUP(N125,'Exp. Data Processing'!$A$23:$C$34,2,FALSE),"")</f>
        <v/>
      </c>
      <c r="B125" s="123" t="str">
        <f>IFERROR(VLOOKUP(N125,'Exp. Data Processing'!$A$23:$C$34,3,FALSE),"")</f>
        <v/>
      </c>
      <c r="C125" s="124">
        <f t="shared" si="67"/>
        <v>23.595044046398222</v>
      </c>
      <c r="D125" s="123">
        <f t="shared" si="68"/>
        <v>1.5277675463252876</v>
      </c>
      <c r="E125" s="79" t="str">
        <f t="shared" si="39"/>
        <v/>
      </c>
      <c r="F125" s="123" t="str">
        <f t="shared" si="40"/>
        <v/>
      </c>
      <c r="G125" s="58">
        <f t="shared" si="41"/>
        <v>1</v>
      </c>
      <c r="H125" s="59">
        <f t="shared" si="42"/>
        <v>0</v>
      </c>
      <c r="I125" s="63">
        <f t="shared" si="43"/>
        <v>1.4830000000000001</v>
      </c>
      <c r="J125" s="11">
        <f t="shared" si="44"/>
        <v>0</v>
      </c>
      <c r="K125" s="60">
        <f t="shared" si="45"/>
        <v>14857</v>
      </c>
      <c r="L125" s="63">
        <f t="shared" si="46"/>
        <v>3.8435000000000001</v>
      </c>
      <c r="M125" s="64">
        <f t="shared" si="47"/>
        <v>1.5793000000000001E-2</v>
      </c>
      <c r="N125" s="69">
        <v>84</v>
      </c>
      <c r="O125" s="121">
        <f t="shared" si="48"/>
        <v>1.4660765716752369</v>
      </c>
      <c r="P125" s="59">
        <f t="shared" si="49"/>
        <v>6530</v>
      </c>
      <c r="Q125" s="61" t="str">
        <f t="shared" si="50"/>
        <v>1</v>
      </c>
      <c r="R125" s="56" t="str">
        <f t="shared" si="51"/>
        <v>1.483</v>
      </c>
      <c r="S125" s="62" t="str">
        <f t="shared" si="52"/>
        <v>3.8435+0.015793i</v>
      </c>
      <c r="T125" s="61" t="str">
        <f t="shared" si="53"/>
        <v>0.104528463267657</v>
      </c>
      <c r="U125" s="10" t="str">
        <f t="shared" si="54"/>
        <v>0.741805673409427</v>
      </c>
      <c r="V125" s="10" t="str">
        <f t="shared" si="55"/>
        <v>0.965944987643135+0.000284803694518349i</v>
      </c>
      <c r="W125" s="10" t="str">
        <f t="shared" si="56"/>
        <v>-0.654299699547123</v>
      </c>
      <c r="X125" s="10" t="str">
        <f t="shared" si="57"/>
        <v>-0.826454950769102</v>
      </c>
      <c r="Y125" s="10" t="str">
        <f t="shared" si="58"/>
        <v>0.331180669075674+0.00169790741207746i</v>
      </c>
      <c r="Z125" s="10" t="str">
        <f t="shared" si="59"/>
        <v>-0.542841041359097-0.00155306972143767i</v>
      </c>
      <c r="AA125" s="10" t="str">
        <f t="shared" si="60"/>
        <v>15.7263925505908</v>
      </c>
      <c r="AB125" s="10" t="str">
        <f t="shared" si="61"/>
        <v>-0.412742644131575-0.00979014564777335i</v>
      </c>
      <c r="AC125" s="10" t="str">
        <f t="shared" si="62"/>
        <v>-0.945215053209006+0.00278771857917118i</v>
      </c>
      <c r="AD125" s="78" t="str">
        <f t="shared" si="63"/>
        <v>0.436630985511537+0.011645339249471i</v>
      </c>
      <c r="AE125" s="79">
        <f t="shared" si="64"/>
        <v>0.41181120576273467</v>
      </c>
      <c r="AF125" s="57">
        <f t="shared" si="65"/>
        <v>2.6664573888491264E-2</v>
      </c>
      <c r="AG125" s="91">
        <f t="shared" si="66"/>
        <v>23.595044046398222</v>
      </c>
      <c r="AH125" s="92">
        <f t="shared" si="69"/>
        <v>1.5277675463252876</v>
      </c>
      <c r="AI125" s="74"/>
    </row>
    <row r="126" spans="1:35" s="71" customFormat="1">
      <c r="A126" s="79" t="str">
        <f>IFERROR(VLOOKUP(N126,'Exp. Data Processing'!$A$23:$C$34,2,FALSE),"")</f>
        <v/>
      </c>
      <c r="B126" s="123" t="str">
        <f>IFERROR(VLOOKUP(N126,'Exp. Data Processing'!$A$23:$C$34,3,FALSE),"")</f>
        <v/>
      </c>
      <c r="C126" s="124">
        <f t="shared" si="67"/>
        <v>26.945057177387643</v>
      </c>
      <c r="D126" s="123">
        <f t="shared" si="68"/>
        <v>0.42698557962720662</v>
      </c>
      <c r="E126" s="79" t="str">
        <f t="shared" si="39"/>
        <v/>
      </c>
      <c r="F126" s="123" t="str">
        <f t="shared" si="40"/>
        <v/>
      </c>
      <c r="G126" s="58">
        <f t="shared" si="41"/>
        <v>1</v>
      </c>
      <c r="H126" s="59">
        <f t="shared" si="42"/>
        <v>0</v>
      </c>
      <c r="I126" s="63">
        <f t="shared" si="43"/>
        <v>1.4830000000000001</v>
      </c>
      <c r="J126" s="11">
        <f t="shared" si="44"/>
        <v>0</v>
      </c>
      <c r="K126" s="60">
        <f t="shared" si="45"/>
        <v>14857</v>
      </c>
      <c r="L126" s="63">
        <f t="shared" si="46"/>
        <v>3.8435000000000001</v>
      </c>
      <c r="M126" s="64">
        <f t="shared" si="47"/>
        <v>1.5793000000000001E-2</v>
      </c>
      <c r="N126" s="69">
        <v>85</v>
      </c>
      <c r="O126" s="121">
        <f t="shared" si="48"/>
        <v>1.4835298641951802</v>
      </c>
      <c r="P126" s="59">
        <f t="shared" si="49"/>
        <v>6530</v>
      </c>
      <c r="Q126" s="61" t="str">
        <f t="shared" si="50"/>
        <v>1</v>
      </c>
      <c r="R126" s="56" t="str">
        <f t="shared" si="51"/>
        <v>1.483</v>
      </c>
      <c r="S126" s="62" t="str">
        <f t="shared" si="52"/>
        <v>3.8435+0.015793i</v>
      </c>
      <c r="T126" s="61" t="str">
        <f t="shared" si="53"/>
        <v>0.0871557427476529</v>
      </c>
      <c r="U126" s="10" t="str">
        <f t="shared" si="54"/>
        <v>0.74078437941209</v>
      </c>
      <c r="V126" s="10" t="str">
        <f t="shared" si="55"/>
        <v>0.965828301000042+0.000285797114020667i</v>
      </c>
      <c r="W126" s="10" t="str">
        <f t="shared" si="56"/>
        <v>-0.702881455233812</v>
      </c>
      <c r="X126" s="10" t="str">
        <f t="shared" si="57"/>
        <v>-0.85299337475167</v>
      </c>
      <c r="Y126" s="10" t="str">
        <f t="shared" si="58"/>
        <v>0.330621025181817+0.00169813980668279i</v>
      </c>
      <c r="Z126" s="10" t="str">
        <f t="shared" si="59"/>
        <v>-0.543284156231547-0.00155238503261558i</v>
      </c>
      <c r="AA126" s="10" t="str">
        <f t="shared" si="60"/>
        <v>15.7047409632716</v>
      </c>
      <c r="AB126" s="10" t="str">
        <f t="shared" si="61"/>
        <v>-0.484985538186085+0.00328756721527918i</v>
      </c>
      <c r="AC126" s="10" t="str">
        <f t="shared" si="62"/>
        <v>-0.954120110525084-0.000642806860911686i</v>
      </c>
      <c r="AD126" s="78" t="str">
        <f t="shared" si="63"/>
        <v>0.508304036164139-0.00378810644203434i</v>
      </c>
      <c r="AE126" s="79">
        <f t="shared" si="64"/>
        <v>0.47027996488354412</v>
      </c>
      <c r="AF126" s="57">
        <f t="shared" si="65"/>
        <v>-7.4523042230311776E-3</v>
      </c>
      <c r="AG126" s="91">
        <f t="shared" si="66"/>
        <v>26.945057177387643</v>
      </c>
      <c r="AH126" s="92">
        <f t="shared" si="69"/>
        <v>0.42698557962720662</v>
      </c>
      <c r="AI126" s="74"/>
    </row>
    <row r="127" spans="1:35" s="71" customFormat="1">
      <c r="A127" s="79" t="str">
        <f>IFERROR(VLOOKUP(N127,'Exp. Data Processing'!$A$23:$C$34,2,FALSE),"")</f>
        <v/>
      </c>
      <c r="B127" s="123" t="str">
        <f>IFERROR(VLOOKUP(N127,'Exp. Data Processing'!$A$23:$C$34,3,FALSE),"")</f>
        <v/>
      </c>
      <c r="C127" s="124">
        <f t="shared" si="67"/>
        <v>30.441952975318383</v>
      </c>
      <c r="D127" s="123">
        <f t="shared" si="68"/>
        <v>1.3505001751165686</v>
      </c>
      <c r="E127" s="79" t="str">
        <f t="shared" si="39"/>
        <v/>
      </c>
      <c r="F127" s="123" t="str">
        <f t="shared" si="40"/>
        <v/>
      </c>
      <c r="G127" s="58">
        <f t="shared" si="41"/>
        <v>1</v>
      </c>
      <c r="H127" s="59">
        <f t="shared" si="42"/>
        <v>0</v>
      </c>
      <c r="I127" s="63">
        <f t="shared" si="43"/>
        <v>1.4830000000000001</v>
      </c>
      <c r="J127" s="11">
        <f t="shared" si="44"/>
        <v>0</v>
      </c>
      <c r="K127" s="60">
        <f t="shared" si="45"/>
        <v>14857</v>
      </c>
      <c r="L127" s="63">
        <f t="shared" si="46"/>
        <v>3.8435000000000001</v>
      </c>
      <c r="M127" s="64">
        <f t="shared" si="47"/>
        <v>1.5793000000000001E-2</v>
      </c>
      <c r="N127" s="69">
        <v>86</v>
      </c>
      <c r="O127" s="121">
        <f t="shared" si="48"/>
        <v>1.5009831567151235</v>
      </c>
      <c r="P127" s="59">
        <f t="shared" si="49"/>
        <v>6530</v>
      </c>
      <c r="Q127" s="61" t="str">
        <f t="shared" si="50"/>
        <v>1</v>
      </c>
      <c r="R127" s="56" t="str">
        <f t="shared" si="51"/>
        <v>1.483</v>
      </c>
      <c r="S127" s="62" t="str">
        <f t="shared" si="52"/>
        <v>3.8435+0.015793i</v>
      </c>
      <c r="T127" s="61" t="str">
        <f t="shared" si="53"/>
        <v>0.0697564737441267</v>
      </c>
      <c r="U127" s="10" t="str">
        <f t="shared" si="54"/>
        <v>0.739946021505131</v>
      </c>
      <c r="V127" s="10" t="str">
        <f t="shared" si="55"/>
        <v>0.96573262511597+0.000286611749699694i</v>
      </c>
      <c r="W127" s="10" t="str">
        <f t="shared" si="56"/>
        <v>-0.754684658423582</v>
      </c>
      <c r="X127" s="10" t="str">
        <f t="shared" si="57"/>
        <v>-0.880461507153291</v>
      </c>
      <c r="Y127" s="10" t="str">
        <f t="shared" si="58"/>
        <v>0.330160773440716+0.00169833077736675i</v>
      </c>
      <c r="Z127" s="10" t="str">
        <f t="shared" si="59"/>
        <v>-0.543648209880213-0.0015518209631275i</v>
      </c>
      <c r="AA127" s="10" t="str">
        <f t="shared" si="60"/>
        <v>15.6869676487563</v>
      </c>
      <c r="AB127" s="10" t="str">
        <f t="shared" si="61"/>
        <v>-0.565866118031331+0.0118667080755112i</v>
      </c>
      <c r="AC127" s="10" t="str">
        <f t="shared" si="62"/>
        <v>-0.963087843929917-0.00250680021388673i</v>
      </c>
      <c r="AD127" s="78" t="str">
        <f t="shared" si="63"/>
        <v>0.587517951254896-0.0138507596014782i</v>
      </c>
      <c r="AE127" s="79">
        <f t="shared" si="64"/>
        <v>0.53131231015658986</v>
      </c>
      <c r="AF127" s="57">
        <f t="shared" si="65"/>
        <v>-2.3570674604544116E-2</v>
      </c>
      <c r="AG127" s="91">
        <f>DEGREES(AE127)</f>
        <v>30.441952975318383</v>
      </c>
      <c r="AH127" s="92">
        <f t="shared" si="69"/>
        <v>1.3505001751165686</v>
      </c>
      <c r="AI127" s="74"/>
    </row>
    <row r="128" spans="1:35" s="71" customFormat="1">
      <c r="A128" s="79" t="str">
        <f>IFERROR(VLOOKUP(N128,'Exp. Data Processing'!$A$23:$C$34,2,FALSE),"")</f>
        <v/>
      </c>
      <c r="B128" s="123" t="str">
        <f>IFERROR(VLOOKUP(N128,'Exp. Data Processing'!$A$23:$C$34,3,FALSE),"")</f>
        <v/>
      </c>
      <c r="C128" s="124">
        <f t="shared" si="67"/>
        <v>34.02765558771975</v>
      </c>
      <c r="D128" s="123">
        <f t="shared" si="68"/>
        <v>1.5562877853417107</v>
      </c>
      <c r="E128" s="79" t="str">
        <f t="shared" si="39"/>
        <v/>
      </c>
      <c r="F128" s="123" t="str">
        <f t="shared" si="40"/>
        <v/>
      </c>
      <c r="G128" s="58">
        <f t="shared" si="41"/>
        <v>1</v>
      </c>
      <c r="H128" s="59">
        <f t="shared" si="42"/>
        <v>0</v>
      </c>
      <c r="I128" s="63">
        <f t="shared" si="43"/>
        <v>1.4830000000000001</v>
      </c>
      <c r="J128" s="11">
        <f t="shared" si="44"/>
        <v>0</v>
      </c>
      <c r="K128" s="60">
        <f t="shared" si="45"/>
        <v>14857</v>
      </c>
      <c r="L128" s="63">
        <f t="shared" si="46"/>
        <v>3.8435000000000001</v>
      </c>
      <c r="M128" s="64">
        <f t="shared" si="47"/>
        <v>1.5793000000000001E-2</v>
      </c>
      <c r="N128" s="69">
        <v>87</v>
      </c>
      <c r="O128" s="121">
        <f t="shared" si="48"/>
        <v>1.5184364492350666</v>
      </c>
      <c r="P128" s="59">
        <f t="shared" si="49"/>
        <v>6530</v>
      </c>
      <c r="Q128" s="61" t="str">
        <f t="shared" si="50"/>
        <v>1</v>
      </c>
      <c r="R128" s="56" t="str">
        <f t="shared" si="51"/>
        <v>1.483</v>
      </c>
      <c r="S128" s="62" t="str">
        <f t="shared" si="52"/>
        <v>3.8435+0.015793i</v>
      </c>
      <c r="T128" s="61" t="str">
        <f t="shared" si="53"/>
        <v>0.0523359562429409</v>
      </c>
      <c r="U128" s="10" t="str">
        <f t="shared" si="54"/>
        <v>0.739292244931692</v>
      </c>
      <c r="V128" s="10" t="str">
        <f t="shared" si="55"/>
        <v>0.965658082816684+0.000287246500618319i</v>
      </c>
      <c r="W128" s="10" t="str">
        <f t="shared" si="56"/>
        <v>-0.809980147924393</v>
      </c>
      <c r="X128" s="10" t="str">
        <f t="shared" si="57"/>
        <v>-0.908878442269567</v>
      </c>
      <c r="Y128" s="10" t="str">
        <f t="shared" si="58"/>
        <v>0.329801320829029+0.00169847982823399i</v>
      </c>
      <c r="Z128" s="10" t="str">
        <f t="shared" si="59"/>
        <v>-0.543932304132603-0.00155137981702731i</v>
      </c>
      <c r="AA128" s="10" t="str">
        <f t="shared" si="60"/>
        <v>15.6731074864486</v>
      </c>
      <c r="AB128" s="10" t="str">
        <f t="shared" si="61"/>
        <v>-0.656222640148702+0.015751752378589i</v>
      </c>
      <c r="AC128" s="10" t="str">
        <f t="shared" si="62"/>
        <v>-0.972152929101532-0.00307520553012312i</v>
      </c>
      <c r="AD128" s="78" t="str">
        <f t="shared" si="63"/>
        <v>0.674961960409233-0.0183380603999603i</v>
      </c>
      <c r="AE128" s="79">
        <f t="shared" si="64"/>
        <v>0.59389462674035576</v>
      </c>
      <c r="AF128" s="57">
        <f t="shared" si="65"/>
        <v>-2.7162345962783597E-2</v>
      </c>
      <c r="AG128" s="91">
        <f t="shared" si="66"/>
        <v>34.02765558771975</v>
      </c>
      <c r="AH128" s="92">
        <f t="shared" si="69"/>
        <v>1.5562877853417107</v>
      </c>
      <c r="AI128" s="74"/>
    </row>
    <row r="129" spans="1:35" s="71" customFormat="1">
      <c r="A129" s="79" t="str">
        <f>IFERROR(VLOOKUP(N129,'Exp. Data Processing'!$A$23:$C$34,2,FALSE),"")</f>
        <v/>
      </c>
      <c r="B129" s="123" t="str">
        <f>IFERROR(VLOOKUP(N129,'Exp. Data Processing'!$A$23:$C$34,3,FALSE),"")</f>
        <v/>
      </c>
      <c r="C129" s="124">
        <f>AG129</f>
        <v>37.663932926953542</v>
      </c>
      <c r="D129" s="123">
        <f>AH129</f>
        <v>1.2812340704099876</v>
      </c>
      <c r="E129" s="79" t="str">
        <f t="shared" si="39"/>
        <v/>
      </c>
      <c r="F129" s="123" t="str">
        <f t="shared" si="40"/>
        <v/>
      </c>
      <c r="G129" s="58">
        <f t="shared" si="41"/>
        <v>1</v>
      </c>
      <c r="H129" s="59">
        <f t="shared" si="42"/>
        <v>0</v>
      </c>
      <c r="I129" s="63">
        <f t="shared" si="43"/>
        <v>1.4830000000000001</v>
      </c>
      <c r="J129" s="11">
        <f t="shared" si="44"/>
        <v>0</v>
      </c>
      <c r="K129" s="60">
        <f t="shared" si="45"/>
        <v>14857</v>
      </c>
      <c r="L129" s="63">
        <f t="shared" si="46"/>
        <v>3.8435000000000001</v>
      </c>
      <c r="M129" s="64">
        <f t="shared" si="47"/>
        <v>1.5793000000000001E-2</v>
      </c>
      <c r="N129" s="69">
        <v>88</v>
      </c>
      <c r="O129" s="121">
        <f t="shared" si="48"/>
        <v>1.5358897417550099</v>
      </c>
      <c r="P129" s="59">
        <f t="shared" si="49"/>
        <v>6530</v>
      </c>
      <c r="Q129" s="61" t="str">
        <f t="shared" si="50"/>
        <v>1</v>
      </c>
      <c r="R129" s="56" t="str">
        <f t="shared" si="51"/>
        <v>1.483</v>
      </c>
      <c r="S129" s="62" t="str">
        <f t="shared" si="52"/>
        <v>3.8435+0.015793i</v>
      </c>
      <c r="T129" s="61" t="str">
        <f t="shared" si="53"/>
        <v>0.0348994967024886</v>
      </c>
      <c r="U129" s="10" t="str">
        <f t="shared" si="54"/>
        <v>0.73882433707708</v>
      </c>
      <c r="V129" s="10" t="str">
        <f t="shared" si="55"/>
        <v>0.96560476982301+0.000287700508487341i</v>
      </c>
      <c r="W129" s="10" t="str">
        <f t="shared" si="56"/>
        <v>-0.869068444484432</v>
      </c>
      <c r="X129" s="10" t="str">
        <f t="shared" si="57"/>
        <v>-0.938262448424926</v>
      </c>
      <c r="Y129" s="10" t="str">
        <f t="shared" si="58"/>
        <v>0.329543772508404+0.00169858657148713i</v>
      </c>
      <c r="Z129" s="10" t="str">
        <f t="shared" si="59"/>
        <v>-0.544135734982815-0.00155106340593258i</v>
      </c>
      <c r="AA129" s="10" t="str">
        <f t="shared" si="60"/>
        <v>15.6631877691117</v>
      </c>
      <c r="AB129" s="10" t="str">
        <f t="shared" si="61"/>
        <v>-0.757327062719601+0.0149011540585449i</v>
      </c>
      <c r="AC129" s="10" t="str">
        <f t="shared" si="62"/>
        <v>-0.981328910473436-0.00263812173833844i</v>
      </c>
      <c r="AD129" s="78" t="str">
        <f t="shared" si="63"/>
        <v>0.771689820537747-0.0172592140806174i</v>
      </c>
      <c r="AE129" s="79">
        <f t="shared" si="64"/>
        <v>0.65735963882564419</v>
      </c>
      <c r="AF129" s="57">
        <f t="shared" si="65"/>
        <v>-2.2361753017383138E-2</v>
      </c>
      <c r="AG129" s="91">
        <f t="shared" si="66"/>
        <v>37.663932926953542</v>
      </c>
      <c r="AH129" s="92">
        <f t="shared" si="69"/>
        <v>1.2812340704099876</v>
      </c>
      <c r="AI129" s="74"/>
    </row>
    <row r="130" spans="1:35" s="71" customFormat="1" ht="15.75" thickBot="1">
      <c r="A130" s="81" t="str">
        <f>IFERROR(VLOOKUP(N130,'Exp. Data Processing'!$A$23:$C$34,2,FALSE),"")</f>
        <v/>
      </c>
      <c r="B130" s="125" t="str">
        <f>IFERROR(VLOOKUP(N130,'Exp. Data Processing'!$A$23:$C$34,3,FALSE),"")</f>
        <v/>
      </c>
      <c r="C130" s="126">
        <f>AG130</f>
        <v>41.326494151033451</v>
      </c>
      <c r="D130" s="125">
        <f>AH130</f>
        <v>0.71087291867636815</v>
      </c>
      <c r="E130" s="81" t="str">
        <f t="shared" si="39"/>
        <v/>
      </c>
      <c r="F130" s="125" t="str">
        <f t="shared" si="40"/>
        <v/>
      </c>
      <c r="G130" s="41">
        <f t="shared" si="41"/>
        <v>1</v>
      </c>
      <c r="H130" s="32">
        <f t="shared" si="42"/>
        <v>0</v>
      </c>
      <c r="I130" s="68">
        <f t="shared" si="43"/>
        <v>1.4830000000000001</v>
      </c>
      <c r="J130" s="31">
        <f t="shared" si="44"/>
        <v>0</v>
      </c>
      <c r="K130" s="52">
        <f t="shared" si="45"/>
        <v>14857</v>
      </c>
      <c r="L130" s="68">
        <f t="shared" si="46"/>
        <v>3.8435000000000001</v>
      </c>
      <c r="M130" s="53">
        <f t="shared" si="47"/>
        <v>1.5793000000000001E-2</v>
      </c>
      <c r="N130" s="70">
        <v>89</v>
      </c>
      <c r="O130" s="122">
        <f t="shared" si="48"/>
        <v>1.5533430342749532</v>
      </c>
      <c r="P130" s="32">
        <f t="shared" si="49"/>
        <v>6530</v>
      </c>
      <c r="Q130" s="33" t="str">
        <f t="shared" si="50"/>
        <v>1</v>
      </c>
      <c r="R130" s="55" t="str">
        <f t="shared" si="51"/>
        <v>1.483</v>
      </c>
      <c r="S130" s="35" t="str">
        <f t="shared" si="52"/>
        <v>3.8435+0.015793i</v>
      </c>
      <c r="T130" s="33" t="str">
        <f t="shared" si="53"/>
        <v>0.0174524064373069</v>
      </c>
      <c r="U130" s="30" t="str">
        <f t="shared" si="54"/>
        <v>0.73854322168733</v>
      </c>
      <c r="V130" s="30" t="str">
        <f t="shared" si="55"/>
        <v>0.965572754608758+0.000287973159166639i</v>
      </c>
      <c r="W130" s="30" t="str">
        <f t="shared" si="56"/>
        <v>-0.93228396770981</v>
      </c>
      <c r="X130" s="30" t="str">
        <f t="shared" si="57"/>
        <v>-0.968630865180854</v>
      </c>
      <c r="Y130" s="30" t="str">
        <f t="shared" si="58"/>
        <v>0.329388923750848+0.0016986507290031i</v>
      </c>
      <c r="Z130" s="30" t="str">
        <f t="shared" si="59"/>
        <v>-0.544257996636886-0.00155087303444703i</v>
      </c>
      <c r="AA130" s="30" t="str">
        <f t="shared" si="60"/>
        <v>15.6572280803014</v>
      </c>
      <c r="AB130" s="30" t="str">
        <f t="shared" si="61"/>
        <v>-0.871037477466272+0.00948467894282154i</v>
      </c>
      <c r="AC130" s="30" t="str">
        <f t="shared" si="62"/>
        <v>-0.990614578585783-0.00150430744971477i</v>
      </c>
      <c r="AD130" s="80" t="str">
        <f t="shared" si="63"/>
        <v>0.879273417379499-0.0109097692771193i</v>
      </c>
      <c r="AE130" s="81">
        <f t="shared" si="64"/>
        <v>0.72128339124171248</v>
      </c>
      <c r="AF130" s="54">
        <f t="shared" si="65"/>
        <v>-1.2407072994164514E-2</v>
      </c>
      <c r="AG130" s="94">
        <f t="shared" si="66"/>
        <v>41.326494151033451</v>
      </c>
      <c r="AH130" s="93">
        <f t="shared" si="69"/>
        <v>0.71087291867636815</v>
      </c>
      <c r="AI130" s="74"/>
    </row>
    <row r="131" spans="1:35" s="71" customFormat="1" ht="15.75" thickBot="1">
      <c r="A131" s="124"/>
      <c r="B131" s="124"/>
      <c r="G131" s="11"/>
      <c r="H131" s="11"/>
      <c r="I131" s="127"/>
      <c r="J131" s="11"/>
      <c r="K131" s="128"/>
      <c r="L131" s="129"/>
      <c r="M131" s="129"/>
      <c r="N131" s="132"/>
      <c r="O131" s="121"/>
      <c r="P131" s="11"/>
      <c r="Q131" s="10"/>
      <c r="R131" s="56"/>
      <c r="S131" s="10"/>
      <c r="T131" s="10"/>
      <c r="U131" s="10"/>
      <c r="V131" s="10"/>
      <c r="W131" s="10"/>
      <c r="X131" s="10"/>
      <c r="Y131" s="10"/>
      <c r="Z131" s="10"/>
      <c r="AA131" s="10"/>
      <c r="AB131" s="10"/>
      <c r="AC131" s="10"/>
      <c r="AD131" s="74"/>
      <c r="AE131" s="124"/>
      <c r="AF131" s="57"/>
      <c r="AG131" s="91"/>
      <c r="AH131" s="91"/>
      <c r="AI131" s="74"/>
    </row>
    <row r="132" spans="1:35" ht="15.75" thickBot="1">
      <c r="A132" s="220" t="s">
        <v>63</v>
      </c>
      <c r="B132" s="221"/>
      <c r="C132" s="221"/>
      <c r="D132" s="221"/>
      <c r="E132" s="221"/>
      <c r="F132" s="222"/>
    </row>
    <row r="133" spans="1:35">
      <c r="A133" s="144">
        <f>MIN($C$35)</f>
        <v>6.9029016582424479E-3</v>
      </c>
      <c r="B133" s="145">
        <f>COUNT($B$29,$B$30,$B$31)</f>
        <v>3</v>
      </c>
      <c r="C133" s="145" t="b">
        <f>d1_Thickness&lt;=d1_Max</f>
        <v>1</v>
      </c>
      <c r="D133" s="145" t="b">
        <f>$B$31=INT($B$31)</f>
        <v>1</v>
      </c>
      <c r="E133" s="145" t="b">
        <f>d1_Thickness&gt;=d1_Min</f>
        <v>1</v>
      </c>
      <c r="F133" s="146" t="b">
        <f>k1_extinction&lt;=k1_Max</f>
        <v>1</v>
      </c>
    </row>
    <row r="134" spans="1:35" ht="15.75" thickBot="1">
      <c r="A134" s="147" t="b">
        <f>k1_extinction&gt;=k1_Min</f>
        <v>1</v>
      </c>
      <c r="B134" s="148" t="b">
        <f>n1_Index&lt;=n1_Max</f>
        <v>1</v>
      </c>
      <c r="C134" s="149" t="b">
        <f>n1_Index&gt;=n1_Min</f>
        <v>1</v>
      </c>
      <c r="D134" s="149">
        <f>{32767,32767,0.000001,0.01,FALSE,FALSE,TRUE,1,2,1,0.0001,TRUE}</f>
        <v>32767</v>
      </c>
      <c r="E134" s="148">
        <f>{0,0,3,50,0,TRUE,FALSE,0.5,0,0,FALSE,45}</f>
        <v>0</v>
      </c>
      <c r="F134" s="150">
        <f>{0,0,3,50,0,TRUE,FALSE,0.5,0,0,FALSE,45}</f>
        <v>0</v>
      </c>
    </row>
    <row r="135" spans="1:35">
      <c r="A135" s="9"/>
      <c r="B135" s="9"/>
      <c r="C135" s="9"/>
      <c r="D135" s="9"/>
    </row>
    <row r="136" spans="1:35">
      <c r="A136" s="9"/>
      <c r="B136" s="9"/>
      <c r="C136" s="9"/>
      <c r="D136" s="9"/>
    </row>
  </sheetData>
  <mergeCells count="24">
    <mergeCell ref="G39:AH39"/>
    <mergeCell ref="A39:F39"/>
    <mergeCell ref="E40:E41"/>
    <mergeCell ref="AE40:AH40"/>
    <mergeCell ref="G40:H40"/>
    <mergeCell ref="I40:K40"/>
    <mergeCell ref="L40:M40"/>
    <mergeCell ref="Q40:S40"/>
    <mergeCell ref="T40:AD40"/>
    <mergeCell ref="A132:F132"/>
    <mergeCell ref="A40:A41"/>
    <mergeCell ref="A28:B28"/>
    <mergeCell ref="F40:F41"/>
    <mergeCell ref="A1:D1"/>
    <mergeCell ref="A3:A4"/>
    <mergeCell ref="A8:A9"/>
    <mergeCell ref="A13:B14"/>
    <mergeCell ref="B40:B41"/>
    <mergeCell ref="C40:C41"/>
    <mergeCell ref="D40:D41"/>
    <mergeCell ref="A18:B19"/>
    <mergeCell ref="A5:A7"/>
    <mergeCell ref="A23:B24"/>
    <mergeCell ref="A33:C33"/>
  </mergeCells>
  <hyperlinks>
    <hyperlink ref="A12" r:id="rId1" xr:uid="{0CA67C9A-5220-42A3-ACE7-797930BDDF46}"/>
  </hyperlinks>
  <pageMargins left="0.7" right="0.7" top="0.75" bottom="0.75" header="0.3" footer="0.3"/>
  <pageSetup orientation="portrait" horizontalDpi="4294967293"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Instructions</vt:lpstr>
      <vt:lpstr>Exp. Data Collection</vt:lpstr>
      <vt:lpstr>Exp. Data Processing</vt:lpstr>
      <vt:lpstr>Model Fitting</vt:lpstr>
      <vt:lpstr>'Model Fitting'!Average_SSE</vt:lpstr>
      <vt:lpstr>d1_Max</vt:lpstr>
      <vt:lpstr>d1_Min</vt:lpstr>
      <vt:lpstr>d1_Thickness</vt:lpstr>
      <vt:lpstr>k1_extinction</vt:lpstr>
      <vt:lpstr>k1_Max</vt:lpstr>
      <vt:lpstr>k1_Min</vt:lpstr>
      <vt:lpstr>n1_Index</vt:lpstr>
      <vt:lpstr>n1_Max</vt:lpstr>
      <vt:lpstr>n1_Min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2013-07-12T17:15:14Z</dcterms:created>
  <dcterms:modified xsi:type="dcterms:W3CDTF">2021-02-04T04:49:31Z</dcterms:modified>
</cp:coreProperties>
</file>