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курс" sheetId="1" r:id="rId4"/>
    <sheet state="visible" name="2 курс" sheetId="2" r:id="rId5"/>
    <sheet state="visible" name="3 курс" sheetId="3" r:id="rId6"/>
    <sheet state="visible" name="4 курс" sheetId="4" r:id="rId7"/>
    <sheet state="visible" name="Магистры" sheetId="5" r:id="rId8"/>
    <sheet state="visible" name="Управление" sheetId="6" r:id="rId9"/>
  </sheets>
  <definedNames/>
  <calcPr/>
</workbook>
</file>

<file path=xl/sharedStrings.xml><?xml version="1.0" encoding="utf-8"?>
<sst xmlns="http://schemas.openxmlformats.org/spreadsheetml/2006/main" count="73" uniqueCount="38">
  <si>
    <t>Понедельник</t>
  </si>
  <si>
    <t>08:30 - 10:00</t>
  </si>
  <si>
    <t>Таблица-источник</t>
  </si>
  <si>
    <t>https://docs.google.com/spreadsheets/d/1wDMuQdYC4ewmW6qSUPFN4VL5_0cxAnI03QcSbIHrla4/edit</t>
  </si>
  <si>
    <t>расписание занятий 2 с 2021-2022</t>
  </si>
  <si>
    <t>Текущая дата:</t>
  </si>
  <si>
    <t>10:10 - 11:40</t>
  </si>
  <si>
    <t>Разметка времени</t>
  </si>
  <si>
    <t>https://docs.google.com/spreadsheets/d/1bPVQYgPnxienxyENTP1ApNTy4jj4Hbk_f43o5Jsp1Bs/edit</t>
  </si>
  <si>
    <t>Управление!A1:B42</t>
  </si>
  <si>
    <t>Календарный номер недели:</t>
  </si>
  <si>
    <t>11:50 - 13:20</t>
  </si>
  <si>
    <t>Диапазон для 1 курса</t>
  </si>
  <si>
    <t>C3:O45</t>
  </si>
  <si>
    <t>Сдвиг:</t>
  </si>
  <si>
    <t>14:00 - 15:30</t>
  </si>
  <si>
    <t>Диапазон для 2 курса</t>
  </si>
  <si>
    <t>P3:AB45</t>
  </si>
  <si>
    <t>Академический номер недели:</t>
  </si>
  <si>
    <t>15:40 - 17:10</t>
  </si>
  <si>
    <t>Диапазон для 3 курса</t>
  </si>
  <si>
    <t>AC3:AL45</t>
  </si>
  <si>
    <t>Неделя:</t>
  </si>
  <si>
    <t>17:50 - 19:20</t>
  </si>
  <si>
    <t>Диапазон для 4 курса</t>
  </si>
  <si>
    <t>AM3:AV45</t>
  </si>
  <si>
    <t>Номер и чётность:</t>
  </si>
  <si>
    <t>19:30 - 21:00</t>
  </si>
  <si>
    <t>Диапазон для магистров</t>
  </si>
  <si>
    <t>AW3:AB45</t>
  </si>
  <si>
    <t>День недели:</t>
  </si>
  <si>
    <t>Вторник</t>
  </si>
  <si>
    <t>Значок-разделитель:</t>
  </si>
  <si>
    <t>!</t>
  </si>
  <si>
    <t>Среда</t>
  </si>
  <si>
    <t>Четверг</t>
  </si>
  <si>
    <t>Пятница</t>
  </si>
  <si>
    <t>Суббота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</si>
</sst>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0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/>
    <font>
      <u/>
      <sz val="10.0"/>
      <color rgb="FF000000"/>
      <name val="Arial"/>
    </font>
    <font>
      <u/>
      <sz val="10.0"/>
      <color rgb="FF0000FF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666666"/>
      </bottom>
    </border>
    <border>
      <right style="thin">
        <color rgb="FF434343"/>
      </right>
      <bottom style="thick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666666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  <border>
      <left style="thin">
        <color rgb="FF000000"/>
      </left>
      <top style="thin">
        <color rgb="FF000000"/>
      </top>
      <bottom style="thick">
        <color rgb="FF666666"/>
      </bottom>
    </border>
    <border>
      <left style="thin">
        <color rgb="FF000000"/>
      </left>
      <right style="thin">
        <color rgb="FF434343"/>
      </right>
      <bottom style="thin">
        <color rgb="FF000000"/>
      </bottom>
    </border>
    <border>
      <left style="thin">
        <color rgb="FF000000"/>
      </left>
      <right style="thin">
        <color rgb="FF434343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666666"/>
      </bottom>
    </border>
    <border>
      <left style="thin">
        <color rgb="FF000000"/>
      </left>
      <right style="thin">
        <color rgb="FF434343"/>
      </right>
      <top style="thin">
        <color rgb="FF000000"/>
      </top>
      <bottom style="thick">
        <color rgb="FF666666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readingOrder="0" shrinkToFit="0" vertical="top" wrapText="1"/>
    </xf>
    <xf borderId="1" fillId="2" fontId="1" numFmtId="0" xfId="0" applyAlignment="1" applyBorder="1" applyFill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49" xfId="0" applyAlignment="1" applyBorder="1" applyFont="1" applyNumberFormat="1">
      <alignment horizontal="left" shrinkToFit="0" vertical="top" wrapText="1"/>
    </xf>
    <xf borderId="1" fillId="0" fontId="2" numFmtId="49" xfId="0" applyAlignment="1" applyBorder="1" applyFont="1" applyNumberFormat="1">
      <alignment horizontal="left" shrinkToFit="0" vertical="top" wrapText="1"/>
    </xf>
    <xf borderId="0" fillId="0" fontId="3" numFmtId="0" xfId="0" applyAlignment="1" applyFont="1">
      <alignment horizontal="left" vertical="top"/>
    </xf>
    <xf borderId="2" fillId="3" fontId="2" numFmtId="0" xfId="0" applyAlignment="1" applyBorder="1" applyFill="1" applyFont="1">
      <alignment horizontal="left" readingOrder="0" shrinkToFit="0" vertical="top" wrapText="1"/>
    </xf>
    <xf borderId="3" fillId="0" fontId="2" numFmtId="0" xfId="0" applyAlignment="1" applyBorder="1" applyFont="1">
      <alignment horizontal="left" shrinkToFit="0" vertical="top" wrapText="1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3" fillId="0" fontId="1" numFmtId="0" xfId="0" applyAlignment="1" applyBorder="1" applyFont="1">
      <alignment horizontal="left" shrinkToFit="0" vertical="top" wrapText="1"/>
    </xf>
    <xf borderId="3" fillId="0" fontId="2" numFmtId="0" xfId="0" applyAlignment="1" applyBorder="1" applyFont="1">
      <alignment horizontal="left" shrinkToFit="0" vertical="top" wrapText="1"/>
    </xf>
    <xf borderId="4" fillId="0" fontId="4" numFmtId="0" xfId="0" applyBorder="1" applyFont="1"/>
    <xf borderId="5" fillId="0" fontId="4" numFmtId="0" xfId="0" applyBorder="1" applyFont="1"/>
    <xf borderId="1" fillId="3" fontId="2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3" fillId="3" fontId="2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7" fillId="0" fontId="4" numFmtId="0" xfId="0" applyBorder="1" applyFont="1"/>
    <xf borderId="2" fillId="0" fontId="1" numFmtId="0" xfId="0" applyAlignment="1" applyBorder="1" applyFont="1">
      <alignment horizontal="left" readingOrder="0" shrinkToFit="0" vertical="top" wrapText="1"/>
    </xf>
    <xf borderId="3" fillId="3" fontId="2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1" numFmtId="49" xfId="0" applyAlignment="1" applyBorder="1" applyFont="1" applyNumberFormat="1">
      <alignment horizontal="left" readingOrder="0" shrinkToFit="0" vertical="top" wrapText="1"/>
    </xf>
    <xf borderId="17" fillId="2" fontId="1" numFmtId="0" xfId="0" applyAlignment="1" applyBorder="1" applyFont="1">
      <alignment horizontal="left" shrinkToFit="0" vertical="top" wrapText="1"/>
    </xf>
    <xf borderId="18" fillId="0" fontId="2" numFmtId="49" xfId="0" applyAlignment="1" applyBorder="1" applyFont="1" applyNumberFormat="1">
      <alignment horizontal="left" readingOrder="0" shrinkToFit="0" vertical="top" wrapText="1"/>
    </xf>
    <xf borderId="18" fillId="0" fontId="2" numFmtId="49" xfId="0" applyAlignment="1" applyBorder="1" applyFont="1" applyNumberFormat="1">
      <alignment horizontal="left" shrinkToFit="0" vertical="top" wrapText="1"/>
    </xf>
    <xf borderId="6" fillId="3" fontId="2" numFmtId="0" xfId="0" applyAlignment="1" applyBorder="1" applyFont="1">
      <alignment horizontal="left" readingOrder="0" shrinkToFit="0" vertical="top" wrapText="1"/>
    </xf>
    <xf borderId="13" fillId="0" fontId="1" numFmtId="0" xfId="0" applyAlignment="1" applyBorder="1" applyFont="1">
      <alignment horizontal="left" shrinkToFit="0" vertical="top" wrapText="1"/>
    </xf>
    <xf borderId="0" fillId="3" fontId="2" numFmtId="0" xfId="0" applyAlignment="1" applyFont="1">
      <alignment horizontal="left" shrinkToFit="0" vertical="top" wrapText="1"/>
    </xf>
    <xf borderId="6" fillId="0" fontId="4" numFmtId="0" xfId="0" applyBorder="1" applyFont="1"/>
    <xf borderId="3" fillId="0" fontId="1" numFmtId="0" xfId="0" applyAlignment="1" applyBorder="1" applyFont="1">
      <alignment horizontal="left" shrinkToFit="0" vertical="top" wrapText="1"/>
    </xf>
    <xf borderId="3" fillId="0" fontId="2" numFmtId="0" xfId="0" applyAlignment="1" applyBorder="1" applyFont="1">
      <alignment horizontal="left" shrinkToFit="0" vertical="top" wrapText="1"/>
    </xf>
    <xf borderId="19" fillId="0" fontId="4" numFmtId="0" xfId="0" applyBorder="1" applyFont="1"/>
    <xf borderId="20" fillId="0" fontId="2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horizontal="left" readingOrder="0" shrinkToFit="0" vertical="top" wrapText="1"/>
    </xf>
    <xf borderId="21" fillId="0" fontId="1" numFmtId="0" xfId="0" applyAlignment="1" applyBorder="1" applyFont="1">
      <alignment horizontal="left" shrinkToFit="0" vertical="top" wrapText="1"/>
    </xf>
    <xf borderId="3" fillId="3" fontId="1" numFmtId="0" xfId="0" applyAlignment="1" applyBorder="1" applyFont="1">
      <alignment horizontal="left" shrinkToFit="0" vertical="top" wrapText="1"/>
    </xf>
    <xf borderId="22" fillId="0" fontId="1" numFmtId="0" xfId="0" applyAlignment="1" applyBorder="1" applyFont="1">
      <alignment horizontal="left" shrinkToFit="0" vertical="top" wrapText="1"/>
    </xf>
    <xf borderId="22" fillId="0" fontId="2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23" fillId="0" fontId="4" numFmtId="0" xfId="0" applyBorder="1" applyFont="1"/>
    <xf borderId="1" fillId="3" fontId="1" numFmtId="0" xfId="0" applyAlignment="1" applyBorder="1" applyFont="1">
      <alignment horizontal="left" shrinkToFit="0" vertical="top" wrapText="1"/>
    </xf>
    <xf borderId="2" fillId="0" fontId="2" numFmtId="49" xfId="0" applyAlignment="1" applyBorder="1" applyFont="1" applyNumberFormat="1">
      <alignment horizontal="left" readingOrder="0" shrinkToFit="0" vertical="top" wrapText="1"/>
    </xf>
    <xf borderId="2" fillId="0" fontId="2" numFmtId="49" xfId="0" applyAlignment="1" applyBorder="1" applyFont="1" applyNumberFormat="1">
      <alignment horizontal="left" shrinkToFit="0" vertical="top" wrapText="1"/>
    </xf>
    <xf borderId="0" fillId="0" fontId="1" numFmtId="0" xfId="0" applyAlignment="1" applyFont="1">
      <alignment horizontal="left" shrinkToFit="0" vertical="top" wrapText="1"/>
    </xf>
    <xf borderId="12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24" fillId="0" fontId="2" numFmtId="0" xfId="0" applyAlignment="1" applyBorder="1" applyFont="1">
      <alignment horizontal="left" shrinkToFit="0" vertical="top" wrapText="1"/>
    </xf>
    <xf borderId="0" fillId="0" fontId="2" numFmtId="49" xfId="0" applyAlignment="1" applyFont="1" applyNumberFormat="1">
      <alignment horizontal="left" shrinkToFit="0" vertical="top" wrapText="1"/>
    </xf>
    <xf borderId="3" fillId="0" fontId="5" numFmtId="0" xfId="0" applyAlignment="1" applyBorder="1" applyFont="1">
      <alignment horizontal="left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4" fillId="3" fontId="2" numFmtId="0" xfId="0" applyAlignment="1" applyBorder="1" applyFont="1">
      <alignment horizontal="left" shrinkToFit="0" vertical="top" wrapText="1"/>
    </xf>
    <xf borderId="0" fillId="3" fontId="1" numFmtId="0" xfId="0" applyAlignment="1" applyFont="1">
      <alignment horizontal="left" shrinkToFit="0" vertical="top" wrapText="1"/>
    </xf>
    <xf borderId="0" fillId="3" fontId="7" numFmtId="0" xfId="0" applyAlignment="1" applyFont="1">
      <alignment horizontal="left" shrinkToFit="0" vertical="top" wrapText="1"/>
    </xf>
    <xf borderId="3" fillId="3" fontId="1" numFmtId="0" xfId="0" applyAlignment="1" applyBorder="1" applyFont="1">
      <alignment horizontal="left" shrinkToFit="0" vertical="top" wrapText="1"/>
    </xf>
    <xf borderId="2" fillId="3" fontId="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vertical="top"/>
    </xf>
    <xf borderId="0" fillId="0" fontId="8" numFmtId="0" xfId="0" applyAlignment="1" applyFont="1">
      <alignment horizontal="left" readingOrder="0" shrinkToFit="0" vertical="top" wrapText="0"/>
    </xf>
    <xf borderId="0" fillId="0" fontId="1" numFmtId="164" xfId="0" applyAlignment="1" applyFont="1" applyNumberFormat="1">
      <alignment horizontal="left" readingOrder="0" vertical="top"/>
    </xf>
    <xf borderId="0" fillId="0" fontId="1" numFmtId="0" xfId="0" applyAlignment="1" applyFont="1">
      <alignment horizontal="left" vertical="top"/>
    </xf>
    <xf borderId="0" fillId="0" fontId="9" numFmtId="0" xfId="0" applyAlignment="1" applyFont="1">
      <alignment horizontal="left" readingOrder="0" vertical="top"/>
    </xf>
    <xf borderId="0" fillId="3" fontId="2" numFmtId="0" xfId="0" applyAlignment="1" applyFont="1">
      <alignment horizontal="left" readingOrder="0" vertical="top"/>
    </xf>
    <xf borderId="1" fillId="0" fontId="2" numFmtId="0" xfId="0" applyAlignment="1" applyBorder="1" applyFont="1">
      <alignment horizontal="left" readingOrder="0" shrinkToFit="0" vertical="top" wrapText="1"/>
    </xf>
    <xf borderId="7" fillId="0" fontId="4" numFmtId="0" xfId="0" applyBorder="1" applyFont="1"/>
    <xf borderId="2" fillId="0" fontId="1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17">
    <dxf>
      <font/>
      <fill>
        <patternFill patternType="solid">
          <fgColor rgb="FFFF5353"/>
          <bgColor rgb="FFFF5353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>
        <color rgb="FF000000"/>
      </font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DCB7E1"/>
          <bgColor rgb="FFDCB7E1"/>
        </patternFill>
      </fill>
      <border/>
    </dxf>
    <dxf>
      <font/>
      <fill>
        <patternFill patternType="solid">
          <fgColor rgb="FFE1B7C3"/>
          <bgColor rgb="FFE1B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FjBslCTtpK3u4axX6sW7-wBBBCzII4rn9nnwu88KDeE/edit" TargetMode="External"/><Relationship Id="rId2" Type="http://schemas.openxmlformats.org/officeDocument/2006/relationships/hyperlink" Target="https://docs.google.com/spreadsheets/d/1FjBslCTtpK3u4axX6sW7-wBBBCzII4rn9nnwu88KDeE/edit" TargetMode="External"/><Relationship Id="rId3" Type="http://schemas.openxmlformats.org/officeDocument/2006/relationships/hyperlink" Target="https://docs.google.com/spreadsheets/d/1FjBslCTtpK3u4axX6sW7-wBBBCzII4rn9nnwu88KDeE/edit" TargetMode="External"/><Relationship Id="rId4" Type="http://schemas.openxmlformats.org/officeDocument/2006/relationships/hyperlink" Target="https://docs.google.com/spreadsheets/d/1FjBslCTtpK3u4axX6sW7-wBBBCzII4rn9nnwu88KDeE/edit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FjBslCTtpK3u4axX6sW7-wBBBCzII4rn9nnwu88KDeE/edit" TargetMode="External"/><Relationship Id="rId2" Type="http://schemas.openxmlformats.org/officeDocument/2006/relationships/hyperlink" Target="https://docs.google.com/spreadsheets/d/1FjBslCTtpK3u4axX6sW7-wBBBCzII4rn9nnwu88KDeE/edit" TargetMode="External"/><Relationship Id="rId3" Type="http://schemas.openxmlformats.org/officeDocument/2006/relationships/hyperlink" Target="https://docs.google.com/spreadsheets/d/1FjBslCTtpK3u4axX6sW7-wBBBCzII4rn9nnwu88KDeE/edit" TargetMode="External"/><Relationship Id="rId4" Type="http://schemas.openxmlformats.org/officeDocument/2006/relationships/hyperlink" Target="https://docs.google.com/spreadsheets/d/1FjBslCTtpK3u4axX6sW7-wBBBCzII4rn9nnwu88KDeE/edit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wDMuQdYC4ewmW6qSUPFN4VL5_0cxAnI03QcSbIHrla4/edit" TargetMode="External"/><Relationship Id="rId2" Type="http://schemas.openxmlformats.org/officeDocument/2006/relationships/hyperlink" Target="https://docs.google.com/spreadsheets/d/1bPVQYgPnxienxyENTP1ApNTy4jj4Hbk_f43o5Jsp1Bs/edit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3" max="65" width="19.5"/>
  </cols>
  <sheetData>
    <row r="1">
      <c r="A1" s="1" t="str">
        <f> 'Управление'!F5</f>
        <v>Неделя:</v>
      </c>
      <c r="B1" s="2" t="str">
        <f> 'Управление'!G6</f>
        <v>№16, чётная</v>
      </c>
      <c r="C1" s="1" t="str">
        <f>IFERROR(__xludf.DUMMYFUNCTION(" IMPORTRANGE('Управление'!D1, 'Управление'!D3)"),"11-101")</f>
        <v>11-101</v>
      </c>
      <c r="D1" s="3" t="str">
        <f>IFERROR(__xludf.DUMMYFUNCTION("""COMPUTED_VALUE"""),"11-102")</f>
        <v>11-102</v>
      </c>
      <c r="E1" s="4" t="str">
        <f>IFERROR(__xludf.DUMMYFUNCTION("""COMPUTED_VALUE"""),"11-103")</f>
        <v>11-103</v>
      </c>
      <c r="F1" s="4" t="str">
        <f>IFERROR(__xludf.DUMMYFUNCTION("""COMPUTED_VALUE"""),"11-104")</f>
        <v>11-104</v>
      </c>
      <c r="G1" s="4" t="str">
        <f>IFERROR(__xludf.DUMMYFUNCTION("""COMPUTED_VALUE"""),"11-105")</f>
        <v>11-105</v>
      </c>
      <c r="H1" s="4" t="str">
        <f>IFERROR(__xludf.DUMMYFUNCTION("""COMPUTED_VALUE"""),"11-106")</f>
        <v>11-106</v>
      </c>
      <c r="I1" s="4" t="str">
        <f>IFERROR(__xludf.DUMMYFUNCTION("""COMPUTED_VALUE"""),"11-107")</f>
        <v>11-107</v>
      </c>
      <c r="J1" s="4" t="str">
        <f>IFERROR(__xludf.DUMMYFUNCTION("""COMPUTED_VALUE"""),"11-108")</f>
        <v>11-108</v>
      </c>
      <c r="K1" s="4" t="str">
        <f>IFERROR(__xludf.DUMMYFUNCTION("""COMPUTED_VALUE"""),"11-109")</f>
        <v>11-109</v>
      </c>
      <c r="L1" s="5" t="str">
        <f>IFERROR(__xludf.DUMMYFUNCTION("""COMPUTED_VALUE"""),"11-110")</f>
        <v>11-110</v>
      </c>
      <c r="M1" s="5" t="str">
        <f>IFERROR(__xludf.DUMMYFUNCTION("""COMPUTED_VALUE"""),"11-111")</f>
        <v>11-111</v>
      </c>
      <c r="N1" s="5" t="str">
        <f>IFERROR(__xludf.DUMMYFUNCTION("""COMPUTED_VALUE"""),"11-112")</f>
        <v>11-112</v>
      </c>
      <c r="O1" s="5" t="str">
        <f>IFERROR(__xludf.DUMMYFUNCTION("""COMPUTED_VALUE"""),"11-113")</f>
        <v>11-113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</row>
    <row r="2" ht="52.5" customHeight="1">
      <c r="A2" s="7" t="str">
        <f>IFERROR(__xludf.DUMMYFUNCTION(" IMPORTRANGE('Управление'!D2,'Управление'!E2)"),"Понедельник")</f>
        <v>Понедельник</v>
      </c>
      <c r="B2" s="3" t="str">
        <f>IFERROR(__xludf.DUMMYFUNCTION("""COMPUTED_VALUE"""),"08:30 - 10:00")</f>
        <v>08:30 - 10:00</v>
      </c>
      <c r="C2" s="8" t="str">
        <f>IFERROR(__xludf.DUMMYFUNCTION("""COMPUTED_VALUE"""),"Элективные курсы по физической культуре и спорту в УНИКС с 8.00-9.30 
")</f>
        <v>Элективные курсы по физической культуре и спорту в УНИКС с 8.00-9.30 
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</row>
    <row r="3" ht="52.5" customHeight="1">
      <c r="A3" s="11"/>
      <c r="B3" s="3" t="str">
        <f>IFERROR(__xludf.DUMMYFUNCTION("""COMPUTED_VALUE"""),"10:10 - 11:40")</f>
        <v>10:10 - 11:40</v>
      </c>
      <c r="C3" s="12" t="str">
        <f>IFERROR(__xludf.DUMMYFUNCTION("""COMPUTED_VALUE"""),"Алгебра и геометрия   
Арсланов М.М.
в ауд.109 к.2 Кремлевская 35 ")</f>
        <v>Алгебра и геометрия   
Арсланов М.М.
в ауд.109 к.2 Кремлевская 35 </v>
      </c>
      <c r="D3" s="9"/>
      <c r="E3" s="9"/>
      <c r="F3" s="9"/>
      <c r="G3" s="9"/>
      <c r="H3" s="9"/>
      <c r="I3" s="10"/>
      <c r="J3" s="13"/>
      <c r="K3" s="14"/>
      <c r="L3" s="14"/>
      <c r="M3" s="14"/>
      <c r="N3" s="14"/>
      <c r="O3" s="15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ht="52.5" customHeight="1">
      <c r="A4" s="11"/>
      <c r="B4" s="3" t="str">
        <f>IFERROR(__xludf.DUMMYFUNCTION("""COMPUTED_VALUE"""),"11:50 - 13:20")</f>
        <v>11:50 - 13:20</v>
      </c>
      <c r="C4" s="16" t="str">
        <f>IFERROR(__xludf.DUMMYFUNCTION("""COMPUTED_VALUE"""),"Алгебра и геометрия  Шурыгин В.В. в 1306 ")</f>
        <v>Алгебра и геометрия  Шурыгин В.В. в 1306 </v>
      </c>
      <c r="D4" s="16" t="str">
        <f>IFERROR(__xludf.DUMMYFUNCTION("""COMPUTED_VALUE"""),"Математический анализ Гафиятуллина Л.И. в 1509 ")</f>
        <v>Математический анализ Гафиятуллина Л.И. в 1509 </v>
      </c>
      <c r="E4" s="16" t="str">
        <f>IFERROR(__xludf.DUMMYFUNCTION("""COMPUTED_VALUE"""),"Дискретная математика Тапкин Д.Т. 
в 1310(")</f>
        <v>Дискретная математика Тапкин Д.Т. 
в 1310(</v>
      </c>
      <c r="F4" s="17" t="str">
        <f>IFERROR(__xludf.DUMMYFUNCTION("""COMPUTED_VALUE"""),"Информатика и программирование  Фазулзянов А.Г. в 1308 ")</f>
        <v>Информатика и программирование  Фазулзянов А.Г. в 1308 </v>
      </c>
      <c r="G4" s="18"/>
      <c r="H4" s="18"/>
      <c r="I4" s="17" t="str">
        <f>IFERROR(__xludf.DUMMYFUNCTION("""COMPUTED_VALUE"""),"Алгоритмы и структуры данных Гарифуллина Р.Н. 
в 1409 ")</f>
        <v>Алгоритмы и структуры данных Гарифуллина Р.Н. 
в 1409 </v>
      </c>
      <c r="J4" s="19" t="str">
        <f>IFERROR(__xludf.DUMMYFUNCTION("""COMPUTED_VALUE"""),"Дискретная математика 
Калимуллин И.Ш. (MS Teams)")</f>
        <v>Дискретная математика 
Калимуллин И.Ш. (MS Teams)</v>
      </c>
      <c r="K4" s="9"/>
      <c r="L4" s="9"/>
      <c r="M4" s="9"/>
      <c r="N4" s="10"/>
      <c r="O4" s="16" t="str">
        <f>IFERROR(__xludf.DUMMYFUNCTION("""COMPUTED_VALUE"""),"Дискретная математика Еникеева З.А. (лекция) MS Teams")</f>
        <v>Дискретная математика Еникеева З.А. (лекция) MS Teams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</row>
    <row r="5" ht="52.5" customHeight="1">
      <c r="A5" s="11"/>
      <c r="B5" s="20" t="str">
        <f>IFERROR(__xludf.DUMMYFUNCTION("""COMPUTED_VALUE"""),"14:00 - 15:30")</f>
        <v>14:00 - 15:30</v>
      </c>
      <c r="C5" s="17" t="str">
        <f>IFERROR(__xludf.DUMMYFUNCTION("""COMPUTED_VALUE"""),"Дискретная математика 
Зубков М.В. в 1309 ")</f>
        <v>Дискретная математика 
Зубков М.В. в 1309 </v>
      </c>
      <c r="D5" s="16" t="str">
        <f>IFERROR(__xludf.DUMMYFUNCTION("""COMPUTED_VALUE"""),"Алгебра и геометрия  Шурыгин В.В. в 1306 ")</f>
        <v>Алгебра и геометрия  Шурыгин В.В. в 1306 </v>
      </c>
      <c r="E5" s="17" t="str">
        <f>IFERROR(__xludf.DUMMYFUNCTION("""COMPUTED_VALUE"""),"Информатика и программирование Андреичев М.Д. в 1408")</f>
        <v>Информатика и программирование Андреичев М.Д. в 1408</v>
      </c>
      <c r="F5" s="17" t="str">
        <f>IFERROR(__xludf.DUMMYFUNCTION("""COMPUTED_VALUE"""),"Алгебра и геометрия  Лисенков Д.С.  в ауд.1307")</f>
        <v>Алгебра и геометрия  Лисенков Д.С.  в ауд.1307</v>
      </c>
      <c r="G5" s="21"/>
      <c r="H5" s="16" t="str">
        <f>IFERROR(__xludf.DUMMYFUNCTION("""COMPUTED_VALUE"""),"Математический анализ Гафиятуллина Л.И. в 1509 
")</f>
        <v>Математический анализ Гафиятуллина Л.И. в 1509 
</v>
      </c>
      <c r="I5" s="17" t="str">
        <f>IFERROR(__xludf.DUMMYFUNCTION("""COMPUTED_VALUE"""),"Алгоритмы и структуры данных Гарифуллина Р.Н. 
в 1409")</f>
        <v>Алгоритмы и структуры данных Гарифуллина Р.Н. 
в 1409</v>
      </c>
      <c r="J5" s="8" t="str">
        <f>IFERROR(__xludf.DUMMYFUNCTION("""COMPUTED_VALUE"""),"Математический анализ 
Широкова Е.А. (MS Teams)")</f>
        <v>Математический анализ 
Широкова Е.А. (MS Teams)</v>
      </c>
      <c r="K5" s="9"/>
      <c r="L5" s="9"/>
      <c r="M5" s="9"/>
      <c r="N5" s="9"/>
      <c r="O5" s="10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</row>
    <row r="6" ht="52.5" customHeight="1">
      <c r="A6" s="11"/>
      <c r="B6" s="20" t="str">
        <f>IFERROR(__xludf.DUMMYFUNCTION("""COMPUTED_VALUE"""),"15:40 - 17:10")</f>
        <v>15:40 - 17:10</v>
      </c>
      <c r="C6" s="17"/>
      <c r="D6" s="21"/>
      <c r="E6" s="17" t="str">
        <f>IFERROR(__xludf.DUMMYFUNCTION("""COMPUTED_VALUE"""),"Информатика и программирование Андреичев М.Д. в 1408")</f>
        <v>Информатика и программирование Андреичев М.Д. в 1408</v>
      </c>
      <c r="F6" s="18"/>
      <c r="G6" s="18"/>
      <c r="H6" s="17" t="str">
        <f>IFERROR(__xludf.DUMMYFUNCTION("""COMPUTED_VALUE"""),"Алгоритмы и структуры данных Салимов Р.Ф. в 1309 ")</f>
        <v>Алгоритмы и структуры данных Салимов Р.Ф. в 1309 </v>
      </c>
      <c r="I6" s="18"/>
      <c r="J6" s="12" t="str">
        <f>IFERROR(__xludf.DUMMYFUNCTION("""COMPUTED_VALUE"""),"Алгебра и геометрия 
Ильин С.Н. (MS Teams/код команды/ссылка: kraktop)")</f>
        <v>Алгебра и геометрия 
Ильин С.Н. (MS Teams/код команды/ссылка: kraktop)</v>
      </c>
      <c r="K6" s="9"/>
      <c r="L6" s="9"/>
      <c r="M6" s="9"/>
      <c r="N6" s="10"/>
      <c r="O6" s="16" t="str">
        <f>IFERROR(__xludf.DUMMYFUNCTION("""COMPUTED_VALUE"""),"Алгебра и геометрия  Лаврентьева Е.Е. (лекция) MS Teams")</f>
        <v>Алгебра и геометрия  Лаврентьева Е.Е. (лекция) MS Teams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</row>
    <row r="7" ht="52.5" customHeight="1">
      <c r="A7" s="11"/>
      <c r="B7" s="20" t="str">
        <f>IFERROR(__xludf.DUMMYFUNCTION("""COMPUTED_VALUE"""),"17:50 - 19:20")</f>
        <v>17:50 - 19:20</v>
      </c>
      <c r="C7" s="18"/>
      <c r="D7" s="18"/>
      <c r="E7" s="18"/>
      <c r="F7" s="18"/>
      <c r="G7" s="18"/>
      <c r="H7" s="18"/>
      <c r="I7" s="18"/>
      <c r="J7" s="16" t="str">
        <f>IFERROR(__xludf.DUMMYFUNCTION("""COMPUTED_VALUE"""),"Информатика и программирование (Java)  по неч.нед. 
Абрамский М.М. 
(MS Teams)")</f>
        <v>Информатика и программирование (Java)  по неч.нед. 
Абрамский М.М. 
(MS Teams)</v>
      </c>
      <c r="K7" s="16" t="str">
        <f>IFERROR(__xludf.DUMMYFUNCTION("""COMPUTED_VALUE"""),"Информатика и программирование (Python) по чет.нед.
Абрамский М.М.
(MS Teams)")</f>
        <v>Информатика и программирование (Python) по чет.нед.
Абрамский М.М.
(MS Teams)</v>
      </c>
      <c r="L7" s="16" t="str">
        <f>IFERROR(__xludf.DUMMYFUNCTION("""COMPUTED_VALUE"""),"Информатика и программирование (C#) Салимов Ф.И.
по ч.н.
(MS Teams) ")</f>
        <v>Информатика и программирование (C#) Салимов Ф.И.
по ч.н.
(MS Teams) </v>
      </c>
      <c r="M7" s="16" t="str">
        <f>IFERROR(__xludf.DUMMYFUNCTION("""COMPUTED_VALUE"""),"Информатика и программирование (Java)  по неч.нед. Абрамский М.М.(MS Teams)")</f>
        <v>Информатика и программирование (Java)  по неч.нед. Абрамский М.М.(MS Teams)</v>
      </c>
      <c r="N7" s="16" t="str">
        <f>IFERROR(__xludf.DUMMYFUNCTION("""COMPUTED_VALUE"""),"Информатика и программирование (Python) по чет.нед. Абрамский М.М. (MS Teams)")</f>
        <v>Информатика и программирование (Python) по чет.нед. Абрамский М.М. (MS Teams)</v>
      </c>
      <c r="O7" s="16" t="str">
        <f>IFERROR(__xludf.DUMMYFUNCTION("""COMPUTED_VALUE"""),"Информатика и программирование (Java)  по неч.нед. Липачев Е.К. (лекция) (MS Teams) ")</f>
        <v>Информатика и программирование (Java)  по неч.нед. Липачев Е.К. (лекция) (MS Teams) 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</row>
    <row r="8" ht="52.5" customHeight="1">
      <c r="A8" s="22"/>
      <c r="B8" s="20" t="str">
        <f>IFERROR(__xludf.DUMMYFUNCTION("""COMPUTED_VALUE"""),"19:30 - 21:00")</f>
        <v>19:30 - 21:00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</row>
    <row r="9" ht="52.5" customHeight="1">
      <c r="A9" s="23" t="str">
        <f>IFERROR(__xludf.DUMMYFUNCTION("""COMPUTED_VALUE"""),"Вторник")</f>
        <v>Вторник</v>
      </c>
      <c r="B9" s="3" t="str">
        <f>IFERROR(__xludf.DUMMYFUNCTION("""COMPUTED_VALUE"""),"08:30 - 10:00")</f>
        <v>08:30 - 10:00</v>
      </c>
      <c r="C9" s="8" t="str">
        <f>IFERROR(__xludf.DUMMYFUNCTION("""COMPUTED_VALUE"""),"Математический анализ Скворцова Г.Ш. в 108 к.2 Кремлевская 35 (ms teams)")</f>
        <v>Математический анализ Скворцова Г.Ш. в 108 к.2 Кремлевская 35 (ms teams)</v>
      </c>
      <c r="D9" s="9"/>
      <c r="E9" s="9"/>
      <c r="F9" s="9"/>
      <c r="G9" s="9"/>
      <c r="H9" s="9"/>
      <c r="I9" s="10"/>
      <c r="J9" s="18"/>
      <c r="K9" s="16"/>
      <c r="L9" s="17" t="str">
        <f>IFERROR(__xludf.DUMMYFUNCTION("""COMPUTED_VALUE"""),"Алгоритмы и структуры данных Кислов К.А.  в 1307(24.05 в ms teaqms)")</f>
        <v>Алгоритмы и структуры данных Кислов К.А.  в 1307(24.05 в ms teaqms)</v>
      </c>
      <c r="M9" s="16"/>
      <c r="N9" s="16"/>
      <c r="O9" s="16" t="str">
        <f>IFERROR(__xludf.DUMMYFUNCTION("""COMPUTED_VALUE"""),"Дискретная математика Еникеева З.А.в 1408 ")</f>
        <v>Дискретная математика Еникеева З.А.в 1408 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</row>
    <row r="10" ht="52.5" customHeight="1">
      <c r="A10" s="11"/>
      <c r="B10" s="3" t="str">
        <f>IFERROR(__xludf.DUMMYFUNCTION("""COMPUTED_VALUE"""),"10:10 - 11:40")</f>
        <v>10:10 - 11:40</v>
      </c>
      <c r="C10" s="17" t="str">
        <f>IFERROR(__xludf.DUMMYFUNCTION("""COMPUTED_VALUE"""),"Информатика и программирование Ференец А.А. в 1412 ( 24.05 в ms teams)")</f>
        <v>Информатика и программирование Ференец А.А. в 1412 ( 24.05 в ms teams)</v>
      </c>
      <c r="D10" s="17" t="str">
        <f>IFERROR(__xludf.DUMMYFUNCTION("""COMPUTED_VALUE"""),"Алгоритмы и структуры данных Зиятдинов М.Т. в 1308 ")</f>
        <v>Алгоритмы и структуры данных Зиятдинов М.Т. в 1308 </v>
      </c>
      <c r="E10" s="17" t="str">
        <f>IFERROR(__xludf.DUMMYFUNCTION("""COMPUTED_VALUE"""),"Математический анализ Даутова Д.Н.в 1311")</f>
        <v>Математический анализ Даутова Д.Н.в 1311</v>
      </c>
      <c r="F10" s="17" t="str">
        <f>IFERROR(__xludf.DUMMYFUNCTION("""COMPUTED_VALUE"""),"Дискретная математика Зубков М.В. в 1310")</f>
        <v>Дискретная математика Зубков М.В. в 1310</v>
      </c>
      <c r="G10" s="16" t="str">
        <f>IFERROR(__xludf.DUMMYFUNCTION("""COMPUTED_VALUE"""),"Математический анализ Гафиятуллина Л.И. в 1409 ")</f>
        <v>Математический анализ Гафиятуллина Л.И. в 1409 </v>
      </c>
      <c r="H10" s="16" t="str">
        <f>IFERROR(__xludf.DUMMYFUNCTION("""COMPUTED_VALUE"""),"Алгебра и геометрия  Лисенков Д.С. в 1307")</f>
        <v>Алгебра и геометрия  Лисенков Д.С. в 1307</v>
      </c>
      <c r="I10" s="17"/>
      <c r="J10" s="16" t="str">
        <f>IFERROR(__xludf.DUMMYFUNCTION("""COMPUTED_VALUE"""),"Алгебра и геометрия Тапкин Д.Т. в 1408 ")</f>
        <v>Алгебра и геометрия Тапкин Д.Т. в 1408 </v>
      </c>
      <c r="K10" s="18"/>
      <c r="L10" s="16" t="str">
        <f>IFERROR(__xludf.DUMMYFUNCTION("""COMPUTED_VALUE"""),"Дискретная математика Зайнетдинов Д.Х.в 1306")</f>
        <v>Дискретная математика Зайнетдинов Д.Х.в 1306</v>
      </c>
      <c r="M10" s="16" t="str">
        <f>IFERROR(__xludf.DUMMYFUNCTION("""COMPUTED_VALUE"""),"Алгебра и геометрия  Ильин С.Н. в 1309")</f>
        <v>Алгебра и геометрия  Ильин С.Н. в 1309</v>
      </c>
      <c r="N10" s="21"/>
      <c r="O10" s="16" t="str">
        <f>IFERROR(__xludf.DUMMYFUNCTION("""COMPUTED_VALUE"""),"Алгебра и геометрия  Лаврентьева Е.Е. в 1509 (17.05 перенос на 5.05 в 109)")</f>
        <v>Алгебра и геометрия  Лаврентьева Е.Е. в 1509 (17.05 перенос на 5.05 в 109)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</row>
    <row r="11" ht="52.5" customHeight="1">
      <c r="A11" s="11"/>
      <c r="B11" s="3" t="str">
        <f>IFERROR(__xludf.DUMMYFUNCTION("""COMPUTED_VALUE"""),"11:50 - 13:20")</f>
        <v>11:50 - 13:20</v>
      </c>
      <c r="C11" s="17" t="str">
        <f>IFERROR(__xludf.DUMMYFUNCTION("""COMPUTED_VALUE"""),"Алгоритмы и структуры данных Сафин Р.Н. в 1409 (ms teams)")</f>
        <v>Алгоритмы и структуры данных Сафин Р.Н. в 1409 (ms teams)</v>
      </c>
      <c r="D11" s="17" t="str">
        <f>IFERROR(__xludf.DUMMYFUNCTION("""COMPUTED_VALUE"""),"Дискретная математика Зубков М.В. в 1310 ")</f>
        <v>Дискретная математика Зубков М.В. в 1310 </v>
      </c>
      <c r="E11" s="16" t="str">
        <f>IFERROR(__xludf.DUMMYFUNCTION("""COMPUTED_VALUE"""),"Алгебра и геометрия Шурыгин В.В. в 1509")</f>
        <v>Алгебра и геометрия Шурыгин В.В. в 1509</v>
      </c>
      <c r="F11" s="17" t="str">
        <f>IFERROR(__xludf.DUMMYFUNCTION("""COMPUTED_VALUE"""),"Математический анализ Даутова Д.Н. в 1508")</f>
        <v>Математический анализ Даутова Д.Н. в 1508</v>
      </c>
      <c r="G11" s="16" t="str">
        <f>IFERROR(__xludf.DUMMYFUNCTION("""COMPUTED_VALUE"""),"Алгебра и геометрия  Лисенков Д.С. в 1307")</f>
        <v>Алгебра и геометрия  Лисенков Д.С. в 1307</v>
      </c>
      <c r="H11" s="19" t="str">
        <f>IFERROR(__xludf.DUMMYFUNCTION("""COMPUTED_VALUE"""),"Информатика и программирование (C#) в 1311 Салимов Ф.И. по ч.н. (MS Teams) ")</f>
        <v>Информатика и программирование (C#) в 1311 Салимов Ф.И. по ч.н. (MS Teams) </v>
      </c>
      <c r="I11" s="10"/>
      <c r="J11" s="16" t="str">
        <f>IFERROR(__xludf.DUMMYFUNCTION("""COMPUTED_VALUE"""),"Дискретная математика Тапкин Д.Т. в 1408")</f>
        <v>Дискретная математика Тапкин Д.Т. в 1408</v>
      </c>
      <c r="K11" s="16" t="str">
        <f>IFERROR(__xludf.DUMMYFUNCTION("""COMPUTED_VALUE"""),"Дискретная математика Зайнетдинов Д.Х.в 800 к.2")</f>
        <v>Дискретная математика Зайнетдинов Д.Х.в 800 к.2</v>
      </c>
      <c r="L11" s="21"/>
      <c r="M11" s="17" t="str">
        <f>IFERROR(__xludf.DUMMYFUNCTION("""COMPUTED_VALUE"""),"Информатика и программирование Зиятдинов М.Т в 1306")</f>
        <v>Информатика и программирование Зиятдинов М.Т в 1306</v>
      </c>
      <c r="N11" s="16" t="str">
        <f>IFERROR(__xludf.DUMMYFUNCTION("""COMPUTED_VALUE"""),"Алгебра и геометрия  Ильин С.Н. в 1309 ")</f>
        <v>Алгебра и геометрия  Ильин С.Н. в 1309 </v>
      </c>
      <c r="O11" s="21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</row>
    <row r="12" ht="52.5" customHeight="1">
      <c r="A12" s="11"/>
      <c r="B12" s="20" t="str">
        <f>IFERROR(__xludf.DUMMYFUNCTION("""COMPUTED_VALUE"""),"14:00 - 15:30")</f>
        <v>14:00 - 15:30</v>
      </c>
      <c r="C12" s="17" t="str">
        <f>IFERROR(__xludf.DUMMYFUNCTION("""COMPUTED_VALUE"""),"Информатика и программирование Ференец А.А. в 1308 ")</f>
        <v>Информатика и программирование Ференец А.А. в 1308 </v>
      </c>
      <c r="D12" s="17"/>
      <c r="E12" s="16"/>
      <c r="F12" s="17" t="str">
        <f>IFERROR(__xludf.DUMMYFUNCTION("""COMPUTED_VALUE"""),"Информатика и программирование  Фазулзянов А.Г.в 1309 с 29.02")</f>
        <v>Информатика и программирование  Фазулзянов А.Г.в 1309 с 29.02</v>
      </c>
      <c r="G12" s="17" t="str">
        <f>IFERROR(__xludf.DUMMYFUNCTION("""COMPUTED_VALUE"""),"Дискретная математика 
Зубков М.В. в 1310 ")</f>
        <v>Дискретная математика 
Зубков М.В. в 1310 </v>
      </c>
      <c r="H12" s="17" t="str">
        <f>IFERROR(__xludf.DUMMYFUNCTION("""COMPUTED_VALUE"""),"Информатика и программирование Салимов Ф.И. в 1409(четв 11.50 в н.н. в 1311 с 11нед в 11.50 в ауд. 401)")</f>
        <v>Информатика и программирование Салимов Ф.И. в 1409(четв 11.50 в н.н. в 1311 с 11нед в 11.50 в ауд. 401)</v>
      </c>
      <c r="I12" s="16" t="str">
        <f>IFERROR(__xludf.DUMMYFUNCTION("""COMPUTED_VALUE"""),"Алгебра и геометрия  Лисенков Д.С. в 1307")</f>
        <v>Алгебра и геометрия  Лисенков Д.С. в 1307</v>
      </c>
      <c r="J12" s="17" t="str">
        <f>IFERROR(__xludf.DUMMYFUNCTION("""COMPUTED_VALUE"""),"Информатика и программирование Абрамский М.М. в 1509")</f>
        <v>Информатика и программирование Абрамский М.М. в 1509</v>
      </c>
      <c r="K12" s="16" t="str">
        <f>IFERROR(__xludf.DUMMYFUNCTION("""COMPUTED_VALUE"""),"Алгебра и геометрия Тапкин Д.Т. в 1408")</f>
        <v>Алгебра и геометрия Тапкин Д.Т. в 1408</v>
      </c>
      <c r="L12" s="16"/>
      <c r="M12" s="21"/>
      <c r="N12" s="21"/>
      <c r="O12" s="16" t="str">
        <f>IFERROR(__xludf.DUMMYFUNCTION("""COMPUTED_VALUE"""),"Иностранный язык: русский Некрасова И.Д. в 1412( 17.05 перенос на 10.10 в 1509)")</f>
        <v>Иностранный язык: русский Некрасова И.Д. в 1412( 17.05 перенос на 10.10 в 1509)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</row>
    <row r="13" ht="52.5" customHeight="1">
      <c r="A13" s="11"/>
      <c r="B13" s="20" t="str">
        <f>IFERROR(__xludf.DUMMYFUNCTION("""COMPUTED_VALUE"""),"15:40 - 17:10")</f>
        <v>15:40 - 17:10</v>
      </c>
      <c r="C13" s="17"/>
      <c r="D13" s="17"/>
      <c r="E13" s="17"/>
      <c r="F13" s="17"/>
      <c r="G13" s="17" t="str">
        <f>IFERROR(__xludf.DUMMYFUNCTION("""COMPUTED_VALUE"""),"Информатика и программирование Cеразетдинов Д.М.  1303")</f>
        <v>Информатика и программирование Cеразетдинов Д.М.  1303</v>
      </c>
      <c r="H13" s="17"/>
      <c r="I13" s="17"/>
      <c r="J13" s="8" t="str">
        <f>IFERROR(__xludf.DUMMYFUNCTION("""COMPUTED_VALUE"""),"Алгоритмы и структуры данных  
Хадиев К.Р. в 109 к.2 (MS Teams)")</f>
        <v>Алгоритмы и структуры данных  
Хадиев К.Р. в 109 к.2 (MS Teams)</v>
      </c>
      <c r="K13" s="9"/>
      <c r="L13" s="9"/>
      <c r="M13" s="9"/>
      <c r="N13" s="10"/>
      <c r="O13" s="16" t="str">
        <f>IFERROR(__xludf.DUMMYFUNCTION("""COMPUTED_VALUE"""),"Иностранный язык: русский Некрасова И.Д. в 1310 к.2 (17.05 перенос на 11.50 в 1604)")</f>
        <v>Иностранный язык: русский Некрасова И.Д. в 1310 к.2 (17.05 перенос на 11.50 в 1604)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</row>
    <row r="14" ht="52.5" customHeight="1">
      <c r="A14" s="11"/>
      <c r="B14" s="20" t="str">
        <f>IFERROR(__xludf.DUMMYFUNCTION("""COMPUTED_VALUE"""),"17:50 - 19:20")</f>
        <v>17:50 - 19:20</v>
      </c>
      <c r="C14" s="24" t="str">
        <f>IFERROR(__xludf.DUMMYFUNCTION("""COMPUTED_VALUE"""),"Основы функционирования живых систем 
Тризна Е.Ю. (MS Teams) лекция  по неч.нед.MS Teams; ")</f>
        <v>Основы функционирования живых систем 
Тризна Е.Ю. (MS Teams) лекция  по неч.нед.MS Teams; 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17" t="str">
        <f>IFERROR(__xludf.DUMMYFUNCTION("""COMPUTED_VALUE"""),"Алгоритмы и структуры данных (лекция) Липачев Е.К.в 1311 (MS Teams)")</f>
        <v>Алгоритмы и структуры данных (лекция) Липачев Е.К.в 1311 (MS Teams)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</row>
    <row r="15" ht="52.5" customHeight="1">
      <c r="A15" s="22"/>
      <c r="B15" s="20" t="str">
        <f>IFERROR(__xludf.DUMMYFUNCTION("""COMPUTED_VALUE"""),"19:30 - 21:00")</f>
        <v>19:30 - 21:00</v>
      </c>
      <c r="C15" s="24" t="str">
        <f>IFERROR(__xludf.DUMMYFUNCTION("""COMPUTED_VALUE"""),"Основы функционирования живых систем 
Тризна Е.Ю.  практика гр.1 по неч.нед.MS Teams; гр.2 по ч.н. MS Teams  (в 1404) ")</f>
        <v>Основы функционирования живых систем 
Тризна Е.Ю.  практика гр.1 по неч.нед.MS Teams; гр.2 по ч.н. MS Teams  (в 1404) 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18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</row>
    <row r="16" ht="52.5" customHeight="1">
      <c r="A16" s="23" t="str">
        <f>IFERROR(__xludf.DUMMYFUNCTION("""COMPUTED_VALUE"""),"Среда")</f>
        <v>Среда</v>
      </c>
      <c r="B16" s="3" t="str">
        <f>IFERROR(__xludf.DUMMYFUNCTION("""COMPUTED_VALUE"""),"08:30 - 10:00")</f>
        <v>08:30 - 10:00</v>
      </c>
      <c r="C16" s="25" t="str">
        <f>IFERROR(__xludf.DUMMYFUNCTION("""COMPUTED_VALUE"""),"Занятия  по блоку дисциплин "" Естественная-научная картина мира"", согласно приложению №3.    
Занятия по курсу "" Философия ""(MS Teams) , согласно приложению №2     
Сводный список обучающихся согласно приложению №2.
Сводный список обучающихся согла"&amp;"сно приложению №3.
Ссылки на команды в Мicrosoft Тeams по приложению № 2.
Ссылки на команды в Мicrosoft Тeams по приложению № 3.")</f>
        <v>Занятия  по блоку дисциплин " Естественная-научная картина мира", согласно приложению №3.    
Занятия по курсу " Философия "(MS Teams) , согласно приложению №2     
Сводный список обучающихся согласно приложению №2.
Сводный список обучающихся согласно приложению №3.
Ссылки на команды в Мicrosoft Тeams по приложению № 2.
Ссылки на команды в Мicrosoft Тeams по приложению № 3.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7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</row>
    <row r="17" ht="52.5" customHeight="1">
      <c r="A17" s="11"/>
      <c r="B17" s="3" t="str">
        <f>IFERROR(__xludf.DUMMYFUNCTION("""COMPUTED_VALUE"""),"10:10 - 11:40")</f>
        <v>10:10 - 11:40</v>
      </c>
      <c r="C17" s="28"/>
      <c r="O17" s="29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</row>
    <row r="18" ht="52.5" customHeight="1">
      <c r="A18" s="11"/>
      <c r="B18" s="3" t="str">
        <f>IFERROR(__xludf.DUMMYFUNCTION("""COMPUTED_VALUE"""),"11:50 - 13:20")</f>
        <v>11:50 - 13:20</v>
      </c>
      <c r="C18" s="28"/>
      <c r="O18" s="29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</row>
    <row r="19" ht="52.5" customHeight="1">
      <c r="A19" s="11"/>
      <c r="B19" s="20" t="str">
        <f>IFERROR(__xludf.DUMMYFUNCTION("""COMPUTED_VALUE"""),"14:00 - 15:30")</f>
        <v>14:00 - 15:30</v>
      </c>
      <c r="C19" s="28"/>
      <c r="O19" s="29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</row>
    <row r="20" ht="52.5" customHeight="1">
      <c r="A20" s="11"/>
      <c r="B20" s="20" t="str">
        <f>IFERROR(__xludf.DUMMYFUNCTION("""COMPUTED_VALUE"""),"15:40 - 17:10")</f>
        <v>15:40 - 17:10</v>
      </c>
      <c r="C20" s="28"/>
      <c r="O20" s="29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</row>
    <row r="21" ht="52.5" customHeight="1">
      <c r="A21" s="11"/>
      <c r="B21" s="20" t="str">
        <f>IFERROR(__xludf.DUMMYFUNCTION("""COMPUTED_VALUE"""),"17:50 - 19:20")</f>
        <v>17:50 - 19:20</v>
      </c>
      <c r="C21" s="30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2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</row>
    <row r="22" ht="52.5" customHeight="1">
      <c r="A22" s="22"/>
      <c r="B22" s="20" t="str">
        <f>IFERROR(__xludf.DUMMYFUNCTION("""COMPUTED_VALUE"""),"19:30 - 21:00")</f>
        <v>19:30 - 21:00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</row>
    <row r="23" ht="52.5" customHeight="1">
      <c r="A23" s="23" t="str">
        <f>IFERROR(__xludf.DUMMYFUNCTION("""COMPUTED_VALUE"""),"Четверг")</f>
        <v>Четверг</v>
      </c>
      <c r="B23" s="3" t="str">
        <f>IFERROR(__xludf.DUMMYFUNCTION("""COMPUTED_VALUE"""),"08:30 - 10:00")</f>
        <v>08:30 - 10:00</v>
      </c>
      <c r="C23" s="8" t="str">
        <f>IFERROR(__xludf.DUMMYFUNCTION("""COMPUTED_VALUE"""),"Элективные курсы по физической культуре и спорту в УНИКС с 8.00-9.30 
")</f>
        <v>Элективные курсы по физической культуре и спорту в УНИКС с 8.00-9.30 
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</row>
    <row r="24" ht="52.5" customHeight="1">
      <c r="A24" s="11"/>
      <c r="B24" s="3" t="str">
        <f>IFERROR(__xludf.DUMMYFUNCTION("""COMPUTED_VALUE"""),"10:10 - 11:40")</f>
        <v>10:10 - 11:40</v>
      </c>
      <c r="C24" s="19" t="str">
        <f>IFERROR(__xludf.DUMMYFUNCTION("""COMPUTED_VALUE"""),"Иностранный язык (английский):
Бибик Е.А в 1301, Мартынова Е.В. в 1302, Планкина Р.М. в 1303, 
Максимова Ю.О. (Гр. Жмурко Л.С.) в 1304, Булина Е.Н.1305, Хрипкова Д.И. в 1404, Гиниятуллина Д.Р. в 1405 
")</f>
        <v>Иностранный язык (английский):
Бибик Е.А в 1301, Мартынова Е.В. в 1302, Планкина Р.М. в 1303, 
Максимова Ю.О. (Гр. Жмурко Л.С.) в 1304, Булина Е.Н.1305, Хрипкова Д.И. в 1404, Гиниятуллина Д.Р. в 1405 
</v>
      </c>
      <c r="D24" s="9"/>
      <c r="E24" s="9"/>
      <c r="F24" s="9"/>
      <c r="G24" s="9"/>
      <c r="H24" s="10"/>
      <c r="I24" s="16" t="str">
        <f>IFERROR(__xludf.DUMMYFUNCTION("""COMPUTED_VALUE"""),"Дискретная математика Корнеева Н.Н.в 1307")</f>
        <v>Дискретная математика Корнеева Н.Н.в 1307</v>
      </c>
      <c r="J24" s="18"/>
      <c r="K24" s="18" t="str">
        <f>IFERROR(__xludf.DUMMYFUNCTION("""COMPUTED_VALUE"""),"Математический анализ Гафиятуллина Л.И. в 1409")</f>
        <v>Математический анализ Гафиятуллина Л.И. в 1409</v>
      </c>
      <c r="L24" s="18" t="str">
        <f>IFERROR(__xludf.DUMMYFUNCTION("""COMPUTED_VALUE"""),"Математический анализ Широкова Е.А. в 1509 (с31.03)")</f>
        <v>Математический анализ Широкова Е.А. в 1509 (с31.03)</v>
      </c>
      <c r="M24" s="18" t="str">
        <f>IFERROR(__xludf.DUMMYFUNCTION("""COMPUTED_VALUE"""),"Дискретная математика Зайнетдинов Д.Х.1310")</f>
        <v>Дискретная математика Зайнетдинов Д.Х.1310</v>
      </c>
      <c r="N24" s="16" t="str">
        <f>IFERROR(__xludf.DUMMYFUNCTION("""COMPUTED_VALUE"""),"Дискретная математика Тапкин Д.Т. в 1508 ( 26.05 перенос в ауд. 1412 раз)")</f>
        <v>Дискретная математика Тапкин Д.Т. в 1508 ( 26.05 перенос в ауд. 1412 раз)</v>
      </c>
      <c r="O24" s="16" t="str">
        <f>IFERROR(__xludf.DUMMYFUNCTION("""COMPUTED_VALUE"""),"Информатика и программирование (Java)   Липачев Е.К. в 1309")</f>
        <v>Информатика и программирование (Java)   Липачев Е.К. в 1309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</row>
    <row r="25" ht="52.5" customHeight="1">
      <c r="A25" s="11"/>
      <c r="B25" s="3" t="str">
        <f>IFERROR(__xludf.DUMMYFUNCTION("""COMPUTED_VALUE"""),"11:50 - 13:20")</f>
        <v>11:50 - 13:20</v>
      </c>
      <c r="C25" s="19" t="str">
        <f>IFERROR(__xludf.DUMMYFUNCTION("""COMPUTED_VALUE"""),"Информатика и программирование (Java) 
Абрамский М.М. 
в ауд.109 к.2 по неч.нед.   ms teams")</f>
        <v>Информатика и программирование (Java) 
Абрамский М.М. 
в ауд.109 к.2 по неч.нед.   ms teams</v>
      </c>
      <c r="D25" s="9"/>
      <c r="E25" s="10"/>
      <c r="F25" s="19" t="str">
        <f>IFERROR(__xludf.DUMMYFUNCTION("""COMPUTED_VALUE"""),"Информатика и программирование (Python) 
Абрамский М.М. 
в ауд. 109 к.2 по чет.нед. ms teams")</f>
        <v>Информатика и программирование (Python) 
Абрамский М.М. 
в ауд. 109 к.2 по чет.нед. ms teams</v>
      </c>
      <c r="G25" s="10"/>
      <c r="H25" s="16" t="str">
        <f>IFERROR(__xludf.DUMMYFUNCTION("""COMPUTED_VALUE"""),"Дискретная математика Корнеева Н.Н. в 1307")</f>
        <v>Дискретная математика Корнеева Н.Н. в 1307</v>
      </c>
      <c r="I25" s="19" t="str">
        <f>IFERROR(__xludf.DUMMYFUNCTION("""COMPUTED_VALUE"""),"Иностранный язык (английский): 
Бибик Е.А. в 1301, Мартынова Е.В.в 1302, Планкина Р.М. в 1303, Максимова Ю. О. (гр.Жмурко Л.С.)в 1304, Булина Е.Н.1305, Хрипкова Д.И. в 1404, Гиниятуллина Д.Р. в 1405,  ")</f>
        <v>Иностранный язык (английский): 
Бибик Е.А. в 1301, Мартынова Е.В.в 1302, Планкина Р.М. в 1303, Максимова Ю. О. (гр.Жмурко Л.С.)в 1304, Булина Е.Н.1305, Хрипкова Д.И. в 1404, Гиниятуллина Д.Р. в 1405,  </v>
      </c>
      <c r="J25" s="9"/>
      <c r="K25" s="9"/>
      <c r="L25" s="9"/>
      <c r="M25" s="9"/>
      <c r="N25" s="9"/>
      <c r="O25" s="10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</row>
    <row r="26" ht="52.5" customHeight="1">
      <c r="A26" s="11"/>
      <c r="B26" s="20" t="str">
        <f>IFERROR(__xludf.DUMMYFUNCTION("""COMPUTED_VALUE"""),"14:00 - 15:30")</f>
        <v>14:00 - 15:30</v>
      </c>
      <c r="C26" s="19" t="str">
        <f>IFERROR(__xludf.DUMMYFUNCTION("""COMPUTED_VALUE"""),"Иностранный язык (английский):
Бибик Е.А.в 1301, Мартынова Е.В.(ms teams) в 1302, Планкина Р.М. в 1303, Максимова Ю.О. (гр.Жмурко Л.С.) в 1304, Булина Е.Н.1305, Хрипкова Д.И.в 1404, Гиниятуллина Д.Р. в 1405 ")</f>
        <v>Иностранный язык (английский):
Бибик Е.А.в 1301, Мартынова Е.В.(ms teams) в 1302, Планкина Р.М. в 1303, Максимова Ю.О. (гр.Жмурко Л.С.) в 1304, Булина Е.Н.1305, Хрипкова Д.И.в 1404, Гиниятуллина Д.Р. в 1405 </v>
      </c>
      <c r="D26" s="9"/>
      <c r="E26" s="9"/>
      <c r="F26" s="9"/>
      <c r="G26" s="9"/>
      <c r="H26" s="10"/>
      <c r="I26" s="17" t="str">
        <f>IFERROR(__xludf.DUMMYFUNCTION("""COMPUTED_VALUE"""),"Информатика и программирование Гарифуллина Р.Н. в 1306 ")</f>
        <v>Информатика и программирование Гарифуллина Р.Н. в 1306 </v>
      </c>
      <c r="J26" s="17" t="str">
        <f>IFERROR(__xludf.DUMMYFUNCTION("""COMPUTED_VALUE"""),"Информатика и программирование Абрамский М.М. в 1509")</f>
        <v>Информатика и программирование Абрамский М.М. в 1509</v>
      </c>
      <c r="K26" s="21"/>
      <c r="L26" s="16" t="str">
        <f>IFERROR(__xludf.DUMMYFUNCTION("""COMPUTED_VALUE"""),"Алгебра и геометрия
Тапкин Д.Т. в 1307")</f>
        <v>Алгебра и геометрия
Тапкин Д.Т. в 1307</v>
      </c>
      <c r="M26" s="16" t="str">
        <f>IFERROR(__xludf.DUMMYFUNCTION("""COMPUTED_VALUE"""),"Математический анализ Гафиятуллина Л.И. в 1409 ")</f>
        <v>Математический анализ Гафиятуллина Л.И. в 1409 </v>
      </c>
      <c r="N26" s="18"/>
      <c r="O26" s="21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</row>
    <row r="27" ht="52.5" customHeight="1">
      <c r="A27" s="11"/>
      <c r="B27" s="20" t="str">
        <f>IFERROR(__xludf.DUMMYFUNCTION("""COMPUTED_VALUE"""),"15:40 - 17:10")</f>
        <v>15:40 - 17:10</v>
      </c>
      <c r="C27" s="17" t="str">
        <f>IFERROR(__xludf.DUMMYFUNCTION("""COMPUTED_VALUE"""),"Математический анализ Скворцова Г.Ш.в 1509(с 10.03 перенос на четв.11.50 в ауд.109 к.2)")</f>
        <v>Математический анализ Скворцова Г.Ш.в 1509(с 10.03 перенос на четв.11.50 в ауд.109 к.2)</v>
      </c>
      <c r="D27" s="17" t="str">
        <f>IFERROR(__xludf.DUMMYFUNCTION("""COMPUTED_VALUE"""),"Информатика и программирование Зиятдинов М.Т. в 1308 ")</f>
        <v>Информатика и программирование Зиятдинов М.Т. в 1308 </v>
      </c>
      <c r="E27" s="18" t="str">
        <f>IFERROR(__xludf.DUMMYFUNCTION("""COMPUTED_VALUE"""),"Алгоритмы и структуры данных Ференец А.А. (Андреичев М.Д.) в 1409")</f>
        <v>Алгоритмы и структуры данных Ференец А.А. (Андреичев М.Д.) в 1409</v>
      </c>
      <c r="F27" s="16"/>
      <c r="G27" s="17" t="str">
        <f>IFERROR(__xludf.DUMMYFUNCTION("""COMPUTED_VALUE"""),"Информатика и программирование Серазетдинов Д.М.  1302 ")</f>
        <v>Информатика и программирование Серазетдинов Д.М.  1302 </v>
      </c>
      <c r="H27" s="18"/>
      <c r="I27" s="18" t="str">
        <f>IFERROR(__xludf.DUMMYFUNCTION("""COMPUTED_VALUE"""),"Математический анализ Гафиятуллина Л.И. в 612 к.2( с 12.04 перенос на втр.в 11.50 в 1412)")</f>
        <v>Математический анализ Гафиятуллина Л.И. в 612 к.2( с 12.04 перенос на втр.в 11.50 в 1412)</v>
      </c>
      <c r="J27" s="18"/>
      <c r="K27" s="18"/>
      <c r="L27" s="21"/>
      <c r="M27" s="17"/>
      <c r="N27" s="18"/>
      <c r="O27" s="17" t="str">
        <f>IFERROR(__xludf.DUMMYFUNCTION("""COMPUTED_VALUE"""),"Математический анализ Даутова Д.Н.в 1309")</f>
        <v>Математический анализ Даутова Д.Н.в 1309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</row>
    <row r="28" ht="52.5" customHeight="1">
      <c r="A28" s="11"/>
      <c r="B28" s="20" t="str">
        <f>IFERROR(__xludf.DUMMYFUNCTION("""COMPUTED_VALUE"""),"17:50 - 19:20")</f>
        <v>17:50 - 19:20</v>
      </c>
      <c r="C28" s="8" t="str">
        <f>IFERROR(__xludf.DUMMYFUNCTION("""COMPUTED_VALUE"""),"Введение в проектную деятельность (9 нд.) 
    Френец А.А.( в ms teams c 4 нед. с 3.03, sx1d75l),   Абрамский М.М.( c 4  нед. в ms teams),  Шигапов М.И.(с 4 нед.во вторник 15.40 в 1510г. гр.11-101,11-104. 11-106 - очно, гр. 11-108, 11-109, 11-110 в ms tea"&amp;"ms ")</f>
        <v>Введение в проектную деятельность (9 нд.) 
    Френец А.А.( в ms teams c 4 нед. с 3.03, sx1d75l),   Абрамский М.М.( c 4  нед. в ms teams),  Шигапов М.И.(с 4 нед.во вторник 15.40 в 1510г. гр.11-101,11-104. 11-106 - очно, гр. 11-108, 11-109, 11-110 в ms teams 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</row>
    <row r="29" ht="52.5" customHeight="1">
      <c r="A29" s="22"/>
      <c r="B29" s="20" t="str">
        <f>IFERROR(__xludf.DUMMYFUNCTION("""COMPUTED_VALUE"""),"19:30 - 21:00")</f>
        <v>19:30 - 21:00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</row>
    <row r="30" ht="52.5" customHeight="1">
      <c r="A30" s="23" t="str">
        <f>IFERROR(__xludf.DUMMYFUNCTION("""COMPUTED_VALUE"""),"Пятница")</f>
        <v>Пятница</v>
      </c>
      <c r="B30" s="3" t="str">
        <f>IFERROR(__xludf.DUMMYFUNCTION("""COMPUTED_VALUE"""),"08:30 - 10:00")</f>
        <v>08:30 - 10:00</v>
      </c>
      <c r="C30" s="12" t="str">
        <f>IFERROR(__xludf.DUMMYFUNCTION("""COMPUTED_VALUE"""),"Алгоритмы и структуры данных 
Салимов Ф.И. в 3- физическая гл. зд. Кремлевская 18 в  ms teams")</f>
        <v>Алгоритмы и структуры данных 
Салимов Ф.И. в 3- физическая гл. зд. Кремлевская 18 в  ms teams</v>
      </c>
      <c r="D30" s="9"/>
      <c r="E30" s="9"/>
      <c r="F30" s="9"/>
      <c r="G30" s="9"/>
      <c r="H30" s="9"/>
      <c r="I30" s="10"/>
      <c r="J30" s="18"/>
      <c r="K30" s="17" t="str">
        <f>IFERROR(__xludf.DUMMYFUNCTION("""COMPUTED_VALUE"""),"Алгоритмы и структуры данных Сафин Р. Н.   в 1306 ( ms teams)")</f>
        <v>Алгоритмы и структуры данных Сафин Р. Н.   в 1306 ( ms teams)</v>
      </c>
      <c r="L30" s="18" t="str">
        <f>IFERROR(__xludf.DUMMYFUNCTION("""COMPUTED_VALUE"""),"Информатика и программирование Кислов К.А.в 1409")</f>
        <v>Информатика и программирование Кислов К.А.в 1409</v>
      </c>
      <c r="M30" s="18"/>
      <c r="N30" s="17" t="str">
        <f>IFERROR(__xludf.DUMMYFUNCTION("""COMPUTED_VALUE"""),"Алгоритмы и структуры данных Лычко С.А. в 1309 ")</f>
        <v>Алгоритмы и структуры данных Лычко С.А. в 1309 </v>
      </c>
      <c r="O30" s="16" t="str">
        <f>IFERROR(__xludf.DUMMYFUNCTION("""COMPUTED_VALUE"""),"Алгоритмы и структуры данных прак. Липачев Е.К.в 1308")</f>
        <v>Алгоритмы и структуры данных прак. Липачев Е.К.в 1308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</row>
    <row r="31" ht="52.5" customHeight="1">
      <c r="A31" s="11"/>
      <c r="B31" s="3" t="str">
        <f>IFERROR(__xludf.DUMMYFUNCTION("""COMPUTED_VALUE"""),"10:10 - 11:40")</f>
        <v>10:10 - 11:40</v>
      </c>
      <c r="C31" s="19" t="str">
        <f>IFERROR(__xludf.DUMMYFUNCTION("""COMPUTED_VALUE"""),"Иностранный язык:(английский проф.сф.) Бибик Е.А. в 1301, Мартынова Е.В. в 1311, Планкина Р.М.(27.05 в ms teams) в 1303, Максимова Ю. О.в 1304, Булина Е.Н. ( в ms teams)1305, Хрипкова Д.И.(с 11.02 перенос на пят. 15.40 в ауд. 1404), Гиниятуллина Д.Р. в 14"&amp;"05")</f>
        <v>Иностранный язык:(английский проф.сф.) Бибик Е.А. в 1301, Мартынова Е.В. в 1311, Планкина Р.М.(27.05 в ms teams) в 1303, Максимова Ю. О.в 1304, Булина Е.Н. ( в ms teams)1305, Хрипкова Д.И.(с 11.02 перенос на пят. 15.40 в ауд. 1404), Гиниятуллина Д.Р. в 1405</v>
      </c>
      <c r="D31" s="9"/>
      <c r="E31" s="9"/>
      <c r="F31" s="9"/>
      <c r="G31" s="9"/>
      <c r="H31" s="9"/>
      <c r="I31" s="10"/>
      <c r="J31" s="17" t="str">
        <f>IFERROR(__xludf.DUMMYFUNCTION("""COMPUTED_VALUE"""),"Алгоритмы и структуры данных Абрамский М.М. в 1509")</f>
        <v>Алгоритмы и структуры данных Абрамский М.М. в 1509</v>
      </c>
      <c r="K31" s="17" t="str">
        <f>IFERROR(__xludf.DUMMYFUNCTION("""COMPUTED_VALUE"""),"Информатика и программирование Леухин А.Д. в 1408")</f>
        <v>Информатика и программирование Леухин А.Д. в 1408</v>
      </c>
      <c r="L31" s="17" t="str">
        <f>IFERROR(__xludf.DUMMYFUNCTION("""COMPUTED_VALUE"""),"Информатика и программирование Кислов К.А.в 1409")</f>
        <v>Информатика и программирование Кислов К.А.в 1409</v>
      </c>
      <c r="M31" s="17" t="str">
        <f>IFERROR(__xludf.DUMMYFUNCTION("""COMPUTED_VALUE"""),"Алгоритмы и структуры данных Лычко С.А. в 1309 ")</f>
        <v>Алгоритмы и структуры данных Лычко С.А. в 1309 </v>
      </c>
      <c r="N31" s="17" t="str">
        <f>IFERROR(__xludf.DUMMYFUNCTION("""COMPUTED_VALUE"""),"Математический анализ Скворцова Г.Ш.в 1307")</f>
        <v>Математический анализ Скворцова Г.Ш.в 1307</v>
      </c>
      <c r="O31" s="16" t="str">
        <f>IFERROR(__xludf.DUMMYFUNCTION("""COMPUTED_VALUE"""),"Информатика и программирование (Java) 
Липачев Е.К.в 1308")</f>
        <v>Информатика и программирование (Java) 
Липачев Е.К.в 1308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</row>
    <row r="32" ht="52.5" customHeight="1">
      <c r="A32" s="11"/>
      <c r="B32" s="3" t="str">
        <f>IFERROR(__xludf.DUMMYFUNCTION("""COMPUTED_VALUE"""),"11:50 - 13:20")</f>
        <v>11:50 - 13:20</v>
      </c>
      <c r="C32" s="19" t="str">
        <f>IFERROR(__xludf.DUMMYFUNCTION("""COMPUTED_VALUE"""),"Дискретная математика Корнеева Н.Н. в ауд. 108 к.2 Кремлевская 35 ")</f>
        <v>Дискретная математика Корнеева Н.Н. в ауд. 108 к.2 Кремлевская 35 </v>
      </c>
      <c r="D32" s="9"/>
      <c r="E32" s="9"/>
      <c r="F32" s="9"/>
      <c r="G32" s="9"/>
      <c r="H32" s="9"/>
      <c r="I32" s="10"/>
      <c r="J32" s="19" t="str">
        <f>IFERROR(__xludf.DUMMYFUNCTION("""COMPUTED_VALUE"""),"Иностранный язык в проф.сфере (английский) 
Бибик Е.А.(MS Teams 18.02) в 1301, Мартынова Е.В. в 1302, Планкина Р.М.( 27.05 ms teams) в 1303, Максимова Ю. О.в 1304, Булина Е.Н.1305, Хрипкова Д.И. в 1404    , Гиниятуллина Д.Р. в 1405")</f>
        <v>Иностранный язык в проф.сфере (английский) 
Бибик Е.А.(MS Teams 18.02) в 1301, Мартынова Е.В. в 1302, Планкина Р.М.( 27.05 ms teams) в 1303, Максимова Ю. О.в 1304, Булина Е.Н.1305, Хрипкова Д.И. в 1404    , Гиниятуллина Д.Р. в 1405</v>
      </c>
      <c r="K32" s="9"/>
      <c r="L32" s="9"/>
      <c r="M32" s="9"/>
      <c r="N32" s="9"/>
      <c r="O32" s="10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</row>
    <row r="33" ht="52.5" customHeight="1">
      <c r="A33" s="11"/>
      <c r="B33" s="20" t="str">
        <f>IFERROR(__xludf.DUMMYFUNCTION("""COMPUTED_VALUE"""),"14:00 - 15:30")</f>
        <v>14:00 - 15:30</v>
      </c>
      <c r="C33" s="17"/>
      <c r="D33" s="17" t="str">
        <f>IFERROR(__xludf.DUMMYFUNCTION("""COMPUTED_VALUE"""),"Информатика и программирование Зиятдинов М.Т. в 1311 ( в ms teams)")</f>
        <v>Информатика и программирование Зиятдинов М.Т. в 1311 ( в ms teams)</v>
      </c>
      <c r="E33" s="18"/>
      <c r="F33" s="17" t="str">
        <f>IFERROR(__xludf.DUMMYFUNCTION("""COMPUTED_VALUE"""),"Алгоритмы и структуры данных Сафин Р. Н.  в 1409 ( ms teams)")</f>
        <v>Алгоритмы и структуры данных Сафин Р. Н.  в 1409 ( ms teams)</v>
      </c>
      <c r="G33" s="17" t="str">
        <f>IFERROR(__xludf.DUMMYFUNCTION("""COMPUTED_VALUE"""),"Алгоритмы и структуры данных Лычко С.А. в 1310 ")</f>
        <v>Алгоритмы и структуры данных Лычко С.А. в 1310 </v>
      </c>
      <c r="H33" s="17" t="str">
        <f>IFERROR(__xludf.DUMMYFUNCTION("""COMPUTED_VALUE"""),"Информатика и программирование Салимов Ф.И. в 1508 ")</f>
        <v>Информатика и программирование Салимов Ф.И. в 1508 </v>
      </c>
      <c r="I33" s="19" t="str">
        <f>IFERROR(__xludf.DUMMYFUNCTION("""COMPUTED_VALUE"""),"Иностранный язык (английский) 
Бибик Е.А. в 1301, Мартынова Е.В. в 1302, Планкина Р.М.(27.05 ms teams) в 1303, Максимова Ю. О.в 1304, Булина Е.Н.1305, Хрипкова Д.И.( 20.05 ms teams) в 1404, Гиниятуллина Д.Р. в 1405")</f>
        <v>Иностранный язык (английский) 
Бибик Е.А. в 1301, Мартынова Е.В. в 1302, Планкина Р.М.(27.05 ms teams) в 1303, Максимова Ю. О.в 1304, Булина Е.Н.1305, Хрипкова Д.И.( 20.05 ms teams) в 1404, Гиниятуллина Д.Р. в 1405</v>
      </c>
      <c r="J33" s="9"/>
      <c r="K33" s="9"/>
      <c r="L33" s="9"/>
      <c r="M33" s="9"/>
      <c r="N33" s="9"/>
      <c r="O33" s="10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</row>
    <row r="34" ht="52.5" customHeight="1">
      <c r="A34" s="11"/>
      <c r="B34" s="20" t="str">
        <f>IFERROR(__xludf.DUMMYFUNCTION("""COMPUTED_VALUE"""),"15:40 - 17:10")</f>
        <v>15:40 - 17:10</v>
      </c>
      <c r="C34" s="8" t="str">
        <f>IFERROR(__xludf.DUMMYFUNCTION("""COMPUTED_VALUE"""),"Иностранный язык в проф.сфере (английский) 
Гр.Хрипкова Д.И. в 1404.(в ms teams) ")</f>
        <v>Иностранный язык в проф.сфере (английский) 
Гр.Хрипкова Д.И. в 1404.(в ms teams) </v>
      </c>
      <c r="D34" s="9"/>
      <c r="E34" s="9"/>
      <c r="F34" s="9"/>
      <c r="G34" s="9"/>
      <c r="H34" s="9"/>
      <c r="I34" s="10"/>
      <c r="J34" s="18" t="str">
        <f>IFERROR(__xludf.DUMMYFUNCTION("""COMPUTED_VALUE"""),"Математический анализ 
Даутова Д.Н. 
1305")</f>
        <v>Математический анализ 
Даутова Д.Н. 
1305</v>
      </c>
      <c r="K34" s="18" t="str">
        <f>IFERROR(__xludf.DUMMYFUNCTION("""COMPUTED_VALUE"""),"Информатика и программирование Леухин А.Д. в 1408 ")</f>
        <v>Информатика и программирование Леухин А.Д. в 1408 </v>
      </c>
      <c r="L34" s="18" t="str">
        <f>IFERROR(__xludf.DUMMYFUNCTION("""COMPUTED_VALUE""")," ")</f>
        <v> </v>
      </c>
      <c r="M34" s="17" t="str">
        <f>IFERROR(__xludf.DUMMYFUNCTION("""COMPUTED_VALUE"""),"Информатика и программирование Зиятдинов М.Т. в 1409 ")</f>
        <v>Информатика и программирование Зиятдинов М.Т. в 1409 </v>
      </c>
      <c r="N34" s="21"/>
      <c r="O34" s="16" t="str">
        <f>IFERROR(__xludf.DUMMYFUNCTION("""COMPUTED_VALUE"""),"Иностранный язык: русский в проф.сф. Некрасова И.Д.  в 1301")</f>
        <v>Иностранный язык: русский в проф.сф. Некрасова И.Д.  в 1301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</row>
    <row r="35" ht="52.5" customHeight="1">
      <c r="A35" s="11"/>
      <c r="B35" s="20" t="str">
        <f>IFERROR(__xludf.DUMMYFUNCTION("""COMPUTED_VALUE"""),"17:50 - 19:20")</f>
        <v>17:50 - 19:20</v>
      </c>
      <c r="C35" s="18"/>
      <c r="D35" s="18"/>
      <c r="E35" s="18"/>
      <c r="F35" s="18"/>
      <c r="G35" s="17"/>
      <c r="H35" s="18"/>
      <c r="I35" s="18"/>
      <c r="J35" s="18"/>
      <c r="K35" s="18"/>
      <c r="L35" s="18"/>
      <c r="M35" s="18"/>
      <c r="N35" s="17" t="str">
        <f>IFERROR(__xludf.DUMMYFUNCTION("""COMPUTED_VALUE"""),"Информатика и программирование Ференец А.А.(Уразаев Н.З.) в 1509  ")</f>
        <v>Информатика и программирование Ференец А.А.(Уразаев Н.З.) в 1509  </v>
      </c>
      <c r="O35" s="18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</row>
    <row r="36" ht="52.5" customHeight="1">
      <c r="A36" s="22"/>
      <c r="B36" s="20" t="str">
        <f>IFERROR(__xludf.DUMMYFUNCTION("""COMPUTED_VALUE"""),"19:30 - 21:00")</f>
        <v>19:30 - 21:00</v>
      </c>
      <c r="C36" s="18"/>
      <c r="D36" s="18"/>
      <c r="E36" s="18"/>
      <c r="F36" s="18"/>
      <c r="G36" s="17"/>
      <c r="H36" s="18"/>
      <c r="I36" s="18"/>
      <c r="J36" s="18"/>
      <c r="K36" s="18"/>
      <c r="L36" s="18"/>
      <c r="M36" s="18"/>
      <c r="N36" s="17" t="str">
        <f>IFERROR(__xludf.DUMMYFUNCTION("""COMPUTED_VALUE"""),"Информатика и программирование Ференец А.А.(Уразаев Н.З.)в 1509 ")</f>
        <v>Информатика и программирование Ференец А.А.(Уразаев Н.З.)в 1509 </v>
      </c>
      <c r="O36" s="18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</row>
    <row r="37" ht="52.5" customHeight="1">
      <c r="A37" s="23" t="str">
        <f>IFERROR(__xludf.DUMMYFUNCTION("""COMPUTED_VALUE"""),"Суббота")</f>
        <v>Суббота</v>
      </c>
      <c r="B37" s="3" t="str">
        <f>IFERROR(__xludf.DUMMYFUNCTION("""COMPUTED_VALUE"""),"08:30 - 10:00")</f>
        <v>08:30 - 10:00</v>
      </c>
      <c r="C37" s="25" t="str">
        <f>IFERROR(__xludf.DUMMYFUNCTION("""COMPUTED_VALUE"""),"Занятия по блоку дисциплин "" Естественно-научная картина мира"" согласно приложению №3.          Занятия по дисциплине ""История(MS Teams) (история России, всеобщая история) согласно приложению №1.
Сводный список обучающихся согласно приложению №1.
Сво"&amp;"дный список обучающихся согласно приложению №3.
Ссылки на команды в Мicrosoft Тeams по приложению № 1.
Ссылки на команды в Мicrosoft Тeams по приложению № 3.")</f>
        <v>Занятия по блоку дисциплин " Естественно-научная картина мира" согласно приложению №3.          Занятия по дисциплине "История(MS Teams) (история России, всеобщая история) согласно приложению №1.
Сводный список обучающихся согласно приложению №1.
Сводный список обучающихся согласно приложению №3.
Ссылки на команды в Мicrosoft Тeams по приложению № 1.
Ссылки на команды в Мicrosoft Тeams по приложению № 3.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</row>
    <row r="38" ht="52.5" customHeight="1">
      <c r="A38" s="11"/>
      <c r="B38" s="3" t="str">
        <f>IFERROR(__xludf.DUMMYFUNCTION("""COMPUTED_VALUE"""),"10:10 - 11:40")</f>
        <v>10:10 - 11:40</v>
      </c>
      <c r="C38" s="28"/>
      <c r="O38" s="29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</row>
    <row r="39" ht="52.5" customHeight="1">
      <c r="A39" s="11"/>
      <c r="B39" s="3" t="str">
        <f>IFERROR(__xludf.DUMMYFUNCTION("""COMPUTED_VALUE"""),"11:50 - 13:20")</f>
        <v>11:50 - 13:20</v>
      </c>
      <c r="C39" s="28"/>
      <c r="O39" s="29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</row>
    <row r="40" ht="52.5" customHeight="1">
      <c r="A40" s="11"/>
      <c r="B40" s="20" t="str">
        <f>IFERROR(__xludf.DUMMYFUNCTION("""COMPUTED_VALUE"""),"14:00 - 15:30")</f>
        <v>14:00 - 15:30</v>
      </c>
      <c r="C40" s="28"/>
      <c r="O40" s="29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</row>
    <row r="41" ht="52.5" customHeight="1">
      <c r="A41" s="11"/>
      <c r="B41" s="3" t="str">
        <f>IFERROR(__xludf.DUMMYFUNCTION("""COMPUTED_VALUE"""),"15:40 - 17:10")</f>
        <v>15:40 - 17:10</v>
      </c>
      <c r="C41" s="30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2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</row>
    <row r="42" ht="52.5" customHeight="1">
      <c r="A42" s="11"/>
      <c r="B42" s="20" t="str">
        <f>IFERROR(__xludf.DUMMYFUNCTION("""COMPUTED_VALUE"""),"17:50 - 19:20")</f>
        <v>17:50 - 19:20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</row>
    <row r="43" ht="52.5" customHeight="1">
      <c r="A43" s="22"/>
      <c r="B43" s="20" t="str">
        <f>IFERROR(__xludf.DUMMYFUNCTION("""COMPUTED_VALUE"""),"19:30 - 21:00")</f>
        <v>19:30 - 21:00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</row>
  </sheetData>
  <mergeCells count="32">
    <mergeCell ref="C3:I3"/>
    <mergeCell ref="C9:I9"/>
    <mergeCell ref="H11:I11"/>
    <mergeCell ref="J13:N13"/>
    <mergeCell ref="A2:A8"/>
    <mergeCell ref="C2:O2"/>
    <mergeCell ref="J3:O3"/>
    <mergeCell ref="J4:N4"/>
    <mergeCell ref="J5:O5"/>
    <mergeCell ref="J6:N6"/>
    <mergeCell ref="A9:A15"/>
    <mergeCell ref="C25:E25"/>
    <mergeCell ref="F25:G25"/>
    <mergeCell ref="A30:A36"/>
    <mergeCell ref="A37:A43"/>
    <mergeCell ref="C24:H24"/>
    <mergeCell ref="C26:H26"/>
    <mergeCell ref="C28:O28"/>
    <mergeCell ref="C30:I30"/>
    <mergeCell ref="C31:I31"/>
    <mergeCell ref="C32:I32"/>
    <mergeCell ref="J32:O32"/>
    <mergeCell ref="I33:O33"/>
    <mergeCell ref="C34:I34"/>
    <mergeCell ref="C37:O41"/>
    <mergeCell ref="C14:N14"/>
    <mergeCell ref="C15:N15"/>
    <mergeCell ref="A16:A22"/>
    <mergeCell ref="C16:O21"/>
    <mergeCell ref="A23:A29"/>
    <mergeCell ref="C23:O23"/>
    <mergeCell ref="I25:O25"/>
  </mergeCells>
  <conditionalFormatting sqref="A1:BM43">
    <cfRule type="containsText" dxfId="0" priority="1" operator="containsText" text="перенос">
      <formula>NOT(ISERROR(SEARCH(("перенос"),(A1))))</formula>
    </cfRule>
  </conditionalFormatting>
  <conditionalFormatting sqref="A1:BM43">
    <cfRule type="containsText" dxfId="1" priority="2" operator="containsText" text="алгебра">
      <formula>NOT(ISERROR(SEARCH(("алгебра"),(A1))))</formula>
    </cfRule>
  </conditionalFormatting>
  <conditionalFormatting sqref="A1:BM43">
    <cfRule type="containsText" dxfId="2" priority="3" operator="containsText" text="иностранный">
      <formula>NOT(ISERROR(SEARCH(("иностранный"),(A1))))</formula>
    </cfRule>
  </conditionalFormatting>
  <conditionalFormatting sqref="A1:BM43">
    <cfRule type="containsText" dxfId="3" priority="4" operator="containsText" text="Основы функцио">
      <formula>NOT(ISERROR(SEARCH(("Основы функцио"),(A1))))</formula>
    </cfRule>
  </conditionalFormatting>
  <conditionalFormatting sqref="A1:BM43">
    <cfRule type="containsText" dxfId="4" priority="5" operator="containsText" text="физическ">
      <formula>NOT(ISERROR(SEARCH(("физическ"),(A1))))</formula>
    </cfRule>
  </conditionalFormatting>
  <conditionalFormatting sqref="A1:BM43">
    <cfRule type="containsText" dxfId="5" priority="6" operator="containsText" text="анализ">
      <formula>NOT(ISERROR(SEARCH(("анализ"),(A1))))</formula>
    </cfRule>
  </conditionalFormatting>
  <conditionalFormatting sqref="A1:BM43">
    <cfRule type="containsText" dxfId="6" priority="7" operator="containsText" text="информатик">
      <formula>NOT(ISERROR(SEARCH(("информатик"),(A1))))</formula>
    </cfRule>
  </conditionalFormatting>
  <conditionalFormatting sqref="A1:BM43">
    <cfRule type="containsText" dxfId="7" priority="8" operator="containsText" text="проектную">
      <formula>NOT(ISERROR(SEARCH(("проектную"),(A1))))</formula>
    </cfRule>
  </conditionalFormatting>
  <conditionalFormatting sqref="A1:BM43">
    <cfRule type="containsText" dxfId="8" priority="9" operator="containsText" text="алгоритмы">
      <formula>NOT(ISERROR(SEARCH(("алгоритмы"),(A1))))</formula>
    </cfRule>
  </conditionalFormatting>
  <conditionalFormatting sqref="A1:BM43">
    <cfRule type="containsText" dxfId="9" priority="10" operator="containsText" text="Дискретная">
      <formula>NOT(ISERROR(SEARCH(("Дискретная"),(A1))))</formula>
    </cfRule>
  </conditionalFormatting>
  <conditionalFormatting sqref="A1:A43">
    <cfRule type="cellIs" dxfId="10" priority="11" operator="equal">
      <formula> INDIRECT("Управление!G7")</formula>
    </cfRule>
  </conditionalFormatting>
  <conditionalFormatting sqref="S41">
    <cfRule type="containsText" dxfId="11" priority="12" operator="containsText" text="Занятия">
      <formula>NOT(ISERROR(SEARCH(("Занятия"),(S41))))</formula>
    </cfRule>
  </conditionalFormatting>
  <conditionalFormatting sqref="A1:BM43">
    <cfRule type="containsText" dxfId="12" priority="13" operator="containsText" text="Занятия">
      <formula>NOT(ISERROR(SEARCH(("Занятия"),(A1))))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3" max="15" width="19.5"/>
  </cols>
  <sheetData>
    <row r="1">
      <c r="A1" s="33" t="str">
        <f>'Управление'!F5</f>
        <v>Неделя:</v>
      </c>
      <c r="B1" s="34" t="str">
        <f> 'Управление'!G6</f>
        <v>№16, чётная</v>
      </c>
      <c r="C1" s="35" t="str">
        <f>IFERROR(__xludf.DUMMYFUNCTION(" IMPORTRANGE('Управление'!D1, 'Управление'!D4)"),"11-001")</f>
        <v>11-001</v>
      </c>
      <c r="D1" s="36" t="str">
        <f>IFERROR(__xludf.DUMMYFUNCTION("""COMPUTED_VALUE"""),"11-002")</f>
        <v>11-002</v>
      </c>
      <c r="E1" s="36" t="str">
        <f>IFERROR(__xludf.DUMMYFUNCTION("""COMPUTED_VALUE"""),"11-003")</f>
        <v>11-003</v>
      </c>
      <c r="F1" s="36" t="str">
        <f>IFERROR(__xludf.DUMMYFUNCTION("""COMPUTED_VALUE"""),"11-004")</f>
        <v>11-004</v>
      </c>
      <c r="G1" s="36" t="str">
        <f>IFERROR(__xludf.DUMMYFUNCTION("""COMPUTED_VALUE"""),"11-005")</f>
        <v>11-005</v>
      </c>
      <c r="H1" s="36" t="str">
        <f>IFERROR(__xludf.DUMMYFUNCTION("""COMPUTED_VALUE"""),"11-006")</f>
        <v>11-006</v>
      </c>
      <c r="I1" s="36" t="str">
        <f>IFERROR(__xludf.DUMMYFUNCTION("""COMPUTED_VALUE"""),"11-007")</f>
        <v>11-007</v>
      </c>
      <c r="J1" s="36" t="str">
        <f>IFERROR(__xludf.DUMMYFUNCTION("""COMPUTED_VALUE"""),"11-008")</f>
        <v>11-008</v>
      </c>
      <c r="K1" s="36" t="str">
        <f>IFERROR(__xludf.DUMMYFUNCTION("""COMPUTED_VALUE"""),"11-009")</f>
        <v>11-009</v>
      </c>
      <c r="L1" s="36" t="str">
        <f>IFERROR(__xludf.DUMMYFUNCTION("""COMPUTED_VALUE"""),"11-010")</f>
        <v>11-010</v>
      </c>
      <c r="M1" s="36" t="str">
        <f>IFERROR(__xludf.DUMMYFUNCTION("""COMPUTED_VALUE"""),"11-011")</f>
        <v>11-011</v>
      </c>
      <c r="N1" s="36" t="str">
        <f>IFERROR(__xludf.DUMMYFUNCTION("""COMPUTED_VALUE"""),"11-012")</f>
        <v>11-012</v>
      </c>
      <c r="O1" s="36" t="str">
        <f>IFERROR(__xludf.DUMMYFUNCTION("""COMPUTED_VALUE"""),"11-013")</f>
        <v>11-013</v>
      </c>
    </row>
    <row r="2" ht="52.5" customHeight="1">
      <c r="A2" s="37" t="str">
        <f>IFERROR(__xludf.DUMMYFUNCTION(" IMPORTRANGE('Управление'!D2,'Управление'!E2)"),"Понедельник")</f>
        <v>Понедельник</v>
      </c>
      <c r="B2" s="38" t="str">
        <f>IFERROR(__xludf.DUMMYFUNCTION("""COMPUTED_VALUE"""),"08:30 - 10:00")</f>
        <v>08:30 - 10:00</v>
      </c>
      <c r="C2" s="39" t="str">
        <f>IFERROR(__xludf.DUMMYFUNCTION("""COMPUTED_VALUE"""),"Иностранный язык (английский): 
Алеева Г.Х в 1301, Коноплева Н.В. в 1302, Низамиев Р.А. в 1303, Кудрявцева Е.А. в 1304, Мерзлякова А.Ф. в 1305, Гатиятуллина Л.Ф. в 1404, Павлова Ю.И. в 1405.")</f>
        <v>Иностранный язык (английский): 
Алеева Г.Х в 1301, Коноплева Н.В. в 1302, Низамиев Р.А. в 1303, Кудрявцева Е.А. в 1304, Мерзлякова А.Ф. в 1305, Гатиятуллина Л.Ф. в 1404, Павлова Ю.И. в 1405.</v>
      </c>
      <c r="I2" s="18"/>
      <c r="J2" s="21"/>
      <c r="K2" s="21"/>
      <c r="L2" s="21"/>
      <c r="M2" s="21"/>
      <c r="N2" s="18"/>
      <c r="O2" s="18"/>
    </row>
    <row r="3" ht="52.5" customHeight="1">
      <c r="A3" s="40"/>
      <c r="B3" s="41" t="str">
        <f>IFERROR(__xludf.DUMMYFUNCTION("""COMPUTED_VALUE"""),"10:10 - 11:40")</f>
        <v>10:10 - 11:40</v>
      </c>
      <c r="C3" s="19" t="str">
        <f>IFERROR(__xludf.DUMMYFUNCTION("""COMPUTED_VALUE"""),"Иностранный язык (английский): 
Алеева Г.Х в 1301, Коноплева Н.В. в 1302, Низамиев Р.А. в 1303, Кудрявцева Е.А. в 1304, Мерзлякова А.Ф. в 1305, Гатиятуллина Л.Ф. в 1404, Павлова Ю.И. в 1405.")</f>
        <v>Иностранный язык (английский): 
Алеева Г.Х в 1301, Коноплева Н.В. в 1302, Низамиев Р.А. в 1303, Кудрявцева Е.А. в 1304, Мерзлякова А.Ф. в 1305, Гатиятуллина Л.Ф. в 1404, Павлова Ю.И. в 1405.</v>
      </c>
      <c r="D3" s="9"/>
      <c r="E3" s="9"/>
      <c r="F3" s="9"/>
      <c r="G3" s="9"/>
      <c r="H3" s="10"/>
      <c r="I3" s="16" t="str">
        <f>IFERROR(__xludf.DUMMYFUNCTION("""COMPUTED_VALUE"""),"Теория вероятностей и математическая статистика Хакимов Д.Р. в 1306 ")</f>
        <v>Теория вероятностей и математическая статистика Хакимов Д.Р. в 1306 </v>
      </c>
      <c r="J3" s="21"/>
      <c r="K3" s="18"/>
      <c r="L3" s="21"/>
      <c r="M3" s="18" t="str">
        <f>IFERROR(__xludf.DUMMYFUNCTION("""COMPUTED_VALUE"""),"Основы разработки информационных систем Хайруллин А.Ф. в 1309")</f>
        <v>Основы разработки информационных систем Хайруллин А.Ф. в 1309</v>
      </c>
      <c r="N3" s="21"/>
      <c r="O3" s="21"/>
    </row>
    <row r="4" ht="52.5" customHeight="1">
      <c r="A4" s="40"/>
      <c r="B4" s="41" t="str">
        <f>IFERROR(__xludf.DUMMYFUNCTION("""COMPUTED_VALUE"""),"11:50 - 13:20")</f>
        <v>11:50 - 13:20</v>
      </c>
      <c r="C4" s="19" t="str">
        <f>IFERROR(__xludf.DUMMYFUNCTION("""COMPUTED_VALUE"""),"Вычислительные системы, сети и телекоммуникации Максютин С.В. в 109 к.2( MS teams в 14.00)")</f>
        <v>Вычислительные системы, сети и телекоммуникации Максютин С.В. в 109 к.2( MS teams в 14.00)</v>
      </c>
      <c r="D4" s="9"/>
      <c r="E4" s="9"/>
      <c r="F4" s="9"/>
      <c r="G4" s="9"/>
      <c r="H4" s="10"/>
      <c r="I4" s="19" t="str">
        <f>IFERROR(__xludf.DUMMYFUNCTION("""COMPUTED_VALUE"""),"Иностранный язык (английский): 
Алеева Г.Х в 1301, Коноплева Н.В. в 1302   , Низамиев Р.А. в 1303, Кудрявцева Е.А. в 1304, Мерзлякова А.Ф. в 1305, Гатиятуллина Л.Ф. в 1404  , Павлова Ю.И. в 1405. ")</f>
        <v>Иностранный язык (английский): 
Алеева Г.Х в 1301, Коноплева Н.В. в 1302   , Низамиев Р.А. в 1303, Кудрявцева Е.А. в 1304, Мерзлякова А.Ф. в 1305, Гатиятуллина Л.Ф. в 1404  , Павлова Ю.И. в 1405. </v>
      </c>
      <c r="J4" s="9"/>
      <c r="K4" s="9"/>
      <c r="L4" s="9"/>
      <c r="M4" s="9"/>
      <c r="N4" s="9"/>
      <c r="O4" s="10"/>
    </row>
    <row r="5" ht="52.5" customHeight="1">
      <c r="A5" s="40"/>
      <c r="B5" s="42" t="str">
        <f>IFERROR(__xludf.DUMMYFUNCTION("""COMPUTED_VALUE"""),"14:00 - 15:30")</f>
        <v>14:00 - 15:30</v>
      </c>
      <c r="C5" s="17" t="str">
        <f>IFERROR(__xludf.DUMMYFUNCTION("""COMPUTED_VALUE"""),"Всеобщая история Востриков И.В. по н.н. в 1301 (с 17.02  по чет.нед.в четв. перенос  в 8.30 в ауд.1306)")</f>
        <v>Всеобщая история Востриков И.В. по н.н. в 1301 (с 17.02  по чет.нед.в четв. перенос  в 8.30 в ауд.1306)</v>
      </c>
      <c r="D5" s="21" t="str">
        <f>IFERROR(__xludf.DUMMYFUNCTION("""COMPUTED_VALUE"""),"Вычислительные системы, сети и телекоммуникации Максютин С.В.в 1308 ( перенос на 11.50 в 1508)")</f>
        <v>Вычислительные системы, сети и телекоммуникации Максютин С.В.в 1308 ( перенос на 11.50 в 1508)</v>
      </c>
      <c r="E5" s="17" t="str">
        <f>IFERROR(__xludf.DUMMYFUNCTION("""COMPUTED_VALUE"""),"Всеобщая история Востриков И.В. (с 21.02 перенос на понд. в 11:50 по н.н. в 1412")</f>
        <v>Всеобщая история Востриков И.В. (с 21.02 перенос на понд. в 11:50 по н.н. в 1412</v>
      </c>
      <c r="F5" s="21"/>
      <c r="G5" s="18"/>
      <c r="H5" s="21"/>
      <c r="I5" s="21"/>
      <c r="J5" s="21"/>
      <c r="K5" s="21" t="str">
        <f>IFERROR(__xludf.DUMMYFUNCTION("""COMPUTED_VALUE"""),"Основы разработки информационных систем Салимов Р.Ф.в 1301")</f>
        <v>Основы разработки информационных систем Салимов Р.Ф.в 1301</v>
      </c>
      <c r="L5" s="21"/>
      <c r="M5" s="21"/>
      <c r="N5" s="21"/>
      <c r="O5" s="21" t="str">
        <f>IFERROR(__xludf.DUMMYFUNCTION("""COMPUTED_VALUE"""),"Теория вероятностей и математическая статистика Еникеева З.А. в 1302 ( ms teams)")</f>
        <v>Теория вероятностей и математическая статистика Еникеева З.А. в 1302 ( ms teams)</v>
      </c>
    </row>
    <row r="6" ht="52.5" customHeight="1">
      <c r="A6" s="40"/>
      <c r="B6" s="42" t="str">
        <f>IFERROR(__xludf.DUMMYFUNCTION("""COMPUTED_VALUE"""),"15:40 - 17:10")</f>
        <v>15:40 - 17:10</v>
      </c>
      <c r="C6" s="8" t="str">
        <f>IFERROR(__xludf.DUMMYFUNCTION("""COMPUTED_VALUE"""),"Теория вероятностей и математическая статистика Григорьева И.С. 108 к.2 ")</f>
        <v>Теория вероятностей и математическая статистика Григорьева И.С. 108 к.2 </v>
      </c>
      <c r="D6" s="9"/>
      <c r="E6" s="9"/>
      <c r="F6" s="9"/>
      <c r="G6" s="9"/>
      <c r="H6" s="10"/>
      <c r="I6" s="19" t="str">
        <f>IFERROR(__xludf.DUMMYFUNCTION("""COMPUTED_VALUE"""),"Вычислительные системы, сети и телекоммуникации Максютин С.В. в 109 к.2 (MS Teams)")</f>
        <v>Вычислительные системы, сети и телекоммуникации Максютин С.В. в 109 к.2 (MS Teams)</v>
      </c>
      <c r="J6" s="9"/>
      <c r="K6" s="9"/>
      <c r="L6" s="9"/>
      <c r="M6" s="9"/>
      <c r="N6" s="9"/>
      <c r="O6" s="10"/>
    </row>
    <row r="7" ht="52.5" customHeight="1">
      <c r="A7" s="40"/>
      <c r="B7" s="42" t="str">
        <f>IFERROR(__xludf.DUMMYFUNCTION("""COMPUTED_VALUE"""),"17:50 - 19:20")</f>
        <v>17:50 - 19:20</v>
      </c>
      <c r="C7" s="12" t="str">
        <f>IFERROR(__xludf.DUMMYFUNCTION("""COMPUTED_VALUE"""),"Технологическая (проектно-технологическая) практика  в 1310 , Чупин М.М. в 1309.(23.05 на физ.фак.)")</f>
        <v>Технологическая (проектно-технологическая) практика  в 1310 , Чупин М.М. в 1309.(23.05 на физ.фак.)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</row>
    <row r="8" ht="52.5" customHeight="1">
      <c r="A8" s="43"/>
      <c r="B8" s="44" t="str">
        <f>IFERROR(__xludf.DUMMYFUNCTION("""COMPUTED_VALUE"""),"19:30 - 21:00")</f>
        <v>19:30 - 21:00</v>
      </c>
      <c r="C8" s="41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</row>
    <row r="9" ht="52.5" customHeight="1">
      <c r="A9" s="45" t="str">
        <f>IFERROR(__xludf.DUMMYFUNCTION("""COMPUTED_VALUE"""),"Вторник")</f>
        <v>Вторник</v>
      </c>
      <c r="B9" s="38" t="str">
        <f>IFERROR(__xludf.DUMMYFUNCTION("""COMPUTED_VALUE"""),"08:30 - 10:00")</f>
        <v>08:30 - 10:00</v>
      </c>
      <c r="C9" s="17" t="str">
        <f>IFERROR(__xludf.DUMMYFUNCTION("""COMPUTED_VALUE"""),"Основы разработки информационных систем Ференец А.А. в 1308 ")</f>
        <v>Основы разработки информационных систем Ференец А.А. в 1308 </v>
      </c>
      <c r="D9" s="17" t="str">
        <f>IFERROR(__xludf.DUMMYFUNCTION("""COMPUTED_VALUE"""),"Всеобщая история Востриков И.В. по н.н. в 1309 ")</f>
        <v>Всеобщая история Востриков И.В. по н.н. в 1309 </v>
      </c>
      <c r="E9" s="17" t="str">
        <f>IFERROR(__xludf.DUMMYFUNCTION("""COMPUTED_VALUE"""),"Основы разработки информационных систем Сидиков М.Р. (Зайдуллин С.В.) в 1509 ")</f>
        <v>Основы разработки информационных систем Сидиков М.Р. (Зайдуллин С.В.) в 1509 </v>
      </c>
      <c r="F9" s="17" t="str">
        <f>IFERROR(__xludf.DUMMYFUNCTION("""COMPUTED_VALUE"""),"Всеобщая история Востриков И.В. по ч.н. в 1309")</f>
        <v>Всеобщая история Востриков И.В. по ч.н. в 1309</v>
      </c>
      <c r="G9" s="21"/>
      <c r="H9" s="21"/>
      <c r="I9" s="19" t="str">
        <f>IFERROR(__xludf.DUMMYFUNCTION("""COMPUTED_VALUE"""),"Иностранный язык (английский): 
Алеева Г.Х( 24.05 переносится на 28.05 в 17.50 и 19.30 в ms teams) в 1301, Коноплева Н.В. в 1302, Низамиев Р.А. в 1303, Кудрявцева Е.А. в 1304, Мерзлякова А.Ф. в 1305, Гатиятуллина Л.Ф. в 1404  , Павлова Ю.И. в 1405.   ")</f>
        <v>Иностранный язык (английский): 
Алеева Г.Х( 24.05 переносится на 28.05 в 17.50 и 19.30 в ms teams) в 1301, Коноплева Н.В. в 1302, Низамиев Р.А. в 1303, Кудрявцева Е.А. в 1304, Мерзлякова А.Ф. в 1305, Гатиятуллина Л.Ф. в 1404  , Павлова Ю.И. в 1405.   </v>
      </c>
      <c r="J9" s="9"/>
      <c r="K9" s="9"/>
      <c r="L9" s="9"/>
      <c r="M9" s="9"/>
      <c r="N9" s="9"/>
      <c r="O9" s="10"/>
    </row>
    <row r="10" ht="52.5" customHeight="1">
      <c r="A10" s="40"/>
      <c r="B10" s="41" t="str">
        <f>IFERROR(__xludf.DUMMYFUNCTION("""COMPUTED_VALUE"""),"10:10 - 11:40")</f>
        <v>10:10 - 11:40</v>
      </c>
      <c r="C10" s="19" t="str">
        <f>IFERROR(__xludf.DUMMYFUNCTION("""COMPUTED_VALUE"""),"Иностранный язык в проф.сфере (английский): 
Алеева Г.Х в 1301, Коноплева Н.В. в 1302, Низамиев Р.А. в 1303, Кудрявцева Е.А. в 1304, Мерзлякова А.Ф. в 1305, Гатиятуллина Л.Ф. в 1404, Павлова Ю.И. в 1405.")</f>
        <v>Иностранный язык в проф.сфере (английский): 
Алеева Г.Х в 1301, Коноплева Н.В. в 1302, Низамиев Р.А. в 1303, Кудрявцева Е.А. в 1304, Мерзлякова А.Ф. в 1305, Гатиятуллина Л.Ф. в 1404, Павлова Ю.И. в 1405.</v>
      </c>
      <c r="D10" s="9"/>
      <c r="E10" s="9"/>
      <c r="F10" s="9"/>
      <c r="G10" s="9"/>
      <c r="H10" s="10"/>
      <c r="I10" s="21"/>
      <c r="J10" s="21"/>
      <c r="K10" s="18"/>
      <c r="L10" s="18"/>
      <c r="M10" s="17"/>
      <c r="N10" s="17"/>
      <c r="O10" s="18"/>
    </row>
    <row r="11" ht="52.5" customHeight="1">
      <c r="A11" s="40"/>
      <c r="B11" s="41" t="str">
        <f>IFERROR(__xludf.DUMMYFUNCTION("""COMPUTED_VALUE"""),"11:50 - 13:20")</f>
        <v>11:50 - 13:20</v>
      </c>
      <c r="C11" s="17" t="str">
        <f>IFERROR(__xludf.DUMMYFUNCTION("""COMPUTED_VALUE"""),"Основы разработки информационных систем Ференец А.А. в 1308 ( 24.05 в ms teams)")</f>
        <v>Основы разработки информационных систем Ференец А.А. в 1308 ( 24.05 в ms teams)</v>
      </c>
      <c r="D11" s="16"/>
      <c r="E11" s="17"/>
      <c r="F11" s="17"/>
      <c r="G11" s="17"/>
      <c r="H11" s="18"/>
      <c r="I11" s="19" t="str">
        <f>IFERROR(__xludf.DUMMYFUNCTION("""COMPUTED_VALUE"""),"Иностранный язык (английский): 
Алеева Г.Х( 24.05 переносится на 28.05 в 17.50 и 19.30 в ms teams) в 1301, Коноплева Н.В. в 1302, Низамиев Р.А. в 1303, Кудрявцева Е.А. в 1304, Мерзлякова А.Ф. в 1305, Гатиятуллина Л.Ф. в 1404  , Павлова Ю.И. в 1405.   ")</f>
        <v>Иностранный язык (английский): 
Алеева Г.Х( 24.05 переносится на 28.05 в 17.50 и 19.30 в ms teams) в 1301, Коноплева Н.В. в 1302, Низамиев Р.А. в 1303, Кудрявцева Е.А. в 1304, Мерзлякова А.Ф. в 1305, Гатиятуллина Л.Ф. в 1404  , Павлова Ю.И. в 1405.   </v>
      </c>
      <c r="J11" s="9"/>
      <c r="K11" s="9"/>
      <c r="L11" s="9"/>
      <c r="M11" s="9"/>
      <c r="N11" s="9"/>
      <c r="O11" s="10"/>
    </row>
    <row r="12" ht="52.5" customHeight="1">
      <c r="A12" s="40"/>
      <c r="B12" s="42" t="str">
        <f>IFERROR(__xludf.DUMMYFUNCTION("""COMPUTED_VALUE"""),"14:00 - 15:30")</f>
        <v>14:00 - 15:30</v>
      </c>
      <c r="C12" s="8" t="str">
        <f>IFERROR(__xludf.DUMMYFUNCTION("""COMPUTED_VALUE"""),"Элективные курсы по физической культуре и спорту в УНИКС с 14:00 - 15:30                           ")</f>
        <v>Элективные курсы по физической культуре и спорту в УНИКС с 14:00 - 15:30                           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</row>
    <row r="13" ht="52.5" customHeight="1">
      <c r="A13" s="40"/>
      <c r="B13" s="42" t="str">
        <f>IFERROR(__xludf.DUMMYFUNCTION("""COMPUTED_VALUE"""),"15:40 - 17:10")</f>
        <v>15:40 - 17:10</v>
      </c>
      <c r="C13" s="12" t="str">
        <f>IFERROR(__xludf.DUMMYFUNCTION("""COMPUTED_VALUE"""),"Дисциплины по выбору: 
Разработка корпоративных приложений Сидиков М.Р. гр.1 MS Teams, Аршинов М.В. гр.1 в 1307, 
Веб-программирование Абрамский М.М.(Атнагулов А.А.)(24.05 в MS teams) гр1 в 1509, Курносов О.В. в 1302, Кошарский И.Е.в 1508, 
Введение в тре"&amp;"хмерную графику Костюк Д.И. гр.1 в 1304, Хафизов М.Р. в 1311 , 
Программирование на С++ Закиев А. в ms teams , Чупин М.М. в 1309 
Разработка мобильных приложений Шайхразиев Н. в 1308, Ихсанов И.Р. в 1412  ")</f>
        <v>Дисциплины по выбору: 
Разработка корпоративных приложений Сидиков М.Р. гр.1 MS Teams, Аршинов М.В. гр.1 в 1307, 
Веб-программирование Абрамский М.М.(Атнагулов А.А.)(24.05 в MS teams) гр1 в 1509, Курносов О.В. в 1302, Кошарский И.Е.в 1508, 
Введение в трехмерную графику Костюк Д.И. гр.1 в 1304, Хафизов М.Р. в 1311 , 
Программирование на С++ Закиев А. в ms teams , Чупин М.М. в 1309 
Разработка мобильных приложений Шайхразиев Н. в 1308, Ихсанов И.Р. в 1412  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</row>
    <row r="14" ht="52.5" customHeight="1">
      <c r="A14" s="40"/>
      <c r="B14" s="42" t="str">
        <f>IFERROR(__xludf.DUMMYFUNCTION("""COMPUTED_VALUE"""),"17:50 - 19:20")</f>
        <v>17:50 - 19:20</v>
      </c>
      <c r="C14" s="12" t="str">
        <f>IFERROR(__xludf.DUMMYFUNCTION("""COMPUTED_VALUE"""),"Дисциплины по выбору: 
Разработка корпоративных приложений Сидиков М.Р.гр.1 MS Teams,Аршинов М.В.гр.1 в 1307, 
Веб-программирование Абрамский М.М. гр.1 в 1509,Курносов О.В. в 1302,Кошарский И.Е.в 1508, Валиуллин К.И. в 1409,   
Введение в трехмерную графи"&amp;"ку Костюк Д.И.гр.1 в 1304, Хафизов М.Р. в  1311, 
Программирование на С++ Закиев А. в ms teams,  Чупин М.М. в 1309   
Разработка мобильных приложений Шайхразиев Н. в 1308, Ихсанов И.Р. в 1412 ")</f>
        <v>Дисциплины по выбору: 
Разработка корпоративных приложений Сидиков М.Р.гр.1 MS Teams,Аршинов М.В.гр.1 в 1307, 
Веб-программирование Абрамский М.М. гр.1 в 1509,Курносов О.В. в 1302,Кошарский И.Е.в 1508, Валиуллин К.И. в 1409,   
Введение в трехмерную графику Костюк Д.И.гр.1 в 1304, Хафизов М.Р. в  1311, 
Программирование на С++ Закиев А. в ms teams,  Чупин М.М. в 1309   
Разработка мобильных приложений Шайхразиев Н. в 1308, Ихсанов И.Р. в 1412 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</row>
    <row r="15" ht="52.5" customHeight="1">
      <c r="A15" s="43"/>
      <c r="B15" s="44" t="str">
        <f>IFERROR(__xludf.DUMMYFUNCTION("""COMPUTED_VALUE"""),"19:30 - 21:00")</f>
        <v>19:30 - 21:00</v>
      </c>
      <c r="C15" s="12" t="str">
        <f>IFERROR(__xludf.DUMMYFUNCTION("""COMPUTED_VALUE"""),"Дисциплина по  выбору: 
Разработка корпоративных приложений Аршинов М.В. гр.2 в 1307, Сидиков М.Р. гр.2 в 1304, 
   ")</f>
        <v>Дисциплина по  выбору: 
Разработка корпоративных приложений Аршинов М.В. гр.2 в 1307, Сидиков М.Р. гр.2 в 1304, 
   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6" ht="52.5" customHeight="1">
      <c r="A16" s="45" t="str">
        <f>IFERROR(__xludf.DUMMYFUNCTION("""COMPUTED_VALUE"""),"Среда")</f>
        <v>Среда</v>
      </c>
      <c r="B16" s="38" t="str">
        <f>IFERROR(__xludf.DUMMYFUNCTION("""COMPUTED_VALUE"""),"08:30 - 10:00")</f>
        <v>08:30 - 10:00</v>
      </c>
      <c r="C16" s="18" t="str">
        <f>IFERROR(__xludf.DUMMYFUNCTION("""COMPUTED_VALUE"""),"Теория вероятностей и математическая статистика Мухамеджанова С.А.в 1301")</f>
        <v>Теория вероятностей и математическая статистика Мухамеджанова С.А.в 1301</v>
      </c>
      <c r="D16" s="21"/>
      <c r="E16" s="21"/>
      <c r="F16" s="18" t="str">
        <f>IFERROR(__xludf.DUMMYFUNCTION("""COMPUTED_VALUE"""),"Основы разработки информационных систем Солнцев М.А.1405 ")</f>
        <v>Основы разработки информационных систем Солнцев М.А.1405 </v>
      </c>
      <c r="G16" s="21"/>
      <c r="H16" s="18" t="str">
        <f>IFERROR(__xludf.DUMMYFUNCTION("""COMPUTED_VALUE"""),"Основы разработки информационных систем Халиуллин С.А. в 1310(в ms teams)")</f>
        <v>Основы разработки информационных систем Халиуллин С.А. в 1310(в ms teams)</v>
      </c>
      <c r="I16" s="18" t="str">
        <f>IFERROR(__xludf.DUMMYFUNCTION("""COMPUTED_VALUE"""),"Основы разработки информационных систем Ференец А.А.в 1509 (Саитгареев Р.Д. ) в ms teams ")</f>
        <v>Основы разработки информационных систем Ференец А.А.в 1509 (Саитгареев Р.Д. ) в ms teams </v>
      </c>
      <c r="J16" s="21" t="str">
        <f>IFERROR(__xludf.DUMMYFUNCTION("""COMPUTED_VALUE"""),"Основы разработки информационных систем Ференец А.А.в 1303 (Саитгареев Р.Д. ) в ms teams (")</f>
        <v>Основы разработки информационных систем Ференец А.А.в 1303 (Саитгареев Р.Д. ) в ms teams (</v>
      </c>
      <c r="K16" s="21"/>
      <c r="L16" s="21"/>
      <c r="M16" s="21"/>
      <c r="N16" s="18"/>
      <c r="O16" s="21"/>
    </row>
    <row r="17" ht="52.5" customHeight="1">
      <c r="A17" s="40"/>
      <c r="B17" s="41" t="str">
        <f>IFERROR(__xludf.DUMMYFUNCTION("""COMPUTED_VALUE"""),"10:10 - 11:40")</f>
        <v>10:10 - 11:40</v>
      </c>
      <c r="C17" s="21"/>
      <c r="D17" s="18"/>
      <c r="E17" s="17" t="str">
        <f>IFERROR(__xludf.DUMMYFUNCTION("""COMPUTED_VALUE"""),"Основы разработки информационных систем  Сидиков М.Р. (Зайдуллин С.В.) в 1309")</f>
        <v>Основы разработки информационных систем  Сидиков М.Р. (Зайдуллин С.В.) в 1309</v>
      </c>
      <c r="F17" s="18" t="str">
        <f>IFERROR(__xludf.DUMMYFUNCTION("""COMPUTED_VALUE"""),"Основы разработки информационных систем Солнцев М.А.1405 ")</f>
        <v>Основы разработки информационных систем Солнцев М.А.1405 </v>
      </c>
      <c r="G17" s="16" t="str">
        <f>IFERROR(__xludf.DUMMYFUNCTION("""COMPUTED_VALUE"""),"Теория вероятностей и математическая статистика Хакимов Д.Р. в 1306")</f>
        <v>Теория вероятностей и математическая статистика Хакимов Д.Р. в 1306</v>
      </c>
      <c r="H17" s="18" t="str">
        <f>IFERROR(__xludf.DUMMYFUNCTION("""COMPUTED_VALUE"""),"Основы разработки информационных систем Халиуллин С.А. в 1307 ( ms teams)")</f>
        <v>Основы разработки информационных систем Халиуллин С.А. в 1307 ( ms teams)</v>
      </c>
      <c r="I17" s="18" t="str">
        <f>IFERROR(__xludf.DUMMYFUNCTION("""COMPUTED_VALUE"""),"Основы разработки информационных систем Ференец А.А. (Саитгареев Р.Д. в 1509) ms teams ")</f>
        <v>Основы разработки информационных систем Ференец А.А. (Саитгареев Р.Д. в 1509) ms teams </v>
      </c>
      <c r="J17" s="21" t="str">
        <f>IFERROR(__xludf.DUMMYFUNCTION("""COMPUTED_VALUE"""),"Основы разработки информационных систем Ференец А.А.в 1303 (Саитгареев Р.Д. ) в ms teams ")</f>
        <v>Основы разработки информационных систем Ференец А.А.в 1303 (Саитгареев Р.Д. ) в ms teams </v>
      </c>
      <c r="K17" s="18"/>
      <c r="L17" s="18"/>
      <c r="M17" s="18" t="str">
        <f>IFERROR(__xludf.DUMMYFUNCTION("""COMPUTED_VALUE"""),"Теория вероятностей и математическая статистика Мухамеджанова С.А.в 1301")</f>
        <v>Теория вероятностей и математическая статистика Мухамеджанова С.А.в 1301</v>
      </c>
      <c r="N17" s="21"/>
      <c r="O17" s="16" t="str">
        <f>IFERROR(__xludf.DUMMYFUNCTION("""COMPUTED_VALUE"""),"Теория вероятностей и математическая статистика Еникеева З.А. в 1302 ")</f>
        <v>Теория вероятностей и математическая статистика Еникеева З.А. в 1302 </v>
      </c>
    </row>
    <row r="18" ht="52.5" customHeight="1">
      <c r="A18" s="40"/>
      <c r="B18" s="41" t="str">
        <f>IFERROR(__xludf.DUMMYFUNCTION("""COMPUTED_VALUE"""),"11:50 - 13:20")</f>
        <v>11:50 - 13:20</v>
      </c>
      <c r="C18" s="17"/>
      <c r="D18" s="17" t="str">
        <f>IFERROR(__xludf.DUMMYFUNCTION("""COMPUTED_VALUE"""),"Основы разработки информационных систем Ференец А.А.(Андреичев М.Д.) в 1304")</f>
        <v>Основы разработки информационных систем Ференец А.А.(Андреичев М.Д.) в 1304</v>
      </c>
      <c r="E18" s="16" t="str">
        <f>IFERROR(__xludf.DUMMYFUNCTION("""COMPUTED_VALUE"""),"Теория вероятностей и математическая статистика Хакимов Д.Р. в 1310")</f>
        <v>Теория вероятностей и математическая статистика Хакимов Д.Р. в 1310</v>
      </c>
      <c r="F18" s="21"/>
      <c r="G18" s="21" t="str">
        <f>IFERROR(__xludf.DUMMYFUNCTION("""COMPUTED_VALUE"""),"Вычислительные системы, сети и телекоммуникации Максютин С.В.в 1509")</f>
        <v>Вычислительные системы, сети и телекоммуникации Максютин С.В.в 1509</v>
      </c>
      <c r="H18" s="19" t="str">
        <f>IFERROR(__xludf.DUMMYFUNCTION("""COMPUTED_VALUE"""),"Основы разработки информационных систем Абрамский М.М. (Саитгареев Р.Д.) перенос на субботу в 15.40 в ms teams)  по н.н. 
")</f>
        <v>Основы разработки информационных систем Абрамский М.М. (Саитгареев Р.Д.) перенос на субботу в 15.40 в ms teams)  по н.н. 
</v>
      </c>
      <c r="I18" s="9"/>
      <c r="J18" s="10"/>
      <c r="K18" s="18"/>
      <c r="L18" s="21" t="str">
        <f>IFERROR(__xludf.DUMMYFUNCTION("""COMPUTED_VALUE"""),"Вычислительные системы, сети и телекоммуникации Мулюков Р.И.в 1405")</f>
        <v>Вычислительные системы, сети и телекоммуникации Мулюков Р.И.в 1405</v>
      </c>
      <c r="M18" s="18" t="str">
        <f>IFERROR(__xludf.DUMMYFUNCTION("""COMPUTED_VALUE"""),"Основы разработки информационных систем Хайруллин А.Ф.в 1303")</f>
        <v>Основы разработки информационных систем Хайруллин А.Ф.в 1303</v>
      </c>
      <c r="N18" s="18" t="str">
        <f>IFERROR(__xludf.DUMMYFUNCTION("""COMPUTED_VALUE"""),"Теория вероятностей и математическая статистика Мухамеджанова С.А.в 1301")</f>
        <v>Теория вероятностей и математическая статистика Мухамеджанова С.А.в 1301</v>
      </c>
      <c r="O18" s="18" t="str">
        <f>IFERROR(__xludf.DUMMYFUNCTION("""COMPUTED_VALUE"""),"Основы разработки информационных систем Еникеев К.Ш. в 1302 ")</f>
        <v>Основы разработки информационных систем Еникеев К.Ш. в 1302 </v>
      </c>
    </row>
    <row r="19" ht="52.5" customHeight="1">
      <c r="A19" s="40"/>
      <c r="B19" s="42" t="str">
        <f>IFERROR(__xludf.DUMMYFUNCTION("""COMPUTED_VALUE"""),"14:00 - 15:30")</f>
        <v>14:00 - 15:30</v>
      </c>
      <c r="C19" s="18"/>
      <c r="D19" s="18" t="str">
        <f>IFERROR(__xludf.DUMMYFUNCTION("""COMPUTED_VALUE"""),"Основы разработки информационных систем Ференец А.А.(Андреичев М.Д..) в 1409")</f>
        <v>Основы разработки информационных систем Ференец А.А.(Андреичев М.Д..) в 1409</v>
      </c>
      <c r="E19" s="21"/>
      <c r="F19" s="21"/>
      <c r="G19" s="17" t="str">
        <f>IFERROR(__xludf.DUMMYFUNCTION("""COMPUTED_VALUE"""),"Всеобщая история Востриков И.В. по н.н. в 1302")</f>
        <v>Всеобщая история Востриков И.В. по н.н. в 1302</v>
      </c>
      <c r="H19" s="17" t="str">
        <f>IFERROR(__xludf.DUMMYFUNCTION("""COMPUTED_VALUE"""),"Всеобщая история Востриков И.В. по ч.н. в 1302")</f>
        <v>Всеобщая история Востриков И.В. по ч.н. в 1302</v>
      </c>
      <c r="I19" s="21"/>
      <c r="J19" s="16" t="str">
        <f>IFERROR(__xludf.DUMMYFUNCTION("""COMPUTED_VALUE"""),"Теория вероятностей и математическая статистика Хакимов Д.Р. в 1306")</f>
        <v>Теория вероятностей и математическая статистика Хакимов Д.Р. в 1306</v>
      </c>
      <c r="K19" s="18"/>
      <c r="L19" s="18" t="str">
        <f>IFERROR(__xludf.DUMMYFUNCTION("""COMPUTED_VALUE"""),"Теория вероятностей и математическая статистика Мухамеджанова С.А.в 1301")</f>
        <v>Теория вероятностей и математическая статистика Мухамеджанова С.А.в 1301</v>
      </c>
      <c r="M19" s="21" t="str">
        <f>IFERROR(__xludf.DUMMYFUNCTION("""COMPUTED_VALUE"""),"Вычислительные системы, сети и телекоммуникации Мулюков Р.И.в 1405")</f>
        <v>Вычислительные системы, сети и телекоммуникации Мулюков Р.И.в 1405</v>
      </c>
      <c r="N19" s="18"/>
      <c r="O19" s="18" t="str">
        <f>IFERROR(__xludf.DUMMYFUNCTION("""COMPUTED_VALUE"""),"Основы разработки информационных систем Еникеев К.Ш.в 1412 (6.04 в ms teams) ( 27.04 переносится на 27.04 в 8.30 в ауд 1302)")</f>
        <v>Основы разработки информационных систем Еникеев К.Ш.в 1412 (6.04 в ms teams) ( 27.04 переносится на 27.04 в 8.30 в ауд 1302)</v>
      </c>
    </row>
    <row r="20" ht="52.5" customHeight="1">
      <c r="A20" s="40"/>
      <c r="B20" s="42" t="str">
        <f>IFERROR(__xludf.DUMMYFUNCTION("""COMPUTED_VALUE"""),"15:40 - 17:10")</f>
        <v>15:40 - 17:10</v>
      </c>
      <c r="C20" s="8" t="str">
        <f>IFERROR(__xludf.DUMMYFUNCTION("""COMPUTED_VALUE"""),"Дисциплины по выбору: 
Разработка корпоративных приложений Сидиков М.Р. гр 2 в 1304, 
Веб-программирование Абрамский М.М. (Атнагулов А.А.) гр.2 в 1509, 
Введение в трехмерную графику Костюк Д.И.гр.2 в 1405 ")</f>
        <v>Дисциплины по выбору: 
Разработка корпоративных приложений Сидиков М.Р. гр 2 в 1304, 
Веб-программирование Абрамский М.М. (Атнагулов А.А.) гр.2 в 1509, 
Введение в трехмерную графику Костюк Д.И.гр.2 в 1405 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</row>
    <row r="21" ht="52.5" customHeight="1">
      <c r="A21" s="40"/>
      <c r="B21" s="42" t="str">
        <f>IFERROR(__xludf.DUMMYFUNCTION("""COMPUTED_VALUE"""),"17:50 - 19:20")</f>
        <v>17:50 - 19:20</v>
      </c>
      <c r="C21" s="8" t="str">
        <f>IFERROR(__xludf.DUMMYFUNCTION("""COMPUTED_VALUE"""),"Дисциплины по выбору: 
Разработка корпоративных приложений Сидиков М.Р.гр2 в 1304, 
Веб-программирование Абрамский М.М. (Атнагулов А.А.) гр.2 в 1509, 
Введение в трехмерную графику Костюк Д.И.гр.2 в 1405 ")</f>
        <v>Дисциплины по выбору: 
Разработка корпоративных приложений Сидиков М.Р.гр2 в 1304, 
Веб-программирование Абрамский М.М. (Атнагулов А.А.) гр.2 в 1509, 
Введение в трехмерную графику Костюк Д.И.гр.2 в 1405 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</row>
    <row r="22" ht="52.5" customHeight="1">
      <c r="A22" s="43"/>
      <c r="B22" s="44" t="str">
        <f>IFERROR(__xludf.DUMMYFUNCTION("""COMPUTED_VALUE"""),"19:30 - 21:00")</f>
        <v>19:30 - 21:00</v>
      </c>
      <c r="C22" s="42" t="str">
        <f>IFERROR(__xludf.DUMMYFUNCTION("""COMPUTED_VALUE"""),"Дисциплины по выбору:  
Математическая логика Сабирзянов Р.Р. в 1409    
Введение в искусственный интеллект Якупов А.Ш. (лекция)  в 1508, Хафизов М.Р. гр.1 в н.н., гр. 2 в ч.н.в 1405 MS    ")</f>
        <v>Дисциплины по выбору:  
Математическая логика Сабирзянов Р.Р. в 1409    
Введение в искусственный интеллект Якупов А.Ш. (лекция)  в 1508, Хафизов М.Р. гр.1 в н.н., гр. 2 в ч.н.в 1405 MS    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</row>
    <row r="23" ht="52.5" customHeight="1">
      <c r="A23" s="45" t="str">
        <f>IFERROR(__xludf.DUMMYFUNCTION("""COMPUTED_VALUE"""),"Четверг")</f>
        <v>Четверг</v>
      </c>
      <c r="B23" s="38" t="str">
        <f>IFERROR(__xludf.DUMMYFUNCTION("""COMPUTED_VALUE"""),"08:30 - 10:00")</f>
        <v>08:30 - 10:00</v>
      </c>
      <c r="C23" s="19" t="str">
        <f>IFERROR(__xludf.DUMMYFUNCTION("""COMPUTED_VALUE"""),"Всеобщая история Востриков И.В. (с 11-001 по 11- 006) по н.н., Зайцев А.А. ( c 11-007-11-013) ms teams по ч.н.")</f>
        <v>Всеобщая история Востриков И.В. (с 11-001 по 11- 006) по н.н., Зайцев А.А. ( c 11-007-11-013) ms teams по ч.н.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</row>
    <row r="24" ht="52.5" customHeight="1">
      <c r="A24" s="40"/>
      <c r="B24" s="41" t="str">
        <f>IFERROR(__xludf.DUMMYFUNCTION("""COMPUTED_VALUE"""),"10:10 - 11:40")</f>
        <v>10:10 - 11:40</v>
      </c>
      <c r="C24" s="8" t="str">
        <f>IFERROR(__xludf.DUMMYFUNCTION("""COMPUTED_VALUE"""),"Дисциплины по выбору: 
Введение в искусственный интеллект Нурутдинова А.Р. (лекция) в 1311 ms teams,  Костюк Д.И (лекция) в 1310 (ms teams)")</f>
        <v>Дисциплины по выбору: 
Введение в искусственный интеллект Нурутдинова А.Р. (лекция) в 1311 ms teams,  Костюк Д.И (лекция) в 1310 (ms teams)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10"/>
      <c r="O24" s="18"/>
    </row>
    <row r="25" ht="52.5" customHeight="1">
      <c r="A25" s="40"/>
      <c r="B25" s="41" t="str">
        <f>IFERROR(__xludf.DUMMYFUNCTION("""COMPUTED_VALUE"""),"11:50 - 13:20")</f>
        <v>11:50 - 13:20</v>
      </c>
      <c r="C25" s="18" t="str">
        <f>IFERROR(__xludf.DUMMYFUNCTION("""COMPUTED_VALUE"""),"Вычислительные системы, сети и телекоммуникации Максютин С.В.в 1412")</f>
        <v>Вычислительные системы, сети и телекоммуникации Максютин С.В.в 1412</v>
      </c>
      <c r="D25" s="18"/>
      <c r="E25" s="18"/>
      <c r="F25" s="18"/>
      <c r="G25" s="18"/>
      <c r="H25" s="18"/>
      <c r="I25" s="21" t="str">
        <f>IFERROR(__xludf.DUMMYFUNCTION("""COMPUTED_VALUE"""),"Вычислительные системы, сети и телекоммуникации Мулюков Р.И.в 1309 ")</f>
        <v>Вычислительные системы, сети и телекоммуникации Мулюков Р.И.в 1309 </v>
      </c>
      <c r="J25" s="18" t="str">
        <f>IFERROR(__xludf.DUMMYFUNCTION("""COMPUTED_VALUE""")," ")</f>
        <v> </v>
      </c>
      <c r="K25" s="17" t="str">
        <f>IFERROR(__xludf.DUMMYFUNCTION("""COMPUTED_VALUE"""),"Всеобщая история Зайцев А.А. по н.н. в 1308")</f>
        <v>Всеобщая история Зайцев А.А. по н.н. в 1308</v>
      </c>
      <c r="L25" s="17" t="str">
        <f>IFERROR(__xludf.DUMMYFUNCTION("""COMPUTED_VALUE"""),"Всеобщая история Зайцев А.А. по ч.н. в 1308")</f>
        <v>Всеобщая история Зайцев А.А. по ч.н. в 1308</v>
      </c>
      <c r="M25" s="21"/>
      <c r="N25" s="21"/>
      <c r="O25" s="21"/>
    </row>
    <row r="26" ht="52.5" customHeight="1">
      <c r="A26" s="40"/>
      <c r="B26" s="42" t="str">
        <f>IFERROR(__xludf.DUMMYFUNCTION("""COMPUTED_VALUE"""),"14:00 - 15:30")</f>
        <v>14:00 - 15:30</v>
      </c>
      <c r="C26" s="19" t="str">
        <f>IFERROR(__xludf.DUMMYFUNCTION("""COMPUTED_VALUE"""),"Основы разработки информационных систем Ференец А.А. в 109 к.2 по н.н.(в ms teams)")</f>
        <v>Основы разработки информационных систем Ференец А.А. в 109 к.2 по н.н.(в ms teams)</v>
      </c>
      <c r="D26" s="9"/>
      <c r="E26" s="9"/>
      <c r="F26" s="9"/>
      <c r="G26" s="10"/>
      <c r="H26" s="21" t="str">
        <f>IFERROR(__xludf.DUMMYFUNCTION("""COMPUTED_VALUE"""),"Вычислительные системы, сети и телекоммуникации Мулюков Р.И. в 1309")</f>
        <v>Вычислительные системы, сети и телекоммуникации Мулюков Р.И. в 1309</v>
      </c>
      <c r="I26" s="17" t="str">
        <f>IFERROR(__xludf.DUMMYFUNCTION("""COMPUTED_VALUE"""),"Всеобщая история Зайцев А.А. по н.н. в 1308 ")</f>
        <v>Всеобщая история Зайцев А.А. по н.н. в 1308 </v>
      </c>
      <c r="J26" s="17" t="str">
        <f>IFERROR(__xludf.DUMMYFUNCTION("""COMPUTED_VALUE"""),"Всеобщая история Зайцев А.А. по ч.н. в 1308")</f>
        <v>Всеобщая история Зайцев А.А. по ч.н. в 1308</v>
      </c>
      <c r="K26" s="19" t="str">
        <f>IFERROR(__xludf.DUMMYFUNCTION("""COMPUTED_VALUE"""),"Основы разработки информационных систем Салимов Ф.И. в 109 к.2 по ч.н. (ms teams)")</f>
        <v>Основы разработки информационных систем Салимов Ф.И. в 109 к.2 по ч.н. (ms teams)</v>
      </c>
      <c r="L26" s="9"/>
      <c r="M26" s="9"/>
      <c r="N26" s="10"/>
      <c r="O26" s="16" t="str">
        <f>IFERROR(__xludf.DUMMYFUNCTION("""COMPUTED_VALUE"""),"Основы разработки информационных систем Ференец А.А. в 109 к.2 по н.н.")</f>
        <v>Основы разработки информационных систем Ференец А.А. в 109 к.2 по н.н.</v>
      </c>
    </row>
    <row r="27" ht="52.5" customHeight="1">
      <c r="A27" s="40"/>
      <c r="B27" s="42" t="str">
        <f>IFERROR(__xludf.DUMMYFUNCTION("""COMPUTED_VALUE"""),"15:40 - 17:10")</f>
        <v>15:40 - 17:10</v>
      </c>
      <c r="C27" s="8" t="str">
        <f>IFERROR(__xludf.DUMMYFUNCTION("""COMPUTED_VALUE"""),"Дисциплины по выбору: , 
Введение в искусственный интеллект - Таланов М.О.(в ms teams). в 1311, Григорян К.А. гр.1 в н.н., гр.2 в ч.н. в 1306.,(  26.05 в ms teams) 
Введение в робототехнику - Лавренов Р.О.гр.1 по н.н., гр.2 по ч.н. в 1404
Введение в машин"&amp;"ное обучение - Закиров Л.Л. в 1303 ")</f>
        <v>Дисциплины по выбору: , 
Введение в искусственный интеллект - Таланов М.О.(в ms teams). в 1311, Григорян К.А. гр.1 в н.н., гр.2 в ч.н. в 1306.,(  26.05 в ms teams) 
Введение в робототехнику - Лавренов Р.О.гр.1 по н.н., гр.2 по ч.н. в 1404
Введение в машинное обучение - Закиров Л.Л. в 1303 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</row>
    <row r="28" ht="52.5" customHeight="1">
      <c r="A28" s="40"/>
      <c r="B28" s="42" t="str">
        <f>IFERROR(__xludf.DUMMYFUNCTION("""COMPUTED_VALUE"""),"17:50 - 19:20")</f>
        <v>17:50 - 19:20</v>
      </c>
      <c r="C28" s="8" t="str">
        <f>IFERROR(__xludf.DUMMYFUNCTION("""COMPUTED_VALUE"""),"Дисциплины по выбору: 
Дополнительные главы прикладной математики - Лернер Э.Ю. лекция. в 1301, 
Введение в искусственный интеллект - Таланов М.О. гр.1 в н.н., а гр.2 в ч.н.в 1409, Хафизов М.Р. гр.3 в н.н в 1405 ,Григорян К.А. гр.3 в 1306. по н.н.
Введени"&amp;"е в робототехнику - Лавренов Р.О. (лекция) в 1311  
Введение в машинное обучение - Закиров Л.Л. в 1303 по ч.н. ")</f>
        <v>Дисциплины по выбору: 
Дополнительные главы прикладной математики - Лернер Э.Ю. лекция. в 1301, 
Введение в искусственный интеллект - Таланов М.О. гр.1 в н.н., а гр.2 в ч.н.в 1409, Хафизов М.Р. гр.3 в н.н в 1405 ,Григорян К.А. гр.3 в 1306. по н.н.
Введение в робототехнику - Лавренов Р.О. (лекция) в 1311  
Введение в машинное обучение - Закиров Л.Л. в 1303 по ч.н. 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</row>
    <row r="29" ht="52.5" customHeight="1">
      <c r="A29" s="43"/>
      <c r="B29" s="44" t="str">
        <f>IFERROR(__xludf.DUMMYFUNCTION("""COMPUTED_VALUE"""),"19:30 - 21:00")</f>
        <v>19:30 - 21:00</v>
      </c>
      <c r="C29" s="12" t="str">
        <f>IFERROR(__xludf.DUMMYFUNCTION("""COMPUTED_VALUE"""),"Дисциплина по  выбору: 
Разработка корпоративных приложений Аршинов М.В. гр.2 в 1307, Сидиков М.Р.( ms teams) гр.2 1304     Веб-программирование Валиуллин К.И. в 1409 ,Дополнительные главы прикладной математики - Лернер Э.Ю. практика по н.н. в 1301")</f>
        <v>Дисциплина по  выбору: 
Разработка корпоративных приложений Аршинов М.В. гр.2 в 1307, Сидиков М.Р.( ms teams) гр.2 1304     Веб-программирование Валиуллин К.И. в 1409 ,Дополнительные главы прикладной математики - Лернер Э.Ю. практика по н.н. в 1301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</row>
    <row r="30" ht="52.5" customHeight="1">
      <c r="A30" s="45" t="str">
        <f>IFERROR(__xludf.DUMMYFUNCTION("""COMPUTED_VALUE"""),"Пятница")</f>
        <v>Пятница</v>
      </c>
      <c r="B30" s="38" t="str">
        <f>IFERROR(__xludf.DUMMYFUNCTION("""COMPUTED_VALUE"""),"08:30 - 10:00")</f>
        <v>08:30 - 10:00</v>
      </c>
      <c r="C30" s="8" t="str">
        <f>IFERROR(__xludf.DUMMYFUNCTION("""COMPUTED_VALUE"""),"Дисциплины по выбору: 
Введение в искусственный интеллект Якупов А.Ш. в 1508. практика по н.н.")</f>
        <v>Дисциплины по выбору: 
Введение в искусственный интеллект Якупов А.Ш. в 1508. практика по н.н.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</row>
    <row r="31" ht="52.5" customHeight="1">
      <c r="A31" s="40"/>
      <c r="B31" s="41" t="str">
        <f>IFERROR(__xludf.DUMMYFUNCTION("""COMPUTED_VALUE"""),"10:10 - 11:40")</f>
        <v>10:10 - 11:40</v>
      </c>
      <c r="C31" s="21"/>
      <c r="D31" s="16" t="str">
        <f>IFERROR(__xludf.DUMMYFUNCTION("""COMPUTED_VALUE"""),"Теория вероятностей и математическая статистика Хакимов Д.Р. в 1306 ")</f>
        <v>Теория вероятностей и математическая статистика Хакимов Д.Р. в 1306 </v>
      </c>
      <c r="E31" s="21"/>
      <c r="F31" s="21" t="str">
        <f>IFERROR(__xludf.DUMMYFUNCTION("""COMPUTED_VALUE"""),"Вычислительные системы, сети и телекоммуникации Максютин С.В.в 1310")</f>
        <v>Вычислительные системы, сети и телекоммуникации Максютин С.В.в 1310</v>
      </c>
      <c r="G31" s="21"/>
      <c r="H31" s="18" t="str">
        <f>IFERROR(__xludf.DUMMYFUNCTION("""COMPUTED_VALUE"""),"Теория вероятностей и математическая статистика Мухамеджанова С.А. в  1412 ")</f>
        <v>Теория вероятностей и математическая статистика Мухамеджанова С.А. в  1412 </v>
      </c>
      <c r="I31" s="21"/>
      <c r="J31" s="21"/>
      <c r="K31" s="21"/>
      <c r="L31" s="21" t="str">
        <f>IFERROR(__xludf.DUMMYFUNCTION("""COMPUTED_VALUE""")," ")</f>
        <v> </v>
      </c>
      <c r="M31" s="21"/>
      <c r="N31" s="21"/>
      <c r="O31" s="16" t="str">
        <f>IFERROR(__xludf.DUMMYFUNCTION("""COMPUTED_VALUE"""),"Иностранный язык Спиридонов А.В. в 1508")</f>
        <v>Иностранный язык Спиридонов А.В. в 1508</v>
      </c>
    </row>
    <row r="32" ht="52.5" customHeight="1">
      <c r="A32" s="40"/>
      <c r="B32" s="41" t="str">
        <f>IFERROR(__xludf.DUMMYFUNCTION("""COMPUTED_VALUE"""),"11:50 - 13:20")</f>
        <v>11:50 - 13:20</v>
      </c>
      <c r="C32" s="18"/>
      <c r="D32" s="21"/>
      <c r="E32" s="18" t="str">
        <f>IFERROR(__xludf.DUMMYFUNCTION("""COMPUTED_VALUE"""),"Вычислительные системы, сети и телекоммуникации Максютин С.В.в 1408")</f>
        <v>Вычислительные системы, сети и телекоммуникации Максютин С.В.в 1408</v>
      </c>
      <c r="F32" s="16" t="str">
        <f>IFERROR(__xludf.DUMMYFUNCTION("""COMPUTED_VALUE"""),"Теория вероятностей и математическая статистика Хакимов Д.Р. в 1308 ")</f>
        <v>Теория вероятностей и математическая статистика Хакимов Д.Р. в 1308 </v>
      </c>
      <c r="G32" s="17"/>
      <c r="H32" s="21"/>
      <c r="I32" s="18"/>
      <c r="J32" s="18"/>
      <c r="K32" s="18" t="str">
        <f>IFERROR(__xludf.DUMMYFUNCTION("""COMPUTED_VALUE"""),"Теория вероятностей и математическая статистика Мухамеджанова С.А. в  1412")</f>
        <v>Теория вероятностей и математическая статистика Мухамеджанова С.А. в  1412</v>
      </c>
      <c r="L32" s="21"/>
      <c r="M32" s="21"/>
      <c r="N32" s="18"/>
      <c r="O32" s="16" t="str">
        <f>IFERROR(__xludf.DUMMYFUNCTION("""COMPUTED_VALUE"""),"Иностранный язык Спиридонов А.В. в 1508")</f>
        <v>Иностранный язык Спиридонов А.В. в 1508</v>
      </c>
    </row>
    <row r="33" ht="52.5" customHeight="1">
      <c r="A33" s="40"/>
      <c r="B33" s="42" t="str">
        <f>IFERROR(__xludf.DUMMYFUNCTION("""COMPUTED_VALUE"""),"14:00 - 15:30")</f>
        <v>14:00 - 15:30</v>
      </c>
      <c r="C33" s="8" t="str">
        <f>IFERROR(__xludf.DUMMYFUNCTION("""COMPUTED_VALUE"""),"Элективные курсы по физической культуре и спорту в УНИКС с 14:00 - 15:30 ")</f>
        <v>Элективные курсы по физической культуре и спорту в УНИКС с 14:00 - 15:30 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</row>
    <row r="34" ht="52.5" customHeight="1">
      <c r="A34" s="40"/>
      <c r="B34" s="42" t="str">
        <f>IFERROR(__xludf.DUMMYFUNCTION("""COMPUTED_VALUE"""),"15:40 - 17:10")</f>
        <v>15:40 - 17:10</v>
      </c>
      <c r="C34" s="18"/>
      <c r="D34" s="18"/>
      <c r="E34" s="18"/>
      <c r="F34" s="18"/>
      <c r="G34" s="18"/>
      <c r="H34" s="21"/>
      <c r="I34" s="12" t="str">
        <f>IFERROR(__xludf.DUMMYFUNCTION("""COMPUTED_VALUE"""),"Теория вероятностей и математическая статистика Григорьева И.С. в 109 к.2  ")</f>
        <v>Теория вероятностей и математическая статистика Григорьева И.С. в 109 к.2  </v>
      </c>
      <c r="J34" s="9"/>
      <c r="K34" s="9"/>
      <c r="L34" s="9"/>
      <c r="M34" s="9"/>
      <c r="N34" s="9"/>
      <c r="O34" s="10"/>
    </row>
    <row r="35" ht="52.5" customHeight="1">
      <c r="A35" s="40"/>
      <c r="B35" s="42" t="str">
        <f>IFERROR(__xludf.DUMMYFUNCTION("""COMPUTED_VALUE"""),"17:50 - 19:20")</f>
        <v>17:50 - 19:20</v>
      </c>
      <c r="C35" s="18"/>
      <c r="D35" s="21"/>
      <c r="E35" s="21"/>
      <c r="F35" s="18"/>
      <c r="G35" s="21"/>
      <c r="H35" s="18"/>
      <c r="I35" s="16"/>
      <c r="J35" s="21" t="str">
        <f>IFERROR(__xludf.DUMMYFUNCTION("""COMPUTED_VALUE"""),"Вычислительные системы, сети и телекоммуникации Бубнов Д.В. в 1309")</f>
        <v>Вычислительные системы, сети и телекоммуникации Бубнов Д.В. в 1309</v>
      </c>
      <c r="K35" s="18"/>
      <c r="L35" s="21"/>
      <c r="M35" s="17" t="str">
        <f>IFERROR(__xludf.DUMMYFUNCTION("""COMPUTED_VALUE"""),"Всеобщая история Григер М.В.в 1303 н.н.")</f>
        <v>Всеобщая история Григер М.В.в 1303 н.н.</v>
      </c>
      <c r="N35" s="17" t="str">
        <f>IFERROR(__xludf.DUMMYFUNCTION("""COMPUTED_VALUE"""),"Всеобщая история Григер М.В.в 1303 ч.н.")</f>
        <v>Всеобщая история Григер М.В.в 1303 ч.н.</v>
      </c>
      <c r="O35" s="16" t="str">
        <f>IFERROR(__xludf.DUMMYFUNCTION("""COMPUTED_VALUE"""),"Иностранный язык: русский в проф. сф. Вагапова М.М. в 1302")</f>
        <v>Иностранный язык: русский в проф. сф. Вагапова М.М. в 1302</v>
      </c>
    </row>
    <row r="36" ht="52.5" customHeight="1">
      <c r="A36" s="43"/>
      <c r="B36" s="44" t="str">
        <f>IFERROR(__xludf.DUMMYFUNCTION("""COMPUTED_VALUE"""),"19:30 - 21:00")</f>
        <v>19:30 - 21:00</v>
      </c>
      <c r="C36" s="24" t="str">
        <f>IFERROR(__xludf.DUMMYFUNCTION("""COMPUTED_VALUE""")," Дисциплины по выбору: Математическая логика Сабирзянов Р.Р. в 1409 по н.н.")</f>
        <v> Дисциплины по выбору: Математическая логика Сабирзянов Р.Р. в 1409 по н.н.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</row>
    <row r="37" ht="52.5" customHeight="1">
      <c r="A37" s="45" t="str">
        <f>IFERROR(__xludf.DUMMYFUNCTION("""COMPUTED_VALUE"""),"Суббота")</f>
        <v>Суббота</v>
      </c>
      <c r="B37" s="46" t="str">
        <f>IFERROR(__xludf.DUMMYFUNCTION("""COMPUTED_VALUE"""),"08:30 - 10:00")</f>
        <v>08:30 - 10:00</v>
      </c>
      <c r="C37" s="47"/>
      <c r="D37" s="9"/>
      <c r="E37" s="9"/>
      <c r="F37" s="9"/>
      <c r="G37" s="10"/>
      <c r="H37" s="21"/>
      <c r="I37" s="21"/>
      <c r="J37" s="21"/>
      <c r="K37" s="16" t="str">
        <f>IFERROR(__xludf.DUMMYFUNCTION("""COMPUTED_VALUE"""),"Вычислительные системы, сети и телекоммуникации Бубнов Д.В.в 1408")</f>
        <v>Вычислительные системы, сети и телекоммуникации Бубнов Д.В.в 1408</v>
      </c>
      <c r="L37" s="18"/>
      <c r="M37" s="21"/>
      <c r="N37" s="18" t="str">
        <f>IFERROR(__xludf.DUMMYFUNCTION("""COMPUTED_VALUE"""),"Основы разработки информационных систем Мухутдинов Т.А. в 1509")</f>
        <v>Основы разработки информационных систем Мухутдинов Т.А. в 1509</v>
      </c>
      <c r="O37" s="17" t="str">
        <f>IFERROR(__xludf.DUMMYFUNCTION("""COMPUTED_VALUE"""),"Всеобщая история Григер М.В.в 1305 (9 нед)")</f>
        <v>Всеобщая история Григер М.В.в 1305 (9 нед)</v>
      </c>
    </row>
    <row r="38" ht="65.25" customHeight="1">
      <c r="A38" s="40"/>
      <c r="B38" s="48" t="str">
        <f>IFERROR(__xludf.DUMMYFUNCTION("""COMPUTED_VALUE"""),"10:10 - 11:40")</f>
        <v>10:10 - 11:40</v>
      </c>
      <c r="C38" s="18"/>
      <c r="D38" s="18"/>
      <c r="E38" s="18"/>
      <c r="F38" s="18"/>
      <c r="G38" s="18" t="str">
        <f>IFERROR(__xludf.DUMMYFUNCTION("""COMPUTED_VALUE"""),"Основы разработки информационных систем Ференец А.А.  (Андреичев М.Д.) в1405")</f>
        <v>Основы разработки информационных систем Ференец А.А.  (Андреичев М.Д.) в1405</v>
      </c>
      <c r="H38" s="18"/>
      <c r="I38" s="18"/>
      <c r="J38" s="21"/>
      <c r="K38" s="18" t="str">
        <f>IFERROR(__xludf.DUMMYFUNCTION("""COMPUTED_VALUE"""),"Основы разработки информационных систем Салимов Р.Ф.в 1508 (MS Teams)")</f>
        <v>Основы разработки информационных систем Салимов Р.Ф.в 1508 (MS Teams)</v>
      </c>
      <c r="L38" s="18"/>
      <c r="M38" s="18"/>
      <c r="N38" s="18" t="str">
        <f>IFERROR(__xludf.DUMMYFUNCTION("""COMPUTED_VALUE"""),"Основы разработки информационных систем Мухутдинов Т.А. в 1509")</f>
        <v>Основы разработки информационных систем Мухутдинов Т.А. в 1509</v>
      </c>
      <c r="O38" s="16" t="str">
        <f>IFERROR(__xludf.DUMMYFUNCTION("""COMPUTED_VALUE"""),"Вычислительные системы, сети и телекоммуникации Бубнов Д.В.в 1408")</f>
        <v>Вычислительные системы, сети и телекоммуникации Бубнов Д.В.в 1408</v>
      </c>
    </row>
    <row r="39" ht="52.5" customHeight="1">
      <c r="A39" s="40"/>
      <c r="B39" s="41" t="str">
        <f>IFERROR(__xludf.DUMMYFUNCTION("""COMPUTED_VALUE"""),"11:50 - 13:20")</f>
        <v>11:50 - 13:20</v>
      </c>
      <c r="C39" s="18"/>
      <c r="D39" s="18"/>
      <c r="E39" s="18"/>
      <c r="F39" s="21"/>
      <c r="G39" s="18" t="str">
        <f>IFERROR(__xludf.DUMMYFUNCTION("""COMPUTED_VALUE"""),"Основы разработки информационных систем Ференец А.А.  (Андреичев М.Д.) в 1405")</f>
        <v>Основы разработки информационных систем Ференец А.А.  (Андреичев М.Д.) в 1405</v>
      </c>
      <c r="H39" s="18"/>
      <c r="I39" s="21"/>
      <c r="J39" s="21"/>
      <c r="K39" s="18"/>
      <c r="L39" s="18" t="str">
        <f>IFERROR(__xludf.DUMMYFUNCTION("""COMPUTED_VALUE"""),"Основы разработки информационных систем Мухутдинов Т.А.в 1509 ")</f>
        <v>Основы разработки информационных систем Мухутдинов Т.А.в 1509 </v>
      </c>
      <c r="M39" s="21"/>
      <c r="N39" s="16" t="str">
        <f>IFERROR(__xludf.DUMMYFUNCTION("""COMPUTED_VALUE"""),"Вычислительные системы, сети и телекоммуникации Бубнов Д.В.в 1408")</f>
        <v>Вычислительные системы, сети и телекоммуникации Бубнов Д.В.в 1408</v>
      </c>
      <c r="O39" s="18"/>
    </row>
    <row r="40" ht="52.5" customHeight="1">
      <c r="A40" s="40"/>
      <c r="B40" s="49" t="str">
        <f>IFERROR(__xludf.DUMMYFUNCTION("""COMPUTED_VALUE"""),"14:00 - 15:30")</f>
        <v>14:00 - 15:30</v>
      </c>
      <c r="C40" s="18"/>
      <c r="D40" s="18"/>
      <c r="E40" s="18"/>
      <c r="F40" s="21"/>
      <c r="G40" s="18"/>
      <c r="H40" s="18"/>
      <c r="I40" s="21"/>
      <c r="J40" s="18"/>
      <c r="K40" s="18"/>
      <c r="L40" s="18" t="str">
        <f>IFERROR(__xludf.DUMMYFUNCTION("""COMPUTED_VALUE"""),"Основы разработки информационных систем Мухутдинов Т.А.в 1509 ")</f>
        <v>Основы разработки информационных систем Мухутдинов Т.А.в 1509 </v>
      </c>
      <c r="M40" s="18"/>
      <c r="N40" s="18"/>
      <c r="O40" s="18"/>
    </row>
    <row r="41" ht="52.5" customHeight="1">
      <c r="A41" s="40"/>
      <c r="B41" s="50" t="str">
        <f>IFERROR(__xludf.DUMMYFUNCTION("""COMPUTED_VALUE"""),"15:40 - 17:10")</f>
        <v>15:40 - 17:10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</row>
    <row r="42" ht="52.5" customHeight="1">
      <c r="A42" s="40"/>
      <c r="B42" s="51" t="str">
        <f>IFERROR(__xludf.DUMMYFUNCTION("""COMPUTED_VALUE"""),"17:50 - 19:20")</f>
        <v>17:50 - 19:20</v>
      </c>
      <c r="C42" s="18"/>
      <c r="D42" s="18"/>
      <c r="E42" s="18"/>
      <c r="F42" s="18"/>
      <c r="G42" s="18"/>
      <c r="H42" s="18"/>
      <c r="I42" s="18"/>
      <c r="J42" s="21"/>
      <c r="K42" s="18"/>
      <c r="L42" s="18"/>
      <c r="M42" s="18"/>
      <c r="N42" s="18"/>
      <c r="O42" s="18"/>
    </row>
    <row r="43" ht="52.5" customHeight="1">
      <c r="A43" s="52"/>
      <c r="B43" s="44" t="str">
        <f>IFERROR(__xludf.DUMMYFUNCTION("""COMPUTED_VALUE"""),"19:30 - 21:00")</f>
        <v>19:30 - 21:00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</row>
  </sheetData>
  <mergeCells count="37">
    <mergeCell ref="C24:N24"/>
    <mergeCell ref="C26:G26"/>
    <mergeCell ref="K26:N26"/>
    <mergeCell ref="A23:A29"/>
    <mergeCell ref="A30:A36"/>
    <mergeCell ref="A37:A43"/>
    <mergeCell ref="C30:O30"/>
    <mergeCell ref="C33:O33"/>
    <mergeCell ref="I34:O34"/>
    <mergeCell ref="C36:O36"/>
    <mergeCell ref="C37:G37"/>
    <mergeCell ref="A16:A22"/>
    <mergeCell ref="H18:J18"/>
    <mergeCell ref="C20:O20"/>
    <mergeCell ref="C21:O21"/>
    <mergeCell ref="C22:O22"/>
    <mergeCell ref="C23:O23"/>
    <mergeCell ref="C29:O29"/>
    <mergeCell ref="C7:O7"/>
    <mergeCell ref="C8:O8"/>
    <mergeCell ref="I6:O6"/>
    <mergeCell ref="I9:O9"/>
    <mergeCell ref="C10:H10"/>
    <mergeCell ref="I11:O11"/>
    <mergeCell ref="C12:O12"/>
    <mergeCell ref="C13:O13"/>
    <mergeCell ref="C14:O14"/>
    <mergeCell ref="C15:O15"/>
    <mergeCell ref="A2:A8"/>
    <mergeCell ref="C2:H2"/>
    <mergeCell ref="C3:H3"/>
    <mergeCell ref="C4:H4"/>
    <mergeCell ref="I4:O4"/>
    <mergeCell ref="C6:H6"/>
    <mergeCell ref="A9:A15"/>
    <mergeCell ref="C27:O27"/>
    <mergeCell ref="C28:O28"/>
  </mergeCells>
  <conditionalFormatting sqref="A2:A43">
    <cfRule type="cellIs" dxfId="10" priority="1" operator="equal">
      <formula> INDIRECT("Управление!E7")</formula>
    </cfRule>
  </conditionalFormatting>
  <conditionalFormatting sqref="A1:B43">
    <cfRule type="containsText" dxfId="1" priority="2" operator="containsText" text="алгебра">
      <formula>NOT(ISERROR(SEARCH(("алгебра"),(A1))))</formula>
    </cfRule>
  </conditionalFormatting>
  <conditionalFormatting sqref="A1:B43">
    <cfRule type="containsText" dxfId="2" priority="3" operator="containsText" text="иностранный">
      <formula>NOT(ISERROR(SEARCH(("иностранный"),(A1))))</formula>
    </cfRule>
  </conditionalFormatting>
  <conditionalFormatting sqref="A1:B43">
    <cfRule type="containsText" dxfId="3" priority="4" operator="containsText" text="русский">
      <formula>NOT(ISERROR(SEARCH(("русский"),(A1))))</formula>
    </cfRule>
  </conditionalFormatting>
  <conditionalFormatting sqref="A1:B43">
    <cfRule type="containsText" dxfId="4" priority="5" operator="containsText" text="физической">
      <formula>NOT(ISERROR(SEARCH(("физической"),(A1))))</formula>
    </cfRule>
  </conditionalFormatting>
  <conditionalFormatting sqref="A1:B43">
    <cfRule type="containsText" dxfId="5" priority="6" operator="containsText" text="анализ">
      <formula>NOT(ISERROR(SEARCH(("анализ"),(A1))))</formula>
    </cfRule>
  </conditionalFormatting>
  <conditionalFormatting sqref="A1:B1">
    <cfRule type="containsText" dxfId="6" priority="7" operator="containsText" text="программирование">
      <formula>NOT(ISERROR(SEARCH(("программирование"),(A1))))</formula>
    </cfRule>
  </conditionalFormatting>
  <conditionalFormatting sqref="A1:B43">
    <cfRule type="containsText" dxfId="7" priority="8" operator="containsText" text="проектную">
      <formula>NOT(ISERROR(SEARCH(("проектную"),(A1))))</formula>
    </cfRule>
  </conditionalFormatting>
  <conditionalFormatting sqref="A1:B43">
    <cfRule type="containsText" dxfId="8" priority="9" operator="containsText" text="алгоритмы">
      <formula>NOT(ISERROR(SEARCH(("алгоритмы"),(A1))))</formula>
    </cfRule>
  </conditionalFormatting>
  <conditionalFormatting sqref="A1:B43">
    <cfRule type="containsText" dxfId="9" priority="10" operator="containsText" text="дискретная">
      <formula>NOT(ISERROR(SEARCH(("дискретная"),(A1))))</formula>
    </cfRule>
  </conditionalFormatting>
  <conditionalFormatting sqref="A1:O43">
    <cfRule type="containsText" dxfId="0" priority="11" operator="containsText" text="перенос">
      <formula>NOT(ISERROR(SEARCH(("перенос"),(A1))))</formula>
    </cfRule>
  </conditionalFormatting>
  <conditionalFormatting sqref="A1:O43">
    <cfRule type="containsText" dxfId="1" priority="12" operator="containsText" text="иностранный">
      <formula>NOT(ISERROR(SEARCH(("иностранный"),(A1))))</formula>
    </cfRule>
  </conditionalFormatting>
  <conditionalFormatting sqref="A1:O43">
    <cfRule type="containsText" dxfId="2" priority="13" operator="containsText" text="сети">
      <formula>NOT(ISERROR(SEARCH(("сети"),(A1))))</formula>
    </cfRule>
  </conditionalFormatting>
  <conditionalFormatting sqref="A1:O43">
    <cfRule type="containsText" dxfId="3" priority="14" operator="containsText" text="история">
      <formula>NOT(ISERROR(SEARCH(("история"),(A1))))</formula>
    </cfRule>
  </conditionalFormatting>
  <conditionalFormatting sqref="A1:O43">
    <cfRule type="containsText" dxfId="4" priority="15" operator="containsText" text="веб">
      <formula>NOT(ISERROR(SEARCH(("веб"),(A1))))</formula>
    </cfRule>
  </conditionalFormatting>
  <conditionalFormatting sqref="A1:O43">
    <cfRule type="containsText" dxfId="13" priority="16" operator="containsText" text="основы">
      <formula>NOT(ISERROR(SEARCH(("основы"),(A1))))</formula>
    </cfRule>
  </conditionalFormatting>
  <conditionalFormatting sqref="A1:O43">
    <cfRule type="containsText" dxfId="7" priority="17" operator="containsText" text="теория">
      <formula>NOT(ISERROR(SEARCH(("теория"),(A1))))</formula>
    </cfRule>
  </conditionalFormatting>
  <conditionalFormatting sqref="A1:O43">
    <cfRule type="containsText" dxfId="6" priority="18" operator="containsText" text="вве">
      <formula>NOT(ISERROR(SEARCH(("вве"),(A1))))</formula>
    </cfRule>
  </conditionalFormatting>
  <conditionalFormatting sqref="A1:O43">
    <cfRule type="containsText" dxfId="8" priority="19" operator="containsText" text="физической">
      <formula>NOT(ISERROR(SEARCH(("физической"),(A1))))</formula>
    </cfRule>
  </conditionalFormatting>
  <conditionalFormatting sqref="A1:O43">
    <cfRule type="containsText" dxfId="3" priority="20" operator="containsText" text="Разработка корпоративных">
      <formula>NOT(ISERROR(SEARCH(("Разработка корпоративных"),(A1))))</formula>
    </cfRule>
  </conditionalFormatting>
  <conditionalFormatting sqref="A1:O43">
    <cfRule type="containsText" dxfId="12" priority="21" operator="containsText" text="практика">
      <formula>NOT(ISERROR(SEARCH(("практика"),(A1))))</formula>
    </cfRule>
  </conditionalFormatting>
  <conditionalFormatting sqref="A1:A43">
    <cfRule type="cellIs" dxfId="14" priority="22" operator="equal">
      <formula> INDIRECT("Управление!G7")</formula>
    </cfRule>
  </conditionalFormatting>
  <conditionalFormatting sqref="A1:O43">
    <cfRule type="containsText" dxfId="2" priority="23" operator="containsText" text="Математическая логика">
      <formula>NOT(ISERROR(SEARCH(("Математическая логика"),(A1))))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3" max="12" width="21.38"/>
  </cols>
  <sheetData>
    <row r="1">
      <c r="A1" s="33"/>
      <c r="B1" s="34" t="str">
        <f> 'Управление'!G6</f>
        <v>№16, чётная</v>
      </c>
      <c r="C1" s="54" t="str">
        <f>IFERROR(__xludf.DUMMYFUNCTION(" IMPORTRANGE('Управление'!D1, 'Управление'!D5)"),"11-901")</f>
        <v>11-901</v>
      </c>
      <c r="D1" s="55" t="str">
        <f>IFERROR(__xludf.DUMMYFUNCTION("""COMPUTED_VALUE"""),"11-902")</f>
        <v>11-902</v>
      </c>
      <c r="E1" s="55" t="str">
        <f>IFERROR(__xludf.DUMMYFUNCTION("""COMPUTED_VALUE"""),"11-903")</f>
        <v>11-903</v>
      </c>
      <c r="F1" s="55" t="str">
        <f>IFERROR(__xludf.DUMMYFUNCTION("""COMPUTED_VALUE"""),"11-904")</f>
        <v>11-904</v>
      </c>
      <c r="G1" s="55" t="str">
        <f>IFERROR(__xludf.DUMMYFUNCTION("""COMPUTED_VALUE"""),"11-905")</f>
        <v>11-905</v>
      </c>
      <c r="H1" s="55" t="str">
        <f>IFERROR(__xludf.DUMMYFUNCTION("""COMPUTED_VALUE"""),"11-906")</f>
        <v>11-906</v>
      </c>
      <c r="I1" s="55" t="str">
        <f>IFERROR(__xludf.DUMMYFUNCTION("""COMPUTED_VALUE"""),"11-907")</f>
        <v>11-907</v>
      </c>
      <c r="J1" s="55" t="str">
        <f>IFERROR(__xludf.DUMMYFUNCTION("""COMPUTED_VALUE"""),"11-909")</f>
        <v>11-909</v>
      </c>
      <c r="K1" s="55" t="str">
        <f>IFERROR(__xludf.DUMMYFUNCTION("""COMPUTED_VALUE"""),"11-910")</f>
        <v>11-910</v>
      </c>
      <c r="L1" s="55" t="str">
        <f>IFERROR(__xludf.DUMMYFUNCTION("""COMPUTED_VALUE"""),"11-911")</f>
        <v>11-911</v>
      </c>
    </row>
    <row r="2" ht="52.5" customHeight="1">
      <c r="A2" s="37" t="str">
        <f>IFERROR(__xludf.DUMMYFUNCTION(" IMPORTRANGE('Управление'!D2,'Управление'!E2)"),"Понедельник")</f>
        <v>Понедельник</v>
      </c>
      <c r="B2" s="38" t="str">
        <f>IFERROR(__xludf.DUMMYFUNCTION("""COMPUTED_VALUE"""),"08:30 - 10:00")</f>
        <v>08:30 - 10:00</v>
      </c>
      <c r="C2" s="56" t="str">
        <f>IFERROR(__xludf.DUMMYFUNCTION("""COMPUTED_VALUE"""),"Занятия по дисциплине ""Основы правоведения и противодействия коррупции"" согласно приложению №4.
Сводный список обучающихся согласно приложению №4.
Ссылки на команды в Мicrosoft Тeams по приложению № 4.")</f>
        <v>Занятия по дисциплине "Основы правоведения и противодействия коррупции" согласно приложению №4.
Сводный список обучающихся согласно приложению №4.
Ссылки на команды в Мicrosoft Тeams по приложению № 4.</v>
      </c>
      <c r="L2" s="57"/>
    </row>
    <row r="3" ht="52.5" customHeight="1">
      <c r="A3" s="40"/>
      <c r="B3" s="41" t="str">
        <f>IFERROR(__xludf.DUMMYFUNCTION("""COMPUTED_VALUE"""),"10:10 - 11:40")</f>
        <v>10:10 - 11:40</v>
      </c>
      <c r="L3" s="57"/>
    </row>
    <row r="4" ht="52.5" customHeight="1">
      <c r="A4" s="40"/>
      <c r="B4" s="41" t="str">
        <f>IFERROR(__xludf.DUMMYFUNCTION("""COMPUTED_VALUE"""),"11:50 - 13:20")</f>
        <v>11:50 - 13:20</v>
      </c>
      <c r="L4" s="57"/>
    </row>
    <row r="5" ht="52.5" customHeight="1">
      <c r="A5" s="40"/>
      <c r="B5" s="42" t="str">
        <f>IFERROR(__xludf.DUMMYFUNCTION("""COMPUTED_VALUE"""),"14:00 - 15:30")</f>
        <v>14:00 - 15:30</v>
      </c>
      <c r="L5" s="57"/>
    </row>
    <row r="6" ht="52.5" customHeight="1">
      <c r="A6" s="40"/>
      <c r="B6" s="42" t="str">
        <f>IFERROR(__xludf.DUMMYFUNCTION("""COMPUTED_VALUE"""),"15:40 - 17:10")</f>
        <v>15:40 - 17:10</v>
      </c>
      <c r="C6" s="58"/>
      <c r="D6" s="58"/>
      <c r="E6" s="58"/>
      <c r="F6" s="58"/>
      <c r="G6" s="58"/>
      <c r="H6" s="58"/>
      <c r="I6" s="58"/>
      <c r="J6" s="58"/>
      <c r="K6" s="58"/>
      <c r="L6" s="59"/>
    </row>
    <row r="7" ht="52.5" customHeight="1">
      <c r="A7" s="40"/>
      <c r="B7" s="42" t="str">
        <f>IFERROR(__xludf.DUMMYFUNCTION("""COMPUTED_VALUE"""),"17:50 - 19:20")</f>
        <v>17:50 - 19:20</v>
      </c>
      <c r="C7" s="18"/>
      <c r="D7" s="18"/>
      <c r="E7" s="18"/>
      <c r="F7" s="18"/>
      <c r="G7" s="18"/>
      <c r="H7" s="18"/>
      <c r="I7" s="18"/>
      <c r="J7" s="18"/>
      <c r="K7" s="18"/>
      <c r="L7" s="18"/>
    </row>
    <row r="8" ht="52.5" customHeight="1">
      <c r="A8" s="43"/>
      <c r="B8" s="44" t="str">
        <f>IFERROR(__xludf.DUMMYFUNCTION("""COMPUTED_VALUE"""),"19:30 - 21:00")</f>
        <v>19:30 - 21:00</v>
      </c>
      <c r="C8" s="18"/>
      <c r="D8" s="18"/>
      <c r="E8" s="18"/>
      <c r="F8" s="18"/>
      <c r="G8" s="18"/>
      <c r="H8" s="18"/>
      <c r="I8" s="18"/>
      <c r="J8" s="18"/>
      <c r="K8" s="18"/>
      <c r="L8" s="18"/>
    </row>
    <row r="9" ht="52.5" customHeight="1">
      <c r="A9" s="45" t="str">
        <f>IFERROR(__xludf.DUMMYFUNCTION("""COMPUTED_VALUE"""),"Вторник")</f>
        <v>Вторник</v>
      </c>
      <c r="B9" s="38" t="str">
        <f>IFERROR(__xludf.DUMMYFUNCTION("""COMPUTED_VALUE"""),"08:30 - 10:00")</f>
        <v>08:30 - 10:00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52.5" customHeight="1">
      <c r="A10" s="40"/>
      <c r="B10" s="41" t="str">
        <f>IFERROR(__xludf.DUMMYFUNCTION("""COMPUTED_VALUE"""),"10:10 - 11:40")</f>
        <v>10:10 - 11:40</v>
      </c>
      <c r="C10" s="12" t="str">
        <f>IFERROR(__xludf.DUMMYFUNCTION("""COMPUTED_VALUE"""),"Инновационная экономика и технологическое предпринимательство Григорян К.А. (с 11-901 по 11-906 по н.н., с 11-907 по 11-911 по ч.н.) в 108 к.2 в ms teams c 11нед. очно в 108 к.2")</f>
        <v>Инновационная экономика и технологическое предпринимательство Григорян К.А. (с 11-901 по 11-906 по н.н., с 11-907 по 11-911 по ч.н.) в 108 к.2 в ms teams c 11нед. очно в 108 к.2</v>
      </c>
      <c r="D10" s="9"/>
      <c r="E10" s="9"/>
      <c r="F10" s="9"/>
      <c r="G10" s="9"/>
      <c r="H10" s="9"/>
      <c r="I10" s="9"/>
      <c r="J10" s="9"/>
      <c r="K10" s="9"/>
      <c r="L10" s="10"/>
    </row>
    <row r="11" ht="52.5" customHeight="1">
      <c r="A11" s="40"/>
      <c r="B11" s="41" t="str">
        <f>IFERROR(__xludf.DUMMYFUNCTION("""COMPUTED_VALUE"""),"11:50 - 13:20")</f>
        <v>11:50 - 13:20</v>
      </c>
      <c r="C11" s="18" t="str">
        <f>IFERROR(__xludf.DUMMYFUNCTION("""COMPUTED_VALUE"""),"Управление проектами Заппаров Б.А. по ч.н. в УНИКС 2 этаж коворкинг")</f>
        <v>Управление проектами Заппаров Б.А. по ч.н. в УНИКС 2 этаж коворкинг</v>
      </c>
      <c r="D11" s="18"/>
      <c r="E11" s="18"/>
      <c r="F11" s="18"/>
      <c r="G11" s="18"/>
      <c r="H11" s="18"/>
      <c r="I11" s="12" t="str">
        <f>IFERROR(__xludf.DUMMYFUNCTION("""COMPUTED_VALUE"""),"Управление проектами Григорян К.А.. в ms teams в 1311 с 11 нед очно (14.06 в 1310)")</f>
        <v>Управление проектами Григорян К.А.. в ms teams в 1311 с 11 нед очно (14.06 в 1310)</v>
      </c>
      <c r="J11" s="9"/>
      <c r="K11" s="9"/>
      <c r="L11" s="10"/>
    </row>
    <row r="12" ht="52.5" customHeight="1">
      <c r="A12" s="40"/>
      <c r="B12" s="42" t="str">
        <f>IFERROR(__xludf.DUMMYFUNCTION("""COMPUTED_VALUE"""),"14:00 - 15:30")</f>
        <v>14:00 - 15:30</v>
      </c>
      <c r="C12" s="12" t="str">
        <f>IFERROR(__xludf.DUMMYFUNCTION("""COMPUTED_VALUE"""),"Управление проектами Зуев М.С.в 109 к.2 (MS Teams)")</f>
        <v>Управление проектами Зуев М.С.в 109 к.2 (MS Teams)</v>
      </c>
      <c r="D12" s="9"/>
      <c r="E12" s="9"/>
      <c r="F12" s="9"/>
      <c r="G12" s="9"/>
      <c r="H12" s="10"/>
      <c r="I12" s="18" t="str">
        <f>IFERROR(__xludf.DUMMYFUNCTION("""COMPUTED_VALUE"""),"Информационная безопасность Мулюков Р. И. в 1305")</f>
        <v>Информационная безопасность Мулюков Р. И. в 1305</v>
      </c>
      <c r="J12" s="18" t="str">
        <f>IFERROR(__xludf.DUMMYFUNCTION("""COMPUTED_VALUE"""),"Инновационная экономика и технологическое предпринимательство Ибатуллина А.А. н.н. в 1301")</f>
        <v>Инновационная экономика и технологическое предпринимательство Ибатуллина А.А. н.н. в 1301</v>
      </c>
      <c r="K12" s="18" t="str">
        <f>IFERROR(__xludf.DUMMYFUNCTION("""COMPUTED_VALUE"""),"Инновационная экономика и технологическое предпринимательство Ибатуллина А.А. ч.н. в 1301")</f>
        <v>Инновационная экономика и технологическое предпринимательство Ибатуллина А.А. ч.н. в 1301</v>
      </c>
      <c r="L12" s="18"/>
    </row>
    <row r="13" ht="52.5" customHeight="1">
      <c r="A13" s="40"/>
      <c r="B13" s="42" t="str">
        <f>IFERROR(__xludf.DUMMYFUNCTION("""COMPUTED_VALUE"""),"15:40 - 17:10")</f>
        <v>15:40 - 17:10</v>
      </c>
      <c r="C13" s="18" t="str">
        <f>IFERROR(__xludf.DUMMYFUNCTION("""COMPUTED_VALUE"""),"Инновационная экономика и технологическое предпринимательство Атюнькина И.Н. н.н. в 1305(24.05 и 31.05 перенос на 28.05 в 8.30 в ауд. 1311)")</f>
        <v>Инновационная экономика и технологическое предпринимательство Атюнькина И.Н. н.н. в 1305(24.05 и 31.05 перенос на 28.05 в 8.30 в ауд. 1311)</v>
      </c>
      <c r="D13" s="18" t="str">
        <f>IFERROR(__xludf.DUMMYFUNCTION("""COMPUTED_VALUE"""),"Инновационная экономика и технологическое предпринимательство Атюнькина И.Н. ч.н. в 1305(24.05 и 31.05 перенос на 28.05 в 8.30 в ауд. 1311)")</f>
        <v>Инновационная экономика и технологическое предпринимательство Атюнькина И.Н. ч.н. в 1305(24.05 и 31.05 перенос на 28.05 в 8.30 в ауд. 1311)</v>
      </c>
      <c r="E13" s="18"/>
      <c r="F13" s="18" t="str">
        <f>IFERROR(__xludf.DUMMYFUNCTION("""COMPUTED_VALUE"""),"Инновационная экономика и технологическое предпринимательство Ибатуллина А.А. н.н. в 1301(14.06 в 1303)")</f>
        <v>Инновационная экономика и технологическое предпринимательство Ибатуллина А.А. н.н. в 1301(14.06 в 1303)</v>
      </c>
      <c r="G13" s="18" t="str">
        <f>IFERROR(__xludf.DUMMYFUNCTION("""COMPUTED_VALUE"""),"Инновационная экономика и технологическое предпринимательство Ибатуллина А.А. ч.н. в 1301")</f>
        <v>Инновационная экономика и технологическое предпринимательство Ибатуллина А.А. ч.н. в 1301</v>
      </c>
      <c r="H13" s="18" t="str">
        <f>IFERROR(__xludf.DUMMYFUNCTION("""COMPUTED_VALUE"""),"Информационная безопасность Мулюков Р И. в 1409 ")</f>
        <v>Информационная безопасность Мулюков Р И. в 1409 </v>
      </c>
      <c r="I13" s="18"/>
      <c r="J13" s="18"/>
      <c r="K13" s="18"/>
      <c r="L13" s="18" t="str">
        <f>IFERROR(__xludf.DUMMYFUNCTION("""COMPUTED_VALUE"""),"Информационная безопасность  Шарипов Р.Р.в 1408")</f>
        <v>Информационная безопасность  Шарипов Р.Р.в 1408</v>
      </c>
    </row>
    <row r="14" ht="52.5" customHeight="1">
      <c r="A14" s="40"/>
      <c r="B14" s="42" t="str">
        <f>IFERROR(__xludf.DUMMYFUNCTION("""COMPUTED_VALUE"""),"17:50 - 19:20")</f>
        <v>17:50 - 19:20</v>
      </c>
      <c r="C14" s="12" t="str">
        <f>IFERROR(__xludf.DUMMYFUNCTION("""COMPUTED_VALUE"""),"Дисциплины по выбору: 
Базы данных д.гл. Якупов А.Ш. в 1405")</f>
        <v>Дисциплины по выбору: 
Базы данных д.гл. Якупов А.Ш. в 1405</v>
      </c>
      <c r="D14" s="9"/>
      <c r="E14" s="9"/>
      <c r="F14" s="9"/>
      <c r="G14" s="9"/>
      <c r="H14" s="9"/>
      <c r="I14" s="9"/>
      <c r="J14" s="9"/>
      <c r="K14" s="9"/>
      <c r="L14" s="10"/>
    </row>
    <row r="15" ht="52.5" customHeight="1">
      <c r="A15" s="43"/>
      <c r="B15" s="44" t="str">
        <f>IFERROR(__xludf.DUMMYFUNCTION("""COMPUTED_VALUE"""),"19:30 - 21:00")</f>
        <v>19:30 - 21:00</v>
      </c>
      <c r="C15" s="8" t="str">
        <f>IFERROR(__xludf.DUMMYFUNCTION("""COMPUTED_VALUE"""),"Технологическая (проектно-технологическая) практика в 1310 (9н.)")</f>
        <v>Технологическая (проектно-технологическая) практика в 1310 (9н.)</v>
      </c>
      <c r="D15" s="9"/>
      <c r="E15" s="9"/>
      <c r="F15" s="9"/>
      <c r="G15" s="9"/>
      <c r="H15" s="9"/>
      <c r="I15" s="9"/>
      <c r="J15" s="9"/>
      <c r="K15" s="9"/>
      <c r="L15" s="10"/>
    </row>
    <row r="16" ht="52.5" customHeight="1">
      <c r="A16" s="45" t="str">
        <f>IFERROR(__xludf.DUMMYFUNCTION("""COMPUTED_VALUE"""),"Среда")</f>
        <v>Среда</v>
      </c>
      <c r="B16" s="38" t="str">
        <f>IFERROR(__xludf.DUMMYFUNCTION("""COMPUTED_VALUE"""),"08:30 - 10:00")</f>
        <v>08:30 - 10:00</v>
      </c>
      <c r="C16" s="18"/>
      <c r="D16" s="18"/>
      <c r="E16" s="18"/>
      <c r="F16" s="18" t="str">
        <f>IFERROR(__xludf.DUMMYFUNCTION("""COMPUTED_VALUE"""),"Архитектура систем Ибатулин Н.Н. в 1404 ")</f>
        <v>Архитектура систем Ибатулин Н.Н. в 1404 </v>
      </c>
      <c r="G16" s="18" t="str">
        <f>IFERROR(__xludf.DUMMYFUNCTION("""COMPUTED_VALUE"""),"Архитектура систем Лукьяничева Е.О.в 1305 (25.05 переносится на 26.05 в 8.30 в 1409)")</f>
        <v>Архитектура систем Лукьяничева Е.О.в 1305 (25.05 переносится на 26.05 в 8.30 в 1409)</v>
      </c>
      <c r="H16" s="21"/>
      <c r="I16" s="18"/>
      <c r="J16" s="18"/>
      <c r="K16" s="18"/>
      <c r="L16" s="18"/>
    </row>
    <row r="17" ht="52.5" customHeight="1">
      <c r="A17" s="40"/>
      <c r="B17" s="41" t="str">
        <f>IFERROR(__xludf.DUMMYFUNCTION("""COMPUTED_VALUE"""),"10:10 - 11:40")</f>
        <v>10:10 - 11:40</v>
      </c>
      <c r="C17" s="18"/>
      <c r="D17" s="18" t="str">
        <f>IFERROR(__xludf.DUMMYFUNCTION("""COMPUTED_VALUE"""),"Управление проектами Насибуллина Э.Р. по ч.н.в 1404")</f>
        <v>Управление проектами Насибуллина Э.Р. по ч.н.в 1404</v>
      </c>
      <c r="E17" s="18" t="str">
        <f>IFERROR(__xludf.DUMMYFUNCTION("""COMPUTED_VALUE"""),"Инновационная экономика и технологическое предпринимательство Мустафина А.А. н.н. в 1308")</f>
        <v>Инновационная экономика и технологическое предпринимательство Мустафина А.А. н.н. в 1308</v>
      </c>
      <c r="F17" s="18"/>
      <c r="G17" s="18"/>
      <c r="H17" s="21" t="str">
        <f>IFERROR(__xludf.DUMMYFUNCTION("""COMPUTED_VALUE"""),"Управление проектами Насибуллина Э.Р. н.н.в 1404")</f>
        <v>Управление проектами Насибуллина Э.Р. н.н.в 1404</v>
      </c>
      <c r="I17" s="19" t="str">
        <f>IFERROR(__xludf.DUMMYFUNCTION("""COMPUTED_VALUE"""),"Архитектура систем Тощев А.С. в 1310-1311( 8.06 в 1310)")</f>
        <v>Архитектура систем Тощев А.С. в 1310-1311( 8.06 в 1310)</v>
      </c>
      <c r="J17" s="9"/>
      <c r="K17" s="9"/>
      <c r="L17" s="10"/>
    </row>
    <row r="18" ht="52.5" customHeight="1">
      <c r="A18" s="40"/>
      <c r="B18" s="41" t="str">
        <f>IFERROR(__xludf.DUMMYFUNCTION("""COMPUTED_VALUE"""),"11:50 - 13:20")</f>
        <v>11:50 - 13:20</v>
      </c>
      <c r="C18" s="19" t="str">
        <f>IFERROR(__xludf.DUMMYFUNCTION("""COMPUTED_VALUE"""),"Архитектура систем Тощев А.С. в 109  к.2")</f>
        <v>Архитектура систем Тощев А.С. в 109  к.2</v>
      </c>
      <c r="D18" s="9"/>
      <c r="E18" s="9"/>
      <c r="F18" s="9"/>
      <c r="G18" s="9"/>
      <c r="H18" s="10"/>
      <c r="I18" s="18"/>
      <c r="J18" s="21"/>
      <c r="K18" s="21" t="str">
        <f>IFERROR(__xludf.DUMMYFUNCTION("""COMPUTED_VALUE"""),"Управление проектами Селезнева Н.Э. н.н.в 1404")</f>
        <v>Управление проектами Селезнева Н.Э. н.н.в 1404</v>
      </c>
      <c r="L18" s="21" t="str">
        <f>IFERROR(__xludf.DUMMYFUNCTION("""COMPUTED_VALUE"""),"Управление проектами Селезнева Н.Э. ч.н.в 1404(8.06 в 1508)")</f>
        <v>Управление проектами Селезнева Н.Э. ч.н.в 1404(8.06 в 1508)</v>
      </c>
    </row>
    <row r="19" ht="52.5" customHeight="1">
      <c r="A19" s="40"/>
      <c r="B19" s="42" t="str">
        <f>IFERROR(__xludf.DUMMYFUNCTION("""COMPUTED_VALUE"""),"14:00 - 15:30")</f>
        <v>14:00 - 15:30</v>
      </c>
      <c r="C19" s="12" t="str">
        <f>IFERROR(__xludf.DUMMYFUNCTION("""COMPUTED_VALUE"""),"Элективные курсы по физической культуре и спорту в УНИКС с 14:00 - 15:30 ")</f>
        <v>Элективные курсы по физической культуре и спорту в УНИКС с 14:00 - 15:30 </v>
      </c>
      <c r="D19" s="9"/>
      <c r="E19" s="9"/>
      <c r="F19" s="9"/>
      <c r="G19" s="9"/>
      <c r="H19" s="9"/>
      <c r="I19" s="9"/>
      <c r="J19" s="9"/>
      <c r="K19" s="9"/>
      <c r="L19" s="10"/>
    </row>
    <row r="20" ht="52.5" customHeight="1">
      <c r="A20" s="40"/>
      <c r="B20" s="42" t="str">
        <f>IFERROR(__xludf.DUMMYFUNCTION("""COMPUTED_VALUE"""),"15:40 - 17:10")</f>
        <v>15:40 - 17:10</v>
      </c>
      <c r="C20" s="12" t="str">
        <f>IFERROR(__xludf.DUMMYFUNCTION("""COMPUTED_VALUE"""),"Философия Николаева Е.М. в 109 к.2 (с 11-901 по 11-906 по н.н., с 11-907 по 11-911 в ч.н.) в ms teams")</f>
        <v>Философия Николаева Е.М. в 109 к.2 (с 11-901 по 11-906 по н.н., с 11-907 по 11-911 в ч.н.) в ms teams</v>
      </c>
      <c r="D20" s="9"/>
      <c r="E20" s="9"/>
      <c r="F20" s="9"/>
      <c r="G20" s="9"/>
      <c r="H20" s="9"/>
      <c r="I20" s="9"/>
      <c r="J20" s="9"/>
      <c r="K20" s="9"/>
      <c r="L20" s="10"/>
    </row>
    <row r="21" ht="52.5" customHeight="1">
      <c r="A21" s="40"/>
      <c r="B21" s="42" t="str">
        <f>IFERROR(__xludf.DUMMYFUNCTION("""COMPUTED_VALUE"""),"17:50 - 19:20")</f>
        <v>17:50 - 19:20</v>
      </c>
      <c r="C21" s="12" t="str">
        <f>IFERROR(__xludf.DUMMYFUNCTION("""COMPUTED_VALUE"""),"Информационная безопасность Иванов К.В. в 108 к.2 (MS Teams) ")</f>
        <v>Информационная безопасность Иванов К.В. в 108 к.2 (MS Teams) </v>
      </c>
      <c r="D21" s="9"/>
      <c r="E21" s="9"/>
      <c r="F21" s="9"/>
      <c r="G21" s="9"/>
      <c r="H21" s="9"/>
      <c r="I21" s="9"/>
      <c r="J21" s="9"/>
      <c r="K21" s="9"/>
      <c r="L21" s="10"/>
    </row>
    <row r="22" ht="52.5" customHeight="1">
      <c r="A22" s="43"/>
      <c r="B22" s="44" t="str">
        <f>IFERROR(__xludf.DUMMYFUNCTION("""COMPUTED_VALUE"""),"19:30 - 21:00")</f>
        <v>19:30 - 21:00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</row>
    <row r="23" ht="52.5" customHeight="1">
      <c r="A23" s="45" t="str">
        <f>IFERROR(__xludf.DUMMYFUNCTION("""COMPUTED_VALUE"""),"Четверг")</f>
        <v>Четверг</v>
      </c>
      <c r="B23" s="38" t="str">
        <f>IFERROR(__xludf.DUMMYFUNCTION("""COMPUTED_VALUE"""),"08:30 - 10:00")</f>
        <v>08:30 - 10:00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ht="52.5" customHeight="1">
      <c r="A24" s="40"/>
      <c r="B24" s="41" t="str">
        <f>IFERROR(__xludf.DUMMYFUNCTION("""COMPUTED_VALUE"""),"10:10 - 11:40")</f>
        <v>10:10 - 11:40</v>
      </c>
      <c r="C24" s="17" t="str">
        <f>IFERROR(__xludf.DUMMYFUNCTION("""COMPUTED_VALUE"""),"Философия Пилото Родригес Ховьер Альберто н.н.в 1408 ")</f>
        <v>Философия Пилото Родригес Ховьер Альберто н.н.в 1408 </v>
      </c>
      <c r="D24" s="17" t="str">
        <f>IFERROR(__xludf.DUMMYFUNCTION("""COMPUTED_VALUE"""),"Информационная безопасность Зиятдинов М.Т.1306 ")</f>
        <v>Информационная безопасность Зиятдинов М.Т.1306 </v>
      </c>
      <c r="E24" s="18" t="str">
        <f>IFERROR(__xludf.DUMMYFUNCTION("""COMPUTED_VALUE"""),"Философия Пилото Родригес Ховьер Альберто ч.н.в 1408 ( 9.06 в 1405)")</f>
        <v>Философия Пилото Родригес Ховьер Альберто ч.н.в 1408 ( 9.06 в 1405)</v>
      </c>
      <c r="F24" s="18"/>
      <c r="G24" s="18"/>
      <c r="H24" s="18" t="str">
        <f>IFERROR(__xludf.DUMMYFUNCTION("""COMPUTED_VALUE"""),"Архитектура систем Ихсанов И.С. в 1308( 9.06 в 1307)")</f>
        <v>Архитектура систем Ихсанов И.С. в 1308( 9.06 в 1307)</v>
      </c>
      <c r="I24" s="18"/>
      <c r="J24" s="18"/>
      <c r="K24" s="18"/>
      <c r="L24" s="18"/>
    </row>
    <row r="25" ht="52.5" customHeight="1">
      <c r="A25" s="40"/>
      <c r="B25" s="48" t="str">
        <f>IFERROR(__xludf.DUMMYFUNCTION("""COMPUTED_VALUE"""),"11:50 - 13:20")</f>
        <v>11:50 - 13:20</v>
      </c>
      <c r="C25" s="17" t="str">
        <f>IFERROR(__xludf.DUMMYFUNCTION("""COMPUTED_VALUE"""),"Информационная безопасность Зиятдинов М.Т.1306")</f>
        <v>Информационная безопасность Зиятдинов М.Т.1306</v>
      </c>
      <c r="D25" s="17" t="str">
        <f>IFERROR(__xludf.DUMMYFUNCTION("""COMPUTED_VALUE"""),"Архитектура систем Лукьяничева Е.О. в 1508 (26.05 перенос в ауд.1409 раз)")</f>
        <v>Архитектура систем Лукьяничева Е.О. в 1508 (26.05 перенос в ауд.1409 раз)</v>
      </c>
      <c r="E25" s="18"/>
      <c r="F25" s="21"/>
      <c r="G25" s="18" t="str">
        <f>IFERROR(__xludf.DUMMYFUNCTION("""COMPUTED_VALUE"""),"Философия Пилото Родригес Ховьер Альберто н.н.в 1310 ")</f>
        <v>Философия Пилото Родригес Ховьер Альберто н.н.в 1310 </v>
      </c>
      <c r="H25" s="18" t="str">
        <f>IFERROR(__xludf.DUMMYFUNCTION("""COMPUTED_VALUE"""),"Инновационная экономика и технологическое предпринимательство Ибатуллина А.А. н.н. в 1408 ")</f>
        <v>Инновационная экономика и технологическое предпринимательство Ибатуллина А.А. н.н. в 1408 </v>
      </c>
      <c r="I25" s="18" t="str">
        <f>IFERROR(__xludf.DUMMYFUNCTION("""COMPUTED_VALUE"""),"Архитектура систем  Ихсанов И.С. в 1311")</f>
        <v>Архитектура систем  Ихсанов И.С. в 1311</v>
      </c>
      <c r="J25" s="21" t="str">
        <f>IFERROR(__xludf.DUMMYFUNCTION("""COMPUTED_VALUE"""),"Управление проектами Туйкин А.М. н.н. в 1409 ")</f>
        <v>Управление проектами Туйкин А.М. н.н. в 1409 </v>
      </c>
      <c r="K25" s="18" t="str">
        <f>IFERROR(__xludf.DUMMYFUNCTION("""COMPUTED_VALUE"""),"Архитектура систем Гарифуллина Р.Н. в 1509 ")</f>
        <v>Архитектура систем Гарифуллина Р.Н. в 1509 </v>
      </c>
      <c r="L25" s="17" t="str">
        <f>IFERROR(__xludf.DUMMYFUNCTION("""COMPUTED_VALUE"""),"Философия Пилото Родригес Ховьер Альберто ч.н.в 1310(9.06 в 1405))")</f>
        <v>Философия Пилото Родригес Ховьер Альберто ч.н.в 1310(9.06 в 1405))</v>
      </c>
    </row>
    <row r="26" ht="52.5" customHeight="1">
      <c r="A26" s="40"/>
      <c r="B26" s="42" t="str">
        <f>IFERROR(__xludf.DUMMYFUNCTION("""COMPUTED_VALUE"""),"14:00 - 15:30")</f>
        <v>14:00 - 15:30</v>
      </c>
      <c r="C26" s="18" t="str">
        <f>IFERROR(__xludf.DUMMYFUNCTION("""COMPUTED_VALUE"""),"Архитектура систем Лукьяничева Е.О. в 1508 ")</f>
        <v>Архитектура систем Лукьяничева Е.О. в 1508 </v>
      </c>
      <c r="D26" s="18"/>
      <c r="E26" s="18"/>
      <c r="F26" s="16" t="str">
        <f>IFERROR(__xludf.DUMMYFUNCTION("""COMPUTED_VALUE"""),"Управление проектами Насибуллина Э.Р. н.н.в 1311")</f>
        <v>Управление проектами Насибуллина Э.Р. н.н.в 1311</v>
      </c>
      <c r="G26" s="16" t="str">
        <f>IFERROR(__xludf.DUMMYFUNCTION("""COMPUTED_VALUE"""),"Управление проектами Насибуллина Э.Р. ч.н.в 1311")</f>
        <v>Управление проектами Насибуллина Э.Р. ч.н.в 1311</v>
      </c>
      <c r="H26" s="18"/>
      <c r="I26" s="18" t="str">
        <f>IFERROR(__xludf.DUMMYFUNCTION("""COMPUTED_VALUE"""),"Инновационная экономика и технологическое предпринимательство Ибатуллина А.А. н.н. в 1408 ")</f>
        <v>Инновационная экономика и технологическое предпринимательство Ибатуллина А.А. н.н. в 1408 </v>
      </c>
      <c r="J26" s="18" t="str">
        <f>IFERROR(__xludf.DUMMYFUNCTION("""COMPUTED_VALUE"""),"Философия Пилото Родригес Ховьер Альберто ч.н. в 1310( 9.05 в 1405)")</f>
        <v>Философия Пилото Родригес Ховьер Альберто ч.н. в 1310( 9.05 в 1405)</v>
      </c>
      <c r="K26" s="18" t="str">
        <f>IFERROR(__xludf.DUMMYFUNCTION("""COMPUTED_VALUE"""),"Философия Пилото Родригес Ховьер Альберто н.н. в 1310 ")</f>
        <v>Философия Пилото Родригес Ховьер Альберто н.н. в 1310 </v>
      </c>
      <c r="L26" s="18" t="str">
        <f>IFERROR(__xludf.DUMMYFUNCTION("""COMPUTED_VALUE"""),"Инновационная экономика и технологическое предпринимательство Ибатуллина А.А. ч.н.в 1408")</f>
        <v>Инновационная экономика и технологическое предпринимательство Ибатуллина А.А. ч.н.в 1408</v>
      </c>
    </row>
    <row r="27" ht="52.5" customHeight="1">
      <c r="A27" s="40"/>
      <c r="B27" s="42" t="str">
        <f>IFERROR(__xludf.DUMMYFUNCTION("""COMPUTED_VALUE"""),"15:40 - 17:10")</f>
        <v>15:40 - 17:10</v>
      </c>
      <c r="C27" s="12" t="str">
        <f>IFERROR(__xludf.DUMMYFUNCTION("""COMPUTED_VALUE"""),"Дисциплины по выбору: 
Введение в теорию и практику анимации Костюк Д.И.в 1408, Газизов Р. 1405, 
Эффективная разработка Серазетдинова И.Р. в 1305, Хуснутдинов Р.Д. в 1508, 
Скриптинг Тощев В.С.в 1304
Технологии NET д.гл. Аршинов М.В. в 1307, 
Технологии "&amp;"Java д.гл. Сидиков М.Р. гр.1 MS Teams.")</f>
        <v>Дисциплины по выбору: 
Введение в теорию и практику анимации Костюк Д.И.в 1408, Газизов Р. 1405, 
Эффективная разработка Серазетдинова И.Р. в 1305, Хуснутдинов Р.Д. в 1508, 
Скриптинг Тощев В.С.в 1304
Технологии NET д.гл. Аршинов М.В. в 1307, 
Технологии Java д.гл. Сидиков М.Р. гр.1 MS Teams.</v>
      </c>
      <c r="D27" s="9"/>
      <c r="E27" s="9"/>
      <c r="F27" s="9"/>
      <c r="G27" s="9"/>
      <c r="H27" s="9"/>
      <c r="I27" s="9"/>
      <c r="J27" s="9"/>
      <c r="K27" s="9"/>
      <c r="L27" s="10"/>
    </row>
    <row r="28" ht="52.5" customHeight="1">
      <c r="A28" s="40"/>
      <c r="B28" s="42" t="str">
        <f>IFERROR(__xludf.DUMMYFUNCTION("""COMPUTED_VALUE"""),"17:50 - 19:20")</f>
        <v>17:50 - 19:20</v>
      </c>
      <c r="C28" s="12" t="str">
        <f>IFERROR(__xludf.DUMMYFUNCTION("""COMPUTED_VALUE"""),"Дисциплины по выбору: 
Проектирование Веб-интерфейсов Габдрахманов Б. (MS Teams) , 
Введение в теорию и практику анимации Костюк Д.И.в 1404, Газизов Р. 1310, 
Эффективная разработка Серазетдинова И.в 1305,Хуснутдинов Р.Д. в 1508, 
Скриптинг Тощев В.С.в 13"&amp;"04, 
Технологии NET д.гл. Аршинов М.В. в 1307, 
Технологии Java д.гл. Сидиков М.Р. гр.1 MS Teams , 
Базы данных д.гл. Якупов А.Ш.")</f>
        <v>Дисциплины по выбору: 
Проектирование Веб-интерфейсов Габдрахманов Б. (MS Teams) , 
Введение в теорию и практику анимации Костюк Д.И.в 1404, Газизов Р. 1310, 
Эффективная разработка Серазетдинова И.в 1305,Хуснутдинов Р.Д. в 1508, 
Скриптинг Тощев В.С.в 1304, 
Технологии NET д.гл. Аршинов М.В. в 1307, 
Технологии Java д.гл. Сидиков М.Р. гр.1 MS Teams , 
Базы данных д.гл. Якупов А.Ш.</v>
      </c>
      <c r="D28" s="9"/>
      <c r="E28" s="9"/>
      <c r="F28" s="9"/>
      <c r="G28" s="9"/>
      <c r="H28" s="9"/>
      <c r="I28" s="9"/>
      <c r="J28" s="9"/>
      <c r="K28" s="9"/>
      <c r="L28" s="10"/>
    </row>
    <row r="29" ht="52.5" customHeight="1">
      <c r="A29" s="43"/>
      <c r="B29" s="44" t="str">
        <f>IFERROR(__xludf.DUMMYFUNCTION("""COMPUTED_VALUE"""),"19:30 - 21:00")</f>
        <v>19:30 - 21:00</v>
      </c>
      <c r="C29" s="24" t="str">
        <f>IFERROR(__xludf.DUMMYFUNCTION("""COMPUTED_VALUE"""),"Дисциплины по выбору: 
Проектирование Веб-интерфейсов Габдрахманов Б. MS Teams ")</f>
        <v>Дисциплины по выбору: 
Проектирование Веб-интерфейсов Габдрахманов Б. MS Teams </v>
      </c>
      <c r="D29" s="9"/>
      <c r="E29" s="9"/>
      <c r="F29" s="9"/>
      <c r="G29" s="9"/>
      <c r="H29" s="9"/>
      <c r="I29" s="9"/>
      <c r="J29" s="9"/>
      <c r="K29" s="9"/>
      <c r="L29" s="10"/>
    </row>
    <row r="30" ht="52.5" customHeight="1">
      <c r="A30" s="45" t="str">
        <f>IFERROR(__xludf.DUMMYFUNCTION("""COMPUTED_VALUE"""),"Пятница")</f>
        <v>Пятница</v>
      </c>
      <c r="B30" s="38" t="str">
        <f>IFERROR(__xludf.DUMMYFUNCTION("""COMPUTED_VALUE"""),"08:30 - 10:00")</f>
        <v>08:30 - 10:00</v>
      </c>
      <c r="C30" s="18"/>
      <c r="D30" s="18"/>
      <c r="E30" s="17" t="str">
        <f>IFERROR(__xludf.DUMMYFUNCTION("""COMPUTED_VALUE"""),"Архитектура систем Ибатулин Н.Н. 1301")</f>
        <v>Архитектура систем Ибатулин Н.Н. 1301</v>
      </c>
      <c r="F30" s="18"/>
      <c r="G30" s="18"/>
      <c r="H30" s="18" t="str">
        <f>IFERROR(__xludf.DUMMYFUNCTION("""COMPUTED_VALUE"""),"Философия Пилото Родригес Ховьер Альберто н.н.в 1304 ")</f>
        <v>Философия Пилото Родригес Ховьер Альберто н.н.в 1304 </v>
      </c>
      <c r="I30" s="18" t="str">
        <f>IFERROR(__xludf.DUMMYFUNCTION("""COMPUTED_VALUE"""),"Философия Пилото Родригес Ховьер Альберто ч.н.в 1304 (в ms teams)")</f>
        <v>Философия Пилото Родригес Ховьер Альберто ч.н.в 1304 (в ms teams)</v>
      </c>
      <c r="J30" s="18"/>
      <c r="K30" s="18"/>
      <c r="L30" s="18"/>
    </row>
    <row r="31" ht="52.5" customHeight="1">
      <c r="A31" s="40"/>
      <c r="B31" s="41" t="str">
        <f>IFERROR(__xludf.DUMMYFUNCTION("""COMPUTED_VALUE"""),"10:10 - 11:40")</f>
        <v>10:10 - 11:40</v>
      </c>
      <c r="C31" s="12" t="str">
        <f>IFERROR(__xludf.DUMMYFUNCTION("""COMPUTED_VALUE"""),"Дисциплины по выбору: 
Анализ данных Нурутдинова А.Р. (лекция) в 1311 в ms teams")</f>
        <v>Дисциплины по выбору: 
Анализ данных Нурутдинова А.Р. (лекция) в 1311 в ms teams</v>
      </c>
      <c r="D31" s="9"/>
      <c r="E31" s="9"/>
      <c r="F31" s="9"/>
      <c r="G31" s="9"/>
      <c r="H31" s="9"/>
      <c r="I31" s="9"/>
      <c r="J31" s="9"/>
      <c r="K31" s="9"/>
      <c r="L31" s="10"/>
    </row>
    <row r="32" ht="52.5" customHeight="1">
      <c r="A32" s="40"/>
      <c r="B32" s="41" t="str">
        <f>IFERROR(__xludf.DUMMYFUNCTION("""COMPUTED_VALUE"""),"11:50 - 13:20")</f>
        <v>11:50 - 13:20</v>
      </c>
      <c r="C32" s="12" t="str">
        <f>IFERROR(__xludf.DUMMYFUNCTION("""COMPUTED_VALUE"""),"Дисциплины по выбору: 
Анализ данных практика Григорян К.А.гр.1 в 1306 , Еникеева З.А. в 1310 (лекция) (20.05 перенос в 1509)
Обработка текстов на естественном языке Липачев Е.К.(лекция) в 1311 (ms teams)")</f>
        <v>Дисциплины по выбору: 
Анализ данных практика Григорян К.А.гр.1 в 1306 , Еникеева З.А. в 1310 (лекция) (20.05 перенос в 1509)
Обработка текстов на естественном языке Липачев Е.К.(лекция) в 1311 (ms teams)</v>
      </c>
      <c r="D32" s="9"/>
      <c r="E32" s="9"/>
      <c r="F32" s="9"/>
      <c r="G32" s="9"/>
      <c r="H32" s="9"/>
      <c r="I32" s="9"/>
      <c r="J32" s="9"/>
      <c r="K32" s="9"/>
      <c r="L32" s="10"/>
    </row>
    <row r="33" ht="52.5" customHeight="1">
      <c r="A33" s="40"/>
      <c r="B33" s="42" t="str">
        <f>IFERROR(__xludf.DUMMYFUNCTION("""COMPUTED_VALUE"""),"14:00 - 15:30")</f>
        <v>14:00 - 15:30</v>
      </c>
      <c r="C33" s="8" t="str">
        <f>IFERROR(__xludf.DUMMYFUNCTION("""COMPUTED_VALUE"""),"Дисциплины по выбору:
Физика д.гл. Мутыгуллина А.А. в 1309, 
Биоинформатика Козлова О.С. в 1307, 
Анализ данных д.гл. Еникеева З.А.гр.1 в 1408   , Лернер Э.Ю.( 3.06 переносится на 7.06 в 14.00 в 1306) в 1308, Григорян К.А. гр.2 в 1306,  
Обработка текстов"&amp;" на естественном языке (прак.)Мифтахутдинов З.Ш. гр. 1 в 1412, 
Проектирование цифровых образовательных сред Абрамский М.М.в 1509 .")</f>
        <v>Дисциплины по выбору:
Физика д.гл. Мутыгуллина А.А. в 1309, 
Биоинформатика Козлова О.С. в 1307, 
Анализ данных д.гл. Еникеева З.А.гр.1 в 1408   , Лернер Э.Ю.( 3.06 переносится на 7.06 в 14.00 в 1306) в 1308, Григорян К.А. гр.2 в 1306,  
Обработка текстов на естественном языке (прак.)Мифтахутдинов З.Ш. гр. 1 в 1412, 
Проектирование цифровых образовательных сред Абрамский М.М.в 1509 .</v>
      </c>
      <c r="D33" s="9"/>
      <c r="E33" s="9"/>
      <c r="F33" s="9"/>
      <c r="G33" s="9"/>
      <c r="H33" s="9"/>
      <c r="I33" s="9"/>
      <c r="J33" s="9"/>
      <c r="K33" s="9"/>
      <c r="L33" s="10"/>
    </row>
    <row r="34" ht="52.5" customHeight="1">
      <c r="A34" s="40"/>
      <c r="B34" s="42" t="str">
        <f>IFERROR(__xludf.DUMMYFUNCTION("""COMPUTED_VALUE"""),"15:40 - 17:10")</f>
        <v>15:40 - 17:10</v>
      </c>
      <c r="C34" s="8" t="str">
        <f>IFERROR(__xludf.DUMMYFUNCTION("""COMPUTED_VALUE"""),"Дисциплины по выбору:
Физика д.гл. Мутыгуллина А.А. в 1309, 
Биоинформатика Козлова О.С. в 1307, 
Анализ данных д.гл. Еникеева З.А.в 1405 гр.2( 1.04 перенос на 4.04 в 19.30 ms teams)  , Лернер Э.Ю.в 1308, Григорян К.А. гр.3 в 1306, 
Обработка текстов на е"&amp;"стественном языке  Мифтахутдинов З.Ш.,гр.2 в 1412   
Проектирование цифровых образовательных сред Абрамский М.М.в 1509, 
Основы робототехники часть 2 Афанасьев И.М. (MS Teams) код команды:zlwqzcf")</f>
        <v>Дисциплины по выбору:
Физика д.гл. Мутыгуллина А.А. в 1309, 
Биоинформатика Козлова О.С. в 1307, 
Анализ данных д.гл. Еникеева З.А.в 1405 гр.2( 1.04 перенос на 4.04 в 19.30 ms teams)  , Лернер Э.Ю.в 1308, Григорян К.А. гр.3 в 1306, 
Обработка текстов на естественном языке  Мифтахутдинов З.Ш.,гр.2 в 1412   
Проектирование цифровых образовательных сред Абрамский М.М.в 1509, 
Основы робототехники часть 2 Афанасьев И.М. (MS Teams) код команды:zlwqzcf</v>
      </c>
      <c r="D34" s="9"/>
      <c r="E34" s="9"/>
      <c r="F34" s="9"/>
      <c r="G34" s="9"/>
      <c r="H34" s="9"/>
      <c r="I34" s="9"/>
      <c r="J34" s="9"/>
      <c r="K34" s="9"/>
      <c r="L34" s="10"/>
    </row>
    <row r="35" ht="52.5" customHeight="1">
      <c r="A35" s="40"/>
      <c r="B35" s="42" t="str">
        <f>IFERROR(__xludf.DUMMYFUNCTION("""COMPUTED_VALUE"""),"17:50 - 19:20")</f>
        <v>17:50 - 19:20</v>
      </c>
      <c r="C35" s="24" t="str">
        <f>IFERROR(__xludf.DUMMYFUNCTION("""COMPUTED_VALUE""")," Дисциплины по выбору: 
Технологии Java д.гл. Сидиков М.Р. гр.2 в 1304,
Основы робототехники часть 2 Афанасьев И.М. (MS Teams)")</f>
        <v> Дисциплины по выбору: 
Технологии Java д.гл. Сидиков М.Р. гр.2 в 1304,
Основы робототехники часть 2 Афанасьев И.М. (MS Teams)</v>
      </c>
      <c r="D35" s="9"/>
      <c r="E35" s="9"/>
      <c r="F35" s="9"/>
      <c r="G35" s="9"/>
      <c r="H35" s="9"/>
      <c r="I35" s="9"/>
      <c r="J35" s="9"/>
      <c r="K35" s="9"/>
      <c r="L35" s="10"/>
    </row>
    <row r="36" ht="52.5" customHeight="1">
      <c r="A36" s="43"/>
      <c r="B36" s="44" t="str">
        <f>IFERROR(__xludf.DUMMYFUNCTION("""COMPUTED_VALUE"""),"19:30 - 21:00")</f>
        <v>19:30 - 21:00</v>
      </c>
      <c r="C36" s="24" t="str">
        <f>IFERROR(__xludf.DUMMYFUNCTION("""COMPUTED_VALUE""")," Дисциплины по выбору: 
Технологии Java д.гл. Сидиков М.Р. гр.2 в 1304(ms teams)")</f>
        <v> Дисциплины по выбору: 
Технологии Java д.гл. Сидиков М.Р. гр.2 в 1304(ms teams)</v>
      </c>
      <c r="D36" s="9"/>
      <c r="E36" s="9"/>
      <c r="F36" s="9"/>
      <c r="G36" s="9"/>
      <c r="H36" s="9"/>
      <c r="I36" s="9"/>
      <c r="J36" s="9"/>
      <c r="K36" s="9"/>
      <c r="L36" s="10"/>
    </row>
    <row r="37" ht="52.5" customHeight="1">
      <c r="A37" s="45" t="str">
        <f>IFERROR(__xludf.DUMMYFUNCTION("""COMPUTED_VALUE"""),"Суббота")</f>
        <v>Суббота</v>
      </c>
      <c r="B37" s="46" t="str">
        <f>IFERROR(__xludf.DUMMYFUNCTION("""COMPUTED_VALUE"""),"08:30 - 10:00")</f>
        <v>08:30 - 10:00</v>
      </c>
      <c r="C37" s="18"/>
      <c r="D37" s="18"/>
      <c r="E37" s="18"/>
      <c r="F37" s="18"/>
      <c r="G37" s="18"/>
      <c r="H37" s="18"/>
      <c r="I37" s="18"/>
      <c r="J37" s="18" t="str">
        <f>IFERROR(__xludf.DUMMYFUNCTION("""COMPUTED_VALUE"""),"Информационная безопасность  Шарипов Р.Р. в 1412")</f>
        <v>Информационная безопасность  Шарипов Р.Р. в 1412</v>
      </c>
      <c r="K37" s="18"/>
      <c r="L37" s="18"/>
    </row>
    <row r="38" ht="52.5" customHeight="1">
      <c r="A38" s="40"/>
      <c r="B38" s="48" t="str">
        <f>IFERROR(__xludf.DUMMYFUNCTION("""COMPUTED_VALUE"""),"10:10 - 11:40")</f>
        <v>10:10 - 11:40</v>
      </c>
      <c r="C38" s="18"/>
      <c r="D38" s="18"/>
      <c r="E38" s="21"/>
      <c r="F38" s="18" t="str">
        <f>IFERROR(__xludf.DUMMYFUNCTION("""COMPUTED_VALUE"""),"Информационная безопасность Дорофеев В.И.в 1404 (11.06 в 1408)")</f>
        <v>Информационная безопасность Дорофеев В.И.в 1404 (11.06 в 1408)</v>
      </c>
      <c r="G38" s="18"/>
      <c r="H38" s="18"/>
      <c r="I38" s="18"/>
      <c r="J38" s="18" t="str">
        <f>IFERROR(__xludf.DUMMYFUNCTION("""COMPUTED_VALUE"""),"Архитектура систем Родионова А.В.в 1305(с 18.04 перенос на понд.в 17.50 в 1412")</f>
        <v>Архитектура систем Родионова А.В.в 1305(с 18.04 перенос на понд.в 17.50 в 1412</v>
      </c>
      <c r="K38" s="18" t="str">
        <f>IFERROR(__xludf.DUMMYFUNCTION("""COMPUTED_VALUE"""),"Информационная безопасность  Шарипов Р.Р. в 1412")</f>
        <v>Информационная безопасность  Шарипов Р.Р. в 1412</v>
      </c>
      <c r="L38" s="18"/>
    </row>
    <row r="39" ht="52.5" customHeight="1">
      <c r="A39" s="40"/>
      <c r="B39" s="41" t="str">
        <f>IFERROR(__xludf.DUMMYFUNCTION("""COMPUTED_VALUE"""),"11:50 - 13:20")</f>
        <v>11:50 - 13:20</v>
      </c>
      <c r="C39" s="18"/>
      <c r="D39" s="17" t="str">
        <f>IFERROR(__xludf.DUMMYFUNCTION("""COMPUTED_VALUE"""),"Философия Пилото Родригес Ховьер Альберто н.н.в 1304")</f>
        <v>Философия Пилото Родригес Ховьер Альберто н.н.в 1304</v>
      </c>
      <c r="E39" s="21" t="str">
        <f>IFERROR(__xludf.DUMMYFUNCTION("""COMPUTED_VALUE"""),"Управление проектами Ибатулин Н.Н. н.н. в 1309")</f>
        <v>Управление проектами Ибатулин Н.Н. н.н. в 1309</v>
      </c>
      <c r="F39" s="17" t="str">
        <f>IFERROR(__xludf.DUMMYFUNCTION("""COMPUTED_VALUE"""),"Философия Пилото Родригес Ховьер Альберто ч.н.в 1304 ")</f>
        <v>Философия Пилото Родригес Ховьер Альберто ч.н.в 1304 </v>
      </c>
      <c r="G39" s="18" t="str">
        <f>IFERROR(__xludf.DUMMYFUNCTION("""COMPUTED_VALUE"""),"Информационная безопасность Дорофеев В.И.в 1404 ")</f>
        <v>Информационная безопасность Дорофеев В.И.в 1404 </v>
      </c>
      <c r="H39" s="18"/>
      <c r="I39" s="21" t="str">
        <f>IFERROR(__xludf.DUMMYFUNCTION("""COMPUTED_VALUE"""),"Управление проектами Ибатулин Н.Н. ч.н. в 1309 ( 11.06 в 1305)")</f>
        <v>Управление проектами Ибатулин Н.Н. ч.н. в 1309 ( 11.06 в 1305)</v>
      </c>
      <c r="J39" s="18"/>
      <c r="K39" s="18"/>
      <c r="L39" s="18" t="str">
        <f>IFERROR(__xludf.DUMMYFUNCTION("""COMPUTED_VALUE"""),"Архитектура систем Родионова А.В.в 1305(с 18.04 перенос на понд.в 19.30 в 1412")</f>
        <v>Архитектура систем Родионова А.В.в 1305(с 18.04 перенос на понд.в 19.30 в 1412</v>
      </c>
    </row>
    <row r="40" ht="52.5" customHeight="1">
      <c r="A40" s="40"/>
      <c r="B40" s="42" t="str">
        <f>IFERROR(__xludf.DUMMYFUNCTION("""COMPUTED_VALUE"""),"14:00 - 15:30")</f>
        <v>14:00 - 15:30</v>
      </c>
      <c r="C40" s="12" t="str">
        <f>IFERROR(__xludf.DUMMYFUNCTION("""COMPUTED_VALUE"""),"Элективные курсы по физической культуре и спорту в УНИКС с 14:00 - 15:30 ")</f>
        <v>Элективные курсы по физической культуре и спорту в УНИКС с 14:00 - 15:30 </v>
      </c>
      <c r="D40" s="9"/>
      <c r="E40" s="9"/>
      <c r="F40" s="9"/>
      <c r="G40" s="9"/>
      <c r="H40" s="9"/>
      <c r="I40" s="9"/>
      <c r="J40" s="9"/>
      <c r="K40" s="9"/>
      <c r="L40" s="10"/>
    </row>
    <row r="41" ht="52.5" customHeight="1">
      <c r="A41" s="40"/>
      <c r="B41" s="50" t="str">
        <f>IFERROR(__xludf.DUMMYFUNCTION("""COMPUTED_VALUE"""),"15:40 - 17:10")</f>
        <v>15:40 - 17:10</v>
      </c>
      <c r="C41" s="18"/>
      <c r="D41" s="18"/>
      <c r="E41" s="18" t="str">
        <f>IFERROR(__xludf.DUMMYFUNCTION("""COMPUTED_VALUE"""),"Информационная безопасность Дорофеев В.И.в 1404 ")</f>
        <v>Информационная безопасность Дорофеев В.И.в 1404 </v>
      </c>
      <c r="F41" s="18"/>
      <c r="G41" s="18"/>
      <c r="H41" s="18"/>
      <c r="I41" s="18"/>
      <c r="J41" s="18"/>
      <c r="K41" s="18"/>
      <c r="L41" s="18" t="str">
        <f>IFERROR(__xludf.DUMMYFUNCTION("""COMPUTED_VALUE"""),"                                                ")</f>
        <v>                                                </v>
      </c>
    </row>
    <row r="42" ht="52.5" customHeight="1">
      <c r="A42" s="40"/>
      <c r="B42" s="51" t="str">
        <f>IFERROR(__xludf.DUMMYFUNCTION("""COMPUTED_VALUE"""),"17:50 - 19:20")</f>
        <v>17:50 - 19:20</v>
      </c>
      <c r="C42" s="12"/>
      <c r="D42" s="9"/>
      <c r="E42" s="9"/>
      <c r="F42" s="9"/>
      <c r="G42" s="9"/>
      <c r="H42" s="9"/>
      <c r="I42" s="9"/>
      <c r="J42" s="9"/>
      <c r="K42" s="9"/>
      <c r="L42" s="10"/>
    </row>
    <row r="43" ht="52.5" customHeight="1">
      <c r="A43" s="52"/>
      <c r="B43" s="60" t="str">
        <f>IFERROR(__xludf.DUMMYFUNCTION("""COMPUTED_VALUE"""),"19:30 - 21:00")</f>
        <v>19:30 - 21:00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</row>
  </sheetData>
  <mergeCells count="28">
    <mergeCell ref="A9:A15"/>
    <mergeCell ref="A16:A22"/>
    <mergeCell ref="A23:A29"/>
    <mergeCell ref="A30:A36"/>
    <mergeCell ref="A37:A43"/>
    <mergeCell ref="A2:A8"/>
    <mergeCell ref="C2:L6"/>
    <mergeCell ref="C10:L10"/>
    <mergeCell ref="I11:L11"/>
    <mergeCell ref="C12:H12"/>
    <mergeCell ref="C14:L14"/>
    <mergeCell ref="C15:L15"/>
    <mergeCell ref="I17:L17"/>
    <mergeCell ref="C18:H18"/>
    <mergeCell ref="C19:L19"/>
    <mergeCell ref="C20:L20"/>
    <mergeCell ref="C21:L21"/>
    <mergeCell ref="C27:L27"/>
    <mergeCell ref="C28:L28"/>
    <mergeCell ref="C40:L40"/>
    <mergeCell ref="C42:L42"/>
    <mergeCell ref="C29:L29"/>
    <mergeCell ref="C31:L31"/>
    <mergeCell ref="C32:L32"/>
    <mergeCell ref="C33:L33"/>
    <mergeCell ref="C34:L34"/>
    <mergeCell ref="C35:L35"/>
    <mergeCell ref="C36:L36"/>
  </mergeCells>
  <conditionalFormatting sqref="A2:B43">
    <cfRule type="containsText" dxfId="6" priority="1" operator="containsText" text="информатика">
      <formula>NOT(ISERROR(SEARCH(("информатика"),(A2))))</formula>
    </cfRule>
  </conditionalFormatting>
  <conditionalFormatting sqref="A2:A43">
    <cfRule type="cellIs" dxfId="10" priority="2" operator="equal">
      <formula> INDIRECT("Управление!E7")</formula>
    </cfRule>
  </conditionalFormatting>
  <conditionalFormatting sqref="A1:B43">
    <cfRule type="containsText" dxfId="1" priority="3" operator="containsText" text="алгебра">
      <formula>NOT(ISERROR(SEARCH(("алгебра"),(A1))))</formula>
    </cfRule>
  </conditionalFormatting>
  <conditionalFormatting sqref="A1:B43">
    <cfRule type="containsText" dxfId="2" priority="4" operator="containsText" text="иностранный">
      <formula>NOT(ISERROR(SEARCH(("иностранный"),(A1))))</formula>
    </cfRule>
  </conditionalFormatting>
  <conditionalFormatting sqref="A1:B43">
    <cfRule type="containsText" dxfId="3" priority="5" operator="containsText" text="русский">
      <formula>NOT(ISERROR(SEARCH(("русский"),(A1))))</formula>
    </cfRule>
  </conditionalFormatting>
  <conditionalFormatting sqref="A1:B43">
    <cfRule type="containsText" dxfId="5" priority="6" operator="containsText" text="анализ">
      <formula>NOT(ISERROR(SEARCH(("анализ"),(A1))))</formula>
    </cfRule>
  </conditionalFormatting>
  <conditionalFormatting sqref="A1:B1">
    <cfRule type="containsText" dxfId="6" priority="7" operator="containsText" text="программирование">
      <formula>NOT(ISERROR(SEARCH(("программирование"),(A1))))</formula>
    </cfRule>
  </conditionalFormatting>
  <conditionalFormatting sqref="A1:B43">
    <cfRule type="containsText" dxfId="7" priority="8" operator="containsText" text="проектную">
      <formula>NOT(ISERROR(SEARCH(("проектную"),(A1))))</formula>
    </cfRule>
  </conditionalFormatting>
  <conditionalFormatting sqref="A1:B43">
    <cfRule type="containsText" dxfId="8" priority="9" operator="containsText" text="алгоритмы">
      <formula>NOT(ISERROR(SEARCH(("алгоритмы"),(A1))))</formula>
    </cfRule>
  </conditionalFormatting>
  <conditionalFormatting sqref="A1:B43">
    <cfRule type="containsText" dxfId="9" priority="10" operator="containsText" text="дискретная">
      <formula>NOT(ISERROR(SEARCH(("дискретная"),(A1))))</formula>
    </cfRule>
  </conditionalFormatting>
  <conditionalFormatting sqref="A1:L43">
    <cfRule type="containsText" dxfId="0" priority="11" operator="containsText" text="перенос">
      <formula>NOT(ISERROR(SEARCH(("перенос"),(A1))))</formula>
    </cfRule>
  </conditionalFormatting>
  <conditionalFormatting sqref="A1:L43">
    <cfRule type="containsText" dxfId="1" priority="12" operator="containsText" text="экономика">
      <formula>NOT(ISERROR(SEARCH(("экономика"),(A1))))</formula>
    </cfRule>
  </conditionalFormatting>
  <conditionalFormatting sqref="A1:A43">
    <cfRule type="cellIs" dxfId="14" priority="13" operator="equal">
      <formula> INDIRECT("Управление!G7")</formula>
    </cfRule>
  </conditionalFormatting>
  <conditionalFormatting sqref="A1:L43">
    <cfRule type="containsText" dxfId="2" priority="14" operator="containsText" text="физ">
      <formula>NOT(ISERROR(SEARCH(("физ"),(A1))))</formula>
    </cfRule>
  </conditionalFormatting>
  <conditionalFormatting sqref="A1:L43">
    <cfRule type="containsText" dxfId="4" priority="15" operator="containsText" text="анализ">
      <formula>NOT(ISERROR(SEARCH(("анализ"),(A1))))</formula>
    </cfRule>
  </conditionalFormatting>
  <conditionalFormatting sqref="A1:L43">
    <cfRule type="containsText" dxfId="5" priority="16" operator="containsText" text="правоведения и противодействия">
      <formula>NOT(ISERROR(SEARCH(("правоведения и противодействия"),(A1))))</formula>
    </cfRule>
  </conditionalFormatting>
  <conditionalFormatting sqref="A1:L43">
    <cfRule type="containsText" dxfId="9" priority="17" operator="containsText" text="Философия">
      <formula>NOT(ISERROR(SEARCH(("Философия"),(A1))))</formula>
    </cfRule>
  </conditionalFormatting>
  <conditionalFormatting sqref="A1:L43">
    <cfRule type="containsText" dxfId="8" priority="18" operator="containsText" text="Архитектура систем">
      <formula>NOT(ISERROR(SEARCH(("Архитектура систем"),(A1))))</formula>
    </cfRule>
  </conditionalFormatting>
  <conditionalFormatting sqref="A1:L43">
    <cfRule type="containsText" dxfId="7" priority="19" operator="containsText" text="Базы данных">
      <formula>NOT(ISERROR(SEARCH(("Базы данных"),(A1))))</formula>
    </cfRule>
  </conditionalFormatting>
  <conditionalFormatting sqref="A1:L43">
    <cfRule type="containsText" dxfId="6" priority="20" operator="containsText" text="практи">
      <formula>NOT(ISERROR(SEARCH(("практи"),(A1))))</formula>
    </cfRule>
  </conditionalFormatting>
  <conditionalFormatting sqref="A1:L43">
    <cfRule type="containsText" dxfId="12" priority="21" operator="containsText" text="безопасность">
      <formula>NOT(ISERROR(SEARCH(("безопасность"),(A1))))</formula>
    </cfRule>
  </conditionalFormatting>
  <conditionalFormatting sqref="A1:L43">
    <cfRule type="containsText" dxfId="15" priority="22" operator="containsText" text="управ">
      <formula>NOT(ISERROR(SEARCH(("управ"),(A1))))</formula>
    </cfRule>
  </conditionalFormatting>
  <conditionalFormatting sqref="A1:L43">
    <cfRule type="containsText" dxfId="3" priority="23" operator="containsText" text="java">
      <formula>NOT(ISERROR(SEARCH(("java"),(A1))))</formula>
    </cfRule>
  </conditionalFormatting>
  <conditionalFormatting sqref="A1:L43">
    <cfRule type="containsText" dxfId="3" priority="24" operator="containsText" text="Веб-интерфейсов">
      <formula>NOT(ISERROR(SEARCH(("Веб-интерфейсов"),(A1))))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3" max="12" width="19.5"/>
  </cols>
  <sheetData>
    <row r="1">
      <c r="A1" s="33" t="str">
        <f> 'Управление'!F5</f>
        <v>Неделя:</v>
      </c>
      <c r="B1" s="34" t="str">
        <f> 'Управление'!G6</f>
        <v>№16, чётная</v>
      </c>
      <c r="C1" s="54" t="str">
        <f>IFERROR(__xludf.DUMMYFUNCTION(" IMPORTRANGE('Управление'!D1, 'Управление'!D6)"),"11-801")</f>
        <v>11-801</v>
      </c>
      <c r="D1" s="55" t="str">
        <f>IFERROR(__xludf.DUMMYFUNCTION("""COMPUTED_VALUE"""),"11-802")</f>
        <v>11-802</v>
      </c>
      <c r="E1" s="55" t="str">
        <f>IFERROR(__xludf.DUMMYFUNCTION("""COMPUTED_VALUE"""),"11-803")</f>
        <v>11-803</v>
      </c>
      <c r="F1" s="55" t="str">
        <f>IFERROR(__xludf.DUMMYFUNCTION("""COMPUTED_VALUE"""),"11-804")</f>
        <v>11-804</v>
      </c>
      <c r="G1" s="55" t="str">
        <f>IFERROR(__xludf.DUMMYFUNCTION("""COMPUTED_VALUE"""),"11-805")</f>
        <v>11-805</v>
      </c>
      <c r="H1" s="55" t="str">
        <f>IFERROR(__xludf.DUMMYFUNCTION("""COMPUTED_VALUE"""),"11-806")</f>
        <v>11-806</v>
      </c>
      <c r="I1" s="55" t="str">
        <f>IFERROR(__xludf.DUMMYFUNCTION("""COMPUTED_VALUE"""),"11-807")</f>
        <v>11-807</v>
      </c>
      <c r="J1" s="55" t="str">
        <f>IFERROR(__xludf.DUMMYFUNCTION("""COMPUTED_VALUE"""),"11-808")</f>
        <v>11-808</v>
      </c>
      <c r="K1" s="61" t="str">
        <f>IFERROR(__xludf.DUMMYFUNCTION("""COMPUTED_VALUE"""),"11-809")</f>
        <v>11-809</v>
      </c>
      <c r="L1" s="61" t="str">
        <f>IFERROR(__xludf.DUMMYFUNCTION("""COMPUTED_VALUE"""),"11-810")</f>
        <v>11-810</v>
      </c>
    </row>
    <row r="2" ht="52.5" customHeight="1">
      <c r="A2" s="37" t="str">
        <f>IFERROR(__xludf.DUMMYFUNCTION(" IMPORTRANGE('Управление'!D2,'Управление'!E2)"),"Понедельник")</f>
        <v>Понедельник</v>
      </c>
      <c r="B2" s="38" t="str">
        <f>IFERROR(__xludf.DUMMYFUNCTION("""COMPUTED_VALUE"""),"08:30 - 10:00")</f>
        <v>08:30 - 10:00</v>
      </c>
      <c r="C2" s="18"/>
      <c r="D2" s="18"/>
      <c r="E2" s="18"/>
      <c r="F2" s="18"/>
      <c r="G2" s="17" t="str">
        <f>IFERROR(__xludf.DUMMYFUNCTION("""COMPUTED_VALUE"""),"Основы информационного поиска Лукьяничева Е.О. в 1408 ")</f>
        <v>Основы информационного поиска Лукьяничева Е.О. в 1408 </v>
      </c>
      <c r="H2" s="18"/>
      <c r="I2" s="18"/>
      <c r="J2" s="18"/>
      <c r="K2" s="18" t="str">
        <f>IFERROR(__xludf.DUMMYFUNCTION("""COMPUTED_VALUE""")," ")</f>
        <v> </v>
      </c>
      <c r="L2" s="18"/>
    </row>
    <row r="3" ht="52.5" customHeight="1">
      <c r="A3" s="40"/>
      <c r="B3" s="41" t="str">
        <f>IFERROR(__xludf.DUMMYFUNCTION("""COMPUTED_VALUE"""),"10:10 - 11:40")</f>
        <v>10:10 - 11:40</v>
      </c>
      <c r="C3" s="42" t="str">
        <f>IFERROR(__xludf.DUMMYFUNCTION("""COMPUTED_VALUE"""),"Дисциплины по выбору:  
Проектирование человеко-машинных интерфейсов Чупин М.М. (Григорян К.А.) гр 1(веб-аналитика) в 1412")</f>
        <v>Дисциплины по выбору:  
Проектирование человеко-машинных интерфейсов Чупин М.М. (Григорян К.А.) гр 1(веб-аналитика) в 1412</v>
      </c>
      <c r="D3" s="9"/>
      <c r="E3" s="9"/>
      <c r="F3" s="9"/>
      <c r="G3" s="9"/>
      <c r="H3" s="9"/>
      <c r="I3" s="9"/>
      <c r="J3" s="9"/>
      <c r="K3" s="9"/>
      <c r="L3" s="10"/>
    </row>
    <row r="4" ht="52.5" customHeight="1">
      <c r="A4" s="40"/>
      <c r="B4" s="41" t="str">
        <f>IFERROR(__xludf.DUMMYFUNCTION("""COMPUTED_VALUE"""),"11:50 - 13:20")</f>
        <v>11:50 - 13:20</v>
      </c>
      <c r="C4" s="42" t="str">
        <f>IFERROR(__xludf.DUMMYFUNCTION("""COMPUTED_VALUE"""),"Дисциплины по выбору:  
Проектирование человеко-машинных интерфейсов  Чупин М.М. (Григорян К.А.) гр 1 (веб-аналитика) в 1412")</f>
        <v>Дисциплины по выбору:  
Проектирование человеко-машинных интерфейсов  Чупин М.М. (Григорян К.А.) гр 1 (веб-аналитика) в 1412</v>
      </c>
      <c r="D4" s="9"/>
      <c r="E4" s="9"/>
      <c r="F4" s="9"/>
      <c r="G4" s="9"/>
      <c r="H4" s="9"/>
      <c r="I4" s="9"/>
      <c r="J4" s="9"/>
      <c r="K4" s="9"/>
      <c r="L4" s="10"/>
    </row>
    <row r="5" ht="52.5" customHeight="1">
      <c r="A5" s="40"/>
      <c r="B5" s="42" t="str">
        <f>IFERROR(__xludf.DUMMYFUNCTION("""COMPUTED_VALUE"""),"14:00 - 15:30")</f>
        <v>14:00 - 15:30</v>
      </c>
      <c r="C5" s="42" t="str">
        <f>IFERROR(__xludf.DUMMYFUNCTION("""COMPUTED_VALUE"""),"Дисциплины по выбору:  
Проектирование человеко-машинных интерфейсов Чупин М.М.(Григорян К.А.) гр 2(веб-аналитика) в 1412, 
Зайдуллин С.С.в 1508 ")</f>
        <v>Дисциплины по выбору:  
Проектирование человеко-машинных интерфейсов Чупин М.М.(Григорян К.А.) гр 2(веб-аналитика) в 1412, 
Зайдуллин С.С.в 1508 </v>
      </c>
      <c r="D5" s="9"/>
      <c r="E5" s="9"/>
      <c r="F5" s="9"/>
      <c r="G5" s="9"/>
      <c r="H5" s="9"/>
      <c r="I5" s="9"/>
      <c r="J5" s="9"/>
      <c r="K5" s="9"/>
      <c r="L5" s="10"/>
    </row>
    <row r="6" ht="52.5" customHeight="1">
      <c r="A6" s="40"/>
      <c r="B6" s="42" t="str">
        <f>IFERROR(__xludf.DUMMYFUNCTION("""COMPUTED_VALUE"""),"15:40 - 17:10")</f>
        <v>15:40 - 17:10</v>
      </c>
      <c r="C6" s="42" t="str">
        <f>IFERROR(__xludf.DUMMYFUNCTION("""COMPUTED_VALUE"""),"Дисциплины по выбору:  
Проектирование человеко-машинных интерфейсов Чупин М.М.(Григорян К.А.) гр 2(веб-аналитика) в 1412, Зайдуллин С.С. в 1508")</f>
        <v>Дисциплины по выбору:  
Проектирование человеко-машинных интерфейсов Чупин М.М.(Григорян К.А.) гр 2(веб-аналитика) в 1412, Зайдуллин С.С. в 1508</v>
      </c>
      <c r="D6" s="9"/>
      <c r="E6" s="9"/>
      <c r="F6" s="9"/>
      <c r="G6" s="9"/>
      <c r="H6" s="9"/>
      <c r="I6" s="9"/>
      <c r="J6" s="9"/>
      <c r="K6" s="9"/>
      <c r="L6" s="10"/>
    </row>
    <row r="7" ht="52.5" customHeight="1">
      <c r="A7" s="40"/>
      <c r="B7" s="42" t="str">
        <f>IFERROR(__xludf.DUMMYFUNCTION("""COMPUTED_VALUE"""),"17:50 - 19:20")</f>
        <v>17:50 - 19:20</v>
      </c>
      <c r="C7" s="62" t="str">
        <f>IFERROR(__xludf.DUMMYFUNCTION("""COMPUTED_VALUE"""),"Методология научных исследований (по списку) Голицына И.Н. гр.1 в 1301, Елизаров А.М. (по списку) гр.1 в 1303, Кугуракова В.В. в 1408 (по списку), Шахова И.С. в 1412. (по списку)")</f>
        <v>Методология научных исследований (по списку) Голицына И.Н. гр.1 в 1301, Елизаров А.М. (по списку) гр.1 в 1303, Кугуракова В.В. в 1408 (по списку), Шахова И.С. в 1412. (по списку)</v>
      </c>
      <c r="D7" s="9"/>
      <c r="E7" s="9"/>
      <c r="F7" s="9"/>
      <c r="G7" s="9"/>
      <c r="H7" s="9"/>
      <c r="I7" s="9"/>
      <c r="J7" s="9"/>
      <c r="K7" s="9"/>
      <c r="L7" s="10"/>
    </row>
    <row r="8" ht="52.5" customHeight="1">
      <c r="A8" s="43"/>
      <c r="B8" s="44" t="str">
        <f>IFERROR(__xludf.DUMMYFUNCTION("""COMPUTED_VALUE"""),"19:30 - 21:00")</f>
        <v>19:30 - 21:00</v>
      </c>
      <c r="C8" s="62" t="str">
        <f>IFERROR(__xludf.DUMMYFUNCTION("""COMPUTED_VALUE"""),"Методология научных исследований (по списку) Голицына И.Н. гр.2 в 1301, Елизаров А.М (по списку).  гр.2 в 1303")</f>
        <v>Методология научных исследований (по списку) Голицына И.Н. гр.2 в 1301, Елизаров А.М (по списку).  гр.2 в 1303</v>
      </c>
      <c r="D8" s="9"/>
      <c r="E8" s="9"/>
      <c r="F8" s="9"/>
      <c r="G8" s="9"/>
      <c r="H8" s="9"/>
      <c r="I8" s="9"/>
      <c r="J8" s="9"/>
      <c r="K8" s="9"/>
      <c r="L8" s="10"/>
    </row>
    <row r="9" ht="52.5" customHeight="1">
      <c r="A9" s="45" t="str">
        <f>IFERROR(__xludf.DUMMYFUNCTION("""COMPUTED_VALUE"""),"Вторник")</f>
        <v>Вторник</v>
      </c>
      <c r="B9" s="38" t="str">
        <f>IFERROR(__xludf.DUMMYFUNCTION("""COMPUTED_VALUE"""),"08:30 - 10:00")</f>
        <v>08:30 - 10:00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52.5" customHeight="1">
      <c r="A10" s="40"/>
      <c r="B10" s="48" t="str">
        <f>IFERROR(__xludf.DUMMYFUNCTION("""COMPUTED_VALUE"""),"10:10 - 11:40")</f>
        <v>10:10 - 11:40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ht="52.5" customHeight="1">
      <c r="A11" s="40"/>
      <c r="B11" s="48" t="str">
        <f>IFERROR(__xludf.DUMMYFUNCTION("""COMPUTED_VALUE"""),"11:50 - 13:20")</f>
        <v>11:50 - 13:20</v>
      </c>
      <c r="C11" s="18"/>
      <c r="D11" s="17" t="str">
        <f>IFERROR(__xludf.DUMMYFUNCTION("""COMPUTED_VALUE"""),"Основы информационного поиска Лукьяничева Е.О. в 1412")</f>
        <v>Основы информационного поиска Лукьяничева Е.О. в 1412</v>
      </c>
      <c r="E11" s="18"/>
      <c r="F11" s="18"/>
      <c r="G11" s="18"/>
      <c r="H11" s="18"/>
      <c r="I11" s="18"/>
      <c r="J11" s="18"/>
      <c r="K11" s="18"/>
      <c r="L11" s="18"/>
    </row>
    <row r="12" ht="52.5" customHeight="1">
      <c r="A12" s="40"/>
      <c r="B12" s="42" t="str">
        <f>IFERROR(__xludf.DUMMYFUNCTION("""COMPUTED_VALUE"""),"14:00 - 15:30")</f>
        <v>14:00 - 15:30</v>
      </c>
      <c r="C12" s="42" t="str">
        <f>IFERROR(__xludf.DUMMYFUNCTION("""COMPUTED_VALUE"""),"Дисциплины по выбору: 
Мобильные информационные системы Хайруллин А.Ф. гр. №2 в 1404, 
Проектирование человеко-машинных интерфейсов Чупин М.М.(Григорян К.А.)  гр.1С в 1306 ")</f>
        <v>Дисциплины по выбору: 
Мобильные информационные системы Хайруллин А.Ф. гр. №2 в 1404, 
Проектирование человеко-машинных интерфейсов Чупин М.М.(Григорян К.А.)  гр.1С в 1306 </v>
      </c>
      <c r="D12" s="9"/>
      <c r="E12" s="9"/>
      <c r="F12" s="9"/>
      <c r="G12" s="9"/>
      <c r="H12" s="9"/>
      <c r="I12" s="9"/>
      <c r="J12" s="9"/>
      <c r="K12" s="9"/>
      <c r="L12" s="10"/>
    </row>
    <row r="13" ht="52.5" customHeight="1">
      <c r="A13" s="40"/>
      <c r="B13" s="42" t="str">
        <f>IFERROR(__xludf.DUMMYFUNCTION("""COMPUTED_VALUE"""),"15:40 - 17:10")</f>
        <v>15:40 - 17:10</v>
      </c>
      <c r="C13" s="42" t="str">
        <f>IFERROR(__xludf.DUMMYFUNCTION("""COMPUTED_VALUE"""),"Дисциплины по выбору: 
Мобильные информационные системы Хайруллин А.Ф.(гр. №2 в 1404, 
Проектирование человеко-машинных интерфейсов Чупин М.М.(Григорян К.А.)  гр.1С в 1306 ")</f>
        <v>Дисциплины по выбору: 
Мобильные информационные системы Хайруллин А.Ф.(гр. №2 в 1404, 
Проектирование человеко-машинных интерфейсов Чупин М.М.(Григорян К.А.)  гр.1С в 1306 </v>
      </c>
      <c r="D13" s="9"/>
      <c r="E13" s="9"/>
      <c r="F13" s="9"/>
      <c r="G13" s="9"/>
      <c r="H13" s="9"/>
      <c r="I13" s="9"/>
      <c r="J13" s="9"/>
      <c r="K13" s="9"/>
      <c r="L13" s="10"/>
    </row>
    <row r="14" ht="52.5" customHeight="1">
      <c r="A14" s="40"/>
      <c r="B14" s="42" t="str">
        <f>IFERROR(__xludf.DUMMYFUNCTION("""COMPUTED_VALUE"""),"17:50 - 19:20")</f>
        <v>17:50 - 19:20</v>
      </c>
      <c r="C14" s="18"/>
      <c r="D14" s="18"/>
      <c r="E14" s="17" t="str">
        <f>IFERROR(__xludf.DUMMYFUNCTION("""COMPUTED_VALUE"""),"Основы информационного поиска  Лукьяничева Е.О. 
в 1404")</f>
        <v>Основы информационного поиска  Лукьяничева Е.О. 
в 1404</v>
      </c>
      <c r="F14" s="18"/>
      <c r="G14" s="18"/>
      <c r="H14" s="18"/>
      <c r="I14" s="18"/>
      <c r="J14" s="18"/>
      <c r="K14" s="18"/>
      <c r="L14" s="18"/>
    </row>
    <row r="15" ht="52.5" customHeight="1">
      <c r="A15" s="43"/>
      <c r="B15" s="44" t="str">
        <f>IFERROR(__xludf.DUMMYFUNCTION("""COMPUTED_VALUE"""),"19:30 - 21:00")</f>
        <v>19:30 - 21:00</v>
      </c>
      <c r="C15" s="18"/>
      <c r="D15" s="18"/>
      <c r="E15" s="18"/>
      <c r="F15" s="18"/>
      <c r="G15" s="18"/>
      <c r="H15" s="18"/>
      <c r="I15" s="18"/>
      <c r="J15" s="18"/>
      <c r="K15" s="21"/>
      <c r="L15" s="21"/>
    </row>
    <row r="16" ht="52.5" customHeight="1">
      <c r="A16" s="45" t="str">
        <f>IFERROR(__xludf.DUMMYFUNCTION("""COMPUTED_VALUE"""),"Среда")</f>
        <v>Среда</v>
      </c>
      <c r="B16" s="38" t="str">
        <f>IFERROR(__xludf.DUMMYFUNCTION("""COMPUTED_VALUE"""),"08:30 - 10:00")</f>
        <v>08:30 - 10:00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ht="52.5" customHeight="1">
      <c r="A17" s="40"/>
      <c r="B17" s="41" t="str">
        <f>IFERROR(__xludf.DUMMYFUNCTION("""COMPUTED_VALUE"""),"10:10 - 11:40")</f>
        <v>10:10 - 11:40</v>
      </c>
      <c r="C17" s="17" t="str">
        <f>IFERROR(__xludf.DUMMYFUNCTION("""COMPUTED_VALUE"""),"Основы информационного поиска  Лукьяничева Е.О. в 1412")</f>
        <v>Основы информационного поиска  Лукьяничева Е.О. в 1412</v>
      </c>
      <c r="D17" s="18"/>
      <c r="E17" s="18"/>
      <c r="F17" s="18"/>
      <c r="G17" s="18"/>
      <c r="H17" s="18"/>
      <c r="I17" s="18"/>
      <c r="J17" s="18"/>
      <c r="K17" s="18"/>
      <c r="L17" s="18"/>
    </row>
    <row r="18" ht="52.5" customHeight="1">
      <c r="A18" s="40"/>
      <c r="B18" s="48" t="str">
        <f>IFERROR(__xludf.DUMMYFUNCTION("""COMPUTED_VALUE"""),"11:50 - 13:20")</f>
        <v>11:50 - 13:20</v>
      </c>
      <c r="C18" s="42" t="str">
        <f>IFERROR(__xludf.DUMMYFUNCTION("""COMPUTED_VALUE"""),"Методология научных исследований Елизаров А.М. (11-801 - 11-805) в 1310-1311 Лекция (MS Teams)")</f>
        <v>Методология научных исследований Елизаров А.М. (11-801 - 11-805) в 1310-1311 Лекция (MS Teams)</v>
      </c>
      <c r="D18" s="9"/>
      <c r="E18" s="9"/>
      <c r="F18" s="9"/>
      <c r="G18" s="9"/>
      <c r="H18" s="9"/>
      <c r="I18" s="9"/>
      <c r="J18" s="9"/>
      <c r="K18" s="9"/>
      <c r="L18" s="10"/>
    </row>
    <row r="19" ht="52.5" customHeight="1">
      <c r="A19" s="40"/>
      <c r="B19" s="42" t="str">
        <f>IFERROR(__xludf.DUMMYFUNCTION("""COMPUTED_VALUE"""),"14:00 - 15:30")</f>
        <v>14:00 - 15:30</v>
      </c>
      <c r="C19" s="42" t="str">
        <f>IFERROR(__xludf.DUMMYFUNCTION("""COMPUTED_VALUE"""),"Методология научных исследований Елизаров А.М. (11-801 - 11-805) в 1310-1311 Лекция (MS Teams) ")</f>
        <v>Методология научных исследований Елизаров А.М. (11-801 - 11-805) в 1310-1311 Лекция (MS Teams) </v>
      </c>
      <c r="D19" s="9"/>
      <c r="E19" s="9"/>
      <c r="F19" s="9"/>
      <c r="G19" s="9"/>
      <c r="H19" s="9"/>
      <c r="I19" s="9"/>
      <c r="J19" s="9"/>
      <c r="K19" s="9"/>
      <c r="L19" s="10"/>
    </row>
    <row r="20" ht="52.5" customHeight="1">
      <c r="A20" s="40"/>
      <c r="B20" s="42" t="str">
        <f>IFERROR(__xludf.DUMMYFUNCTION("""COMPUTED_VALUE"""),"15:40 - 17:10")</f>
        <v>15:40 - 17:10</v>
      </c>
      <c r="C20" s="42" t="str">
        <f>IFERROR(__xludf.DUMMYFUNCTION("""COMPUTED_VALUE"""),"Методология научных исследований Голицына И.Н. (11-806 - 11-810) в 1310-1311 Лекция (MS Teams)")</f>
        <v>Методология научных исследований Голицына И.Н. (11-806 - 11-810) в 1310-1311 Лекция (MS Teams)</v>
      </c>
      <c r="D20" s="9"/>
      <c r="E20" s="9"/>
      <c r="F20" s="9"/>
      <c r="G20" s="9"/>
      <c r="H20" s="9"/>
      <c r="I20" s="9"/>
      <c r="J20" s="9"/>
      <c r="K20" s="9"/>
      <c r="L20" s="10"/>
    </row>
    <row r="21" ht="52.5" customHeight="1">
      <c r="A21" s="40"/>
      <c r="B21" s="42" t="str">
        <f>IFERROR(__xludf.DUMMYFUNCTION("""COMPUTED_VALUE"""),"17:50 - 19:20")</f>
        <v>17:50 - 19:20</v>
      </c>
      <c r="C21" s="42" t="str">
        <f>IFERROR(__xludf.DUMMYFUNCTION("""COMPUTED_VALUE"""),"Дисциплины по выбору:  
Проектирование человеко-машинных интерфейсов Идрисов Т.Р. в 1309")</f>
        <v>Дисциплины по выбору:  
Проектирование человеко-машинных интерфейсов Идрисов Т.Р. в 1309</v>
      </c>
      <c r="D21" s="9"/>
      <c r="E21" s="9"/>
      <c r="F21" s="9"/>
      <c r="G21" s="9"/>
      <c r="H21" s="9"/>
      <c r="I21" s="9"/>
      <c r="J21" s="9"/>
      <c r="K21" s="9"/>
      <c r="L21" s="10"/>
    </row>
    <row r="22" ht="52.5" customHeight="1">
      <c r="A22" s="43"/>
      <c r="B22" s="44" t="str">
        <f>IFERROR(__xludf.DUMMYFUNCTION("""COMPUTED_VALUE"""),"19:30 - 21:00")</f>
        <v>19:30 - 21:00</v>
      </c>
      <c r="C22" s="42" t="str">
        <f>IFERROR(__xludf.DUMMYFUNCTION("""COMPUTED_VALUE"""),"Дисциплины по выбору:  
Проектирование человеко-машинных интерфейсов Идрисов Т.Р. в 1309")</f>
        <v>Дисциплины по выбору:  
Проектирование человеко-машинных интерфейсов Идрисов Т.Р. в 1309</v>
      </c>
      <c r="D22" s="9"/>
      <c r="E22" s="9"/>
      <c r="F22" s="9"/>
      <c r="G22" s="9"/>
      <c r="H22" s="9"/>
      <c r="I22" s="9"/>
      <c r="J22" s="9"/>
      <c r="K22" s="9"/>
      <c r="L22" s="10"/>
    </row>
    <row r="23" ht="52.5" customHeight="1">
      <c r="A23" s="45" t="str">
        <f>IFERROR(__xludf.DUMMYFUNCTION("""COMPUTED_VALUE"""),"Четверг")</f>
        <v>Четверг</v>
      </c>
      <c r="B23" s="38" t="str">
        <f>IFERROR(__xludf.DUMMYFUNCTION("""COMPUTED_VALUE"""),"08:30 - 10:00")</f>
        <v>08:30 - 10:00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ht="52.5" customHeight="1">
      <c r="A24" s="40"/>
      <c r="B24" s="41" t="str">
        <f>IFERROR(__xludf.DUMMYFUNCTION("""COMPUTED_VALUE"""),"10:10 - 11:40")</f>
        <v>10:10 - 11:40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ht="52.5" customHeight="1">
      <c r="A25" s="40"/>
      <c r="B25" s="41" t="str">
        <f>IFERROR(__xludf.DUMMYFUNCTION("""COMPUTED_VALUE"""),"11:50 - 13:20")</f>
        <v>11:50 - 13:20</v>
      </c>
      <c r="C25" s="18"/>
      <c r="D25" s="18"/>
      <c r="E25" s="18"/>
      <c r="F25" s="18"/>
      <c r="G25" s="18"/>
      <c r="H25" s="18"/>
      <c r="I25" s="18"/>
      <c r="J25" s="18"/>
      <c r="K25" s="21"/>
      <c r="L25" s="18"/>
    </row>
    <row r="26" ht="52.5" customHeight="1">
      <c r="A26" s="40"/>
      <c r="B26" s="42" t="str">
        <f>IFERROR(__xludf.DUMMYFUNCTION("""COMPUTED_VALUE"""),"14:00 - 15:30")</f>
        <v>14:00 - 15:30</v>
      </c>
      <c r="C26" s="18"/>
      <c r="D26" s="18"/>
      <c r="E26" s="18"/>
      <c r="F26" s="18"/>
      <c r="G26" s="18"/>
      <c r="H26" s="18"/>
      <c r="I26" s="18"/>
      <c r="J26" s="18"/>
      <c r="K26" s="18"/>
      <c r="L26" s="17"/>
    </row>
    <row r="27" ht="52.5" customHeight="1">
      <c r="A27" s="40"/>
      <c r="B27" s="49" t="str">
        <f>IFERROR(__xludf.DUMMYFUNCTION("""COMPUTED_VALUE"""),"15:40 - 17:10")</f>
        <v>15:40 - 17:10</v>
      </c>
      <c r="C27" s="63" t="str">
        <f>IFERROR(__xludf.DUMMYFUNCTION("""COMPUTED_VALUE"""),"Методология научных исследований (по списку) 
Елизаров А.М. гр.3  в 1310")</f>
        <v>Методология научных исследований (по списку) 
Елизаров А.М. гр.3  в 1310</v>
      </c>
      <c r="D27" s="18"/>
      <c r="E27" s="18"/>
      <c r="F27" s="18"/>
      <c r="G27" s="18"/>
      <c r="H27" s="18"/>
      <c r="I27" s="18"/>
      <c r="J27" s="18"/>
      <c r="K27" s="18"/>
      <c r="L27" s="18"/>
    </row>
    <row r="28" ht="52.5" customHeight="1">
      <c r="A28" s="40"/>
      <c r="B28" s="42" t="str">
        <f>IFERROR(__xludf.DUMMYFUNCTION("""COMPUTED_VALUE"""),"17:50 - 19:20")</f>
        <v>17:50 - 19:20</v>
      </c>
      <c r="C28" s="62" t="str">
        <f>IFERROR(__xludf.DUMMYFUNCTION("""COMPUTED_VALUE"""),"Методология научных исследований (по списку) 
Елизаров А.М. гр.4 в 1509, Голицына И.Н. гр.3 в 1412 (по списку)")</f>
        <v>Методология научных исследований (по списку) 
Елизаров А.М. гр.4 в 1509, Голицына И.Н. гр.3 в 1412 (по списку)</v>
      </c>
      <c r="D28" s="9"/>
      <c r="E28" s="9"/>
      <c r="F28" s="9"/>
      <c r="G28" s="9"/>
      <c r="H28" s="9"/>
      <c r="I28" s="9"/>
      <c r="J28" s="9"/>
      <c r="K28" s="9"/>
      <c r="L28" s="10"/>
    </row>
    <row r="29" ht="52.5" customHeight="1">
      <c r="A29" s="43"/>
      <c r="B29" s="44" t="str">
        <f>IFERROR(__xludf.DUMMYFUNCTION("""COMPUTED_VALUE"""),"19:30 - 21:00")</f>
        <v>19:30 - 21:00</v>
      </c>
      <c r="C29" s="8" t="str">
        <f>IFERROR(__xludf.DUMMYFUNCTION("""COMPUTED_VALUE"""),"Технологическая (проектно-технологическая) практика (9 н. зач. с оц.) в 1301")</f>
        <v>Технологическая (проектно-технологическая) практика (9 н. зач. с оц.) в 1301</v>
      </c>
      <c r="D29" s="9"/>
      <c r="E29" s="9"/>
      <c r="F29" s="9"/>
      <c r="G29" s="9"/>
      <c r="H29" s="9"/>
      <c r="I29" s="9"/>
      <c r="J29" s="9"/>
      <c r="K29" s="9"/>
      <c r="L29" s="10"/>
    </row>
    <row r="30" ht="52.5" customHeight="1">
      <c r="A30" s="45" t="str">
        <f>IFERROR(__xludf.DUMMYFUNCTION("""COMPUTED_VALUE"""),"Пятница")</f>
        <v>Пятница</v>
      </c>
      <c r="B30" s="38" t="str">
        <f>IFERROR(__xludf.DUMMYFUNCTION("""COMPUTED_VALUE"""),"08:30 - 10:00")</f>
        <v>08:30 - 10:00</v>
      </c>
      <c r="C30" s="18"/>
      <c r="D30" s="18"/>
      <c r="E30" s="18"/>
      <c r="F30" s="17" t="str">
        <f>IFERROR(__xludf.DUMMYFUNCTION("""COMPUTED_VALUE"""),"Основы информационного поиска  
Лукьяничева Е.О. в 1404")</f>
        <v>Основы информационного поиска  
Лукьяничева Е.О. в 1404</v>
      </c>
      <c r="G30" s="18"/>
      <c r="H30" s="18"/>
      <c r="I30" s="18"/>
      <c r="J30" s="18"/>
      <c r="K30" s="18" t="str">
        <f>IFERROR(__xludf.DUMMYFUNCTION("""COMPUTED_VALUE"""),"Основы информационного поиска 
Агафонов А.А. в 1307(ms teams)")</f>
        <v>Основы информационного поиска 
Агафонов А.А. в 1307(ms teams)</v>
      </c>
      <c r="L30" s="18"/>
    </row>
    <row r="31" ht="52.5" customHeight="1">
      <c r="A31" s="40"/>
      <c r="B31" s="41" t="str">
        <f>IFERROR(__xludf.DUMMYFUNCTION("""COMPUTED_VALUE"""),"10:10 - 11:40")</f>
        <v>10:10 - 11:40</v>
      </c>
      <c r="C31" s="42" t="str">
        <f>IFERROR(__xludf.DUMMYFUNCTION("""COMPUTED_VALUE"""),"Основы информационного поиска  
Зуев Д.С.в 108 к.2 Кремлевская 35 (9нед) (MS Teams)(со 2 нед.)")</f>
        <v>Основы информационного поиска  
Зуев Д.С.в 108 к.2 Кремлевская 35 (9нед) (MS Teams)(со 2 нед.)</v>
      </c>
      <c r="D31" s="9"/>
      <c r="E31" s="9"/>
      <c r="F31" s="9"/>
      <c r="G31" s="9"/>
      <c r="H31" s="9"/>
      <c r="I31" s="9"/>
      <c r="J31" s="9"/>
      <c r="K31" s="9"/>
      <c r="L31" s="10"/>
    </row>
    <row r="32" ht="52.5" customHeight="1">
      <c r="A32" s="40"/>
      <c r="B32" s="41" t="str">
        <f>IFERROR(__xludf.DUMMYFUNCTION("""COMPUTED_VALUE"""),"11:50 - 13:20")</f>
        <v>11:50 - 13:20</v>
      </c>
      <c r="C32" s="18"/>
      <c r="D32" s="18"/>
      <c r="E32" s="18"/>
      <c r="F32" s="18"/>
      <c r="G32" s="17"/>
      <c r="H32" s="18"/>
      <c r="I32" s="18"/>
      <c r="J32" s="18" t="str">
        <f>IFERROR(__xludf.DUMMYFUNCTION("""COMPUTED_VALUE"""),"Основы информационного поиска  Агафонов А.А. в 1307 (MS Teams)")</f>
        <v>Основы информационного поиска  Агафонов А.А. в 1307 (MS Teams)</v>
      </c>
      <c r="K32" s="18"/>
      <c r="L32" s="18" t="str">
        <f>IFERROR(__xludf.DUMMYFUNCTION("""COMPUTED_VALUE"""),"Основы информационного поиска  Агафонов А.А. в 1307(MS Teams)")</f>
        <v>Основы информационного поиска  Агафонов А.А. в 1307(MS Teams)</v>
      </c>
    </row>
    <row r="33" ht="52.5" customHeight="1">
      <c r="A33" s="40"/>
      <c r="B33" s="42" t="str">
        <f>IFERROR(__xludf.DUMMYFUNCTION("""COMPUTED_VALUE"""),"14:00 - 15:30")</f>
        <v>14:00 - 15:30</v>
      </c>
      <c r="C33" s="18"/>
      <c r="D33" s="18"/>
      <c r="E33" s="18"/>
      <c r="F33" s="17"/>
      <c r="G33" s="18"/>
      <c r="H33" s="18"/>
      <c r="I33" s="18"/>
      <c r="J33" s="18"/>
      <c r="K33" s="18"/>
      <c r="L33" s="18"/>
    </row>
    <row r="34" ht="52.5" customHeight="1">
      <c r="A34" s="40"/>
      <c r="B34" s="42" t="str">
        <f>IFERROR(__xludf.DUMMYFUNCTION("""COMPUTED_VALUE"""),"15:40 - 17:10")</f>
        <v>15:40 - 17:10</v>
      </c>
      <c r="C34" s="8" t="str">
        <f>IFERROR(__xludf.DUMMYFUNCTION("""COMPUTED_VALUE"""),"Дисциплины по выбору: 
Мобильные информационные системы Хайруллин А.Ф. гр.1 в 1301 ")</f>
        <v>Дисциплины по выбору: 
Мобильные информационные системы Хайруллин А.Ф. гр.1 в 1301 </v>
      </c>
      <c r="D34" s="9"/>
      <c r="E34" s="9"/>
      <c r="F34" s="9"/>
      <c r="G34" s="9"/>
      <c r="H34" s="9"/>
      <c r="I34" s="9"/>
      <c r="J34" s="9"/>
      <c r="K34" s="9"/>
      <c r="L34" s="10"/>
    </row>
    <row r="35" ht="52.5" customHeight="1">
      <c r="A35" s="40"/>
      <c r="B35" s="42" t="str">
        <f>IFERROR(__xludf.DUMMYFUNCTION("""COMPUTED_VALUE"""),"17:50 - 19:20")</f>
        <v>17:50 - 19:20</v>
      </c>
      <c r="C35" s="8" t="str">
        <f>IFERROR(__xludf.DUMMYFUNCTION("""COMPUTED_VALUE"""),"Дисциплины по выбору: 
Мобильные информационные системы Хайруллин А.Ф. гр.1 в 1301 ")</f>
        <v>Дисциплины по выбору: 
Мобильные информационные системы Хайруллин А.Ф. гр.1 в 1301 </v>
      </c>
      <c r="D35" s="9"/>
      <c r="E35" s="9"/>
      <c r="F35" s="9"/>
      <c r="G35" s="9"/>
      <c r="H35" s="9"/>
      <c r="I35" s="9"/>
      <c r="J35" s="9"/>
      <c r="K35" s="9"/>
      <c r="L35" s="10"/>
    </row>
    <row r="36" ht="52.5" customHeight="1">
      <c r="A36" s="43"/>
      <c r="B36" s="44" t="str">
        <f>IFERROR(__xludf.DUMMYFUNCTION("""COMPUTED_VALUE"""),"19:30 - 21:00")</f>
        <v>19:30 - 21:00</v>
      </c>
      <c r="C36" s="18"/>
      <c r="D36" s="18"/>
      <c r="E36" s="18"/>
      <c r="F36" s="18"/>
      <c r="G36" s="18"/>
      <c r="H36" s="18"/>
      <c r="I36" s="18"/>
      <c r="J36" s="18"/>
      <c r="K36" s="64"/>
      <c r="L36" s="10"/>
    </row>
    <row r="37" ht="52.5" customHeight="1">
      <c r="A37" s="45" t="str">
        <f>IFERROR(__xludf.DUMMYFUNCTION("""COMPUTED_VALUE"""),"Суббота")</f>
        <v>Суббота</v>
      </c>
      <c r="B37" s="38" t="str">
        <f>IFERROR(__xludf.DUMMYFUNCTION("""COMPUTED_VALUE"""),"08:30 - 10:00")</f>
        <v>08:30 - 10:00</v>
      </c>
      <c r="C37" s="18"/>
      <c r="D37" s="18"/>
      <c r="E37" s="18"/>
      <c r="F37" s="18"/>
      <c r="G37" s="18"/>
      <c r="H37" s="18"/>
      <c r="I37" s="18" t="str">
        <f>IFERROR(__xludf.DUMMYFUNCTION("""COMPUTED_VALUE"""),"Основы информационного поиска Ильдиряков В.Р. в 1409")</f>
        <v>Основы информационного поиска Ильдиряков В.Р. в 1409</v>
      </c>
      <c r="J37" s="18"/>
      <c r="K37" s="18"/>
      <c r="L37" s="18"/>
    </row>
    <row r="38" ht="52.5" customHeight="1">
      <c r="A38" s="40"/>
      <c r="B38" s="41" t="str">
        <f>IFERROR(__xludf.DUMMYFUNCTION("""COMPUTED_VALUE"""),"10:10 - 11:40")</f>
        <v>10:10 - 11:40</v>
      </c>
      <c r="C38" s="18"/>
      <c r="D38" s="18"/>
      <c r="E38" s="18"/>
      <c r="F38" s="18"/>
      <c r="G38" s="18"/>
      <c r="H38" s="18" t="str">
        <f>IFERROR(__xludf.DUMMYFUNCTION("""COMPUTED_VALUE"""),"Основы информационного поиска Ильдиряков В.Р. в 1409")</f>
        <v>Основы информационного поиска Ильдиряков В.Р. в 1409</v>
      </c>
      <c r="I38" s="18"/>
      <c r="J38" s="18"/>
      <c r="K38" s="21"/>
      <c r="L38" s="21"/>
    </row>
    <row r="39" ht="52.5" customHeight="1">
      <c r="A39" s="40"/>
      <c r="B39" s="41" t="str">
        <f>IFERROR(__xludf.DUMMYFUNCTION("""COMPUTED_VALUE"""),"11:50 - 13:20")</f>
        <v>11:50 - 13:20</v>
      </c>
      <c r="C39" s="12" t="str">
        <f>IFERROR(__xludf.DUMMYFUNCTION("""COMPUTED_VALUE"""),"Дисциплины по выбору: 
Проектирование человеко-машинных интерфейсов Габдрахманов Б.Ф. в 1311(со 2 нед.) , 
Интернет вещей Адьютантов Н.  в 1412")</f>
        <v>Дисциплины по выбору: 
Проектирование человеко-машинных интерфейсов Габдрахманов Б.Ф. в 1311(со 2 нед.) , 
Интернет вещей Адьютантов Н.  в 1412</v>
      </c>
      <c r="D39" s="9"/>
      <c r="E39" s="9"/>
      <c r="F39" s="9"/>
      <c r="G39" s="9"/>
      <c r="H39" s="9"/>
      <c r="I39" s="9"/>
      <c r="J39" s="9"/>
      <c r="K39" s="9"/>
      <c r="L39" s="10"/>
    </row>
    <row r="40" ht="52.5" customHeight="1">
      <c r="A40" s="40"/>
      <c r="B40" s="42" t="str">
        <f>IFERROR(__xludf.DUMMYFUNCTION("""COMPUTED_VALUE"""),"14:00 - 15:30")</f>
        <v>14:00 - 15:30</v>
      </c>
      <c r="C40" s="12" t="str">
        <f>IFERROR(__xludf.DUMMYFUNCTION("""COMPUTED_VALUE"""),"Дисциплины по выбору: 
Проектирование человеко-машинных интерфейсов Габдрахманов Б.Ф. (со 2н.) в 1311. 
Интернет вещей Адьютантов Н. в 1412")</f>
        <v>Дисциплины по выбору: 
Проектирование человеко-машинных интерфейсов Габдрахманов Б.Ф. (со 2н.) в 1311. 
Интернет вещей Адьютантов Н. в 1412</v>
      </c>
      <c r="D40" s="9"/>
      <c r="E40" s="9"/>
      <c r="F40" s="9"/>
      <c r="G40" s="9"/>
      <c r="H40" s="9"/>
      <c r="I40" s="9"/>
      <c r="J40" s="9"/>
      <c r="K40" s="9"/>
      <c r="L40" s="10"/>
    </row>
    <row r="41" ht="52.5" customHeight="1">
      <c r="A41" s="40"/>
      <c r="B41" s="50" t="str">
        <f>IFERROR(__xludf.DUMMYFUNCTION("""COMPUTED_VALUE"""),"15:40 - 17:10")</f>
        <v>15:40 - 17:10</v>
      </c>
      <c r="C41" s="42" t="str">
        <f>IFERROR(__xludf.DUMMYFUNCTION("""COMPUTED_VALUE"""),"Дисциплины по выбору: 
Интернет вещей Адьютантов Н. в 1412")</f>
        <v>Дисциплины по выбору: 
Интернет вещей Адьютантов Н. в 1412</v>
      </c>
      <c r="D41" s="9"/>
      <c r="E41" s="9"/>
      <c r="F41" s="9"/>
      <c r="G41" s="9"/>
      <c r="H41" s="9"/>
      <c r="I41" s="9"/>
      <c r="J41" s="9"/>
      <c r="K41" s="9"/>
      <c r="L41" s="10"/>
    </row>
    <row r="42" ht="52.5" customHeight="1">
      <c r="A42" s="40"/>
      <c r="B42" s="51" t="str">
        <f>IFERROR(__xludf.DUMMYFUNCTION("""COMPUTED_VALUE"""),"17:50 - 19:20")</f>
        <v>17:50 - 19:20</v>
      </c>
      <c r="C42" s="42" t="str">
        <f>IFERROR(__xludf.DUMMYFUNCTION("""COMPUTED_VALUE"""),"Дисциплины по выбору: 
Интернет вещей Адьютантов Н. в 1412")</f>
        <v>Дисциплины по выбору: 
Интернет вещей Адьютантов Н. в 1412</v>
      </c>
      <c r="D42" s="9"/>
      <c r="E42" s="9"/>
      <c r="F42" s="9"/>
      <c r="G42" s="9"/>
      <c r="H42" s="9"/>
      <c r="I42" s="9"/>
      <c r="J42" s="9"/>
      <c r="K42" s="9"/>
      <c r="L42" s="10"/>
    </row>
    <row r="43" ht="52.5" customHeight="1">
      <c r="A43" s="52"/>
      <c r="B43" s="44" t="str">
        <f>IFERROR(__xludf.DUMMYFUNCTION("""COMPUTED_VALUE"""),"19:30 - 21:00")</f>
        <v>19:30 - 21:00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</row>
  </sheetData>
  <mergeCells count="29">
    <mergeCell ref="C8:L8"/>
    <mergeCell ref="C12:L12"/>
    <mergeCell ref="A9:A15"/>
    <mergeCell ref="A16:A22"/>
    <mergeCell ref="A23:A29"/>
    <mergeCell ref="A30:A36"/>
    <mergeCell ref="A37:A43"/>
    <mergeCell ref="A2:A8"/>
    <mergeCell ref="C3:L3"/>
    <mergeCell ref="C4:L4"/>
    <mergeCell ref="C5:L5"/>
    <mergeCell ref="C6:L6"/>
    <mergeCell ref="C7:L7"/>
    <mergeCell ref="C13:L13"/>
    <mergeCell ref="C31:L31"/>
    <mergeCell ref="C34:L34"/>
    <mergeCell ref="C35:L35"/>
    <mergeCell ref="K36:L36"/>
    <mergeCell ref="C39:L39"/>
    <mergeCell ref="C40:L40"/>
    <mergeCell ref="C41:L41"/>
    <mergeCell ref="C42:L42"/>
    <mergeCell ref="C18:L18"/>
    <mergeCell ref="C19:L19"/>
    <mergeCell ref="C20:L20"/>
    <mergeCell ref="C21:L21"/>
    <mergeCell ref="C22:L22"/>
    <mergeCell ref="C28:L28"/>
    <mergeCell ref="C29:L29"/>
  </mergeCells>
  <conditionalFormatting sqref="A2:B43">
    <cfRule type="containsText" dxfId="6" priority="1" operator="containsText" text="информатика">
      <formula>NOT(ISERROR(SEARCH(("информатика"),(A2))))</formula>
    </cfRule>
  </conditionalFormatting>
  <conditionalFormatting sqref="A2:A43">
    <cfRule type="cellIs" dxfId="10" priority="2" operator="equal">
      <formula> INDIRECT("Управление!E7")</formula>
    </cfRule>
  </conditionalFormatting>
  <conditionalFormatting sqref="A1:B43">
    <cfRule type="containsText" dxfId="1" priority="3" operator="containsText" text="алгебра">
      <formula>NOT(ISERROR(SEARCH(("алгебра"),(A1))))</formula>
    </cfRule>
  </conditionalFormatting>
  <conditionalFormatting sqref="A1:B43">
    <cfRule type="containsText" dxfId="2" priority="4" operator="containsText" text="иностранный">
      <formula>NOT(ISERROR(SEARCH(("иностранный"),(A1))))</formula>
    </cfRule>
  </conditionalFormatting>
  <conditionalFormatting sqref="A1:B43">
    <cfRule type="containsText" dxfId="3" priority="5" operator="containsText" text="русский">
      <formula>NOT(ISERROR(SEARCH(("русский"),(A1))))</formula>
    </cfRule>
  </conditionalFormatting>
  <conditionalFormatting sqref="A1:B43">
    <cfRule type="containsText" dxfId="4" priority="6" operator="containsText" text="физической">
      <formula>NOT(ISERROR(SEARCH(("физической"),(A1))))</formula>
    </cfRule>
  </conditionalFormatting>
  <conditionalFormatting sqref="A1:B43">
    <cfRule type="containsText" dxfId="5" priority="7" operator="containsText" text="анализ">
      <formula>NOT(ISERROR(SEARCH(("анализ"),(A1))))</formula>
    </cfRule>
  </conditionalFormatting>
  <conditionalFormatting sqref="A1:B1">
    <cfRule type="containsText" dxfId="6" priority="8" operator="containsText" text="программирование">
      <formula>NOT(ISERROR(SEARCH(("программирование"),(A1))))</formula>
    </cfRule>
  </conditionalFormatting>
  <conditionalFormatting sqref="A1:B43">
    <cfRule type="containsText" dxfId="7" priority="9" operator="containsText" text="проектную">
      <formula>NOT(ISERROR(SEARCH(("проектную"),(A1))))</formula>
    </cfRule>
  </conditionalFormatting>
  <conditionalFormatting sqref="A1:B43">
    <cfRule type="containsText" dxfId="8" priority="10" operator="containsText" text="алгоритмы">
      <formula>NOT(ISERROR(SEARCH(("алгоритмы"),(A1))))</formula>
    </cfRule>
  </conditionalFormatting>
  <conditionalFormatting sqref="A1:B43">
    <cfRule type="containsText" dxfId="9" priority="11" operator="containsText" text="дискретная">
      <formula>NOT(ISERROR(SEARCH(("дискретная"),(A1))))</formula>
    </cfRule>
  </conditionalFormatting>
  <conditionalFormatting sqref="A1:L43">
    <cfRule type="containsText" dxfId="0" priority="12" operator="containsText" text="перенос">
      <formula>NOT(ISERROR(SEARCH(("перенос"),(A1))))</formula>
    </cfRule>
  </conditionalFormatting>
  <conditionalFormatting sqref="A1:L43">
    <cfRule type="containsText" dxfId="1" priority="13" operator="containsText" text="Методология">
      <formula>NOT(ISERROR(SEARCH(("Методология"),(A1))))</formula>
    </cfRule>
  </conditionalFormatting>
  <conditionalFormatting sqref="A1:L43">
    <cfRule type="containsText" dxfId="2" priority="14" operator="containsText" text="машин">
      <formula>NOT(ISERROR(SEARCH(("машин"),(A1))))</formula>
    </cfRule>
  </conditionalFormatting>
  <conditionalFormatting sqref="A1:L43">
    <cfRule type="containsText" dxfId="3" priority="15" operator="containsText" text="информационные системы ">
      <formula>NOT(ISERROR(SEARCH(("информационные системы "),(A1))))</formula>
    </cfRule>
  </conditionalFormatting>
  <conditionalFormatting sqref="A1:A43">
    <cfRule type="cellIs" dxfId="14" priority="16" operator="equal">
      <formula> INDIRECT("Управление!G7")</formula>
    </cfRule>
  </conditionalFormatting>
  <conditionalFormatting sqref="A1:L43">
    <cfRule type="containsText" dxfId="1" priority="17" operator="containsText" text="конфли">
      <formula>NOT(ISERROR(SEARCH(("конфли"),(A1))))</formula>
    </cfRule>
  </conditionalFormatting>
  <conditionalFormatting sqref="A1:L43">
    <cfRule type="containsText" dxfId="4" priority="18" operator="containsText" text="информационного поиска">
      <formula>NOT(ISERROR(SEARCH(("информационного поиска"),(A1))))</formula>
    </cfRule>
  </conditionalFormatting>
  <conditionalFormatting sqref="A1:L43">
    <cfRule type="containsText" dxfId="13" priority="19" operator="containsText" text="Интернет вещей">
      <formula>NOT(ISERROR(SEARCH(("Интернет вещей"),(A1))))</formula>
    </cfRule>
  </conditionalFormatting>
  <conditionalFormatting sqref="A1:L43">
    <cfRule type="containsText" dxfId="4" priority="20" operator="containsText" text="хран">
      <formula>NOT(ISERROR(SEARCH(("хран"),(A1))))</formula>
    </cfRule>
  </conditionalFormatting>
  <conditionalFormatting sqref="A1:L43">
    <cfRule type="containsText" dxfId="7" priority="21" operator="containsText" text="практика">
      <formula>NOT(ISERROR(SEARCH(("практика"),(A1))))</formula>
    </cfRule>
  </conditionalFormatting>
  <conditionalFormatting sqref="A1:L43">
    <cfRule type="containsText" dxfId="1" priority="22" operator="containsText" text="политология">
      <formula>NOT(ISERROR(SEARCH(("политология"),(A1))))</formula>
    </cfRule>
  </conditionalFormatting>
  <conditionalFormatting sqref="A1:L43">
    <cfRule type="containsText" dxfId="4" priority="23" operator="containsText" text="распр">
      <formula>NOT(ISERROR(SEARCH(("распр"),(A1))))</formula>
    </cfRule>
  </conditionalFormatting>
  <conditionalFormatting sqref="A1:L43">
    <cfRule type="containsText" dxfId="4" priority="24" operator="containsText" text="облач">
      <formula>NOT(ISERROR(SEARCH(("облач"),(A1))))</formula>
    </cfRule>
  </conditionalFormatting>
  <hyperlinks>
    <hyperlink r:id="rId1" location="gid=745989952" ref="C7"/>
    <hyperlink r:id="rId2" location="gid=745989952" ref="C8"/>
    <hyperlink r:id="rId3" location="gid=745989952" ref="C27"/>
    <hyperlink r:id="rId4" location="gid=745989952" ref="C28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3" max="34" width="23.88"/>
  </cols>
  <sheetData>
    <row r="1">
      <c r="A1" s="33" t="str">
        <f> 'Управление'!F5</f>
        <v>Неделя:</v>
      </c>
      <c r="B1" s="34" t="str">
        <f> 'Управление'!G6</f>
        <v>№16, чётная</v>
      </c>
      <c r="C1" s="54" t="str">
        <f>IFERROR(__xludf.DUMMYFUNCTION(" IMPORTRANGE('Управление'!D1, 'Управление'!D7)"),"11-013")</f>
        <v>11-013</v>
      </c>
      <c r="D1" s="55" t="str">
        <f>IFERROR(__xludf.DUMMYFUNCTION("""COMPUTED_VALUE"""),"11-901")</f>
        <v>11-901</v>
      </c>
      <c r="E1" s="55" t="str">
        <f>IFERROR(__xludf.DUMMYFUNCTION("""COMPUTED_VALUE"""),"11-902")</f>
        <v>11-902</v>
      </c>
      <c r="F1" s="55" t="str">
        <f>IFERROR(__xludf.DUMMYFUNCTION("""COMPUTED_VALUE"""),"11-903")</f>
        <v>11-903</v>
      </c>
      <c r="G1" s="55" t="str">
        <f>IFERROR(__xludf.DUMMYFUNCTION("""COMPUTED_VALUE"""),"11-904")</f>
        <v>11-904</v>
      </c>
      <c r="H1" s="55" t="str">
        <f>IFERROR(__xludf.DUMMYFUNCTION("""COMPUTED_VALUE"""),"11-905")</f>
        <v>11-905</v>
      </c>
      <c r="I1" s="55" t="str">
        <f>IFERROR(__xludf.DUMMYFUNCTION("""COMPUTED_VALUE"""),"11-906")</f>
        <v>11-906</v>
      </c>
      <c r="J1" s="55" t="str">
        <f>IFERROR(__xludf.DUMMYFUNCTION("""COMPUTED_VALUE"""),"11-907")</f>
        <v>11-907</v>
      </c>
      <c r="K1" s="61" t="str">
        <f>IFERROR(__xludf.DUMMYFUNCTION("""COMPUTED_VALUE"""),"11-909")</f>
        <v>11-909</v>
      </c>
      <c r="L1" s="61" t="str">
        <f>IFERROR(__xludf.DUMMYFUNCTION("""COMPUTED_VALUE"""),"11-910")</f>
        <v>11-910</v>
      </c>
      <c r="M1" s="61" t="str">
        <f>IFERROR(__xludf.DUMMYFUNCTION("""COMPUTED_VALUE"""),"11-911")</f>
        <v>11-911</v>
      </c>
      <c r="N1" s="61" t="str">
        <f>IFERROR(__xludf.DUMMYFUNCTION("""COMPUTED_VALUE"""),"11-801")</f>
        <v>11-801</v>
      </c>
      <c r="O1" s="61" t="str">
        <f>IFERROR(__xludf.DUMMYFUNCTION("""COMPUTED_VALUE"""),"11-802")</f>
        <v>11-802</v>
      </c>
      <c r="P1" s="61" t="str">
        <f>IFERROR(__xludf.DUMMYFUNCTION("""COMPUTED_VALUE"""),"11-803")</f>
        <v>11-803</v>
      </c>
      <c r="Q1" s="61" t="str">
        <f>IFERROR(__xludf.DUMMYFUNCTION("""COMPUTED_VALUE"""),"11-804")</f>
        <v>11-804</v>
      </c>
      <c r="R1" s="61" t="str">
        <f>IFERROR(__xludf.DUMMYFUNCTION("""COMPUTED_VALUE"""),"11-805")</f>
        <v>11-805</v>
      </c>
      <c r="S1" s="61" t="str">
        <f>IFERROR(__xludf.DUMMYFUNCTION("""COMPUTED_VALUE"""),"11-806")</f>
        <v>11-806</v>
      </c>
      <c r="T1" s="61" t="str">
        <f>IFERROR(__xludf.DUMMYFUNCTION("""COMPUTED_VALUE"""),"11-807")</f>
        <v>11-807</v>
      </c>
      <c r="U1" s="61" t="str">
        <f>IFERROR(__xludf.DUMMYFUNCTION("""COMPUTED_VALUE"""),"11-808")</f>
        <v>11-808</v>
      </c>
      <c r="V1" s="61" t="str">
        <f>IFERROR(__xludf.DUMMYFUNCTION("""COMPUTED_VALUE"""),"11-809")</f>
        <v>11-809</v>
      </c>
      <c r="W1" s="61" t="str">
        <f>IFERROR(__xludf.DUMMYFUNCTION("""COMPUTED_VALUE"""),"11-810")</f>
        <v>11-810</v>
      </c>
      <c r="X1" s="61" t="str">
        <f>IFERROR(__xludf.DUMMYFUNCTION("""COMPUTED_VALUE"""),"11-121")</f>
        <v>11-121</v>
      </c>
      <c r="Y1" s="61"/>
      <c r="Z1" s="61"/>
      <c r="AA1" s="61"/>
      <c r="AB1" s="61"/>
      <c r="AC1" s="61"/>
      <c r="AD1" s="61"/>
      <c r="AE1" s="61"/>
      <c r="AF1" s="61"/>
      <c r="AG1" s="61"/>
      <c r="AH1" s="61"/>
    </row>
    <row r="2" ht="52.5" customHeight="1">
      <c r="A2" s="37" t="str">
        <f>IFERROR(__xludf.DUMMYFUNCTION(" IMPORTRANGE('Управление'!D2,'Управление'!E2)"),"Понедельник")</f>
        <v>Понедельник</v>
      </c>
      <c r="B2" s="38" t="str">
        <f>IFERROR(__xludf.DUMMYFUNCTION("""COMPUTED_VALUE"""),"08:30 - 10:00")</f>
        <v>08:30 - 10:00</v>
      </c>
      <c r="C2" s="21"/>
      <c r="D2" s="21" t="str">
        <f>IFERROR(__xludf.DUMMYFUNCTION("""COMPUTED_VALUE"""),"Занятия по дисциплине ""Основы правоведения и противодействия коррупции"" согласно приложению №4.
Сводный список обучающихся согласно приложению №4.
Ссылки на команды в Мicrosoft Тeams по приложению № 4.")</f>
        <v>Занятия по дисциплине "Основы правоведения и противодействия коррупции" согласно приложению №4.
Сводный список обучающихся согласно приложению №4.
Ссылки на команды в Мicrosoft Тeams по приложению № 4.</v>
      </c>
      <c r="E2" s="21"/>
      <c r="F2" s="21"/>
      <c r="G2" s="21"/>
      <c r="H2" s="21"/>
      <c r="I2" s="21"/>
      <c r="J2" s="21"/>
      <c r="K2" s="21"/>
      <c r="L2" s="65"/>
      <c r="M2" s="65"/>
      <c r="N2" s="65"/>
      <c r="O2" s="65"/>
      <c r="P2" s="65"/>
      <c r="Q2" s="65"/>
      <c r="R2" s="65" t="str">
        <f>IFERROR(__xludf.DUMMYFUNCTION("""COMPUTED_VALUE"""),"Основы информационного поиска Лукьяничева Е.О. в 1408 ")</f>
        <v>Основы информационного поиска Лукьяничева Е.О. в 1408 </v>
      </c>
      <c r="S2" s="65"/>
      <c r="T2" s="65"/>
      <c r="U2" s="65"/>
      <c r="V2" s="65" t="str">
        <f>IFERROR(__xludf.DUMMYFUNCTION("""COMPUTED_VALUE""")," ")</f>
        <v> </v>
      </c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</row>
    <row r="3" ht="52.5" customHeight="1">
      <c r="A3" s="40"/>
      <c r="B3" s="41" t="str">
        <f>IFERROR(__xludf.DUMMYFUNCTION("""COMPUTED_VALUE"""),"10:10 - 11:40")</f>
        <v>10:10 - 11:40</v>
      </c>
      <c r="C3" s="21"/>
      <c r="D3" s="21"/>
      <c r="E3" s="21"/>
      <c r="F3" s="21"/>
      <c r="G3" s="21"/>
      <c r="H3" s="21"/>
      <c r="I3" s="21"/>
      <c r="J3" s="21"/>
      <c r="K3" s="21"/>
      <c r="L3" s="65"/>
      <c r="M3" s="65"/>
      <c r="N3" s="65" t="str">
        <f>IFERROR(__xludf.DUMMYFUNCTION("""COMPUTED_VALUE"""),"Дисциплины по выбору:  
Проектирование человеко-машинных интерфейсов Чупин М.М. (Григорян К.А.) гр 1(веб-аналитика) в 1412")</f>
        <v>Дисциплины по выбору:  
Проектирование человеко-машинных интерфейсов Чупин М.М. (Григорян К.А.) гр 1(веб-аналитика) в 1412</v>
      </c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</row>
    <row r="4" ht="52.5" customHeight="1">
      <c r="A4" s="40"/>
      <c r="B4" s="41" t="str">
        <f>IFERROR(__xludf.DUMMYFUNCTION("""COMPUTED_VALUE"""),"11:50 - 13:20")</f>
        <v>11:50 - 13:20</v>
      </c>
      <c r="C4" s="21"/>
      <c r="D4" s="21"/>
      <c r="E4" s="21"/>
      <c r="F4" s="21"/>
      <c r="G4" s="21"/>
      <c r="H4" s="21"/>
      <c r="I4" s="21"/>
      <c r="J4" s="21"/>
      <c r="K4" s="21"/>
      <c r="L4" s="65"/>
      <c r="M4" s="65"/>
      <c r="N4" s="65" t="str">
        <f>IFERROR(__xludf.DUMMYFUNCTION("""COMPUTED_VALUE"""),"Дисциплины по выбору:  
Проектирование человеко-машинных интерфейсов  Чупин М.М. (Григорян К.А.) гр 1 (веб-аналитика) в 1412")</f>
        <v>Дисциплины по выбору:  
Проектирование человеко-машинных интерфейсов  Чупин М.М. (Григорян К.А.) гр 1 (веб-аналитика) в 1412</v>
      </c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</row>
    <row r="5" ht="52.5" customHeight="1">
      <c r="A5" s="40"/>
      <c r="B5" s="42" t="str">
        <f>IFERROR(__xludf.DUMMYFUNCTION("""COMPUTED_VALUE"""),"14:00 - 15:30")</f>
        <v>14:00 - 15:30</v>
      </c>
      <c r="C5" s="21" t="str">
        <f>IFERROR(__xludf.DUMMYFUNCTION("""COMPUTED_VALUE"""),"Теория вероятностей и математическая статистика Еникеева З.А. в 1302 ( ms teams)")</f>
        <v>Теория вероятностей и математическая статистика Еникеева З.А. в 1302 ( ms teams)</v>
      </c>
      <c r="D5" s="21"/>
      <c r="E5" s="21"/>
      <c r="F5" s="21"/>
      <c r="G5" s="21"/>
      <c r="H5" s="21"/>
      <c r="I5" s="21"/>
      <c r="J5" s="21"/>
      <c r="K5" s="21"/>
      <c r="L5" s="65"/>
      <c r="M5" s="65"/>
      <c r="N5" s="65" t="str">
        <f>IFERROR(__xludf.DUMMYFUNCTION("""COMPUTED_VALUE"""),"Дисциплины по выбору:  
Проектирование человеко-машинных интерфейсов Чупин М.М.(Григорян К.А.) гр 2(веб-аналитика) в 1412, 
Зайдуллин С.С.в 1508 ")</f>
        <v>Дисциплины по выбору:  
Проектирование человеко-машинных интерфейсов Чупин М.М.(Григорян К.А.) гр 2(веб-аналитика) в 1412, 
Зайдуллин С.С.в 1508 </v>
      </c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</row>
    <row r="6" ht="52.5" customHeight="1">
      <c r="A6" s="40"/>
      <c r="B6" s="42" t="str">
        <f>IFERROR(__xludf.DUMMYFUNCTION("""COMPUTED_VALUE"""),"15:40 - 17:10")</f>
        <v>15:40 - 17:10</v>
      </c>
      <c r="C6" s="19"/>
      <c r="D6" s="9"/>
      <c r="E6" s="9"/>
      <c r="F6" s="9"/>
      <c r="G6" s="10"/>
      <c r="H6" s="47"/>
      <c r="I6" s="10"/>
      <c r="J6" s="21"/>
      <c r="K6" s="16"/>
      <c r="L6" s="39"/>
      <c r="M6" s="39"/>
      <c r="N6" s="39" t="str">
        <f>IFERROR(__xludf.DUMMYFUNCTION("""COMPUTED_VALUE"""),"Дисциплины по выбору:  
Проектирование человеко-машинных интерфейсов Чупин М.М.(Григорян К.А.) гр 2(веб-аналитика) в 1412, Зайдуллин С.С. в 1508")</f>
        <v>Дисциплины по выбору:  
Проектирование человеко-машинных интерфейсов Чупин М.М.(Григорян К.А.) гр 2(веб-аналитика) в 1412, Зайдуллин С.С. в 1508</v>
      </c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</row>
    <row r="7" ht="52.5" customHeight="1">
      <c r="A7" s="40"/>
      <c r="B7" s="42" t="str">
        <f>IFERROR(__xludf.DUMMYFUNCTION("""COMPUTED_VALUE"""),"17:50 - 19:20")</f>
        <v>17:50 - 19:20</v>
      </c>
      <c r="C7" s="19"/>
      <c r="D7" s="10"/>
      <c r="E7" s="16"/>
      <c r="F7" s="16"/>
      <c r="G7" s="16"/>
      <c r="H7" s="21"/>
      <c r="I7" s="16"/>
      <c r="J7" s="21"/>
      <c r="K7" s="16"/>
      <c r="L7" s="39"/>
      <c r="M7" s="39"/>
      <c r="N7" s="66" t="str">
        <f>IFERROR(__xludf.DUMMYFUNCTION("""COMPUTED_VALUE"""),"Методология научных исследований (по списку) Голицына И.Н. гр.1 в 1301, Елизаров А.М. (по списку) гр.1 в 1303, Кугуракова В.В. в 1408 (по списку), Шахова И.С. в 1412. (по списку)")</f>
        <v>Методология научных исследований (по списку) Голицына И.Н. гр.1 в 1301, Елизаров А.М. (по списку) гр.1 в 1303, Кугуракова В.В. в 1408 (по списку), Шахова И.С. в 1412. (по списку)</v>
      </c>
      <c r="O7" s="39"/>
      <c r="P7" s="39"/>
      <c r="Q7" s="39"/>
      <c r="R7" s="39"/>
      <c r="S7" s="39"/>
      <c r="T7" s="39"/>
      <c r="U7" s="39"/>
      <c r="V7" s="39"/>
      <c r="W7" s="39"/>
      <c r="X7" s="39" t="str">
        <f>IFERROR(__xludf.DUMMYFUNCTION("""COMPUTED_VALUE"""),"Дисциплины по выбору: 
Основы цифровой экономики Григорян К.А. в 1509 (по списку)")</f>
        <v>Дисциплины по выбору: 
Основы цифровой экономики Григорян К.А. в 1509 (по списку)</v>
      </c>
      <c r="Y7" s="39"/>
      <c r="Z7" s="39"/>
      <c r="AA7" s="39"/>
      <c r="AB7" s="39"/>
      <c r="AC7" s="39"/>
      <c r="AD7" s="39"/>
      <c r="AE7" s="39"/>
      <c r="AF7" s="39"/>
      <c r="AG7" s="39"/>
      <c r="AH7" s="39"/>
    </row>
    <row r="8" ht="52.5" customHeight="1">
      <c r="A8" s="43"/>
      <c r="B8" s="44" t="str">
        <f>IFERROR(__xludf.DUMMYFUNCTION("""COMPUTED_VALUE"""),"19:30 - 21:00")</f>
        <v>19:30 - 21:00</v>
      </c>
      <c r="C8" s="19"/>
      <c r="D8" s="10"/>
      <c r="E8" s="21"/>
      <c r="F8" s="16"/>
      <c r="G8" s="16"/>
      <c r="H8" s="16"/>
      <c r="I8" s="16"/>
      <c r="J8" s="21"/>
      <c r="K8" s="16"/>
      <c r="L8" s="39"/>
      <c r="M8" s="39"/>
      <c r="N8" s="66" t="str">
        <f>IFERROR(__xludf.DUMMYFUNCTION("""COMPUTED_VALUE"""),"Методология научных исследований (по списку) Голицына И.Н. гр.2 в 1301, Елизаров А.М (по списку).  гр.2 в 1303")</f>
        <v>Методология научных исследований (по списку) Голицына И.Н. гр.2 в 1301, Елизаров А.М (по списку).  гр.2 в 1303</v>
      </c>
      <c r="O8" s="39"/>
      <c r="P8" s="39"/>
      <c r="Q8" s="39"/>
      <c r="R8" s="39"/>
      <c r="S8" s="39"/>
      <c r="T8" s="39"/>
      <c r="U8" s="39"/>
      <c r="V8" s="39"/>
      <c r="W8" s="39"/>
      <c r="X8" s="39" t="str">
        <f>IFERROR(__xludf.DUMMYFUNCTION("""COMPUTED_VALUE"""),"Дисциплины по выбору: 
Архитектура систем Чекин К.Э. в 1311 (по списку)")</f>
        <v>Дисциплины по выбору: 
Архитектура систем Чекин К.Э. в 1311 (по списку)</v>
      </c>
      <c r="Y8" s="39"/>
      <c r="Z8" s="39"/>
      <c r="AA8" s="39"/>
      <c r="AB8" s="39"/>
      <c r="AC8" s="39"/>
      <c r="AD8" s="39"/>
      <c r="AE8" s="39"/>
      <c r="AF8" s="39"/>
      <c r="AG8" s="39"/>
      <c r="AH8" s="39"/>
    </row>
    <row r="9" ht="52.5" customHeight="1">
      <c r="A9" s="45" t="str">
        <f>IFERROR(__xludf.DUMMYFUNCTION("""COMPUTED_VALUE"""),"Вторник")</f>
        <v>Вторник</v>
      </c>
      <c r="B9" s="38" t="str">
        <f>IFERROR(__xludf.DUMMYFUNCTION("""COMPUTED_VALUE"""),"08:30 - 10:00")</f>
        <v>08:30 - 10:00</v>
      </c>
      <c r="C9" s="21"/>
      <c r="D9" s="21"/>
      <c r="E9" s="21"/>
      <c r="F9" s="21"/>
      <c r="G9" s="21"/>
      <c r="H9" s="21"/>
      <c r="I9" s="21"/>
      <c r="J9" s="21"/>
      <c r="K9" s="21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</row>
    <row r="10" ht="52.5" customHeight="1">
      <c r="A10" s="40"/>
      <c r="B10" s="48" t="str">
        <f>IFERROR(__xludf.DUMMYFUNCTION("""COMPUTED_VALUE"""),"10:10 - 11:40")</f>
        <v>10:10 - 11:40</v>
      </c>
      <c r="C10" s="21"/>
      <c r="D10" s="21" t="str">
        <f>IFERROR(__xludf.DUMMYFUNCTION("""COMPUTED_VALUE"""),"Инновационная экономика и технологическое предпринимательство Григорян К.А. (с 11-901 по 11-906 по н.н., с 11-907 по 11-911 по ч.н.) в 108 к.2 в ms teams c 11нед. очно в 108 к.2")</f>
        <v>Инновационная экономика и технологическое предпринимательство Григорян К.А. (с 11-901 по 11-906 по н.н., с 11-907 по 11-911 по ч.н.) в 108 к.2 в ms teams c 11нед. очно в 108 к.2</v>
      </c>
      <c r="E10" s="21"/>
      <c r="F10" s="21"/>
      <c r="G10" s="21"/>
      <c r="H10" s="21"/>
      <c r="I10" s="21"/>
      <c r="J10" s="21"/>
      <c r="K10" s="21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</row>
    <row r="11" ht="52.5" customHeight="1">
      <c r="A11" s="40"/>
      <c r="B11" s="48" t="str">
        <f>IFERROR(__xludf.DUMMYFUNCTION("""COMPUTED_VALUE"""),"11:50 - 13:20")</f>
        <v>11:50 - 13:20</v>
      </c>
      <c r="C11" s="21"/>
      <c r="D11" s="21" t="str">
        <f>IFERROR(__xludf.DUMMYFUNCTION("""COMPUTED_VALUE"""),"Управление проектами Заппаров Б.А. по ч.н. в УНИКС 2 этаж коворкинг")</f>
        <v>Управление проектами Заппаров Б.А. по ч.н. в УНИКС 2 этаж коворкинг</v>
      </c>
      <c r="E11" s="21"/>
      <c r="F11" s="21"/>
      <c r="G11" s="21"/>
      <c r="H11" s="21"/>
      <c r="I11" s="21"/>
      <c r="J11" s="21" t="str">
        <f>IFERROR(__xludf.DUMMYFUNCTION("""COMPUTED_VALUE"""),"Управление проектами Григорян К.А.. в ms teams в 1311 с 11 нед очно (14.06 в 1310)")</f>
        <v>Управление проектами Григорян К.А.. в ms teams в 1311 с 11 нед очно (14.06 в 1310)</v>
      </c>
      <c r="K11" s="21"/>
      <c r="L11" s="65"/>
      <c r="M11" s="65"/>
      <c r="N11" s="65"/>
      <c r="O11" s="65" t="str">
        <f>IFERROR(__xludf.DUMMYFUNCTION("""COMPUTED_VALUE"""),"Основы информационного поиска Лукьяничева Е.О. в 1412")</f>
        <v>Основы информационного поиска Лукьяничева Е.О. в 1412</v>
      </c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</row>
    <row r="12" ht="52.5" customHeight="1">
      <c r="A12" s="40"/>
      <c r="B12" s="49" t="str">
        <f>IFERROR(__xludf.DUMMYFUNCTION("""COMPUTED_VALUE"""),"14:00 - 15:30")</f>
        <v>14:00 - 15:30</v>
      </c>
      <c r="C12" s="21"/>
      <c r="D12" s="21" t="str">
        <f>IFERROR(__xludf.DUMMYFUNCTION("""COMPUTED_VALUE"""),"Управление проектами Зуев М.С.в 109 к.2 (MS Teams)")</f>
        <v>Управление проектами Зуев М.С.в 109 к.2 (MS Teams)</v>
      </c>
      <c r="E12" s="21"/>
      <c r="F12" s="16"/>
      <c r="G12" s="21"/>
      <c r="H12" s="21"/>
      <c r="I12" s="21"/>
      <c r="J12" s="21" t="str">
        <f>IFERROR(__xludf.DUMMYFUNCTION("""COMPUTED_VALUE"""),"Информационная безопасность Мулюков Р. И. в 1305")</f>
        <v>Информационная безопасность Мулюков Р. И. в 1305</v>
      </c>
      <c r="K12" s="16" t="str">
        <f>IFERROR(__xludf.DUMMYFUNCTION("""COMPUTED_VALUE"""),"Инновационная экономика и технологическое предпринимательство Ибатуллина А.А. н.н. в 1301")</f>
        <v>Инновационная экономика и технологическое предпринимательство Ибатуллина А.А. н.н. в 1301</v>
      </c>
      <c r="L12" s="39" t="str">
        <f>IFERROR(__xludf.DUMMYFUNCTION("""COMPUTED_VALUE"""),"Инновационная экономика и технологическое предпринимательство Ибатуллина А.А. ч.н. в 1301")</f>
        <v>Инновационная экономика и технологическое предпринимательство Ибатуллина А.А. ч.н. в 1301</v>
      </c>
      <c r="M12" s="39"/>
      <c r="N12" s="39" t="str">
        <f>IFERROR(__xludf.DUMMYFUNCTION("""COMPUTED_VALUE"""),"Дисциплины по выбору: 
Мобильные информационные системы Хайруллин А.Ф. гр. №2 в 1404, 
Проектирование человеко-машинных интерфейсов Чупин М.М.(Григорян К.А.)  гр.1С в 1306 ")</f>
        <v>Дисциплины по выбору: 
Мобильные информационные системы Хайруллин А.Ф. гр. №2 в 1404, 
Проектирование человеко-машинных интерфейсов Чупин М.М.(Григорян К.А.)  гр.1С в 1306 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</row>
    <row r="13" ht="52.5" customHeight="1">
      <c r="A13" s="40"/>
      <c r="B13" s="49" t="str">
        <f>IFERROR(__xludf.DUMMYFUNCTION("""COMPUTED_VALUE"""),"15:40 - 17:10")</f>
        <v>15:40 - 17:10</v>
      </c>
      <c r="C13" s="16"/>
      <c r="D13" s="21" t="str">
        <f>IFERROR(__xludf.DUMMYFUNCTION("""COMPUTED_VALUE"""),"Инновационная экономика и технологическое предпринимательство Атюнькина И.Н. н.н. в 1305(24.05 и 31.05 перенос на 28.05 в 8.30 в ауд. 1311)")</f>
        <v>Инновационная экономика и технологическое предпринимательство Атюнькина И.Н. н.н. в 1305(24.05 и 31.05 перенос на 28.05 в 8.30 в ауд. 1311)</v>
      </c>
      <c r="E13" s="16" t="str">
        <f>IFERROR(__xludf.DUMMYFUNCTION("""COMPUTED_VALUE"""),"Инновационная экономика и технологическое предпринимательство Атюнькина И.Н. ч.н. в 1305(24.05 и 31.05 перенос на 28.05 в 8.30 в ауд. 1311)")</f>
        <v>Инновационная экономика и технологическое предпринимательство Атюнькина И.Н. ч.н. в 1305(24.05 и 31.05 перенос на 28.05 в 8.30 в ауд. 1311)</v>
      </c>
      <c r="F13" s="16"/>
      <c r="G13" s="21" t="str">
        <f>IFERROR(__xludf.DUMMYFUNCTION("""COMPUTED_VALUE"""),"Инновационная экономика и технологическое предпринимательство Ибатуллина А.А. н.н. в 1301(14.06 в 1303)")</f>
        <v>Инновационная экономика и технологическое предпринимательство Ибатуллина А.А. н.н. в 1301(14.06 в 1303)</v>
      </c>
      <c r="H13" s="21" t="str">
        <f>IFERROR(__xludf.DUMMYFUNCTION("""COMPUTED_VALUE"""),"Инновационная экономика и технологическое предпринимательство Ибатуллина А.А. ч.н. в 1301")</f>
        <v>Инновационная экономика и технологическое предпринимательство Ибатуллина А.А. ч.н. в 1301</v>
      </c>
      <c r="I13" s="21" t="str">
        <f>IFERROR(__xludf.DUMMYFUNCTION("""COMPUTED_VALUE"""),"Информационная безопасность Мулюков Р И. в 1409 ")</f>
        <v>Информационная безопасность Мулюков Р И. в 1409 </v>
      </c>
      <c r="J13" s="21"/>
      <c r="K13" s="21"/>
      <c r="L13" s="65"/>
      <c r="M13" s="65" t="str">
        <f>IFERROR(__xludf.DUMMYFUNCTION("""COMPUTED_VALUE"""),"Информационная безопасность  Шарипов Р.Р.в 1408")</f>
        <v>Информационная безопасность  Шарипов Р.Р.в 1408</v>
      </c>
      <c r="N13" s="65" t="str">
        <f>IFERROR(__xludf.DUMMYFUNCTION("""COMPUTED_VALUE"""),"Дисциплины по выбору: 
Мобильные информационные системы Хайруллин А.Ф.(гр. №2 в 1404, 
Проектирование человеко-машинных интерфейсов Чупин М.М.(Григорян К.А.)  гр.1С в 1306 ")</f>
        <v>Дисциплины по выбору: 
Мобильные информационные системы Хайруллин А.Ф.(гр. №2 в 1404, 
Проектирование человеко-машинных интерфейсов Чупин М.М.(Григорян К.А.)  гр.1С в 1306 </v>
      </c>
      <c r="O13" s="65"/>
      <c r="P13" s="65"/>
      <c r="Q13" s="65"/>
      <c r="R13" s="65"/>
      <c r="S13" s="65"/>
      <c r="T13" s="65"/>
      <c r="U13" s="65"/>
      <c r="V13" s="65"/>
      <c r="W13" s="65"/>
      <c r="X13" s="65" t="str">
        <f>IFERROR(__xludf.DUMMYFUNCTION("""COMPUTED_VALUE"""),"Проектный практикум Ференец А.А. в  ms teams ")</f>
        <v>Проектный практикум Ференец А.А. в  ms teams </v>
      </c>
      <c r="Y13" s="65"/>
      <c r="Z13" s="65"/>
      <c r="AA13" s="65"/>
      <c r="AB13" s="65"/>
      <c r="AC13" s="65"/>
      <c r="AD13" s="65"/>
      <c r="AE13" s="65"/>
      <c r="AF13" s="65"/>
      <c r="AG13" s="65"/>
      <c r="AH13" s="65"/>
    </row>
    <row r="14" ht="52.5" customHeight="1">
      <c r="A14" s="40"/>
      <c r="B14" s="42" t="str">
        <f>IFERROR(__xludf.DUMMYFUNCTION("""COMPUTED_VALUE"""),"17:50 - 19:20")</f>
        <v>17:50 - 19:20</v>
      </c>
      <c r="C14" s="19"/>
      <c r="D14" s="9"/>
      <c r="E14" s="9"/>
      <c r="F14" s="9"/>
      <c r="G14" s="10"/>
      <c r="H14" s="19"/>
      <c r="I14" s="10"/>
      <c r="J14" s="16"/>
      <c r="K14" s="16"/>
      <c r="L14" s="39"/>
      <c r="M14" s="39"/>
      <c r="N14" s="39"/>
      <c r="O14" s="39"/>
      <c r="P14" s="39" t="str">
        <f>IFERROR(__xludf.DUMMYFUNCTION("""COMPUTED_VALUE"""),"Основы информационного поиска  Лукьяничева Е.О. 
в 1404")</f>
        <v>Основы информационного поиска  Лукьяничева Е.О. 
в 1404</v>
      </c>
      <c r="Q14" s="39"/>
      <c r="R14" s="39"/>
      <c r="S14" s="39"/>
      <c r="T14" s="39"/>
      <c r="U14" s="39"/>
      <c r="V14" s="39"/>
      <c r="W14" s="39"/>
      <c r="X14" s="39" t="str">
        <f>IFERROR(__xludf.DUMMYFUNCTION("""COMPUTED_VALUE"""),"Профессиональный иностранный язык (английский) 
гр. №1 Арсентьева Ю.С. в 1306 (MS teams)")</f>
        <v>Профессиональный иностранный язык (английский) 
гр. №1 Арсентьева Ю.С. в 1306 (MS teams)</v>
      </c>
      <c r="Y14" s="39"/>
      <c r="Z14" s="39"/>
      <c r="AA14" s="39"/>
      <c r="AB14" s="39"/>
      <c r="AC14" s="39"/>
      <c r="AD14" s="39"/>
      <c r="AE14" s="39"/>
      <c r="AF14" s="39"/>
      <c r="AG14" s="39"/>
      <c r="AH14" s="39"/>
    </row>
    <row r="15" ht="52.5" customHeight="1">
      <c r="A15" s="43"/>
      <c r="B15" s="44" t="str">
        <f>IFERROR(__xludf.DUMMYFUNCTION("""COMPUTED_VALUE"""),"19:30 - 21:00")</f>
        <v>19:30 - 21:00</v>
      </c>
      <c r="C15" s="19"/>
      <c r="D15" s="9"/>
      <c r="E15" s="9"/>
      <c r="F15" s="9"/>
      <c r="G15" s="10"/>
      <c r="H15" s="64"/>
      <c r="I15" s="10"/>
      <c r="J15" s="21"/>
      <c r="K15" s="16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 t="str">
        <f>IFERROR(__xludf.DUMMYFUNCTION("""COMPUTED_VALUE"""),"Профессиональный иностранный язык (английский) 
гр. №1 Арсентьева Ю.С. в 1306 (MS teams)")</f>
        <v>Профессиональный иностранный язык (английский) 
гр. №1 Арсентьева Ю.С. в 1306 (MS teams)</v>
      </c>
      <c r="Y15" s="39"/>
      <c r="Z15" s="39"/>
      <c r="AA15" s="39"/>
      <c r="AB15" s="39"/>
      <c r="AC15" s="39"/>
      <c r="AD15" s="39"/>
      <c r="AE15" s="39"/>
      <c r="AF15" s="39"/>
      <c r="AG15" s="39"/>
      <c r="AH15" s="39"/>
    </row>
    <row r="16" ht="52.5" customHeight="1">
      <c r="A16" s="45" t="str">
        <f>IFERROR(__xludf.DUMMYFUNCTION("""COMPUTED_VALUE"""),"Среда")</f>
        <v>Среда</v>
      </c>
      <c r="B16" s="38" t="str">
        <f>IFERROR(__xludf.DUMMYFUNCTION("""COMPUTED_VALUE"""),"08:30 - 10:00")</f>
        <v>08:30 - 10:00</v>
      </c>
      <c r="C16" s="21"/>
      <c r="D16" s="21"/>
      <c r="E16" s="21"/>
      <c r="F16" s="21"/>
      <c r="G16" s="21" t="str">
        <f>IFERROR(__xludf.DUMMYFUNCTION("""COMPUTED_VALUE"""),"Архитектура систем Ибатулин Н.Н. в 1404 ")</f>
        <v>Архитектура систем Ибатулин Н.Н. в 1404 </v>
      </c>
      <c r="H16" s="21" t="str">
        <f>IFERROR(__xludf.DUMMYFUNCTION("""COMPUTED_VALUE"""),"Архитектура систем Лукьяничева Е.О.в 1305 (25.05 переносится на 26.05 в 8.30 в 1409)")</f>
        <v>Архитектура систем Лукьяничева Е.О.в 1305 (25.05 переносится на 26.05 в 8.30 в 1409)</v>
      </c>
      <c r="I16" s="21"/>
      <c r="J16" s="21"/>
      <c r="K16" s="21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</row>
    <row r="17" ht="52.5" customHeight="1">
      <c r="A17" s="40"/>
      <c r="B17" s="41" t="str">
        <f>IFERROR(__xludf.DUMMYFUNCTION("""COMPUTED_VALUE"""),"10:10 - 11:40")</f>
        <v>10:10 - 11:40</v>
      </c>
      <c r="C17" s="21" t="str">
        <f>IFERROR(__xludf.DUMMYFUNCTION("""COMPUTED_VALUE"""),"Теория вероятностей и математическая статистика Еникеева З.А. в 1302 ")</f>
        <v>Теория вероятностей и математическая статистика Еникеева З.А. в 1302 </v>
      </c>
      <c r="D17" s="21"/>
      <c r="E17" s="21" t="str">
        <f>IFERROR(__xludf.DUMMYFUNCTION("""COMPUTED_VALUE"""),"Управление проектами Насибуллина Э.Р. по ч.н.в 1404")</f>
        <v>Управление проектами Насибуллина Э.Р. по ч.н.в 1404</v>
      </c>
      <c r="F17" s="21" t="str">
        <f>IFERROR(__xludf.DUMMYFUNCTION("""COMPUTED_VALUE"""),"Инновационная экономика и технологическое предпринимательство Мустафина А.А. н.н. в 1308")</f>
        <v>Инновационная экономика и технологическое предпринимательство Мустафина А.А. н.н. в 1308</v>
      </c>
      <c r="G17" s="21"/>
      <c r="H17" s="21"/>
      <c r="I17" s="21" t="str">
        <f>IFERROR(__xludf.DUMMYFUNCTION("""COMPUTED_VALUE"""),"Управление проектами Насибуллина Э.Р. н.н.в 1404")</f>
        <v>Управление проектами Насибуллина Э.Р. н.н.в 1404</v>
      </c>
      <c r="J17" s="21" t="str">
        <f>IFERROR(__xludf.DUMMYFUNCTION("""COMPUTED_VALUE"""),"Архитектура систем Тощев А.С. в 1310-1311( 8.06 в 1310)")</f>
        <v>Архитектура систем Тощев А.С. в 1310-1311( 8.06 в 1310)</v>
      </c>
      <c r="K17" s="21"/>
      <c r="L17" s="65"/>
      <c r="M17" s="65"/>
      <c r="N17" s="65" t="str">
        <f>IFERROR(__xludf.DUMMYFUNCTION("""COMPUTED_VALUE"""),"Основы информационного поиска  Лукьяничева Е.О. в 1412")</f>
        <v>Основы информационного поиска  Лукьяничева Е.О. в 1412</v>
      </c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</row>
    <row r="18" ht="52.5" customHeight="1">
      <c r="A18" s="40"/>
      <c r="B18" s="48" t="str">
        <f>IFERROR(__xludf.DUMMYFUNCTION("""COMPUTED_VALUE"""),"11:50 - 13:20")</f>
        <v>11:50 - 13:20</v>
      </c>
      <c r="C18" s="21" t="str">
        <f>IFERROR(__xludf.DUMMYFUNCTION("""COMPUTED_VALUE"""),"Основы разработки информационных систем Еникеев К.Ш. в 1302 ")</f>
        <v>Основы разработки информационных систем Еникеев К.Ш. в 1302 </v>
      </c>
      <c r="D18" s="21" t="str">
        <f>IFERROR(__xludf.DUMMYFUNCTION("""COMPUTED_VALUE"""),"Архитектура систем Тощев А.С. в 109  к.2")</f>
        <v>Архитектура систем Тощев А.С. в 109  к.2</v>
      </c>
      <c r="E18" s="21"/>
      <c r="F18" s="21"/>
      <c r="G18" s="21"/>
      <c r="H18" s="21"/>
      <c r="I18" s="21"/>
      <c r="J18" s="21"/>
      <c r="K18" s="21"/>
      <c r="L18" s="65" t="str">
        <f>IFERROR(__xludf.DUMMYFUNCTION("""COMPUTED_VALUE"""),"Управление проектами Селезнева Н.Э. н.н.в 1404")</f>
        <v>Управление проектами Селезнева Н.Э. н.н.в 1404</v>
      </c>
      <c r="M18" s="65" t="str">
        <f>IFERROR(__xludf.DUMMYFUNCTION("""COMPUTED_VALUE"""),"Управление проектами Селезнева Н.Э. ч.н.в 1404(8.06 в 1508)")</f>
        <v>Управление проектами Селезнева Н.Э. ч.н.в 1404(8.06 в 1508)</v>
      </c>
      <c r="N18" s="65" t="str">
        <f>IFERROR(__xludf.DUMMYFUNCTION("""COMPUTED_VALUE"""),"Методология научных исследований Елизаров А.М. (11-801 - 11-805) в 1310-1311 Лекция (MS Teams)")</f>
        <v>Методология научных исследований Елизаров А.М. (11-801 - 11-805) в 1310-1311 Лекция (MS Teams)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</row>
    <row r="19" ht="52.5" customHeight="1">
      <c r="A19" s="40"/>
      <c r="B19" s="42" t="str">
        <f>IFERROR(__xludf.DUMMYFUNCTION("""COMPUTED_VALUE"""),"14:00 - 15:30")</f>
        <v>14:00 - 15:30</v>
      </c>
      <c r="C19" s="21" t="str">
        <f>IFERROR(__xludf.DUMMYFUNCTION("""COMPUTED_VALUE"""),"Основы разработки информационных систем Еникеев К.Ш.в 1412 (6.04 в ms teams) ( 27.04 переносится на 27.04 в 8.30 в ауд 1302)")</f>
        <v>Основы разработки информационных систем Еникеев К.Ш.в 1412 (6.04 в ms teams) ( 27.04 переносится на 27.04 в 8.30 в ауд 1302)</v>
      </c>
      <c r="D19" s="21" t="str">
        <f>IFERROR(__xludf.DUMMYFUNCTION("""COMPUTED_VALUE"""),"Элективные курсы по физической культуре и спорту в УНИКС с 14:00 - 15:30 ")</f>
        <v>Элективные курсы по физической культуре и спорту в УНИКС с 14:00 - 15:30 </v>
      </c>
      <c r="E19" s="21"/>
      <c r="F19" s="21"/>
      <c r="G19" s="21"/>
      <c r="H19" s="21"/>
      <c r="I19" s="21"/>
      <c r="J19" s="21"/>
      <c r="K19" s="21"/>
      <c r="L19" s="65"/>
      <c r="M19" s="65"/>
      <c r="N19" s="65" t="str">
        <f>IFERROR(__xludf.DUMMYFUNCTION("""COMPUTED_VALUE"""),"Методология научных исследований Елизаров А.М. (11-801 - 11-805) в 1310-1311 Лекция (MS Teams) ")</f>
        <v>Методология научных исследований Елизаров А.М. (11-801 - 11-805) в 1310-1311 Лекция (MS Teams) </v>
      </c>
      <c r="O19" s="65"/>
      <c r="P19" s="65"/>
      <c r="Q19" s="65"/>
      <c r="R19" s="65"/>
      <c r="S19" s="65"/>
      <c r="T19" s="65"/>
      <c r="U19" s="65"/>
      <c r="V19" s="65"/>
      <c r="W19" s="65"/>
      <c r="X19" s="65" t="str">
        <f>IFERROR(__xludf.DUMMYFUNCTION("""COMPUTED_VALUE"""),"Профессиональный иностранный язык (английский) гр №2 Арсентьева Ю.В. в 1408 (MS Teams)")</f>
        <v>Профессиональный иностранный язык (английский) гр №2 Арсентьева Ю.В. в 1408 (MS Teams)</v>
      </c>
      <c r="Y19" s="65"/>
      <c r="Z19" s="65"/>
      <c r="AA19" s="65"/>
      <c r="AB19" s="65"/>
      <c r="AC19" s="65"/>
      <c r="AD19" s="65"/>
      <c r="AE19" s="65"/>
      <c r="AF19" s="65"/>
      <c r="AG19" s="65"/>
      <c r="AH19" s="65"/>
    </row>
    <row r="20" ht="52.5" customHeight="1">
      <c r="A20" s="40"/>
      <c r="B20" s="42" t="str">
        <f>IFERROR(__xludf.DUMMYFUNCTION("""COMPUTED_VALUE"""),"15:40 - 17:10")</f>
        <v>15:40 - 17:10</v>
      </c>
      <c r="C20" s="21"/>
      <c r="D20" s="21" t="str">
        <f>IFERROR(__xludf.DUMMYFUNCTION("""COMPUTED_VALUE"""),"Философия Николаева Е.М. в 109 к.2 (с 11-901 по 11-906 по н.н., с 11-907 по 11-911 в ч.н.) в ms teams")</f>
        <v>Философия Николаева Е.М. в 109 к.2 (с 11-901 по 11-906 по н.н., с 11-907 по 11-911 в ч.н.) в ms teams</v>
      </c>
      <c r="E20" s="21"/>
      <c r="F20" s="16"/>
      <c r="G20" s="21"/>
      <c r="H20" s="19"/>
      <c r="I20" s="10"/>
      <c r="J20" s="21"/>
      <c r="K20" s="16"/>
      <c r="L20" s="39"/>
      <c r="M20" s="39"/>
      <c r="N20" s="39" t="str">
        <f>IFERROR(__xludf.DUMMYFUNCTION("""COMPUTED_VALUE"""),"Методология научных исследований Голицына И.Н. (11-806 - 11-810) в 1310-1311 Лекция (MS Teams)")</f>
        <v>Методология научных исследований Голицына И.Н. (11-806 - 11-810) в 1310-1311 Лекция (MS Teams)</v>
      </c>
      <c r="O20" s="39"/>
      <c r="P20" s="39"/>
      <c r="Q20" s="39"/>
      <c r="R20" s="39"/>
      <c r="S20" s="39"/>
      <c r="T20" s="39"/>
      <c r="U20" s="39"/>
      <c r="V20" s="39"/>
      <c r="W20" s="39"/>
      <c r="X20" s="39" t="str">
        <f>IFERROR(__xludf.DUMMYFUNCTION("""COMPUTED_VALUE"""),"Профессиональный иностранный язык (английский) гр №2 Арсентьева Ю.В. в 1408 (MS Teams)")</f>
        <v>Профессиональный иностранный язык (английский) гр №2 Арсентьева Ю.В. в 1408 (MS Teams)</v>
      </c>
      <c r="Y20" s="39"/>
      <c r="Z20" s="39"/>
      <c r="AA20" s="39"/>
      <c r="AB20" s="39"/>
      <c r="AC20" s="39"/>
      <c r="AD20" s="39"/>
      <c r="AE20" s="39"/>
      <c r="AF20" s="39"/>
      <c r="AG20" s="39"/>
      <c r="AH20" s="39"/>
    </row>
    <row r="21" ht="52.5" customHeight="1">
      <c r="A21" s="40"/>
      <c r="B21" s="42" t="str">
        <f>IFERROR(__xludf.DUMMYFUNCTION("""COMPUTED_VALUE"""),"17:50 - 19:20")</f>
        <v>17:50 - 19:20</v>
      </c>
      <c r="C21" s="19"/>
      <c r="D21" s="9"/>
      <c r="E21" s="9"/>
      <c r="F21" s="9"/>
      <c r="G21" s="10"/>
      <c r="H21" s="67"/>
      <c r="I21" s="10"/>
      <c r="J21" s="16"/>
      <c r="K21" s="21"/>
      <c r="L21" s="65"/>
      <c r="M21" s="65"/>
      <c r="N21" s="65" t="str">
        <f>IFERROR(__xludf.DUMMYFUNCTION("""COMPUTED_VALUE"""),"Дисциплины по выбору:  
Проектирование человеко-машинных интерфейсов Идрисов Т.Р. в 1309")</f>
        <v>Дисциплины по выбору:  
Проектирование человеко-машинных интерфейсов Идрисов Т.Р. в 1309</v>
      </c>
      <c r="O21" s="65"/>
      <c r="P21" s="65"/>
      <c r="Q21" s="65"/>
      <c r="R21" s="65"/>
      <c r="S21" s="65"/>
      <c r="T21" s="65"/>
      <c r="U21" s="65"/>
      <c r="V21" s="65"/>
      <c r="W21" s="65"/>
      <c r="X21" s="65" t="str">
        <f>IFERROR(__xludf.DUMMYFUNCTION("""COMPUTED_VALUE"""),"Инженерия приложений и инженерия предметной области: Таланов М.О. в 1302, Петрова И.Р. в 1404.")</f>
        <v>Инженерия приложений и инженерия предметной области: Таланов М.О. в 1302, Петрова И.Р. в 1404.</v>
      </c>
      <c r="Y21" s="65"/>
      <c r="Z21" s="65"/>
      <c r="AA21" s="65"/>
      <c r="AB21" s="65"/>
      <c r="AC21" s="65"/>
      <c r="AD21" s="65"/>
      <c r="AE21" s="65"/>
      <c r="AF21" s="65"/>
      <c r="AG21" s="65"/>
      <c r="AH21" s="65"/>
    </row>
    <row r="22" ht="52.5" customHeight="1">
      <c r="A22" s="43"/>
      <c r="B22" s="44" t="str">
        <f>IFERROR(__xludf.DUMMYFUNCTION("""COMPUTED_VALUE"""),"19:30 - 21:00")</f>
        <v>19:30 - 21:00</v>
      </c>
      <c r="C22" s="19"/>
      <c r="D22" s="10"/>
      <c r="E22" s="16"/>
      <c r="F22" s="16"/>
      <c r="G22" s="16"/>
      <c r="H22" s="64"/>
      <c r="I22" s="10"/>
      <c r="J22" s="16"/>
      <c r="K22" s="21"/>
      <c r="L22" s="65"/>
      <c r="M22" s="65"/>
      <c r="N22" s="65" t="str">
        <f>IFERROR(__xludf.DUMMYFUNCTION("""COMPUTED_VALUE"""),"Дисциплины по выбору:  
Проектирование человеко-машинных интерфейсов Идрисов Т.Р. в 1309")</f>
        <v>Дисциплины по выбору:  
Проектирование человеко-машинных интерфейсов Идрисов Т.Р. в 1309</v>
      </c>
      <c r="O22" s="65"/>
      <c r="P22" s="65"/>
      <c r="Q22" s="65"/>
      <c r="R22" s="65"/>
      <c r="S22" s="65"/>
      <c r="T22" s="65"/>
      <c r="U22" s="65"/>
      <c r="V22" s="65"/>
      <c r="W22" s="65"/>
      <c r="X22" s="65" t="str">
        <f>IFERROR(__xludf.DUMMYFUNCTION("""COMPUTED_VALUE"""),"Средства и инструменты программной инженерии Чекин К.Э. в 1310-1311 лекция по н.н. практ по ч.н. (MS Teams) с 3 нед.")</f>
        <v>Средства и инструменты программной инженерии Чекин К.Э. в 1310-1311 лекция по н.н. практ по ч.н. (MS Teams) с 3 нед.</v>
      </c>
      <c r="Y22" s="65"/>
      <c r="Z22" s="65"/>
      <c r="AA22" s="65"/>
      <c r="AB22" s="65"/>
      <c r="AC22" s="65"/>
      <c r="AD22" s="65"/>
      <c r="AE22" s="65"/>
      <c r="AF22" s="65"/>
      <c r="AG22" s="65"/>
      <c r="AH22" s="65"/>
    </row>
    <row r="23" ht="52.5" customHeight="1">
      <c r="A23" s="45" t="str">
        <f>IFERROR(__xludf.DUMMYFUNCTION("""COMPUTED_VALUE"""),"Четверг")</f>
        <v>Четверг</v>
      </c>
      <c r="B23" s="38" t="str">
        <f>IFERROR(__xludf.DUMMYFUNCTION("""COMPUTED_VALUE"""),"08:30 - 10:00")</f>
        <v>08:30 - 10:00</v>
      </c>
      <c r="C23" s="21"/>
      <c r="D23" s="21"/>
      <c r="E23" s="21"/>
      <c r="F23" s="21"/>
      <c r="G23" s="21"/>
      <c r="H23" s="21"/>
      <c r="I23" s="21"/>
      <c r="J23" s="21"/>
      <c r="K23" s="21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</row>
    <row r="24" ht="52.5" customHeight="1">
      <c r="A24" s="40"/>
      <c r="B24" s="41" t="str">
        <f>IFERROR(__xludf.DUMMYFUNCTION("""COMPUTED_VALUE"""),"10:10 - 11:40")</f>
        <v>10:10 - 11:40</v>
      </c>
      <c r="C24" s="21"/>
      <c r="D24" s="21" t="str">
        <f>IFERROR(__xludf.DUMMYFUNCTION("""COMPUTED_VALUE"""),"Философия Пилото Родригес Ховьер Альберто н.н.в 1408 ")</f>
        <v>Философия Пилото Родригес Ховьер Альберто н.н.в 1408 </v>
      </c>
      <c r="E24" s="21" t="str">
        <f>IFERROR(__xludf.DUMMYFUNCTION("""COMPUTED_VALUE"""),"Информационная безопасность Зиятдинов М.Т.1306 ")</f>
        <v>Информационная безопасность Зиятдинов М.Т.1306 </v>
      </c>
      <c r="F24" s="21" t="str">
        <f>IFERROR(__xludf.DUMMYFUNCTION("""COMPUTED_VALUE"""),"Философия Пилото Родригес Ховьер Альберто ч.н.в 1408 ( 9.06 в 1405)")</f>
        <v>Философия Пилото Родригес Ховьер Альберто ч.н.в 1408 ( 9.06 в 1405)</v>
      </c>
      <c r="G24" s="21"/>
      <c r="H24" s="21"/>
      <c r="I24" s="21" t="str">
        <f>IFERROR(__xludf.DUMMYFUNCTION("""COMPUTED_VALUE"""),"Архитектура систем Ихсанов И.С. в 1308( 9.06 в 1307)")</f>
        <v>Архитектура систем Ихсанов И.С. в 1308( 9.06 в 1307)</v>
      </c>
      <c r="J24" s="16"/>
      <c r="K24" s="21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</row>
    <row r="25" ht="52.5" customHeight="1">
      <c r="A25" s="40"/>
      <c r="B25" s="41" t="str">
        <f>IFERROR(__xludf.DUMMYFUNCTION("""COMPUTED_VALUE"""),"11:50 - 13:20")</f>
        <v>11:50 - 13:20</v>
      </c>
      <c r="C25" s="18"/>
      <c r="D25" s="18" t="str">
        <f>IFERROR(__xludf.DUMMYFUNCTION("""COMPUTED_VALUE"""),"Информационная безопасность Зиятдинов М.Т.1306")</f>
        <v>Информационная безопасность Зиятдинов М.Т.1306</v>
      </c>
      <c r="E25" s="21" t="str">
        <f>IFERROR(__xludf.DUMMYFUNCTION("""COMPUTED_VALUE"""),"Архитектура систем Лукьяничева Е.О. в 1508 (26.05 перенос в ауд.1409 раз)")</f>
        <v>Архитектура систем Лукьяничева Е.О. в 1508 (26.05 перенос в ауд.1409 раз)</v>
      </c>
      <c r="F25" s="21"/>
      <c r="G25" s="21"/>
      <c r="H25" s="21" t="str">
        <f>IFERROR(__xludf.DUMMYFUNCTION("""COMPUTED_VALUE"""),"Философия Пилото Родригес Ховьер Альберто н.н.в 1310 ")</f>
        <v>Философия Пилото Родригес Ховьер Альберто н.н.в 1310 </v>
      </c>
      <c r="I25" s="21" t="str">
        <f>IFERROR(__xludf.DUMMYFUNCTION("""COMPUTED_VALUE"""),"Инновационная экономика и технологическое предпринимательство Ибатуллина А.А. н.н. в 1408 ")</f>
        <v>Инновационная экономика и технологическое предпринимательство Ибатуллина А.А. н.н. в 1408 </v>
      </c>
      <c r="J25" s="21" t="str">
        <f>IFERROR(__xludf.DUMMYFUNCTION("""COMPUTED_VALUE"""),"Архитектура систем  Ихсанов И.С. в 1311")</f>
        <v>Архитектура систем  Ихсанов И.С. в 1311</v>
      </c>
      <c r="K25" s="21" t="str">
        <f>IFERROR(__xludf.DUMMYFUNCTION("""COMPUTED_VALUE"""),"Управление проектами Туйкин А.М. н.н. в 1409 ")</f>
        <v>Управление проектами Туйкин А.М. н.н. в 1409 </v>
      </c>
      <c r="L25" s="65" t="str">
        <f>IFERROR(__xludf.DUMMYFUNCTION("""COMPUTED_VALUE"""),"Архитектура систем Гарифуллина Р.Н. в 1509 ")</f>
        <v>Архитектура систем Гарифуллина Р.Н. в 1509 </v>
      </c>
      <c r="M25" s="65" t="str">
        <f>IFERROR(__xludf.DUMMYFUNCTION("""COMPUTED_VALUE"""),"Философия Пилото Родригес Ховьер Альберто ч.н.в 1310(9.06 в 1405))")</f>
        <v>Философия Пилото Родригес Ховьер Альберто ч.н.в 1310(9.06 в 1405))</v>
      </c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</row>
    <row r="26" ht="52.5" customHeight="1">
      <c r="A26" s="40"/>
      <c r="B26" s="42" t="str">
        <f>IFERROR(__xludf.DUMMYFUNCTION("""COMPUTED_VALUE"""),"14:00 - 15:30")</f>
        <v>14:00 - 15:30</v>
      </c>
      <c r="C26" s="21" t="str">
        <f>IFERROR(__xludf.DUMMYFUNCTION("""COMPUTED_VALUE"""),"Основы разработки информационных систем Ференец А.А. в 109 к.2 по н.н.")</f>
        <v>Основы разработки информационных систем Ференец А.А. в 109 к.2 по н.н.</v>
      </c>
      <c r="D26" s="21" t="str">
        <f>IFERROR(__xludf.DUMMYFUNCTION("""COMPUTED_VALUE"""),"Архитектура систем Лукьяничева Е.О. в 1508 ")</f>
        <v>Архитектура систем Лукьяничева Е.О. в 1508 </v>
      </c>
      <c r="E26" s="16"/>
      <c r="F26" s="21"/>
      <c r="G26" s="21" t="str">
        <f>IFERROR(__xludf.DUMMYFUNCTION("""COMPUTED_VALUE"""),"Управление проектами Насибуллина Э.Р. н.н.в 1311")</f>
        <v>Управление проектами Насибуллина Э.Р. н.н.в 1311</v>
      </c>
      <c r="H26" s="21" t="str">
        <f>IFERROR(__xludf.DUMMYFUNCTION("""COMPUTED_VALUE"""),"Управление проектами Насибуллина Э.Р. ч.н.в 1311")</f>
        <v>Управление проектами Насибуллина Э.Р. ч.н.в 1311</v>
      </c>
      <c r="I26" s="21"/>
      <c r="J26" s="16" t="str">
        <f>IFERROR(__xludf.DUMMYFUNCTION("""COMPUTED_VALUE"""),"Инновационная экономика и технологическое предпринимательство Ибатуллина А.А. н.н. в 1408 ")</f>
        <v>Инновационная экономика и технологическое предпринимательство Ибатуллина А.А. н.н. в 1408 </v>
      </c>
      <c r="K26" s="16" t="str">
        <f>IFERROR(__xludf.DUMMYFUNCTION("""COMPUTED_VALUE"""),"Философия Пилото Родригес Ховьер Альберто ч.н. в 1310( 9.05 в 1405)")</f>
        <v>Философия Пилото Родригес Ховьер Альберто ч.н. в 1310( 9.05 в 1405)</v>
      </c>
      <c r="L26" s="39" t="str">
        <f>IFERROR(__xludf.DUMMYFUNCTION("""COMPUTED_VALUE"""),"Философия Пилото Родригес Ховьер Альберто н.н. в 1310 ")</f>
        <v>Философия Пилото Родригес Ховьер Альберто н.н. в 1310 </v>
      </c>
      <c r="M26" s="39" t="str">
        <f>IFERROR(__xludf.DUMMYFUNCTION("""COMPUTED_VALUE"""),"Инновационная экономика и технологическое предпринимательство Ибатуллина А.А. ч.н.в 1408")</f>
        <v>Инновационная экономика и технологическое предпринимательство Ибатуллина А.А. ч.н.в 1408</v>
      </c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</row>
    <row r="27" ht="52.5" customHeight="1">
      <c r="A27" s="40"/>
      <c r="B27" s="42" t="str">
        <f>IFERROR(__xludf.DUMMYFUNCTION("""COMPUTED_VALUE"""),"15:40 - 17:10")</f>
        <v>15:40 - 17:10</v>
      </c>
      <c r="C27" s="16"/>
      <c r="D27" s="16" t="str">
        <f>IFERROR(__xludf.DUMMYFUNCTION("""COMPUTED_VALUE"""),"Дисциплины по выбору: 
Введение в теорию и практику анимации Костюк Д.И.в 1408, Газизов Р. 1405, 
Эффективная разработка Серазетдинова И.Р. в 1305, Хуснутдинов Р.Д. в 1508, 
Скриптинг Тощев В.С.в 1304
Технологии NET д.гл. Аршинов М.В. в 1307, 
Технологии "&amp;"Java д.гл. Сидиков М.Р. гр.1 MS Teams.")</f>
        <v>Дисциплины по выбору: 
Введение в теорию и практику анимации Костюк Д.И.в 1408, Газизов Р. 1405, 
Эффективная разработка Серазетдинова И.Р. в 1305, Хуснутдинов Р.Д. в 1508, 
Скриптинг Тощев В.С.в 1304
Технологии NET д.гл. Аршинов М.В. в 1307, 
Технологии Java д.гл. Сидиков М.Р. гр.1 MS Teams.</v>
      </c>
      <c r="E27" s="16"/>
      <c r="F27" s="16"/>
      <c r="G27" s="16"/>
      <c r="H27" s="19"/>
      <c r="I27" s="10"/>
      <c r="J27" s="16"/>
      <c r="K27" s="16"/>
      <c r="L27" s="39"/>
      <c r="M27" s="39"/>
      <c r="N27" s="66" t="str">
        <f>IFERROR(__xludf.DUMMYFUNCTION("""COMPUTED_VALUE"""),"Методология научных исследований (по списку) 
Елизаров А.М. гр.3  в 1310")</f>
        <v>Методология научных исследований (по списку) 
Елизаров А.М. гр.3  в 1310</v>
      </c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</row>
    <row r="28" ht="52.5" customHeight="1">
      <c r="A28" s="40"/>
      <c r="B28" s="42" t="str">
        <f>IFERROR(__xludf.DUMMYFUNCTION("""COMPUTED_VALUE"""),"17:50 - 19:20")</f>
        <v>17:50 - 19:20</v>
      </c>
      <c r="C28" s="19"/>
      <c r="D28" s="9"/>
      <c r="E28" s="9"/>
      <c r="F28" s="9"/>
      <c r="G28" s="10"/>
      <c r="H28" s="42"/>
      <c r="I28" s="10"/>
      <c r="J28" s="16"/>
      <c r="K28" s="16"/>
      <c r="L28" s="39"/>
      <c r="M28" s="39"/>
      <c r="N28" s="66" t="str">
        <f>IFERROR(__xludf.DUMMYFUNCTION("""COMPUTED_VALUE"""),"Методология научных исследований (по списку) 
Елизаров А.М. гр.4 в 1509, Голицына И.Н. гр.3 в 1412 (по списку)")</f>
        <v>Методология научных исследований (по списку) 
Елизаров А.М. гр.4 в 1509, Голицына И.Н. гр.3 в 1412 (по списку)</v>
      </c>
      <c r="O28" s="39"/>
      <c r="P28" s="39"/>
      <c r="Q28" s="39"/>
      <c r="R28" s="39"/>
      <c r="S28" s="39"/>
      <c r="T28" s="39"/>
      <c r="U28" s="39"/>
      <c r="V28" s="39"/>
      <c r="W28" s="39"/>
      <c r="X28" s="39" t="str">
        <f>IFERROR(__xludf.DUMMYFUNCTION("""COMPUTED_VALUE"""),"Правовые основы информатизации Салихов И.И. в  1408 н.н.")</f>
        <v>Правовые основы информатизации Салихов И.И. в  1408 н.н.</v>
      </c>
      <c r="Y28" s="39"/>
      <c r="Z28" s="39"/>
      <c r="AA28" s="39"/>
      <c r="AB28" s="39"/>
      <c r="AC28" s="39"/>
      <c r="AD28" s="39"/>
      <c r="AE28" s="39"/>
      <c r="AF28" s="39"/>
      <c r="AG28" s="39"/>
      <c r="AH28" s="39"/>
    </row>
    <row r="29" ht="52.5" customHeight="1">
      <c r="A29" s="43"/>
      <c r="B29" s="44" t="str">
        <f>IFERROR(__xludf.DUMMYFUNCTION("""COMPUTED_VALUE"""),"19:30 - 21:00")</f>
        <v>19:30 - 21:00</v>
      </c>
      <c r="C29" s="19"/>
      <c r="D29" s="9"/>
      <c r="E29" s="9"/>
      <c r="F29" s="9"/>
      <c r="G29" s="10"/>
      <c r="H29" s="67"/>
      <c r="I29" s="10"/>
      <c r="J29" s="21"/>
      <c r="K29" s="16"/>
      <c r="L29" s="39"/>
      <c r="M29" s="39"/>
      <c r="N29" s="39" t="str">
        <f>IFERROR(__xludf.DUMMYFUNCTION("""COMPUTED_VALUE"""),"Технологическая (проектно-технологическая) практика (9 н. зач. с оц.) в 1301")</f>
        <v>Технологическая (проектно-технологическая) практика (9 н. зач. с оц.) в 1301</v>
      </c>
      <c r="O29" s="39"/>
      <c r="P29" s="39"/>
      <c r="Q29" s="39"/>
      <c r="R29" s="39"/>
      <c r="S29" s="39"/>
      <c r="T29" s="39"/>
      <c r="U29" s="39"/>
      <c r="V29" s="39"/>
      <c r="W29" s="39"/>
      <c r="X29" s="39" t="str">
        <f>IFERROR(__xludf.DUMMYFUNCTION("""COMPUTED_VALUE"""),"Правовые основы информатизации 
Салихов И.И. в  1310-1311 (9н) (MS Teams)")</f>
        <v>Правовые основы информатизации 
Салихов И.И. в  1310-1311 (9н) (MS Teams)</v>
      </c>
      <c r="Y29" s="39"/>
      <c r="Z29" s="39"/>
      <c r="AA29" s="39"/>
      <c r="AB29" s="39"/>
      <c r="AC29" s="39"/>
      <c r="AD29" s="39"/>
      <c r="AE29" s="39"/>
      <c r="AF29" s="39"/>
      <c r="AG29" s="39"/>
      <c r="AH29" s="39"/>
    </row>
    <row r="30" ht="52.5" customHeight="1">
      <c r="A30" s="45" t="str">
        <f>IFERROR(__xludf.DUMMYFUNCTION("""COMPUTED_VALUE"""),"Пятница")</f>
        <v>Пятница</v>
      </c>
      <c r="B30" s="38" t="str">
        <f>IFERROR(__xludf.DUMMYFUNCTION("""COMPUTED_VALUE"""),"08:30 - 10:00")</f>
        <v>08:30 - 10:00</v>
      </c>
      <c r="C30" s="21"/>
      <c r="D30" s="21"/>
      <c r="E30" s="21"/>
      <c r="F30" s="21" t="str">
        <f>IFERROR(__xludf.DUMMYFUNCTION("""COMPUTED_VALUE"""),"Архитектура систем Ибатулин Н.Н. 1301")</f>
        <v>Архитектура систем Ибатулин Н.Н. 1301</v>
      </c>
      <c r="G30" s="21"/>
      <c r="H30" s="21"/>
      <c r="I30" s="21" t="str">
        <f>IFERROR(__xludf.DUMMYFUNCTION("""COMPUTED_VALUE"""),"Философия Пилото Родригес Ховьер Альберто н.н.в 1304 ")</f>
        <v>Философия Пилото Родригес Ховьер Альберто н.н.в 1304 </v>
      </c>
      <c r="J30" s="21" t="str">
        <f>IFERROR(__xludf.DUMMYFUNCTION("""COMPUTED_VALUE"""),"Философия Пилото Родригес Ховьер Альберто ч.н.в 1304 (в ms teams)")</f>
        <v>Философия Пилото Родригес Ховьер Альберто ч.н.в 1304 (в ms teams)</v>
      </c>
      <c r="K30" s="21"/>
      <c r="L30" s="65"/>
      <c r="M30" s="65"/>
      <c r="N30" s="65"/>
      <c r="O30" s="65"/>
      <c r="P30" s="65"/>
      <c r="Q30" s="65" t="str">
        <f>IFERROR(__xludf.DUMMYFUNCTION("""COMPUTED_VALUE"""),"Основы информационного поиска  
Лукьяничева Е.О. в 1404")</f>
        <v>Основы информационного поиска  
Лукьяничева Е.О. в 1404</v>
      </c>
      <c r="R30" s="65"/>
      <c r="S30" s="65"/>
      <c r="T30" s="65"/>
      <c r="U30" s="65"/>
      <c r="V30" s="65" t="str">
        <f>IFERROR(__xludf.DUMMYFUNCTION("""COMPUTED_VALUE"""),"Основы информационного поиска 
Агафонов А.А. в 1307(ms teams)")</f>
        <v>Основы информационного поиска 
Агафонов А.А. в 1307(ms teams)</v>
      </c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</row>
    <row r="31" ht="52.5" customHeight="1">
      <c r="A31" s="40"/>
      <c r="B31" s="41" t="str">
        <f>IFERROR(__xludf.DUMMYFUNCTION("""COMPUTED_VALUE"""),"10:10 - 11:40")</f>
        <v>10:10 - 11:40</v>
      </c>
      <c r="C31" s="21" t="str">
        <f>IFERROR(__xludf.DUMMYFUNCTION("""COMPUTED_VALUE"""),"Иностранный язык Спиридонов А.В. в 1508")</f>
        <v>Иностранный язык Спиридонов А.В. в 1508</v>
      </c>
      <c r="D31" s="21" t="str">
        <f>IFERROR(__xludf.DUMMYFUNCTION("""COMPUTED_VALUE"""),"Дисциплины по выбору: 
Анализ данных Нурутдинова А.Р. (лекция) в 1311 в ms teams")</f>
        <v>Дисциплины по выбору: 
Анализ данных Нурутдинова А.Р. (лекция) в 1311 в ms teams</v>
      </c>
      <c r="E31" s="21"/>
      <c r="F31" s="21"/>
      <c r="G31" s="21"/>
      <c r="H31" s="21"/>
      <c r="I31" s="21"/>
      <c r="J31" s="21"/>
      <c r="K31" s="21"/>
      <c r="L31" s="65"/>
      <c r="M31" s="65"/>
      <c r="N31" s="65" t="str">
        <f>IFERROR(__xludf.DUMMYFUNCTION("""COMPUTED_VALUE"""),"Основы информационного поиска  
Зуев Д.С.в 108 к.2 Кремлевская 35 (9нед) (MS Teams)(со 2 нед.)")</f>
        <v>Основы информационного поиска  
Зуев Д.С.в 108 к.2 Кремлевская 35 (9нед) (MS Teams)(со 2 нед.)</v>
      </c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</row>
    <row r="32" ht="52.5" customHeight="1">
      <c r="A32" s="40"/>
      <c r="B32" s="41" t="str">
        <f>IFERROR(__xludf.DUMMYFUNCTION("""COMPUTED_VALUE"""),"11:50 - 13:20")</f>
        <v>11:50 - 13:20</v>
      </c>
      <c r="C32" s="21" t="str">
        <f>IFERROR(__xludf.DUMMYFUNCTION("""COMPUTED_VALUE"""),"Иностранный язык Спиридонов А.В. в 1508")</f>
        <v>Иностранный язык Спиридонов А.В. в 1508</v>
      </c>
      <c r="D32" s="21" t="str">
        <f>IFERROR(__xludf.DUMMYFUNCTION("""COMPUTED_VALUE"""),"Дисциплины по выбору: 
Анализ данных практика Григорян К.А.гр.1 в 1306 , Еникеева З.А. в 1310 (лекция) (20.05 перенос в 1509)
Обработка текстов на естественном языке Липачев Е.К.(лекция) в 1311 (ms teams)")</f>
        <v>Дисциплины по выбору: 
Анализ данных практика Григорян К.А.гр.1 в 1306 , Еникеева З.А. в 1310 (лекция) (20.05 перенос в 1509)
Обработка текстов на естественном языке Липачев Е.К.(лекция) в 1311 (ms teams)</v>
      </c>
      <c r="E32" s="21"/>
      <c r="F32" s="21"/>
      <c r="G32" s="21"/>
      <c r="H32" s="21"/>
      <c r="I32" s="21"/>
      <c r="J32" s="21"/>
      <c r="K32" s="21"/>
      <c r="L32" s="65"/>
      <c r="M32" s="65"/>
      <c r="N32" s="65"/>
      <c r="O32" s="65"/>
      <c r="P32" s="65"/>
      <c r="Q32" s="65"/>
      <c r="R32" s="65"/>
      <c r="S32" s="65"/>
      <c r="T32" s="65"/>
      <c r="U32" s="65" t="str">
        <f>IFERROR(__xludf.DUMMYFUNCTION("""COMPUTED_VALUE"""),"Основы информационного поиска  Агафонов А.А. в 1307 (MS Teams)")</f>
        <v>Основы информационного поиска  Агафонов А.А. в 1307 (MS Teams)</v>
      </c>
      <c r="V32" s="65"/>
      <c r="W32" s="65" t="str">
        <f>IFERROR(__xludf.DUMMYFUNCTION("""COMPUTED_VALUE"""),"Основы информационного поиска  Агафонов А.А. в 1307(MS Teams)")</f>
        <v>Основы информационного поиска  Агафонов А.А. в 1307(MS Teams)</v>
      </c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</row>
    <row r="33" ht="52.5" customHeight="1">
      <c r="A33" s="40"/>
      <c r="B33" s="42" t="str">
        <f>IFERROR(__xludf.DUMMYFUNCTION("""COMPUTED_VALUE"""),"14:00 - 15:30")</f>
        <v>14:00 - 15:30</v>
      </c>
      <c r="C33" s="21"/>
      <c r="D33" s="21" t="str">
        <f>IFERROR(__xludf.DUMMYFUNCTION("""COMPUTED_VALUE"""),"Дисциплины по выбору:
Физика д.гл. Мутыгуллина А.А. в 1309, 
Биоинформатика Козлова О.С. в 1307, 
Анализ данных д.гл. Еникеева З.А.гр.1 в 1408   , Лернер Э.Ю.( 3.06 переносится на 7.06 в 14.00 в 1306) в 1308, Григорян К.А. гр.2 в 1306,  
Обработка текстов"&amp;" на естественном языке (прак.)Мифтахутдинов З.Ш. гр. 1 в 1412, 
Проектирование цифровых образовательных сред Абрамский М.М.в 1509 .")</f>
        <v>Дисциплины по выбору:
Физика д.гл. Мутыгуллина А.А. в 1309, 
Биоинформатика Козлова О.С. в 1307, 
Анализ данных д.гл. Еникеева З.А.гр.1 в 1408   , Лернер Э.Ю.( 3.06 переносится на 7.06 в 14.00 в 1306) в 1308, Григорян К.А. гр.2 в 1306,  
Обработка текстов на естественном языке (прак.)Мифтахутдинов З.Ш. гр. 1 в 1412, 
Проектирование цифровых образовательных сред Абрамский М.М.в 1509 .</v>
      </c>
      <c r="E33" s="21"/>
      <c r="F33" s="21"/>
      <c r="G33" s="21"/>
      <c r="H33" s="21"/>
      <c r="I33" s="21"/>
      <c r="J33" s="21"/>
      <c r="K33" s="16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</row>
    <row r="34" ht="52.5" customHeight="1">
      <c r="A34" s="40"/>
      <c r="B34" s="42" t="str">
        <f>IFERROR(__xludf.DUMMYFUNCTION("""COMPUTED_VALUE"""),"15:40 - 17:10")</f>
        <v>15:40 - 17:10</v>
      </c>
      <c r="C34" s="19"/>
      <c r="D34" s="9"/>
      <c r="E34" s="9"/>
      <c r="F34" s="9"/>
      <c r="G34" s="10"/>
      <c r="H34" s="64"/>
      <c r="I34" s="10"/>
      <c r="J34" s="21"/>
      <c r="K34" s="16"/>
      <c r="L34" s="39"/>
      <c r="M34" s="39"/>
      <c r="N34" s="39" t="str">
        <f>IFERROR(__xludf.DUMMYFUNCTION("""COMPUTED_VALUE"""),"Дисциплины по выбору: 
Мобильные информационные системы Хайруллин А.Ф. гр.1 в 1301 ")</f>
        <v>Дисциплины по выбору: 
Мобильные информационные системы Хайруллин А.Ф. гр.1 в 1301 </v>
      </c>
      <c r="O34" s="39"/>
      <c r="P34" s="39"/>
      <c r="Q34" s="39"/>
      <c r="R34" s="39"/>
      <c r="S34" s="39"/>
      <c r="T34" s="39"/>
      <c r="U34" s="39"/>
      <c r="V34" s="39"/>
      <c r="W34" s="39"/>
      <c r="X34" s="39" t="str">
        <f>IFERROR(__xludf.DUMMYFUNCTION("""COMPUTED_VALUE"""),"Методология научных исследований Магид Е.А. в 1311 (MS Teams)")</f>
        <v>Методология научных исследований Магид Е.А. в 1311 (MS Teams)</v>
      </c>
      <c r="Y34" s="39"/>
      <c r="Z34" s="39"/>
      <c r="AA34" s="39"/>
      <c r="AB34" s="39"/>
      <c r="AC34" s="39"/>
      <c r="AD34" s="39"/>
      <c r="AE34" s="39"/>
      <c r="AF34" s="39"/>
      <c r="AG34" s="39"/>
      <c r="AH34" s="39"/>
    </row>
    <row r="35" ht="52.5" customHeight="1">
      <c r="A35" s="40"/>
      <c r="B35" s="42" t="str">
        <f>IFERROR(__xludf.DUMMYFUNCTION("""COMPUTED_VALUE"""),"17:50 - 19:20")</f>
        <v>17:50 - 19:20</v>
      </c>
      <c r="C35" s="19" t="str">
        <f>IFERROR(__xludf.DUMMYFUNCTION("""COMPUTED_VALUE"""),"Иностранный язык: русский в проф. сф. Вагапова М.М. в 1302")</f>
        <v>Иностранный язык: русский в проф. сф. Вагапова М.М. в 1302</v>
      </c>
      <c r="D35" s="9"/>
      <c r="E35" s="9"/>
      <c r="F35" s="9"/>
      <c r="G35" s="10"/>
      <c r="H35" s="19"/>
      <c r="I35" s="10"/>
      <c r="J35" s="16"/>
      <c r="K35" s="16"/>
      <c r="L35" s="39"/>
      <c r="M35" s="39"/>
      <c r="N35" s="39" t="str">
        <f>IFERROR(__xludf.DUMMYFUNCTION("""COMPUTED_VALUE"""),"Дисциплины по выбору: 
Мобильные информационные системы Хайруллин А.Ф. гр.1 в 1301 ")</f>
        <v>Дисциплины по выбору: 
Мобильные информационные системы Хайруллин А.Ф. гр.1 в 1301 </v>
      </c>
      <c r="O35" s="39"/>
      <c r="P35" s="39"/>
      <c r="Q35" s="39"/>
      <c r="R35" s="39"/>
      <c r="S35" s="39"/>
      <c r="T35" s="39"/>
      <c r="U35" s="39"/>
      <c r="V35" s="39"/>
      <c r="W35" s="39"/>
      <c r="X35" s="39" t="str">
        <f>IFERROR(__xludf.DUMMYFUNCTION("""COMPUTED_VALUE"""),"Профессиональный иностранный язык (английский) гр. №3 Арсентьева Ю.В. в 1308 (MS Teams ")</f>
        <v>Профессиональный иностранный язык (английский) гр. №3 Арсентьева Ю.В. в 1308 (MS Teams </v>
      </c>
      <c r="Y35" s="39"/>
      <c r="Z35" s="39"/>
      <c r="AA35" s="39"/>
      <c r="AB35" s="39"/>
      <c r="AC35" s="39"/>
      <c r="AD35" s="39"/>
      <c r="AE35" s="39"/>
      <c r="AF35" s="39"/>
      <c r="AG35" s="39"/>
      <c r="AH35" s="39"/>
    </row>
    <row r="36" ht="52.5" customHeight="1">
      <c r="A36" s="43"/>
      <c r="B36" s="44" t="str">
        <f>IFERROR(__xludf.DUMMYFUNCTION("""COMPUTED_VALUE"""),"19:30 - 21:00")</f>
        <v>19:30 - 21:00</v>
      </c>
      <c r="C36" s="19"/>
      <c r="D36" s="9"/>
      <c r="E36" s="9"/>
      <c r="F36" s="9"/>
      <c r="G36" s="10"/>
      <c r="H36" s="19"/>
      <c r="I36" s="10"/>
      <c r="J36" s="16"/>
      <c r="K36" s="21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 t="str">
        <f>IFERROR(__xludf.DUMMYFUNCTION("""COMPUTED_VALUE"""),"Профессиональный иностранный язык (английский) гр. №3 Арсентьева Ю.В. в 1308 (MS Teams ")</f>
        <v>Профессиональный иностранный язык (английский) гр. №3 Арсентьева Ю.В. в 1308 (MS Teams </v>
      </c>
      <c r="Y36" s="65"/>
      <c r="Z36" s="65"/>
      <c r="AA36" s="65"/>
      <c r="AB36" s="65"/>
      <c r="AC36" s="65"/>
      <c r="AD36" s="65"/>
      <c r="AE36" s="65"/>
      <c r="AF36" s="65"/>
      <c r="AG36" s="65"/>
      <c r="AH36" s="65"/>
    </row>
    <row r="37" ht="52.5" customHeight="1">
      <c r="A37" s="45" t="str">
        <f>IFERROR(__xludf.DUMMYFUNCTION("""COMPUTED_VALUE"""),"Суббота")</f>
        <v>Суббота</v>
      </c>
      <c r="B37" s="38" t="str">
        <f>IFERROR(__xludf.DUMMYFUNCTION("""COMPUTED_VALUE"""),"08:30 - 10:00")</f>
        <v>08:30 - 10:00</v>
      </c>
      <c r="C37" s="19" t="str">
        <f>IFERROR(__xludf.DUMMYFUNCTION("""COMPUTED_VALUE"""),"Всеобщая история Григер М.В.в 1305 (9 нед)")</f>
        <v>Всеобщая история Григер М.В.в 1305 (9 нед)</v>
      </c>
      <c r="D37" s="9"/>
      <c r="E37" s="9"/>
      <c r="F37" s="9"/>
      <c r="G37" s="10"/>
      <c r="H37" s="21"/>
      <c r="I37" s="21"/>
      <c r="J37" s="21"/>
      <c r="K37" s="21" t="str">
        <f>IFERROR(__xludf.DUMMYFUNCTION("""COMPUTED_VALUE"""),"Информационная безопасность  Шарипов Р.Р. в 1412")</f>
        <v>Информационная безопасность  Шарипов Р.Р. в 1412</v>
      </c>
      <c r="L37" s="65"/>
      <c r="M37" s="65"/>
      <c r="N37" s="65"/>
      <c r="O37" s="65"/>
      <c r="P37" s="65"/>
      <c r="Q37" s="65"/>
      <c r="R37" s="65"/>
      <c r="S37" s="65"/>
      <c r="T37" s="65" t="str">
        <f>IFERROR(__xludf.DUMMYFUNCTION("""COMPUTED_VALUE"""),"Основы информационного поиска Ильдиряков В.Р. в 1409")</f>
        <v>Основы информационного поиска Ильдиряков В.Р. в 1409</v>
      </c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</row>
    <row r="38" ht="52.5" customHeight="1">
      <c r="A38" s="40"/>
      <c r="B38" s="41" t="str">
        <f>IFERROR(__xludf.DUMMYFUNCTION("""COMPUTED_VALUE"""),"10:10 - 11:40")</f>
        <v>10:10 - 11:40</v>
      </c>
      <c r="C38" s="19" t="str">
        <f>IFERROR(__xludf.DUMMYFUNCTION("""COMPUTED_VALUE"""),"Вычислительные системы, сети и телекоммуникации Бубнов Д.В.в 1408")</f>
        <v>Вычислительные системы, сети и телекоммуникации Бубнов Д.В.в 1408</v>
      </c>
      <c r="D38" s="9"/>
      <c r="E38" s="9"/>
      <c r="F38" s="9"/>
      <c r="G38" s="10"/>
      <c r="H38" s="21"/>
      <c r="I38" s="21"/>
      <c r="J38" s="16"/>
      <c r="K38" s="21" t="str">
        <f>IFERROR(__xludf.DUMMYFUNCTION("""COMPUTED_VALUE"""),"Архитектура систем Родионова А.В.в 1305(с 18.04 перенос на понд.в 17.50 в 1412")</f>
        <v>Архитектура систем Родионова А.В.в 1305(с 18.04 перенос на понд.в 17.50 в 1412</v>
      </c>
      <c r="L38" s="65" t="str">
        <f>IFERROR(__xludf.DUMMYFUNCTION("""COMPUTED_VALUE"""),"Информационная безопасность  Шарипов Р.Р. в 1412")</f>
        <v>Информационная безопасность  Шарипов Р.Р. в 1412</v>
      </c>
      <c r="M38" s="65"/>
      <c r="N38" s="65"/>
      <c r="O38" s="65"/>
      <c r="P38" s="65"/>
      <c r="Q38" s="65"/>
      <c r="R38" s="65"/>
      <c r="S38" s="65" t="str">
        <f>IFERROR(__xludf.DUMMYFUNCTION("""COMPUTED_VALUE"""),"Основы информационного поиска Ильдиряков В.Р. в 1409")</f>
        <v>Основы информационного поиска Ильдиряков В.Р. в 1409</v>
      </c>
      <c r="T38" s="65"/>
      <c r="U38" s="65"/>
      <c r="V38" s="65"/>
      <c r="W38" s="65"/>
      <c r="X38" s="65" t="str">
        <f>IFERROR(__xludf.DUMMYFUNCTION("""COMPUTED_VALUE""")," Дисциплины по выбору: 
Основы управления проектами Чегодаев В.Г.(по списку) в 1310-1311")</f>
        <v> Дисциплины по выбору: 
Основы управления проектами Чегодаев В.Г.(по списку) в 1310-1311</v>
      </c>
      <c r="Y38" s="65"/>
      <c r="Z38" s="65"/>
      <c r="AA38" s="65"/>
      <c r="AB38" s="65"/>
      <c r="AC38" s="65"/>
      <c r="AD38" s="65"/>
      <c r="AE38" s="65"/>
      <c r="AF38" s="65"/>
      <c r="AG38" s="65"/>
      <c r="AH38" s="65"/>
    </row>
    <row r="39" ht="52.5" customHeight="1">
      <c r="A39" s="40"/>
      <c r="B39" s="41" t="str">
        <f>IFERROR(__xludf.DUMMYFUNCTION("""COMPUTED_VALUE"""),"11:50 - 13:20")</f>
        <v>11:50 - 13:20</v>
      </c>
      <c r="C39" s="16"/>
      <c r="D39" s="16"/>
      <c r="E39" s="16" t="str">
        <f>IFERROR(__xludf.DUMMYFUNCTION("""COMPUTED_VALUE"""),"Философия Пилото Родригес Ховьер Альберто н.н.в 1304")</f>
        <v>Философия Пилото Родригес Ховьер Альберто н.н.в 1304</v>
      </c>
      <c r="F39" s="16" t="str">
        <f>IFERROR(__xludf.DUMMYFUNCTION("""COMPUTED_VALUE"""),"Управление проектами Ибатулин Н.Н. н.н. в 1309")</f>
        <v>Управление проектами Ибатулин Н.Н. н.н. в 1309</v>
      </c>
      <c r="G39" s="16" t="str">
        <f>IFERROR(__xludf.DUMMYFUNCTION("""COMPUTED_VALUE"""),"Философия Пилото Родригес Ховьер Альберто ч.н.в 1304 ")</f>
        <v>Философия Пилото Родригес Ховьер Альберто ч.н.в 1304 </v>
      </c>
      <c r="H39" s="21" t="str">
        <f>IFERROR(__xludf.DUMMYFUNCTION("""COMPUTED_VALUE"""),"Информационная безопасность Дорофеев В.И.в 1404 ")</f>
        <v>Информационная безопасность Дорофеев В.И.в 1404 </v>
      </c>
      <c r="I39" s="21"/>
      <c r="J39" s="16" t="str">
        <f>IFERROR(__xludf.DUMMYFUNCTION("""COMPUTED_VALUE"""),"Управление проектами Ибатулин Н.Н. ч.н. в 1309 ( 11.06 в 1305)")</f>
        <v>Управление проектами Ибатулин Н.Н. ч.н. в 1309 ( 11.06 в 1305)</v>
      </c>
      <c r="K39" s="21"/>
      <c r="L39" s="65"/>
      <c r="M39" s="65" t="str">
        <f>IFERROR(__xludf.DUMMYFUNCTION("""COMPUTED_VALUE"""),"Архитектура систем Родионова А.В.в 1305(с 18.04 перенос на понд.в 19.30 в 1412")</f>
        <v>Архитектура систем Родионова А.В.в 1305(с 18.04 перенос на понд.в 19.30 в 1412</v>
      </c>
      <c r="N39" s="65" t="str">
        <f>IFERROR(__xludf.DUMMYFUNCTION("""COMPUTED_VALUE"""),"Дисциплины по выбору: 
Проектирование человеко-машинных интерфейсов Габдрахманов Б.Ф. в 1311(со 2 нед.) , 
Интернет вещей Адьютантов Н.  в 1412")</f>
        <v>Дисциплины по выбору: 
Проектирование человеко-машинных интерфейсов Габдрахманов Б.Ф. в 1311(со 2 нед.) , 
Интернет вещей Адьютантов Н.  в 1412</v>
      </c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</row>
    <row r="40" ht="52.5" customHeight="1">
      <c r="A40" s="40"/>
      <c r="B40" s="42" t="str">
        <f>IFERROR(__xludf.DUMMYFUNCTION("""COMPUTED_VALUE"""),"14:00 - 15:30")</f>
        <v>14:00 - 15:30</v>
      </c>
      <c r="C40" s="21"/>
      <c r="D40" s="21" t="str">
        <f>IFERROR(__xludf.DUMMYFUNCTION("""COMPUTED_VALUE"""),"Элективные курсы по физической культуре и спорту в УНИКС с 14:00 - 15:30 ")</f>
        <v>Элективные курсы по физической культуре и спорту в УНИКС с 14:00 - 15:30 </v>
      </c>
      <c r="E40" s="21"/>
      <c r="F40" s="21"/>
      <c r="G40" s="21"/>
      <c r="H40" s="16"/>
      <c r="I40" s="21"/>
      <c r="J40" s="21"/>
      <c r="K40" s="21"/>
      <c r="L40" s="65"/>
      <c r="M40" s="65"/>
      <c r="N40" s="65" t="str">
        <f>IFERROR(__xludf.DUMMYFUNCTION("""COMPUTED_VALUE"""),"Дисциплины по выбору: 
Проектирование человеко-машинных интерфейсов Габдрахманов Б.Ф. (со 2н.) в 1311. 
Интернет вещей Адьютантов Н. в 1412")</f>
        <v>Дисциплины по выбору: 
Проектирование человеко-машинных интерфейсов Габдрахманов Б.Ф. (со 2н.) в 1311. 
Интернет вещей Адьютантов Н. в 1412</v>
      </c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</row>
    <row r="41" ht="52.5" customHeight="1">
      <c r="A41" s="40"/>
      <c r="B41" s="50" t="str">
        <f>IFERROR(__xludf.DUMMYFUNCTION("""COMPUTED_VALUE"""),"15:40 - 17:10")</f>
        <v>15:40 - 17:10</v>
      </c>
      <c r="C41" s="21"/>
      <c r="D41" s="21"/>
      <c r="E41" s="21"/>
      <c r="F41" s="21" t="str">
        <f>IFERROR(__xludf.DUMMYFUNCTION("""COMPUTED_VALUE"""),"Информационная безопасность Дорофеев В.И.в 1404 ")</f>
        <v>Информационная безопасность Дорофеев В.И.в 1404 </v>
      </c>
      <c r="G41" s="21"/>
      <c r="H41" s="21"/>
      <c r="I41" s="21"/>
      <c r="J41" s="21"/>
      <c r="K41" s="21"/>
      <c r="L41" s="65"/>
      <c r="M41" s="65" t="str">
        <f>IFERROR(__xludf.DUMMYFUNCTION("""COMPUTED_VALUE"""),"                                                ")</f>
        <v>                                                </v>
      </c>
      <c r="N41" s="65" t="str">
        <f>IFERROR(__xludf.DUMMYFUNCTION("""COMPUTED_VALUE"""),"Дисциплины по выбору: 
Интернет вещей Адьютантов Н. в 1412")</f>
        <v>Дисциплины по выбору: 
Интернет вещей Адьютантов Н. в 1412</v>
      </c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</row>
    <row r="42" ht="52.5" customHeight="1">
      <c r="A42" s="40"/>
      <c r="B42" s="51" t="str">
        <f>IFERROR(__xludf.DUMMYFUNCTION("""COMPUTED_VALUE"""),"17:50 - 19:20")</f>
        <v>17:50 - 19:20</v>
      </c>
      <c r="C42" s="21"/>
      <c r="D42" s="21"/>
      <c r="E42" s="21"/>
      <c r="F42" s="21"/>
      <c r="G42" s="21"/>
      <c r="H42" s="21"/>
      <c r="I42" s="21"/>
      <c r="J42" s="21"/>
      <c r="K42" s="21"/>
      <c r="L42" s="65"/>
      <c r="M42" s="65"/>
      <c r="N42" s="65" t="str">
        <f>IFERROR(__xludf.DUMMYFUNCTION("""COMPUTED_VALUE"""),"Дисциплины по выбору: 
Интернет вещей Адьютантов Н. в 1412")</f>
        <v>Дисциплины по выбору: 
Интернет вещей Адьютантов Н. в 1412</v>
      </c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</row>
    <row r="43" ht="52.5" customHeight="1">
      <c r="A43" s="52"/>
      <c r="B43" s="44" t="str">
        <f>IFERROR(__xludf.DUMMYFUNCTION("""COMPUTED_VALUE"""),"19:30 - 21:00")</f>
        <v>19:30 - 21:00</v>
      </c>
      <c r="C43" s="21"/>
      <c r="D43" s="21"/>
      <c r="E43" s="21"/>
      <c r="F43" s="21"/>
      <c r="G43" s="21"/>
      <c r="H43" s="21"/>
      <c r="I43" s="21"/>
      <c r="J43" s="21"/>
      <c r="K43" s="21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</row>
  </sheetData>
  <mergeCells count="32">
    <mergeCell ref="A2:A8"/>
    <mergeCell ref="C6:G6"/>
    <mergeCell ref="H6:I6"/>
    <mergeCell ref="C7:D7"/>
    <mergeCell ref="C8:D8"/>
    <mergeCell ref="A9:A15"/>
    <mergeCell ref="H14:I14"/>
    <mergeCell ref="H15:I15"/>
    <mergeCell ref="A16:A22"/>
    <mergeCell ref="A23:A29"/>
    <mergeCell ref="A30:A36"/>
    <mergeCell ref="A37:A43"/>
    <mergeCell ref="C14:G14"/>
    <mergeCell ref="C15:G15"/>
    <mergeCell ref="H20:I20"/>
    <mergeCell ref="C21:G21"/>
    <mergeCell ref="H21:I21"/>
    <mergeCell ref="C22:D22"/>
    <mergeCell ref="H22:I22"/>
    <mergeCell ref="C35:G35"/>
    <mergeCell ref="H35:I35"/>
    <mergeCell ref="C36:G36"/>
    <mergeCell ref="H36:I36"/>
    <mergeCell ref="C37:G37"/>
    <mergeCell ref="C38:G38"/>
    <mergeCell ref="H27:I27"/>
    <mergeCell ref="C28:G28"/>
    <mergeCell ref="H28:I28"/>
    <mergeCell ref="C29:G29"/>
    <mergeCell ref="H29:I29"/>
    <mergeCell ref="C34:G34"/>
    <mergeCell ref="H34:I34"/>
  </mergeCells>
  <conditionalFormatting sqref="A1:AH43">
    <cfRule type="containsText" dxfId="0" priority="1" operator="containsText" text="перенос">
      <formula>NOT(ISERROR(SEARCH(("перенос"),(A1))))</formula>
    </cfRule>
  </conditionalFormatting>
  <conditionalFormatting sqref="A1:A43">
    <cfRule type="cellIs" dxfId="14" priority="2" operator="equal">
      <formula> INDIRECT("Управление!G7")</formula>
    </cfRule>
  </conditionalFormatting>
  <conditionalFormatting sqref="A1:AH43">
    <cfRule type="containsText" dxfId="1" priority="3" operator="containsText" text="иностранный">
      <formula>NOT(ISERROR(SEARCH(("иностранный"),(A1))))</formula>
    </cfRule>
  </conditionalFormatting>
  <conditionalFormatting sqref="A1:AH43">
    <cfRule type="containsText" dxfId="2" priority="4" operator="containsText" text="жизненный">
      <formula>NOT(ISERROR(SEARCH(("жизненный"),(A1))))</formula>
    </cfRule>
  </conditionalFormatting>
  <conditionalFormatting sqref="A1:AH43">
    <cfRule type="containsText" dxfId="3" priority="5" operator="containsText" text="практик">
      <formula>NOT(ISERROR(SEARCH(("практик"),(A1))))</formula>
    </cfRule>
  </conditionalFormatting>
  <conditionalFormatting sqref="A1:AH43">
    <cfRule type="containsText" dxfId="4" priority="6" operator="containsText" text="игровой">
      <formula>NOT(ISERROR(SEARCH(("игровой"),(A1))))</formula>
    </cfRule>
  </conditionalFormatting>
  <conditionalFormatting sqref="A1:AH43">
    <cfRule type="containsText" dxfId="5" priority="7" operator="containsText" text="робототех">
      <formula>NOT(ISERROR(SEARCH(("робототех"),(A1))))</formula>
    </cfRule>
  </conditionalFormatting>
  <conditionalFormatting sqref="A1:AH43">
    <cfRule type="containsText" dxfId="9" priority="8" operator="containsText" text="сценаристика">
      <formula>NOT(ISERROR(SEARCH(("сценаристика"),(A1))))</formula>
    </cfRule>
  </conditionalFormatting>
  <conditionalFormatting sqref="A1:AH43">
    <cfRule type="containsText" dxfId="13" priority="9" operator="containsText" text="построение проц">
      <formula>NOT(ISERROR(SEARCH(("построение проц"),(A1))))</formula>
    </cfRule>
  </conditionalFormatting>
  <conditionalFormatting sqref="A1:AH43">
    <cfRule type="containsText" dxfId="7" priority="10" operator="containsText" text="программную инж">
      <formula>NOT(ISERROR(SEARCH(("программную инж"),(A1))))</formula>
    </cfRule>
  </conditionalFormatting>
  <conditionalFormatting sqref="A1:AH43">
    <cfRule type="containsText" dxfId="8" priority="11" operator="containsText" text="основы">
      <formula>NOT(ISERROR(SEARCH(("основы"),(A1))))</formula>
    </cfRule>
  </conditionalFormatting>
  <conditionalFormatting sqref="A1:AH43">
    <cfRule type="containsText" dxfId="12" priority="12" operator="containsText" text="по выбору">
      <formula>NOT(ISERROR(SEARCH(("по выбору"),(A1))))</formula>
    </cfRule>
  </conditionalFormatting>
  <conditionalFormatting sqref="A1:AH43">
    <cfRule type="containsText" dxfId="16" priority="13" operator="containsText" text="интелле">
      <formula>NOT(ISERROR(SEARCH(("интелле"),(A1))))</formula>
    </cfRule>
  </conditionalFormatting>
  <conditionalFormatting sqref="A1:AH43">
    <cfRule type="containsText" dxfId="6" priority="14" operator="containsText" text="теория систем">
      <formula>NOT(ISERROR(SEARCH(("теория систем"),(A1))))</formula>
    </cfRule>
  </conditionalFormatting>
  <conditionalFormatting sqref="K2:AH43">
    <cfRule type="notContainsBlanks" dxfId="12" priority="15">
      <formula>LEN(TRIM(K2))&gt;0</formula>
    </cfRule>
  </conditionalFormatting>
  <conditionalFormatting sqref="A1:AH43">
    <cfRule type="containsText" dxfId="12" priority="16" operator="containsText" text="нарра">
      <formula>NOT(ISERROR(SEARCH(("нарра"),(A1))))</formula>
    </cfRule>
  </conditionalFormatting>
  <conditionalFormatting sqref="A1:AH43">
    <cfRule type="containsText" dxfId="12" priority="17" operator="containsText" text="методы ана">
      <formula>NOT(ISERROR(SEARCH(("методы ана"),(A1))))</formula>
    </cfRule>
  </conditionalFormatting>
  <hyperlinks>
    <hyperlink r:id="rId1" location="gid=745989952" ref="N7"/>
    <hyperlink r:id="rId2" location="gid=745989952" ref="N8"/>
    <hyperlink r:id="rId3" location="gid=745989952" ref="N27"/>
    <hyperlink r:id="rId4" location="gid=745989952" ref="N28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3" max="3" width="20.63"/>
    <col customWidth="1" min="4" max="4" width="31.88"/>
    <col customWidth="1" min="6" max="6" width="25.38"/>
    <col customWidth="1" min="7" max="7" width="16.75"/>
  </cols>
  <sheetData>
    <row r="1">
      <c r="A1" s="68" t="s">
        <v>0</v>
      </c>
      <c r="B1" s="69" t="s">
        <v>1</v>
      </c>
      <c r="C1" s="70" t="s">
        <v>2</v>
      </c>
      <c r="D1" s="71" t="s">
        <v>3</v>
      </c>
      <c r="E1" s="70" t="s">
        <v>4</v>
      </c>
      <c r="F1" s="70" t="s">
        <v>5</v>
      </c>
      <c r="G1" s="72">
        <f> TODAY()</f>
        <v>44705</v>
      </c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>
      <c r="A2" s="40"/>
      <c r="B2" s="69" t="s">
        <v>6</v>
      </c>
      <c r="C2" s="70" t="s">
        <v>7</v>
      </c>
      <c r="D2" s="74" t="s">
        <v>8</v>
      </c>
      <c r="E2" s="75" t="s">
        <v>9</v>
      </c>
      <c r="F2" s="70" t="s">
        <v>10</v>
      </c>
      <c r="G2" s="73">
        <f> WEEKNUM(G1, 2)</f>
        <v>22</v>
      </c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>
      <c r="A3" s="40"/>
      <c r="B3" s="69" t="s">
        <v>11</v>
      </c>
      <c r="C3" s="70" t="s">
        <v>12</v>
      </c>
      <c r="D3" s="73" t="str">
        <f t="shared" ref="D3:D7" si="1"> CONCATENATE($E$1, $G$8, E3)</f>
        <v>расписание занятий 2 с 2021-2022!C3:O45</v>
      </c>
      <c r="E3" s="70" t="s">
        <v>13</v>
      </c>
      <c r="F3" s="70" t="s">
        <v>14</v>
      </c>
      <c r="G3" s="70">
        <v>-6.0</v>
      </c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>
      <c r="A4" s="40"/>
      <c r="B4" s="76" t="s">
        <v>15</v>
      </c>
      <c r="C4" s="70" t="s">
        <v>16</v>
      </c>
      <c r="D4" s="73" t="str">
        <f t="shared" si="1"/>
        <v>расписание занятий 2 с 2021-2022!P3:AB45</v>
      </c>
      <c r="E4" s="70" t="s">
        <v>17</v>
      </c>
      <c r="F4" s="70" t="s">
        <v>18</v>
      </c>
      <c r="G4" s="73">
        <f> G2 + G3</f>
        <v>16</v>
      </c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>
      <c r="A5" s="40"/>
      <c r="B5" s="76" t="s">
        <v>19</v>
      </c>
      <c r="C5" s="70" t="s">
        <v>20</v>
      </c>
      <c r="D5" s="73" t="str">
        <f t="shared" si="1"/>
        <v>расписание занятий 2 с 2021-2022!AC3:AL45</v>
      </c>
      <c r="E5" s="70" t="s">
        <v>21</v>
      </c>
      <c r="F5" s="70" t="s">
        <v>22</v>
      </c>
      <c r="G5" s="73" t="str">
        <f> IF(MOD(G4, 2) = 0, "чётная", "нечётная")</f>
        <v>чётная</v>
      </c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>
      <c r="A6" s="40"/>
      <c r="B6" s="76" t="s">
        <v>23</v>
      </c>
      <c r="C6" s="70" t="s">
        <v>24</v>
      </c>
      <c r="D6" s="73" t="str">
        <f t="shared" si="1"/>
        <v>расписание занятий 2 с 2021-2022!AM3:AV45</v>
      </c>
      <c r="E6" s="70" t="s">
        <v>25</v>
      </c>
      <c r="F6" s="70" t="s">
        <v>26</v>
      </c>
      <c r="G6" s="73" t="str">
        <f> CONCATENATE("№", G4, ", ", G5)</f>
        <v>№16, чётная</v>
      </c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>
      <c r="A7" s="77"/>
      <c r="B7" s="76" t="s">
        <v>27</v>
      </c>
      <c r="C7" s="70" t="s">
        <v>28</v>
      </c>
      <c r="D7" s="73" t="str">
        <f t="shared" si="1"/>
        <v>расписание занятий 2 с 2021-2022!AW3:AB45</v>
      </c>
      <c r="E7" s="70" t="s">
        <v>29</v>
      </c>
      <c r="F7" s="70" t="s">
        <v>30</v>
      </c>
      <c r="G7" s="73" t="str">
        <f> TEXT(WEEKDAY(G1), "dddd")</f>
        <v>вторник</v>
      </c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>
      <c r="A8" s="78" t="s">
        <v>31</v>
      </c>
      <c r="B8" s="69" t="s">
        <v>1</v>
      </c>
      <c r="C8" s="73"/>
      <c r="D8" s="73"/>
      <c r="E8" s="73"/>
      <c r="F8" s="70" t="s">
        <v>32</v>
      </c>
      <c r="G8" s="70" t="s">
        <v>33</v>
      </c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>
      <c r="A9" s="40"/>
      <c r="B9" s="69" t="s">
        <v>6</v>
      </c>
      <c r="F9" s="70"/>
      <c r="G9" s="70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>
      <c r="A10" s="40"/>
      <c r="B10" s="69" t="s">
        <v>11</v>
      </c>
      <c r="C10" s="73"/>
      <c r="D10" s="73"/>
      <c r="E10" s="73"/>
      <c r="F10" s="70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>
      <c r="A11" s="40"/>
      <c r="B11" s="76" t="s">
        <v>15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>
      <c r="A12" s="40"/>
      <c r="B12" s="76" t="s">
        <v>19</v>
      </c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>
      <c r="A13" s="40"/>
      <c r="B13" s="76" t="s">
        <v>23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>
      <c r="A14" s="77"/>
      <c r="B14" s="76" t="s">
        <v>27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>
      <c r="A15" s="78" t="s">
        <v>34</v>
      </c>
      <c r="B15" s="69" t="s">
        <v>1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>
      <c r="A16" s="40"/>
      <c r="B16" s="69" t="s">
        <v>6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>
      <c r="A17" s="40"/>
      <c r="B17" s="69" t="s">
        <v>11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>
      <c r="A18" s="40"/>
      <c r="B18" s="76" t="s">
        <v>15</v>
      </c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>
      <c r="A19" s="40"/>
      <c r="B19" s="76" t="s">
        <v>19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>
      <c r="A20" s="40"/>
      <c r="B20" s="76" t="s">
        <v>23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>
      <c r="A21" s="77"/>
      <c r="B21" s="76" t="s">
        <v>27</v>
      </c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>
      <c r="A22" s="78" t="s">
        <v>35</v>
      </c>
      <c r="B22" s="69" t="s">
        <v>1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>
      <c r="A23" s="40"/>
      <c r="B23" s="69" t="s">
        <v>6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>
      <c r="A24" s="40"/>
      <c r="B24" s="69" t="s">
        <v>11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>
      <c r="A25" s="40"/>
      <c r="B25" s="76" t="s">
        <v>15</v>
      </c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>
      <c r="A26" s="40"/>
      <c r="B26" s="76" t="s">
        <v>19</v>
      </c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>
      <c r="A27" s="40"/>
      <c r="B27" s="76" t="s">
        <v>23</v>
      </c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>
      <c r="A28" s="77"/>
      <c r="B28" s="76" t="s">
        <v>27</v>
      </c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>
      <c r="A29" s="78" t="s">
        <v>36</v>
      </c>
      <c r="B29" s="69" t="s">
        <v>1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>
      <c r="A30" s="40"/>
      <c r="B30" s="69" t="s">
        <v>6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>
      <c r="A31" s="40"/>
      <c r="B31" s="69" t="s">
        <v>11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>
      <c r="A32" s="40"/>
      <c r="B32" s="76" t="s">
        <v>15</v>
      </c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>
      <c r="A33" s="40"/>
      <c r="B33" s="76" t="s">
        <v>19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>
      <c r="A34" s="40"/>
      <c r="B34" s="76" t="s">
        <v>23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>
      <c r="A35" s="77"/>
      <c r="B35" s="76" t="s">
        <v>27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>
      <c r="A36" s="78" t="s">
        <v>37</v>
      </c>
      <c r="B36" s="69" t="s">
        <v>1</v>
      </c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>
      <c r="A37" s="40"/>
      <c r="B37" s="69" t="s">
        <v>6</v>
      </c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>
      <c r="A38" s="40"/>
      <c r="B38" s="69" t="s">
        <v>11</v>
      </c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>
      <c r="A39" s="40"/>
      <c r="B39" s="76" t="s">
        <v>15</v>
      </c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>
      <c r="A40" s="40"/>
      <c r="B40" s="76" t="s">
        <v>19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>
      <c r="A41" s="40"/>
      <c r="B41" s="76" t="s">
        <v>23</v>
      </c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>
      <c r="A42" s="77"/>
      <c r="B42" s="76" t="s">
        <v>27</v>
      </c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6">
    <mergeCell ref="A1:A7"/>
    <mergeCell ref="A8:A14"/>
    <mergeCell ref="A15:A21"/>
    <mergeCell ref="A22:A28"/>
    <mergeCell ref="A29:A35"/>
    <mergeCell ref="A36:A42"/>
  </mergeCells>
  <hyperlinks>
    <hyperlink r:id="rId1" ref="D1"/>
    <hyperlink r:id="rId2" ref="D2"/>
  </hyperlinks>
  <drawing r:id="rId3"/>
</worksheet>
</file>