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files\WB\CCDRKYR\KYRCCDR1\"/>
    </mc:Choice>
  </mc:AlternateContent>
  <xr:revisionPtr revIDLastSave="0" documentId="13_ncr:1_{7D0ECCA3-D3ED-4C2C-A38F-D27171B32F06}" xr6:coauthVersionLast="47" xr6:coauthVersionMax="47" xr10:uidLastSave="{00000000-0000-0000-0000-000000000000}"/>
  <bookViews>
    <workbookView xWindow="-110" yWindow="-110" windowWidth="19420" windowHeight="11500" firstSheet="2" activeTab="8" xr2:uid="{63328CD9-E449-4C14-9E2F-A495AF94E7A3}"/>
  </bookViews>
  <sheets>
    <sheet name="Cattle" sheetId="15" r:id="rId1"/>
    <sheet name="Assumptions" sheetId="29" r:id="rId2"/>
    <sheet name="Goat" sheetId="14" r:id="rId3"/>
    <sheet name="Sheep" sheetId="10" r:id="rId4"/>
    <sheet name="KYRNIR" sheetId="23" r:id="rId5"/>
    <sheet name="KYRemmisionsTIER1" sheetId="24" r:id="rId6"/>
    <sheet name="KYRpop" sheetId="25" r:id="rId7"/>
    <sheet name="Other source data" sheetId="26" r:id="rId8"/>
    <sheet name="Copy paste sheet" sheetId="27" r:id="rId9"/>
  </sheets>
  <externalReferences>
    <externalReference r:id="rId10"/>
  </externalReferences>
  <definedNames>
    <definedName name="_xlnm._FilterDatabase" localSheetId="0" hidden="1">Cattle!$C$3:$R$88</definedName>
    <definedName name="_xlnm._FilterDatabase" localSheetId="2" hidden="1">Goat!$A$2:$D$18</definedName>
    <definedName name="_xlnm._FilterDatabase" localSheetId="3" hidden="1">Sheep!$A$2:$D$18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4" l="1"/>
  <c r="D17" i="14"/>
  <c r="C18" i="27"/>
  <c r="W41" i="26" l="1"/>
  <c r="W40" i="26"/>
  <c r="V45" i="26" s="1"/>
  <c r="W39" i="26"/>
  <c r="V43" i="26" s="1"/>
  <c r="W38" i="26"/>
  <c r="L13" i="27"/>
  <c r="J14" i="27"/>
  <c r="C39" i="27"/>
  <c r="F40" i="27"/>
  <c r="E40" i="27"/>
  <c r="D40" i="27"/>
  <c r="C40" i="27"/>
  <c r="C41" i="27"/>
  <c r="F37" i="27"/>
  <c r="F41" i="27" s="1"/>
  <c r="E37" i="27"/>
  <c r="E41" i="27" s="1"/>
  <c r="D37" i="27"/>
  <c r="D41" i="27" s="1"/>
  <c r="C37" i="27"/>
  <c r="F36" i="27"/>
  <c r="E36" i="27"/>
  <c r="D36" i="27"/>
  <c r="C36" i="27"/>
  <c r="L34" i="27"/>
  <c r="N31" i="27"/>
  <c r="N30" i="27"/>
  <c r="N29" i="27"/>
  <c r="M29" i="27"/>
  <c r="N28" i="27"/>
  <c r="N27" i="27"/>
  <c r="N26" i="27"/>
  <c r="N25" i="27"/>
  <c r="E4" i="26"/>
  <c r="N9" i="26"/>
  <c r="N8" i="26"/>
  <c r="D39" i="27" l="1"/>
  <c r="E39" i="27"/>
  <c r="F39" i="27"/>
  <c r="H16" i="15" l="1"/>
  <c r="E16" i="15"/>
  <c r="Y11" i="15"/>
  <c r="AA11" i="15" s="1"/>
  <c r="X11" i="15"/>
  <c r="C16" i="14"/>
  <c r="AA4" i="23"/>
  <c r="Y18" i="15" s="1"/>
  <c r="Y21" i="15" s="1"/>
  <c r="G16" i="15" s="1"/>
  <c r="AA5" i="23"/>
  <c r="AA6" i="23"/>
  <c r="K14" i="14" s="1"/>
  <c r="D16" i="14" s="1"/>
  <c r="AC6" i="23"/>
  <c r="AC5" i="23"/>
  <c r="AC4" i="23"/>
  <c r="G12" i="14"/>
  <c r="G10" i="14"/>
  <c r="G11" i="14"/>
  <c r="G9" i="14"/>
  <c r="F9" i="14"/>
  <c r="F11" i="14"/>
  <c r="F12" i="14"/>
  <c r="F10" i="14"/>
  <c r="F9" i="10"/>
  <c r="F11" i="10"/>
  <c r="F12" i="10"/>
  <c r="F10" i="10"/>
  <c r="G10" i="10" s="1"/>
  <c r="C62" i="10"/>
  <c r="H62" i="10"/>
  <c r="C63" i="10"/>
  <c r="H63" i="10"/>
  <c r="C64" i="10"/>
  <c r="E64" i="10"/>
  <c r="H64" i="10"/>
  <c r="C65" i="10"/>
  <c r="E65" i="10"/>
  <c r="F65" i="10"/>
  <c r="H65" i="10"/>
  <c r="C66" i="10"/>
  <c r="H66" i="10"/>
  <c r="C67" i="10"/>
  <c r="E67" i="10"/>
  <c r="H67" i="10"/>
  <c r="C68" i="10"/>
  <c r="H68" i="10"/>
  <c r="C69" i="10"/>
  <c r="H69" i="10"/>
  <c r="C70" i="10"/>
  <c r="H70" i="10"/>
  <c r="C71" i="10"/>
  <c r="E71" i="10"/>
  <c r="H71" i="10"/>
  <c r="C72" i="10"/>
  <c r="H72" i="10"/>
  <c r="C73" i="10"/>
  <c r="H73" i="10"/>
  <c r="C74" i="10"/>
  <c r="E74" i="10"/>
  <c r="H74" i="10"/>
  <c r="C75" i="10"/>
  <c r="E75" i="10"/>
  <c r="F75" i="10"/>
  <c r="H75" i="10"/>
  <c r="C76" i="10"/>
  <c r="H76" i="10"/>
  <c r="C77" i="10"/>
  <c r="H77" i="10"/>
  <c r="C78" i="10"/>
  <c r="F78" i="10"/>
  <c r="H78" i="10"/>
  <c r="C79" i="10"/>
  <c r="H79" i="10"/>
  <c r="C80" i="10"/>
  <c r="E80" i="10"/>
  <c r="H80" i="10"/>
  <c r="C81" i="10"/>
  <c r="H81" i="10"/>
  <c r="C82" i="10"/>
  <c r="H82" i="10"/>
  <c r="C83" i="10"/>
  <c r="H83" i="10"/>
  <c r="C84" i="10"/>
  <c r="H84" i="10"/>
  <c r="C85" i="10"/>
  <c r="H85" i="10"/>
  <c r="C86" i="10"/>
  <c r="H86" i="10"/>
  <c r="C87" i="10"/>
  <c r="H87" i="10"/>
  <c r="C88" i="10"/>
  <c r="E88" i="10"/>
  <c r="F88" i="10"/>
  <c r="H88" i="10"/>
  <c r="C89" i="10"/>
  <c r="H89" i="10"/>
  <c r="H61" i="10"/>
  <c r="C61" i="10"/>
  <c r="C16" i="10"/>
  <c r="S4" i="15"/>
  <c r="S24" i="10"/>
  <c r="S25" i="10"/>
  <c r="S26" i="10"/>
  <c r="S27" i="10"/>
  <c r="S28" i="10"/>
  <c r="S29" i="10"/>
  <c r="S30" i="10"/>
  <c r="S31" i="10"/>
  <c r="S32" i="10"/>
  <c r="S23" i="10"/>
  <c r="P21" i="10"/>
  <c r="O21" i="10"/>
  <c r="N21" i="10"/>
  <c r="V21" i="15"/>
  <c r="V22" i="15"/>
  <c r="V23" i="15"/>
  <c r="V24" i="15"/>
  <c r="V25" i="15"/>
  <c r="V26" i="15"/>
  <c r="V27" i="15"/>
  <c r="V28" i="15"/>
  <c r="V29" i="15"/>
  <c r="U22" i="15"/>
  <c r="U23" i="15"/>
  <c r="U24" i="15"/>
  <c r="U25" i="15"/>
  <c r="U26" i="15"/>
  <c r="U27" i="15"/>
  <c r="U28" i="15"/>
  <c r="U29" i="15"/>
  <c r="U21" i="15"/>
  <c r="J8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31" i="15"/>
  <c r="N8" i="15"/>
  <c r="K19" i="15"/>
  <c r="I5" i="15"/>
  <c r="J4" i="15"/>
  <c r="K17" i="10"/>
  <c r="D16" i="10" s="1"/>
  <c r="K11" i="10"/>
  <c r="K8" i="14"/>
  <c r="P16" i="15" l="1"/>
  <c r="T16" i="15" s="1"/>
  <c r="K16" i="15"/>
  <c r="X18" i="15"/>
  <c r="K22" i="14"/>
  <c r="X11" i="23"/>
  <c r="I104" i="25"/>
  <c r="I106" i="25"/>
  <c r="L106" i="25"/>
  <c r="M106" i="25"/>
  <c r="J106" i="25"/>
  <c r="X21" i="15" l="1"/>
  <c r="F16" i="15" s="1"/>
  <c r="AA18" i="15"/>
  <c r="Z21" i="15"/>
  <c r="E15" i="27"/>
  <c r="N4" i="27"/>
  <c r="N5" i="27"/>
  <c r="N6" i="27"/>
  <c r="N7" i="27"/>
  <c r="N8" i="27"/>
  <c r="N9" i="27"/>
  <c r="N10" i="27"/>
  <c r="M8" i="27"/>
  <c r="F16" i="27"/>
  <c r="F15" i="27"/>
  <c r="E16" i="27"/>
  <c r="C16" i="27"/>
  <c r="C15" i="27"/>
  <c r="D16" i="27"/>
  <c r="D15" i="27"/>
  <c r="C19" i="27" l="1"/>
  <c r="D19" i="27"/>
  <c r="D18" i="27"/>
  <c r="F19" i="27"/>
  <c r="F18" i="27"/>
  <c r="E18" i="27"/>
  <c r="E19" i="27"/>
  <c r="N16" i="15"/>
  <c r="S16" i="15" s="1"/>
  <c r="I16" i="15"/>
  <c r="H22" i="15"/>
  <c r="H23" i="15"/>
  <c r="H24" i="15"/>
  <c r="H28" i="15"/>
  <c r="H29" i="15"/>
  <c r="H21" i="15"/>
  <c r="H25" i="15"/>
  <c r="H26" i="15"/>
  <c r="H27" i="15"/>
  <c r="E3" i="26"/>
  <c r="E2" i="26"/>
  <c r="D1" i="26"/>
  <c r="G36" i="10"/>
  <c r="G46" i="10"/>
  <c r="G75" i="10" s="1"/>
  <c r="G49" i="10"/>
  <c r="G78" i="10" s="1"/>
  <c r="G59" i="10"/>
  <c r="G88" i="10" s="1"/>
  <c r="S37" i="15"/>
  <c r="T37" i="15"/>
  <c r="S40" i="15"/>
  <c r="S41" i="15"/>
  <c r="S45" i="15"/>
  <c r="S48" i="15"/>
  <c r="T48" i="15"/>
  <c r="T50" i="15"/>
  <c r="S55" i="15"/>
  <c r="T57" i="15"/>
  <c r="S58" i="15"/>
  <c r="T58" i="15"/>
  <c r="D9" i="15"/>
  <c r="G65" i="10" l="1"/>
  <c r="F51" i="10"/>
  <c r="F45" i="10"/>
  <c r="F42" i="10"/>
  <c r="F38" i="10"/>
  <c r="F35" i="10"/>
  <c r="F65" i="14"/>
  <c r="F35" i="14"/>
  <c r="F64" i="14" s="1"/>
  <c r="F38" i="14"/>
  <c r="F67" i="14" s="1"/>
  <c r="F42" i="14"/>
  <c r="F71" i="14" s="1"/>
  <c r="F45" i="14"/>
  <c r="F74" i="14" s="1"/>
  <c r="F51" i="14"/>
  <c r="F80" i="14" s="1"/>
  <c r="C62" i="14"/>
  <c r="G62" i="14"/>
  <c r="H62" i="14"/>
  <c r="C63" i="14"/>
  <c r="G63" i="14"/>
  <c r="H63" i="14"/>
  <c r="C64" i="14"/>
  <c r="E64" i="14"/>
  <c r="G64" i="14"/>
  <c r="H64" i="14"/>
  <c r="C65" i="14"/>
  <c r="E65" i="14"/>
  <c r="G65" i="14"/>
  <c r="H65" i="14"/>
  <c r="C66" i="14"/>
  <c r="G66" i="14"/>
  <c r="H66" i="14"/>
  <c r="C67" i="14"/>
  <c r="E67" i="14"/>
  <c r="G67" i="14"/>
  <c r="H67" i="14"/>
  <c r="C68" i="14"/>
  <c r="G68" i="14"/>
  <c r="H68" i="14"/>
  <c r="C69" i="14"/>
  <c r="G69" i="14"/>
  <c r="H69" i="14"/>
  <c r="C70" i="14"/>
  <c r="G70" i="14"/>
  <c r="H70" i="14"/>
  <c r="C71" i="14"/>
  <c r="E71" i="14"/>
  <c r="G71" i="14"/>
  <c r="H71" i="14"/>
  <c r="C72" i="14"/>
  <c r="G72" i="14"/>
  <c r="H72" i="14"/>
  <c r="C73" i="14"/>
  <c r="G73" i="14"/>
  <c r="H73" i="14"/>
  <c r="C74" i="14"/>
  <c r="E74" i="14"/>
  <c r="G74" i="14"/>
  <c r="H74" i="14"/>
  <c r="C75" i="14"/>
  <c r="E75" i="14"/>
  <c r="F75" i="14"/>
  <c r="G75" i="14"/>
  <c r="H75" i="14"/>
  <c r="C76" i="14"/>
  <c r="G76" i="14"/>
  <c r="H76" i="14"/>
  <c r="C77" i="14"/>
  <c r="G77" i="14"/>
  <c r="H77" i="14"/>
  <c r="C78" i="14"/>
  <c r="F78" i="14"/>
  <c r="G78" i="14"/>
  <c r="H78" i="14"/>
  <c r="C79" i="14"/>
  <c r="G79" i="14"/>
  <c r="H79" i="14"/>
  <c r="C80" i="14"/>
  <c r="E80" i="14"/>
  <c r="G80" i="14"/>
  <c r="H80" i="14"/>
  <c r="C81" i="14"/>
  <c r="G81" i="14"/>
  <c r="H81" i="14"/>
  <c r="C82" i="14"/>
  <c r="G82" i="14"/>
  <c r="H82" i="14"/>
  <c r="C83" i="14"/>
  <c r="G83" i="14"/>
  <c r="H83" i="14"/>
  <c r="C84" i="14"/>
  <c r="G84" i="14"/>
  <c r="H84" i="14"/>
  <c r="C85" i="14"/>
  <c r="G85" i="14"/>
  <c r="H85" i="14"/>
  <c r="C86" i="14"/>
  <c r="G86" i="14"/>
  <c r="H86" i="14"/>
  <c r="C87" i="14"/>
  <c r="G87" i="14"/>
  <c r="H87" i="14"/>
  <c r="C88" i="14"/>
  <c r="E88" i="14"/>
  <c r="F88" i="14"/>
  <c r="G88" i="14"/>
  <c r="H88" i="14"/>
  <c r="C89" i="14"/>
  <c r="G89" i="14"/>
  <c r="H89" i="14"/>
  <c r="G61" i="14"/>
  <c r="H61" i="14"/>
  <c r="C61" i="14"/>
  <c r="D15" i="14"/>
  <c r="E15" i="14" s="1"/>
  <c r="F15" i="14" s="1"/>
  <c r="G15" i="14" s="1"/>
  <c r="P15" i="14" s="1"/>
  <c r="D13" i="14"/>
  <c r="E13" i="14" s="1"/>
  <c r="F13" i="14" s="1"/>
  <c r="G13" i="14" s="1"/>
  <c r="P13" i="14" s="1"/>
  <c r="D14" i="14"/>
  <c r="E14" i="14" s="1"/>
  <c r="F14" i="14" s="1"/>
  <c r="G14" i="14" s="1"/>
  <c r="P14" i="14" s="1"/>
  <c r="I63" i="15"/>
  <c r="K63" i="15"/>
  <c r="I64" i="15"/>
  <c r="I66" i="15"/>
  <c r="K66" i="15"/>
  <c r="N66" i="15"/>
  <c r="P66" i="15"/>
  <c r="S66" i="15"/>
  <c r="T66" i="15"/>
  <c r="K67" i="15"/>
  <c r="F69" i="15"/>
  <c r="I69" i="15"/>
  <c r="N69" i="15"/>
  <c r="S69" i="15"/>
  <c r="I70" i="15"/>
  <c r="K70" i="15"/>
  <c r="N70" i="15"/>
  <c r="S70" i="15"/>
  <c r="I73" i="15"/>
  <c r="K73" i="15"/>
  <c r="I74" i="15"/>
  <c r="N74" i="15"/>
  <c r="S74" i="15"/>
  <c r="I75" i="15"/>
  <c r="I77" i="15"/>
  <c r="N77" i="15"/>
  <c r="P77" i="15"/>
  <c r="S77" i="15"/>
  <c r="T77" i="15"/>
  <c r="I79" i="15"/>
  <c r="P79" i="15"/>
  <c r="T79" i="15"/>
  <c r="I84" i="15"/>
  <c r="N84" i="15"/>
  <c r="S84" i="15"/>
  <c r="I86" i="15"/>
  <c r="P86" i="15"/>
  <c r="T86" i="15"/>
  <c r="F87" i="15"/>
  <c r="I87" i="15"/>
  <c r="K87" i="15"/>
  <c r="N87" i="15"/>
  <c r="P87" i="15"/>
  <c r="S87" i="15"/>
  <c r="T87" i="15"/>
  <c r="I60" i="15"/>
  <c r="C15" i="15"/>
  <c r="D15" i="15"/>
  <c r="C60" i="15"/>
  <c r="D60" i="15"/>
  <c r="C61" i="15"/>
  <c r="D61" i="15"/>
  <c r="C62" i="15"/>
  <c r="D62" i="15"/>
  <c r="C63" i="15"/>
  <c r="D63" i="15"/>
  <c r="C64" i="15"/>
  <c r="D64" i="15"/>
  <c r="C65" i="15"/>
  <c r="D65" i="15"/>
  <c r="C66" i="15"/>
  <c r="D66" i="15"/>
  <c r="C67" i="15"/>
  <c r="D67" i="15"/>
  <c r="C68" i="15"/>
  <c r="D68" i="15"/>
  <c r="C69" i="15"/>
  <c r="D69" i="15"/>
  <c r="C70" i="15"/>
  <c r="D70" i="15"/>
  <c r="C71" i="15"/>
  <c r="D71" i="15"/>
  <c r="C72" i="15"/>
  <c r="D72" i="15"/>
  <c r="C73" i="15"/>
  <c r="D73" i="15"/>
  <c r="C74" i="15"/>
  <c r="D74" i="15"/>
  <c r="C75" i="15"/>
  <c r="D75" i="15"/>
  <c r="C76" i="15"/>
  <c r="D76" i="15"/>
  <c r="C77" i="15"/>
  <c r="D77" i="15"/>
  <c r="C78" i="15"/>
  <c r="D78" i="15"/>
  <c r="C79" i="15"/>
  <c r="D79" i="15"/>
  <c r="C80" i="15"/>
  <c r="D80" i="15"/>
  <c r="C81" i="15"/>
  <c r="D81" i="15"/>
  <c r="C82" i="15"/>
  <c r="D82" i="15"/>
  <c r="C83" i="15"/>
  <c r="D83" i="15"/>
  <c r="C84" i="15"/>
  <c r="D84" i="15"/>
  <c r="C85" i="15"/>
  <c r="D85" i="15"/>
  <c r="C86" i="15"/>
  <c r="D86" i="15"/>
  <c r="C87" i="15"/>
  <c r="D87" i="15"/>
  <c r="C88" i="15"/>
  <c r="D88" i="15"/>
  <c r="N34" i="15"/>
  <c r="S34" i="15" s="1"/>
  <c r="S63" i="15" s="1"/>
  <c r="N35" i="15"/>
  <c r="S35" i="15" s="1"/>
  <c r="S64" i="15" s="1"/>
  <c r="N44" i="15"/>
  <c r="S44" i="15" s="1"/>
  <c r="S73" i="15" s="1"/>
  <c r="N46" i="15"/>
  <c r="S46" i="15" s="1"/>
  <c r="S75" i="15" s="1"/>
  <c r="N50" i="15"/>
  <c r="S50" i="15" s="1"/>
  <c r="S79" i="15" s="1"/>
  <c r="N57" i="15"/>
  <c r="S57" i="15" s="1"/>
  <c r="S86" i="15" s="1"/>
  <c r="N31" i="15"/>
  <c r="S31" i="15" s="1"/>
  <c r="S60" i="15" s="1"/>
  <c r="S24" i="15"/>
  <c r="T24" i="15"/>
  <c r="S25" i="15"/>
  <c r="T25" i="15"/>
  <c r="S26" i="15"/>
  <c r="T26" i="15"/>
  <c r="S29" i="15"/>
  <c r="T29" i="15"/>
  <c r="F67" i="10" l="1"/>
  <c r="G38" i="10"/>
  <c r="G67" i="10" s="1"/>
  <c r="F71" i="10"/>
  <c r="G42" i="10"/>
  <c r="G71" i="10" s="1"/>
  <c r="F80" i="10"/>
  <c r="G51" i="10"/>
  <c r="G80" i="10" s="1"/>
  <c r="F74" i="10"/>
  <c r="G45" i="10"/>
  <c r="G74" i="10" s="1"/>
  <c r="F64" i="10"/>
  <c r="G35" i="10"/>
  <c r="N86" i="15"/>
  <c r="N64" i="15"/>
  <c r="N75" i="15"/>
  <c r="N63" i="15"/>
  <c r="N79" i="15"/>
  <c r="N73" i="15"/>
  <c r="D89" i="15"/>
  <c r="C89" i="15"/>
  <c r="N60" i="15"/>
  <c r="H13" i="14"/>
  <c r="H14" i="14"/>
  <c r="H15" i="14"/>
  <c r="G64" i="10" l="1"/>
  <c r="F7" i="14"/>
  <c r="G7" i="14" s="1"/>
  <c r="F7" i="10"/>
  <c r="G7" i="10" s="1"/>
  <c r="H7" i="10" s="1"/>
  <c r="O40" i="15"/>
  <c r="O69" i="15" s="1"/>
  <c r="O58" i="15"/>
  <c r="O87" i="15" s="1"/>
  <c r="J40" i="15"/>
  <c r="J69" i="15" s="1"/>
  <c r="J58" i="15"/>
  <c r="J87" i="15" s="1"/>
  <c r="P34" i="15"/>
  <c r="P38" i="15"/>
  <c r="P41" i="15"/>
  <c r="P44" i="15"/>
  <c r="G4" i="15"/>
  <c r="K4" i="15" s="1"/>
  <c r="F4" i="15"/>
  <c r="T44" i="15" l="1"/>
  <c r="T73" i="15" s="1"/>
  <c r="P73" i="15"/>
  <c r="T41" i="15"/>
  <c r="T70" i="15" s="1"/>
  <c r="P70" i="15"/>
  <c r="T38" i="15"/>
  <c r="T67" i="15" s="1"/>
  <c r="P67" i="15"/>
  <c r="T34" i="15"/>
  <c r="T63" i="15" s="1"/>
  <c r="P63" i="15"/>
  <c r="H7" i="14"/>
  <c r="N4" i="15"/>
  <c r="P4" i="15"/>
  <c r="T4" i="15" s="1"/>
  <c r="J105" i="25"/>
  <c r="J104" i="25"/>
  <c r="I105" i="25"/>
  <c r="F61" i="15"/>
  <c r="G61" i="15"/>
  <c r="F62" i="15"/>
  <c r="G62" i="15"/>
  <c r="F64" i="15"/>
  <c r="G64" i="15"/>
  <c r="F65" i="15"/>
  <c r="G65" i="15"/>
  <c r="F66" i="15"/>
  <c r="G66" i="15"/>
  <c r="F67" i="15"/>
  <c r="G68" i="15"/>
  <c r="G69" i="15"/>
  <c r="F70" i="15"/>
  <c r="G70" i="15"/>
  <c r="G71" i="15"/>
  <c r="F72" i="15"/>
  <c r="G72" i="15"/>
  <c r="F73" i="15"/>
  <c r="F74" i="15"/>
  <c r="G74" i="15"/>
  <c r="F75" i="15"/>
  <c r="G75" i="15"/>
  <c r="F76" i="15"/>
  <c r="G76" i="15"/>
  <c r="F77" i="15"/>
  <c r="G77" i="15"/>
  <c r="F78" i="15"/>
  <c r="G78" i="15"/>
  <c r="F79" i="15"/>
  <c r="G79" i="15"/>
  <c r="G80" i="15"/>
  <c r="G81" i="15"/>
  <c r="F82" i="15"/>
  <c r="G82" i="15"/>
  <c r="F83" i="15"/>
  <c r="G83" i="15"/>
  <c r="F84" i="15"/>
  <c r="G84" i="15"/>
  <c r="F85" i="15"/>
  <c r="G85" i="15"/>
  <c r="G86" i="15"/>
  <c r="G87" i="15"/>
  <c r="F88" i="15"/>
  <c r="G88" i="15"/>
  <c r="G31" i="15"/>
  <c r="G60" i="15" s="1"/>
  <c r="F19" i="15"/>
  <c r="O34" i="15" l="1"/>
  <c r="O63" i="15" s="1"/>
  <c r="F63" i="15"/>
  <c r="O57" i="15"/>
  <c r="O86" i="15" s="1"/>
  <c r="F86" i="15"/>
  <c r="O31" i="15"/>
  <c r="O60" i="15" s="1"/>
  <c r="F60" i="15"/>
  <c r="I52" i="15"/>
  <c r="F81" i="15"/>
  <c r="I42" i="15"/>
  <c r="J42" i="15" s="1"/>
  <c r="J71" i="15" s="1"/>
  <c r="F71" i="15"/>
  <c r="L34" i="15"/>
  <c r="L63" i="15" s="1"/>
  <c r="G63" i="15"/>
  <c r="I39" i="15"/>
  <c r="F68" i="15"/>
  <c r="I51" i="15"/>
  <c r="F80" i="15"/>
  <c r="L38" i="15"/>
  <c r="L67" i="15" s="1"/>
  <c r="G67" i="15"/>
  <c r="Q44" i="15"/>
  <c r="Q73" i="15" s="1"/>
  <c r="G73" i="15"/>
  <c r="J51" i="15"/>
  <c r="J80" i="15" s="1"/>
  <c r="N19" i="15"/>
  <c r="S19" i="15" s="1"/>
  <c r="J50" i="15"/>
  <c r="J79" i="15" s="1"/>
  <c r="O50" i="15"/>
  <c r="O79" i="15" s="1"/>
  <c r="J55" i="15"/>
  <c r="J84" i="15" s="1"/>
  <c r="O55" i="15"/>
  <c r="O84" i="15" s="1"/>
  <c r="O48" i="15"/>
  <c r="O77" i="15" s="1"/>
  <c r="J48" i="15"/>
  <c r="J77" i="15" s="1"/>
  <c r="L44" i="15"/>
  <c r="L73" i="15" s="1"/>
  <c r="J44" i="15"/>
  <c r="J73" i="15" s="1"/>
  <c r="O44" i="15"/>
  <c r="O73" i="15" s="1"/>
  <c r="J35" i="15"/>
  <c r="J64" i="15" s="1"/>
  <c r="J37" i="15"/>
  <c r="J66" i="15" s="1"/>
  <c r="O37" i="15"/>
  <c r="O66" i="15" s="1"/>
  <c r="Q48" i="15"/>
  <c r="Q77" i="15" s="1"/>
  <c r="K48" i="15"/>
  <c r="K77" i="15" s="1"/>
  <c r="K31" i="15"/>
  <c r="K60" i="15" s="1"/>
  <c r="J39" i="15"/>
  <c r="J68" i="15" s="1"/>
  <c r="Q34" i="15"/>
  <c r="Q63" i="15" s="1"/>
  <c r="J57" i="15"/>
  <c r="J86" i="15" s="1"/>
  <c r="Q37" i="15"/>
  <c r="Q66" i="15" s="1"/>
  <c r="L37" i="15"/>
  <c r="L66" i="15" s="1"/>
  <c r="I49" i="15"/>
  <c r="Q41" i="15"/>
  <c r="Q70" i="15" s="1"/>
  <c r="L41" i="15"/>
  <c r="L70" i="15" s="1"/>
  <c r="O41" i="15"/>
  <c r="O70" i="15" s="1"/>
  <c r="J41" i="15"/>
  <c r="J70" i="15" s="1"/>
  <c r="O45" i="15"/>
  <c r="O74" i="15" s="1"/>
  <c r="J45" i="15"/>
  <c r="J74" i="15" s="1"/>
  <c r="K50" i="15"/>
  <c r="K79" i="15" s="1"/>
  <c r="Q50" i="15"/>
  <c r="Q79" i="15" s="1"/>
  <c r="J31" i="15"/>
  <c r="J60" i="15" s="1"/>
  <c r="J34" i="15"/>
  <c r="J63" i="15" s="1"/>
  <c r="Q58" i="15"/>
  <c r="Q87" i="15" s="1"/>
  <c r="L58" i="15"/>
  <c r="L87" i="15" s="1"/>
  <c r="O46" i="15"/>
  <c r="O75" i="15" s="1"/>
  <c r="J46" i="15"/>
  <c r="J75" i="15" s="1"/>
  <c r="K33" i="15"/>
  <c r="K62" i="15" s="1"/>
  <c r="Q38" i="15"/>
  <c r="Q67" i="15" s="1"/>
  <c r="Q57" i="15"/>
  <c r="Q86" i="15" s="1"/>
  <c r="K57" i="15"/>
  <c r="K86" i="15" s="1"/>
  <c r="K45" i="15"/>
  <c r="K74" i="15" s="1"/>
  <c r="O35" i="15"/>
  <c r="O64" i="15" s="1"/>
  <c r="K59" i="15"/>
  <c r="K40" i="15"/>
  <c r="K56" i="15"/>
  <c r="K49" i="15"/>
  <c r="I38" i="15"/>
  <c r="K36" i="15"/>
  <c r="I59" i="15"/>
  <c r="I36" i="15"/>
  <c r="K55" i="15"/>
  <c r="K54" i="15"/>
  <c r="K42" i="15"/>
  <c r="I56" i="15"/>
  <c r="I33" i="15"/>
  <c r="K35" i="15"/>
  <c r="I54" i="15"/>
  <c r="I32" i="15"/>
  <c r="K46" i="15"/>
  <c r="K43" i="15"/>
  <c r="K53" i="15"/>
  <c r="K47" i="15"/>
  <c r="I53" i="15"/>
  <c r="K52" i="15"/>
  <c r="K39" i="15"/>
  <c r="K51" i="15"/>
  <c r="I47" i="15"/>
  <c r="K32" i="15"/>
  <c r="I43" i="15"/>
  <c r="N32" i="15" l="1"/>
  <c r="I61" i="15"/>
  <c r="N54" i="15"/>
  <c r="I83" i="15"/>
  <c r="L49" i="15"/>
  <c r="L78" i="15" s="1"/>
  <c r="K78" i="15"/>
  <c r="N43" i="15"/>
  <c r="I72" i="15"/>
  <c r="L56" i="15"/>
  <c r="L85" i="15" s="1"/>
  <c r="K85" i="15"/>
  <c r="L35" i="15"/>
  <c r="L64" i="15" s="1"/>
  <c r="K64" i="15"/>
  <c r="L59" i="15"/>
  <c r="L88" i="15" s="1"/>
  <c r="K88" i="15"/>
  <c r="L46" i="15"/>
  <c r="L75" i="15" s="1"/>
  <c r="K75" i="15"/>
  <c r="L32" i="15"/>
  <c r="L61" i="15" s="1"/>
  <c r="K61" i="15"/>
  <c r="L54" i="15"/>
  <c r="L83" i="15" s="1"/>
  <c r="K83" i="15"/>
  <c r="L36" i="15"/>
  <c r="L65" i="15" s="1"/>
  <c r="K65" i="15"/>
  <c r="N38" i="15"/>
  <c r="I67" i="15"/>
  <c r="N42" i="15"/>
  <c r="I71" i="15"/>
  <c r="L40" i="15"/>
  <c r="L69" i="15" s="1"/>
  <c r="K69" i="15"/>
  <c r="N33" i="15"/>
  <c r="I62" i="15"/>
  <c r="L51" i="15"/>
  <c r="L80" i="15" s="1"/>
  <c r="K80" i="15"/>
  <c r="L39" i="15"/>
  <c r="L68" i="15" s="1"/>
  <c r="K68" i="15"/>
  <c r="L43" i="15"/>
  <c r="L72" i="15" s="1"/>
  <c r="K72" i="15"/>
  <c r="N49" i="15"/>
  <c r="I78" i="15"/>
  <c r="N47" i="15"/>
  <c r="I76" i="15"/>
  <c r="N56" i="15"/>
  <c r="I85" i="15"/>
  <c r="L52" i="15"/>
  <c r="L81" i="15" s="1"/>
  <c r="K81" i="15"/>
  <c r="N53" i="15"/>
  <c r="I82" i="15"/>
  <c r="N51" i="15"/>
  <c r="I80" i="15"/>
  <c r="N36" i="15"/>
  <c r="I65" i="15"/>
  <c r="N52" i="15"/>
  <c r="I81" i="15"/>
  <c r="L42" i="15"/>
  <c r="L71" i="15" s="1"/>
  <c r="K71" i="15"/>
  <c r="L55" i="15"/>
  <c r="L84" i="15" s="1"/>
  <c r="K84" i="15"/>
  <c r="L47" i="15"/>
  <c r="L76" i="15" s="1"/>
  <c r="K76" i="15"/>
  <c r="L53" i="15"/>
  <c r="L82" i="15" s="1"/>
  <c r="K82" i="15"/>
  <c r="N59" i="15"/>
  <c r="I88" i="15"/>
  <c r="J52" i="15"/>
  <c r="J81" i="15" s="1"/>
  <c r="N39" i="15"/>
  <c r="O39" i="15" s="1"/>
  <c r="O68" i="15" s="1"/>
  <c r="I68" i="15"/>
  <c r="J56" i="15"/>
  <c r="J85" i="15" s="1"/>
  <c r="L50" i="15"/>
  <c r="L79" i="15" s="1"/>
  <c r="L48" i="15"/>
  <c r="L77" i="15" s="1"/>
  <c r="J59" i="15"/>
  <c r="J88" i="15" s="1"/>
  <c r="J54" i="15"/>
  <c r="J83" i="15" s="1"/>
  <c r="J49" i="15"/>
  <c r="J78" i="15" s="1"/>
  <c r="J32" i="15"/>
  <c r="J61" i="15" s="1"/>
  <c r="L57" i="15"/>
  <c r="L86" i="15" s="1"/>
  <c r="J38" i="15"/>
  <c r="J67" i="15" s="1"/>
  <c r="L45" i="15"/>
  <c r="L74" i="15" s="1"/>
  <c r="P45" i="15"/>
  <c r="J53" i="15"/>
  <c r="J82" i="15" s="1"/>
  <c r="L33" i="15"/>
  <c r="L62" i="15" s="1"/>
  <c r="P33" i="15"/>
  <c r="L31" i="15"/>
  <c r="L60" i="15" s="1"/>
  <c r="P31" i="15"/>
  <c r="J36" i="15"/>
  <c r="J65" i="15" s="1"/>
  <c r="J43" i="15"/>
  <c r="J72" i="15" s="1"/>
  <c r="J47" i="15"/>
  <c r="J76" i="15" s="1"/>
  <c r="O42" i="15"/>
  <c r="O71" i="15" s="1"/>
  <c r="J33" i="15"/>
  <c r="J62" i="15" s="1"/>
  <c r="P55" i="15"/>
  <c r="P56" i="15"/>
  <c r="P47" i="15"/>
  <c r="P46" i="15"/>
  <c r="P49" i="15"/>
  <c r="P40" i="15"/>
  <c r="P39" i="15"/>
  <c r="P53" i="15"/>
  <c r="P42" i="15"/>
  <c r="P51" i="15"/>
  <c r="P54" i="15"/>
  <c r="P43" i="15"/>
  <c r="P35" i="15"/>
  <c r="P32" i="15"/>
  <c r="P52" i="15"/>
  <c r="P36" i="15"/>
  <c r="P59" i="15"/>
  <c r="K59" i="23"/>
  <c r="L59" i="23"/>
  <c r="M59" i="23"/>
  <c r="N59" i="23"/>
  <c r="K60" i="23"/>
  <c r="L60" i="23"/>
  <c r="M60" i="23"/>
  <c r="N60" i="23"/>
  <c r="K61" i="23"/>
  <c r="L61" i="23"/>
  <c r="M61" i="23"/>
  <c r="N61" i="23"/>
  <c r="D16" i="15" s="1"/>
  <c r="K62" i="23"/>
  <c r="L62" i="23"/>
  <c r="M62" i="23"/>
  <c r="N62" i="23"/>
  <c r="L58" i="23"/>
  <c r="M58" i="23"/>
  <c r="N58" i="23"/>
  <c r="K58" i="23"/>
  <c r="R29" i="25"/>
  <c r="R30" i="25"/>
  <c r="R31" i="25"/>
  <c r="R32" i="25"/>
  <c r="R33" i="25"/>
  <c r="R34" i="25"/>
  <c r="R35" i="25"/>
  <c r="R36" i="25"/>
  <c r="R37" i="25"/>
  <c r="R38" i="25"/>
  <c r="R39" i="25"/>
  <c r="R40" i="25"/>
  <c r="R28" i="25"/>
  <c r="K111" i="25"/>
  <c r="J113" i="25"/>
  <c r="L111" i="25"/>
  <c r="C16" i="15" l="1"/>
  <c r="T40" i="15"/>
  <c r="T69" i="15" s="1"/>
  <c r="P69" i="15"/>
  <c r="S51" i="15"/>
  <c r="S80" i="15" s="1"/>
  <c r="N80" i="15"/>
  <c r="T36" i="15"/>
  <c r="T65" i="15" s="1"/>
  <c r="P65" i="15"/>
  <c r="T56" i="15"/>
  <c r="T85" i="15" s="1"/>
  <c r="P85" i="15"/>
  <c r="S38" i="15"/>
  <c r="S67" i="15" s="1"/>
  <c r="N67" i="15"/>
  <c r="S43" i="15"/>
  <c r="S72" i="15" s="1"/>
  <c r="N72" i="15"/>
  <c r="T55" i="15"/>
  <c r="T84" i="15" s="1"/>
  <c r="P84" i="15"/>
  <c r="T43" i="15"/>
  <c r="T72" i="15" s="1"/>
  <c r="P72" i="15"/>
  <c r="T49" i="15"/>
  <c r="T78" i="15" s="1"/>
  <c r="P78" i="15"/>
  <c r="T46" i="15"/>
  <c r="T75" i="15" s="1"/>
  <c r="P75" i="15"/>
  <c r="O51" i="15"/>
  <c r="O80" i="15" s="1"/>
  <c r="T45" i="15"/>
  <c r="T74" i="15" s="1"/>
  <c r="P74" i="15"/>
  <c r="S33" i="15"/>
  <c r="S62" i="15" s="1"/>
  <c r="N62" i="15"/>
  <c r="S47" i="15"/>
  <c r="S76" i="15" s="1"/>
  <c r="N76" i="15"/>
  <c r="S54" i="15"/>
  <c r="S83" i="15" s="1"/>
  <c r="N83" i="15"/>
  <c r="T59" i="15"/>
  <c r="T88" i="15" s="1"/>
  <c r="P88" i="15"/>
  <c r="T33" i="15"/>
  <c r="T62" i="15" s="1"/>
  <c r="P62" i="15"/>
  <c r="S53" i="15"/>
  <c r="S82" i="15" s="1"/>
  <c r="N82" i="15"/>
  <c r="T47" i="15"/>
  <c r="T76" i="15" s="1"/>
  <c r="P76" i="15"/>
  <c r="T32" i="15"/>
  <c r="T61" i="15" s="1"/>
  <c r="P61" i="15"/>
  <c r="S56" i="15"/>
  <c r="S85" i="15" s="1"/>
  <c r="N85" i="15"/>
  <c r="T54" i="15"/>
  <c r="T83" i="15" s="1"/>
  <c r="P83" i="15"/>
  <c r="S39" i="15"/>
  <c r="S68" i="15" s="1"/>
  <c r="N68" i="15"/>
  <c r="T39" i="15"/>
  <c r="T68" i="15" s="1"/>
  <c r="P68" i="15"/>
  <c r="T31" i="15"/>
  <c r="T60" i="15" s="1"/>
  <c r="P60" i="15"/>
  <c r="T52" i="15"/>
  <c r="T81" i="15" s="1"/>
  <c r="P81" i="15"/>
  <c r="T35" i="15"/>
  <c r="T64" i="15" s="1"/>
  <c r="P64" i="15"/>
  <c r="T51" i="15"/>
  <c r="T80" i="15" s="1"/>
  <c r="P80" i="15"/>
  <c r="S52" i="15"/>
  <c r="S81" i="15" s="1"/>
  <c r="N81" i="15"/>
  <c r="T42" i="15"/>
  <c r="T71" i="15" s="1"/>
  <c r="P71" i="15"/>
  <c r="O52" i="15"/>
  <c r="O81" i="15" s="1"/>
  <c r="T53" i="15"/>
  <c r="T82" i="15" s="1"/>
  <c r="P82" i="15"/>
  <c r="S59" i="15"/>
  <c r="S88" i="15" s="1"/>
  <c r="N88" i="15"/>
  <c r="S36" i="15"/>
  <c r="S65" i="15" s="1"/>
  <c r="N65" i="15"/>
  <c r="S49" i="15"/>
  <c r="S78" i="15" s="1"/>
  <c r="N78" i="15"/>
  <c r="S42" i="15"/>
  <c r="S71" i="15" s="1"/>
  <c r="N71" i="15"/>
  <c r="S32" i="15"/>
  <c r="S61" i="15" s="1"/>
  <c r="N61" i="15"/>
  <c r="C17" i="14"/>
  <c r="C17" i="10"/>
  <c r="Q32" i="15"/>
  <c r="Q61" i="15" s="1"/>
  <c r="Q35" i="15"/>
  <c r="Q64" i="15" s="1"/>
  <c r="Q46" i="15"/>
  <c r="Q75" i="15" s="1"/>
  <c r="O32" i="15"/>
  <c r="O61" i="15" s="1"/>
  <c r="Q51" i="15"/>
  <c r="Q80" i="15" s="1"/>
  <c r="Q39" i="15"/>
  <c r="Q68" i="15" s="1"/>
  <c r="Q53" i="15"/>
  <c r="Q82" i="15" s="1"/>
  <c r="O43" i="15"/>
  <c r="O72" i="15" s="1"/>
  <c r="Q40" i="15"/>
  <c r="Q69" i="15" s="1"/>
  <c r="O38" i="15"/>
  <c r="O67" i="15" s="1"/>
  <c r="Q36" i="15"/>
  <c r="Q65" i="15" s="1"/>
  <c r="Q49" i="15"/>
  <c r="Q78" i="15" s="1"/>
  <c r="Q45" i="15"/>
  <c r="Q74" i="15" s="1"/>
  <c r="O53" i="15"/>
  <c r="O82" i="15" s="1"/>
  <c r="Q56" i="15"/>
  <c r="Q85" i="15" s="1"/>
  <c r="O49" i="15"/>
  <c r="O78" i="15" s="1"/>
  <c r="Q33" i="15"/>
  <c r="Q62" i="15" s="1"/>
  <c r="O36" i="15"/>
  <c r="O65" i="15" s="1"/>
  <c r="Q42" i="15"/>
  <c r="Q71" i="15" s="1"/>
  <c r="Q43" i="15"/>
  <c r="Q72" i="15" s="1"/>
  <c r="Q31" i="15"/>
  <c r="Q60" i="15" s="1"/>
  <c r="Q54" i="15"/>
  <c r="Q83" i="15" s="1"/>
  <c r="O56" i="15"/>
  <c r="O85" i="15" s="1"/>
  <c r="Q52" i="15"/>
  <c r="Q81" i="15" s="1"/>
  <c r="O33" i="15"/>
  <c r="O62" i="15" s="1"/>
  <c r="Q55" i="15"/>
  <c r="Q84" i="15" s="1"/>
  <c r="O59" i="15"/>
  <c r="O88" i="15" s="1"/>
  <c r="Q59" i="15"/>
  <c r="Q88" i="15" s="1"/>
  <c r="O54" i="15"/>
  <c r="O83" i="15" s="1"/>
  <c r="O47" i="15"/>
  <c r="O76" i="15" s="1"/>
  <c r="Q47" i="15"/>
  <c r="Q76" i="15" s="1"/>
  <c r="L86" i="25"/>
  <c r="I86" i="25"/>
  <c r="F86" i="25"/>
  <c r="L85" i="25"/>
  <c r="I85" i="25"/>
  <c r="F85" i="25"/>
  <c r="L66" i="25"/>
  <c r="L65" i="25"/>
  <c r="L64" i="25"/>
  <c r="L63" i="25"/>
  <c r="L62" i="25"/>
  <c r="L61" i="25"/>
  <c r="L60" i="25"/>
  <c r="L59" i="25"/>
  <c r="L58" i="25"/>
  <c r="L57" i="25"/>
  <c r="L56" i="25"/>
  <c r="L55" i="25"/>
  <c r="L54" i="25"/>
  <c r="L40" i="25"/>
  <c r="L39" i="25"/>
  <c r="L38" i="25"/>
  <c r="L37" i="25"/>
  <c r="L36" i="25"/>
  <c r="L35" i="25"/>
  <c r="L34" i="25"/>
  <c r="L33" i="25"/>
  <c r="L32" i="25"/>
  <c r="L31" i="25"/>
  <c r="L30" i="25"/>
  <c r="L29" i="25"/>
  <c r="L28" i="25"/>
  <c r="L14" i="25"/>
  <c r="L13" i="25"/>
  <c r="L12" i="25"/>
  <c r="L11" i="25"/>
  <c r="L10" i="25"/>
  <c r="L9" i="25"/>
  <c r="L8" i="25"/>
  <c r="L7" i="25"/>
  <c r="L6" i="25"/>
  <c r="L5" i="25"/>
  <c r="L4" i="25"/>
  <c r="L3" i="25"/>
  <c r="L2" i="25"/>
  <c r="E4" i="15" l="1"/>
  <c r="E19" i="15"/>
  <c r="E29" i="15"/>
  <c r="E28" i="15"/>
  <c r="E27" i="15"/>
  <c r="E26" i="15"/>
  <c r="E25" i="15"/>
  <c r="E24" i="15"/>
  <c r="E23" i="15"/>
  <c r="E22" i="15"/>
  <c r="E21" i="15"/>
  <c r="D17" i="15"/>
  <c r="G17" i="15" s="1"/>
  <c r="E40" i="15"/>
  <c r="E69" i="15" s="1"/>
  <c r="E52" i="15"/>
  <c r="E81" i="15" s="1"/>
  <c r="E41" i="15"/>
  <c r="E70" i="15" s="1"/>
  <c r="E53" i="15"/>
  <c r="E82" i="15" s="1"/>
  <c r="E42" i="15"/>
  <c r="E71" i="15" s="1"/>
  <c r="E54" i="15"/>
  <c r="E83" i="15" s="1"/>
  <c r="E43" i="15"/>
  <c r="E72" i="15" s="1"/>
  <c r="E55" i="15"/>
  <c r="E84" i="15" s="1"/>
  <c r="E32" i="15"/>
  <c r="E61" i="15" s="1"/>
  <c r="E44" i="15"/>
  <c r="E73" i="15" s="1"/>
  <c r="E56" i="15"/>
  <c r="E85" i="15" s="1"/>
  <c r="E59" i="15"/>
  <c r="E88" i="15" s="1"/>
  <c r="E48" i="15"/>
  <c r="E77" i="15" s="1"/>
  <c r="E33" i="15"/>
  <c r="E62" i="15" s="1"/>
  <c r="E45" i="15"/>
  <c r="E74" i="15" s="1"/>
  <c r="E57" i="15"/>
  <c r="E86" i="15" s="1"/>
  <c r="E47" i="15"/>
  <c r="E76" i="15" s="1"/>
  <c r="E37" i="15"/>
  <c r="E66" i="15" s="1"/>
  <c r="E50" i="15"/>
  <c r="E79" i="15" s="1"/>
  <c r="E51" i="15"/>
  <c r="E80" i="15" s="1"/>
  <c r="E34" i="15"/>
  <c r="E63" i="15" s="1"/>
  <c r="E46" i="15"/>
  <c r="E75" i="15" s="1"/>
  <c r="E58" i="15"/>
  <c r="E87" i="15" s="1"/>
  <c r="E31" i="15"/>
  <c r="E60" i="15" s="1"/>
  <c r="E35" i="15"/>
  <c r="E64" i="15" s="1"/>
  <c r="E36" i="15"/>
  <c r="E65" i="15" s="1"/>
  <c r="E49" i="15"/>
  <c r="E78" i="15" s="1"/>
  <c r="E38" i="15"/>
  <c r="E67" i="15" s="1"/>
  <c r="E39" i="15"/>
  <c r="E68" i="15" s="1"/>
  <c r="C17" i="15"/>
  <c r="F17" i="15" s="1"/>
  <c r="D17" i="10"/>
  <c r="E16" i="10"/>
  <c r="N16" i="14"/>
  <c r="F16" i="14"/>
  <c r="D4" i="10"/>
  <c r="N4" i="10" s="1"/>
  <c r="D20" i="10"/>
  <c r="E20" i="10" s="1"/>
  <c r="N20" i="10" s="1"/>
  <c r="D19" i="10"/>
  <c r="D18" i="10"/>
  <c r="E18" i="10" s="1"/>
  <c r="D15" i="10"/>
  <c r="E15" i="10" s="1"/>
  <c r="D14" i="10"/>
  <c r="E14" i="10" s="1"/>
  <c r="D13" i="10"/>
  <c r="D12" i="10"/>
  <c r="D11" i="10"/>
  <c r="D10" i="10"/>
  <c r="D9" i="10"/>
  <c r="D8" i="10"/>
  <c r="D7" i="10"/>
  <c r="P7" i="10" s="1"/>
  <c r="D6" i="10"/>
  <c r="D5" i="10"/>
  <c r="D32" i="10"/>
  <c r="D61" i="10" s="1"/>
  <c r="D33" i="10"/>
  <c r="D62" i="10" s="1"/>
  <c r="D34" i="10"/>
  <c r="D63" i="10" s="1"/>
  <c r="D35" i="10"/>
  <c r="D36" i="10"/>
  <c r="D37" i="10"/>
  <c r="D66" i="10" s="1"/>
  <c r="D38" i="10"/>
  <c r="D67" i="10" s="1"/>
  <c r="D39" i="10"/>
  <c r="D68" i="10" s="1"/>
  <c r="D40" i="10"/>
  <c r="D69" i="10" s="1"/>
  <c r="D41" i="10"/>
  <c r="D70" i="10" s="1"/>
  <c r="D42" i="10"/>
  <c r="D71" i="10" s="1"/>
  <c r="D43" i="10"/>
  <c r="D72" i="10" s="1"/>
  <c r="D44" i="10"/>
  <c r="D73" i="10" s="1"/>
  <c r="D45" i="10"/>
  <c r="D74" i="10" s="1"/>
  <c r="D46" i="10"/>
  <c r="D75" i="10" s="1"/>
  <c r="D47" i="10"/>
  <c r="D76" i="10" s="1"/>
  <c r="D48" i="10"/>
  <c r="D77" i="10" s="1"/>
  <c r="D49" i="10"/>
  <c r="D78" i="10" s="1"/>
  <c r="D50" i="10"/>
  <c r="D79" i="10" s="1"/>
  <c r="D51" i="10"/>
  <c r="D80" i="10" s="1"/>
  <c r="D52" i="10"/>
  <c r="D81" i="10" s="1"/>
  <c r="D53" i="10"/>
  <c r="D82" i="10" s="1"/>
  <c r="D54" i="10"/>
  <c r="D83" i="10" s="1"/>
  <c r="D55" i="10"/>
  <c r="D84" i="10" s="1"/>
  <c r="D56" i="10"/>
  <c r="D85" i="10" s="1"/>
  <c r="D57" i="10"/>
  <c r="D86" i="10" s="1"/>
  <c r="D58" i="10"/>
  <c r="D87" i="10" s="1"/>
  <c r="D59" i="10"/>
  <c r="D60" i="10"/>
  <c r="D89" i="10" s="1"/>
  <c r="F4" i="14"/>
  <c r="D5" i="14"/>
  <c r="D6" i="14"/>
  <c r="D7" i="14"/>
  <c r="P7" i="14" s="1"/>
  <c r="D8" i="14"/>
  <c r="D9" i="14"/>
  <c r="D10" i="14"/>
  <c r="D11" i="14"/>
  <c r="D12" i="14"/>
  <c r="D18" i="14"/>
  <c r="E18" i="14" s="1"/>
  <c r="D19" i="14"/>
  <c r="D20" i="14"/>
  <c r="E20" i="14" s="1"/>
  <c r="D32" i="14"/>
  <c r="D61" i="14" s="1"/>
  <c r="D33" i="14"/>
  <c r="D62" i="14" s="1"/>
  <c r="D34" i="14"/>
  <c r="D63" i="14" s="1"/>
  <c r="D35" i="14"/>
  <c r="D64" i="14" s="1"/>
  <c r="D36" i="14"/>
  <c r="D65" i="14" s="1"/>
  <c r="D37" i="14"/>
  <c r="D66" i="14" s="1"/>
  <c r="D38" i="14"/>
  <c r="D67" i="14" s="1"/>
  <c r="D39" i="14"/>
  <c r="D68" i="14" s="1"/>
  <c r="D40" i="14"/>
  <c r="D69" i="14" s="1"/>
  <c r="D41" i="14"/>
  <c r="D70" i="14" s="1"/>
  <c r="D42" i="14"/>
  <c r="D71" i="14" s="1"/>
  <c r="D43" i="14"/>
  <c r="D72" i="14" s="1"/>
  <c r="D44" i="14"/>
  <c r="D73" i="14" s="1"/>
  <c r="D45" i="14"/>
  <c r="D74" i="14" s="1"/>
  <c r="D46" i="14"/>
  <c r="D75" i="14" s="1"/>
  <c r="D47" i="14"/>
  <c r="D76" i="14" s="1"/>
  <c r="D48" i="14"/>
  <c r="D77" i="14" s="1"/>
  <c r="D49" i="14"/>
  <c r="D50" i="14"/>
  <c r="D79" i="14" s="1"/>
  <c r="D51" i="14"/>
  <c r="D80" i="14" s="1"/>
  <c r="D52" i="14"/>
  <c r="D81" i="14" s="1"/>
  <c r="D53" i="14"/>
  <c r="D82" i="14" s="1"/>
  <c r="D54" i="14"/>
  <c r="D83" i="14" s="1"/>
  <c r="D55" i="14"/>
  <c r="D84" i="14" s="1"/>
  <c r="D56" i="14"/>
  <c r="D85" i="14" s="1"/>
  <c r="D57" i="14"/>
  <c r="D86" i="14" s="1"/>
  <c r="D58" i="14"/>
  <c r="D87" i="14" s="1"/>
  <c r="D59" i="14"/>
  <c r="D88" i="14" s="1"/>
  <c r="D60" i="14"/>
  <c r="D89" i="14" s="1"/>
  <c r="D4" i="14"/>
  <c r="N4" i="14" s="1"/>
  <c r="E18" i="15"/>
  <c r="E12" i="15"/>
  <c r="E13" i="15"/>
  <c r="E14" i="15"/>
  <c r="E15" i="15"/>
  <c r="E5" i="15"/>
  <c r="E6" i="15"/>
  <c r="E7" i="15"/>
  <c r="E8" i="15"/>
  <c r="E9" i="15"/>
  <c r="E10" i="15"/>
  <c r="E11" i="15"/>
  <c r="E17" i="15" l="1"/>
  <c r="D88" i="10"/>
  <c r="N59" i="10"/>
  <c r="D64" i="10"/>
  <c r="S36" i="10"/>
  <c r="G9" i="10"/>
  <c r="H9" i="10"/>
  <c r="D65" i="10"/>
  <c r="S37" i="10"/>
  <c r="E49" i="14"/>
  <c r="E78" i="14" s="1"/>
  <c r="D78" i="14"/>
  <c r="I17" i="15"/>
  <c r="H49" i="15"/>
  <c r="H78" i="15" s="1"/>
  <c r="E17" i="10"/>
  <c r="E17" i="14"/>
  <c r="O16" i="14"/>
  <c r="G16" i="14"/>
  <c r="P16" i="14" s="1"/>
  <c r="F16" i="10"/>
  <c r="N16" i="10"/>
  <c r="O4" i="14"/>
  <c r="G4" i="14"/>
  <c r="H12" i="14"/>
  <c r="P12" i="14"/>
  <c r="H11" i="14"/>
  <c r="P11" i="14"/>
  <c r="H10" i="14"/>
  <c r="P10" i="14"/>
  <c r="E9" i="14"/>
  <c r="N9" i="14" s="1"/>
  <c r="H9" i="14"/>
  <c r="P9" i="14"/>
  <c r="E13" i="10"/>
  <c r="E37" i="14"/>
  <c r="E40" i="10"/>
  <c r="E39" i="10"/>
  <c r="E41" i="10"/>
  <c r="E10" i="10"/>
  <c r="F20" i="10"/>
  <c r="G20" i="10" s="1"/>
  <c r="H20" i="10" s="1"/>
  <c r="N6" i="10"/>
  <c r="F6" i="10"/>
  <c r="E52" i="10"/>
  <c r="N38" i="10"/>
  <c r="O38" i="10"/>
  <c r="F13" i="10"/>
  <c r="G13" i="10" s="1"/>
  <c r="H13" i="10" s="1"/>
  <c r="N13" i="10"/>
  <c r="N42" i="10"/>
  <c r="O42" i="10"/>
  <c r="N7" i="10"/>
  <c r="O7" i="10"/>
  <c r="N51" i="10"/>
  <c r="O51" i="10"/>
  <c r="E11" i="10"/>
  <c r="E60" i="10"/>
  <c r="F14" i="10"/>
  <c r="G14" i="10" s="1"/>
  <c r="H14" i="10" s="1"/>
  <c r="N14" i="10"/>
  <c r="E53" i="10"/>
  <c r="E50" i="10"/>
  <c r="E37" i="10"/>
  <c r="N36" i="10"/>
  <c r="O36" i="10"/>
  <c r="O59" i="10"/>
  <c r="F15" i="10"/>
  <c r="G15" i="10" s="1"/>
  <c r="H15" i="10" s="1"/>
  <c r="N15" i="10"/>
  <c r="E9" i="10"/>
  <c r="E12" i="10"/>
  <c r="N35" i="10"/>
  <c r="O35" i="10"/>
  <c r="E34" i="10"/>
  <c r="F18" i="10"/>
  <c r="G18" i="10" s="1"/>
  <c r="H18" i="10" s="1"/>
  <c r="N18" i="10"/>
  <c r="E54" i="10"/>
  <c r="F8" i="10"/>
  <c r="G8" i="10" s="1"/>
  <c r="H8" i="10" s="1"/>
  <c r="N8" i="10"/>
  <c r="E49" i="10"/>
  <c r="E78" i="10" s="1"/>
  <c r="O49" i="10"/>
  <c r="E48" i="10"/>
  <c r="E47" i="10"/>
  <c r="E58" i="10"/>
  <c r="O46" i="10"/>
  <c r="N46" i="10"/>
  <c r="E57" i="10"/>
  <c r="N45" i="10"/>
  <c r="O45" i="10"/>
  <c r="E33" i="10"/>
  <c r="E56" i="10"/>
  <c r="E44" i="10"/>
  <c r="E32" i="10"/>
  <c r="E55" i="10"/>
  <c r="E43" i="10"/>
  <c r="N5" i="10"/>
  <c r="F5" i="10"/>
  <c r="F19" i="10"/>
  <c r="G19" i="10" s="1"/>
  <c r="H19" i="10" s="1"/>
  <c r="N19" i="10"/>
  <c r="E33" i="14"/>
  <c r="E56" i="14"/>
  <c r="E32" i="14"/>
  <c r="E50" i="14"/>
  <c r="E57" i="14"/>
  <c r="E10" i="14"/>
  <c r="N10" i="14" s="1"/>
  <c r="O51" i="14"/>
  <c r="E55" i="14"/>
  <c r="E43" i="14"/>
  <c r="F20" i="14"/>
  <c r="N20" i="14"/>
  <c r="N6" i="14"/>
  <c r="F6" i="14"/>
  <c r="E48" i="14"/>
  <c r="E11" i="14"/>
  <c r="N11" i="14" s="1"/>
  <c r="N8" i="14"/>
  <c r="N7" i="14"/>
  <c r="O7" i="14"/>
  <c r="E54" i="14"/>
  <c r="N42" i="14"/>
  <c r="F19" i="14"/>
  <c r="N19" i="14"/>
  <c r="E47" i="14"/>
  <c r="N46" i="14"/>
  <c r="O46" i="14"/>
  <c r="N45" i="14"/>
  <c r="O45" i="14"/>
  <c r="E53" i="14"/>
  <c r="E41" i="14"/>
  <c r="F18" i="14"/>
  <c r="N18" i="14"/>
  <c r="F5" i="14"/>
  <c r="N5" i="14"/>
  <c r="E44" i="14"/>
  <c r="N35" i="14"/>
  <c r="O15" i="14"/>
  <c r="N15" i="14"/>
  <c r="E39" i="14"/>
  <c r="N36" i="14"/>
  <c r="O36" i="14"/>
  <c r="N59" i="14"/>
  <c r="O59" i="14"/>
  <c r="E52" i="14"/>
  <c r="N51" i="14"/>
  <c r="O38" i="14"/>
  <c r="N38" i="14"/>
  <c r="O13" i="14"/>
  <c r="N13" i="14"/>
  <c r="E60" i="14"/>
  <c r="O35" i="14"/>
  <c r="E40" i="14"/>
  <c r="O14" i="14"/>
  <c r="N14" i="14"/>
  <c r="O49" i="14"/>
  <c r="E12" i="14"/>
  <c r="N12" i="14" s="1"/>
  <c r="E58" i="14"/>
  <c r="E34" i="14"/>
  <c r="E79" i="10" l="1"/>
  <c r="F50" i="10"/>
  <c r="P13" i="10"/>
  <c r="G5" i="10"/>
  <c r="H5" i="10"/>
  <c r="E84" i="10"/>
  <c r="F55" i="10"/>
  <c r="G6" i="10"/>
  <c r="P6" i="10" s="1"/>
  <c r="H6" i="10"/>
  <c r="G11" i="10"/>
  <c r="P11" i="10" s="1"/>
  <c r="H11" i="10"/>
  <c r="E63" i="10"/>
  <c r="F34" i="10"/>
  <c r="E76" i="10"/>
  <c r="F47" i="10"/>
  <c r="E86" i="10"/>
  <c r="F57" i="10"/>
  <c r="E72" i="10"/>
  <c r="F43" i="10"/>
  <c r="E61" i="10"/>
  <c r="N61" i="10" s="1"/>
  <c r="F32" i="10"/>
  <c r="E87" i="10"/>
  <c r="F58" i="10"/>
  <c r="E89" i="10"/>
  <c r="F60" i="10"/>
  <c r="E77" i="10"/>
  <c r="F48" i="10"/>
  <c r="E62" i="10"/>
  <c r="N33" i="10"/>
  <c r="F33" i="10"/>
  <c r="E70" i="10"/>
  <c r="F41" i="10"/>
  <c r="E82" i="10"/>
  <c r="F53" i="10"/>
  <c r="E81" i="10"/>
  <c r="F52" i="10"/>
  <c r="E73" i="10"/>
  <c r="F44" i="10"/>
  <c r="E85" i="10"/>
  <c r="F56" i="10"/>
  <c r="E83" i="10"/>
  <c r="F54" i="10"/>
  <c r="E68" i="10"/>
  <c r="F39" i="10"/>
  <c r="G12" i="10"/>
  <c r="P12" i="10" s="1"/>
  <c r="H12" i="10"/>
  <c r="E66" i="10"/>
  <c r="F37" i="10"/>
  <c r="E69" i="10"/>
  <c r="F40" i="10"/>
  <c r="O4" i="10"/>
  <c r="G4" i="10"/>
  <c r="H4" i="10" s="1"/>
  <c r="E62" i="14"/>
  <c r="F33" i="14"/>
  <c r="F62" i="14" s="1"/>
  <c r="F47" i="14"/>
  <c r="F76" i="14" s="1"/>
  <c r="E76" i="14"/>
  <c r="E87" i="14"/>
  <c r="F58" i="14"/>
  <c r="F87" i="14" s="1"/>
  <c r="F52" i="14"/>
  <c r="F81" i="14" s="1"/>
  <c r="E81" i="14"/>
  <c r="E72" i="14"/>
  <c r="F43" i="14"/>
  <c r="F72" i="14" s="1"/>
  <c r="E83" i="14"/>
  <c r="F54" i="14"/>
  <c r="F83" i="14" s="1"/>
  <c r="F55" i="14"/>
  <c r="F84" i="14" s="1"/>
  <c r="E84" i="14"/>
  <c r="N49" i="14"/>
  <c r="E63" i="14"/>
  <c r="F34" i="14"/>
  <c r="F63" i="14" s="1"/>
  <c r="F44" i="14"/>
  <c r="F73" i="14" s="1"/>
  <c r="E73" i="14"/>
  <c r="E70" i="14"/>
  <c r="F41" i="14"/>
  <c r="F70" i="14" s="1"/>
  <c r="N37" i="14"/>
  <c r="F37" i="14"/>
  <c r="F66" i="14" s="1"/>
  <c r="E66" i="14"/>
  <c r="E82" i="14"/>
  <c r="F53" i="14"/>
  <c r="F82" i="14" s="1"/>
  <c r="F40" i="14"/>
  <c r="F69" i="14" s="1"/>
  <c r="E69" i="14"/>
  <c r="E86" i="14"/>
  <c r="F57" i="14"/>
  <c r="F86" i="14" s="1"/>
  <c r="F39" i="14"/>
  <c r="F68" i="14" s="1"/>
  <c r="E68" i="14"/>
  <c r="F50" i="14"/>
  <c r="F79" i="14" s="1"/>
  <c r="E79" i="14"/>
  <c r="F60" i="14"/>
  <c r="F89" i="14" s="1"/>
  <c r="E89" i="14"/>
  <c r="F32" i="14"/>
  <c r="E61" i="14"/>
  <c r="F48" i="14"/>
  <c r="F77" i="14" s="1"/>
  <c r="E77" i="14"/>
  <c r="E85" i="14"/>
  <c r="F56" i="14"/>
  <c r="F85" i="14" s="1"/>
  <c r="H10" i="10"/>
  <c r="P10" i="10"/>
  <c r="H33" i="15"/>
  <c r="H62" i="15" s="1"/>
  <c r="H41" i="15"/>
  <c r="H70" i="15" s="1"/>
  <c r="H35" i="15"/>
  <c r="H64" i="15" s="1"/>
  <c r="H55" i="15"/>
  <c r="H84" i="15" s="1"/>
  <c r="H40" i="15"/>
  <c r="H69" i="15" s="1"/>
  <c r="H50" i="15"/>
  <c r="H79" i="15" s="1"/>
  <c r="H31" i="15"/>
  <c r="H60" i="15" s="1"/>
  <c r="H32" i="15"/>
  <c r="H61" i="15" s="1"/>
  <c r="H38" i="15"/>
  <c r="H67" i="15" s="1"/>
  <c r="H37" i="15"/>
  <c r="H66" i="15" s="1"/>
  <c r="H56" i="15"/>
  <c r="H85" i="15" s="1"/>
  <c r="H34" i="15"/>
  <c r="H63" i="15" s="1"/>
  <c r="H36" i="15"/>
  <c r="H65" i="15" s="1"/>
  <c r="H51" i="15"/>
  <c r="H80" i="15" s="1"/>
  <c r="H59" i="15"/>
  <c r="H88" i="15" s="1"/>
  <c r="M44" i="15"/>
  <c r="M73" i="15" s="1"/>
  <c r="H43" i="15"/>
  <c r="H72" i="15" s="1"/>
  <c r="H44" i="15"/>
  <c r="H73" i="15" s="1"/>
  <c r="H58" i="15"/>
  <c r="H87" i="15" s="1"/>
  <c r="H46" i="15"/>
  <c r="H75" i="15" s="1"/>
  <c r="H57" i="15"/>
  <c r="H86" i="15" s="1"/>
  <c r="H48" i="15"/>
  <c r="H77" i="15" s="1"/>
  <c r="H52" i="15"/>
  <c r="H81" i="15" s="1"/>
  <c r="H54" i="15"/>
  <c r="H83" i="15" s="1"/>
  <c r="P17" i="15"/>
  <c r="T17" i="15" s="1"/>
  <c r="H42" i="15"/>
  <c r="H71" i="15" s="1"/>
  <c r="U16" i="15"/>
  <c r="H39" i="15"/>
  <c r="H68" i="15" s="1"/>
  <c r="H45" i="15"/>
  <c r="H74" i="15" s="1"/>
  <c r="H47" i="15"/>
  <c r="H76" i="15" s="1"/>
  <c r="H53" i="15"/>
  <c r="H82" i="15" s="1"/>
  <c r="H17" i="15"/>
  <c r="G16" i="10"/>
  <c r="P16" i="10" s="1"/>
  <c r="O16" i="10"/>
  <c r="N17" i="14"/>
  <c r="F17" i="14"/>
  <c r="F17" i="10"/>
  <c r="N17" i="10"/>
  <c r="O12" i="14"/>
  <c r="N57" i="14"/>
  <c r="O11" i="14"/>
  <c r="O18" i="14"/>
  <c r="G18" i="14"/>
  <c r="O8" i="14"/>
  <c r="G8" i="14"/>
  <c r="O5" i="14"/>
  <c r="H5" i="14"/>
  <c r="G5" i="14"/>
  <c r="P5" i="14" s="1"/>
  <c r="O20" i="14"/>
  <c r="G20" i="14"/>
  <c r="O9" i="14"/>
  <c r="O19" i="14"/>
  <c r="G19" i="14"/>
  <c r="O10" i="14"/>
  <c r="O6" i="14"/>
  <c r="H6" i="14"/>
  <c r="G6" i="14"/>
  <c r="P6" i="14" s="1"/>
  <c r="H4" i="14"/>
  <c r="P4" i="14"/>
  <c r="O19" i="10"/>
  <c r="O18" i="10"/>
  <c r="P18" i="10"/>
  <c r="N11" i="10"/>
  <c r="O8" i="10"/>
  <c r="O9" i="10"/>
  <c r="O5" i="10"/>
  <c r="P5" i="10"/>
  <c r="O20" i="10"/>
  <c r="N9" i="10"/>
  <c r="O14" i="10"/>
  <c r="N10" i="10"/>
  <c r="O11" i="10"/>
  <c r="O6" i="10"/>
  <c r="N12" i="10"/>
  <c r="O10" i="10"/>
  <c r="O15" i="10"/>
  <c r="O12" i="10"/>
  <c r="O13" i="10"/>
  <c r="N56" i="14"/>
  <c r="N32" i="14"/>
  <c r="O32" i="14"/>
  <c r="N33" i="14"/>
  <c r="N50" i="14"/>
  <c r="N34" i="10"/>
  <c r="N43" i="10"/>
  <c r="N48" i="10"/>
  <c r="N53" i="10"/>
  <c r="N57" i="10"/>
  <c r="N60" i="10"/>
  <c r="N39" i="10"/>
  <c r="N55" i="10"/>
  <c r="N54" i="10"/>
  <c r="N56" i="10"/>
  <c r="N37" i="10"/>
  <c r="N49" i="10"/>
  <c r="N44" i="10"/>
  <c r="N41" i="10"/>
  <c r="N58" i="10"/>
  <c r="N47" i="10"/>
  <c r="N50" i="10"/>
  <c r="N52" i="10"/>
  <c r="N40" i="10"/>
  <c r="N39" i="14"/>
  <c r="N43" i="14"/>
  <c r="N58" i="14"/>
  <c r="N47" i="14"/>
  <c r="N55" i="14"/>
  <c r="N34" i="14"/>
  <c r="N53" i="14"/>
  <c r="O37" i="14"/>
  <c r="O50" i="14"/>
  <c r="N41" i="14"/>
  <c r="N44" i="14"/>
  <c r="N52" i="14"/>
  <c r="N60" i="14"/>
  <c r="O42" i="14"/>
  <c r="O56" i="14"/>
  <c r="N54" i="14"/>
  <c r="N40" i="14"/>
  <c r="N48" i="14"/>
  <c r="N17" i="15"/>
  <c r="S17" i="15" s="1"/>
  <c r="J17" i="15"/>
  <c r="J16" i="15"/>
  <c r="M16" i="15" s="1"/>
  <c r="G19" i="15"/>
  <c r="H19" i="15" s="1"/>
  <c r="G18" i="15"/>
  <c r="P18" i="15" s="1"/>
  <c r="T18" i="15" s="1"/>
  <c r="G5" i="15"/>
  <c r="G6" i="15"/>
  <c r="G7" i="15"/>
  <c r="G8" i="15"/>
  <c r="G9" i="15"/>
  <c r="G10" i="15"/>
  <c r="G11" i="15"/>
  <c r="G12" i="15"/>
  <c r="K12" i="15" s="1"/>
  <c r="G13" i="15"/>
  <c r="P13" i="15" s="1"/>
  <c r="T13" i="15" s="1"/>
  <c r="G14" i="15"/>
  <c r="G15" i="15"/>
  <c r="P15" i="15" s="1"/>
  <c r="T15" i="15" s="1"/>
  <c r="H4" i="15"/>
  <c r="M4" i="15" l="1"/>
  <c r="O57" i="14"/>
  <c r="F82" i="10"/>
  <c r="G53" i="10"/>
  <c r="G82" i="10" s="1"/>
  <c r="F63" i="10"/>
  <c r="G34" i="10"/>
  <c r="F61" i="10"/>
  <c r="O61" i="10" s="1"/>
  <c r="G32" i="10"/>
  <c r="J42" i="10"/>
  <c r="F89" i="10"/>
  <c r="G60" i="10"/>
  <c r="G89" i="10" s="1"/>
  <c r="F81" i="10"/>
  <c r="G52" i="10"/>
  <c r="G81" i="10" s="1"/>
  <c r="F72" i="10"/>
  <c r="G43" i="10"/>
  <c r="G72" i="10" s="1"/>
  <c r="F84" i="10"/>
  <c r="G55" i="10"/>
  <c r="G84" i="10" s="1"/>
  <c r="F87" i="10"/>
  <c r="G58" i="10"/>
  <c r="G87" i="10" s="1"/>
  <c r="F83" i="10"/>
  <c r="G54" i="10"/>
  <c r="G83" i="10" s="1"/>
  <c r="F62" i="10"/>
  <c r="G33" i="10"/>
  <c r="F66" i="10"/>
  <c r="G37" i="10"/>
  <c r="G66" i="10" s="1"/>
  <c r="F68" i="10"/>
  <c r="G39" i="10"/>
  <c r="G68" i="10" s="1"/>
  <c r="F86" i="10"/>
  <c r="G57" i="10"/>
  <c r="G86" i="10" s="1"/>
  <c r="F85" i="10"/>
  <c r="G56" i="10"/>
  <c r="G85" i="10" s="1"/>
  <c r="F77" i="10"/>
  <c r="G48" i="10"/>
  <c r="G77" i="10" s="1"/>
  <c r="F76" i="10"/>
  <c r="G47" i="10"/>
  <c r="G76" i="10" s="1"/>
  <c r="F70" i="10"/>
  <c r="G41" i="10"/>
  <c r="G70" i="10" s="1"/>
  <c r="F69" i="10"/>
  <c r="G40" i="10"/>
  <c r="G69" i="10" s="1"/>
  <c r="F73" i="10"/>
  <c r="G44" i="10"/>
  <c r="G73" i="10" s="1"/>
  <c r="F79" i="10"/>
  <c r="G50" i="10"/>
  <c r="G79" i="10" s="1"/>
  <c r="R16" i="15"/>
  <c r="R25" i="15"/>
  <c r="R22" i="15"/>
  <c r="R21" i="15"/>
  <c r="R23" i="15"/>
  <c r="R29" i="15"/>
  <c r="M23" i="15"/>
  <c r="U17" i="15"/>
  <c r="M22" i="15"/>
  <c r="F61" i="14"/>
  <c r="I41" i="14"/>
  <c r="O33" i="14"/>
  <c r="R28" i="15"/>
  <c r="M28" i="15"/>
  <c r="M29" i="15"/>
  <c r="R27" i="15"/>
  <c r="M25" i="15"/>
  <c r="R26" i="15"/>
  <c r="M24" i="15"/>
  <c r="M21" i="15"/>
  <c r="M27" i="15"/>
  <c r="R24" i="15"/>
  <c r="M26" i="15"/>
  <c r="R37" i="15"/>
  <c r="R66" i="15" s="1"/>
  <c r="R49" i="15"/>
  <c r="R78" i="15" s="1"/>
  <c r="R44" i="15"/>
  <c r="R73" i="15" s="1"/>
  <c r="R32" i="15"/>
  <c r="R42" i="15"/>
  <c r="R71" i="15" s="1"/>
  <c r="R54" i="15"/>
  <c r="R83" i="15" s="1"/>
  <c r="M54" i="15"/>
  <c r="M83" i="15" s="1"/>
  <c r="M49" i="15"/>
  <c r="M78" i="15" s="1"/>
  <c r="M48" i="15"/>
  <c r="M77" i="15" s="1"/>
  <c r="M39" i="15"/>
  <c r="M68" i="15" s="1"/>
  <c r="R38" i="15"/>
  <c r="R67" i="15" s="1"/>
  <c r="M47" i="15"/>
  <c r="M76" i="15" s="1"/>
  <c r="M53" i="15"/>
  <c r="M82" i="15" s="1"/>
  <c r="K17" i="15"/>
  <c r="M37" i="15"/>
  <c r="M66" i="15" s="1"/>
  <c r="R31" i="15"/>
  <c r="M40" i="15"/>
  <c r="M69" i="15" s="1"/>
  <c r="M58" i="15"/>
  <c r="M87" i="15" s="1"/>
  <c r="M46" i="15"/>
  <c r="M75" i="15" s="1"/>
  <c r="R53" i="15"/>
  <c r="R82" i="15" s="1"/>
  <c r="M35" i="15"/>
  <c r="M64" i="15" s="1"/>
  <c r="R46" i="15"/>
  <c r="R75" i="15" s="1"/>
  <c r="R41" i="15"/>
  <c r="R70" i="15" s="1"/>
  <c r="R34" i="15"/>
  <c r="R63" i="15" s="1"/>
  <c r="R51" i="15"/>
  <c r="R80" i="15" s="1"/>
  <c r="M34" i="15"/>
  <c r="M63" i="15" s="1"/>
  <c r="R57" i="15"/>
  <c r="R86" i="15" s="1"/>
  <c r="R45" i="15"/>
  <c r="R74" i="15" s="1"/>
  <c r="R48" i="15"/>
  <c r="R77" i="15" s="1"/>
  <c r="R47" i="15"/>
  <c r="R76" i="15" s="1"/>
  <c r="R36" i="15"/>
  <c r="R65" i="15" s="1"/>
  <c r="M38" i="15"/>
  <c r="M67" i="15" s="1"/>
  <c r="M31" i="15"/>
  <c r="M60" i="15" s="1"/>
  <c r="R58" i="15"/>
  <c r="R87" i="15" s="1"/>
  <c r="R56" i="15"/>
  <c r="R85" i="15" s="1"/>
  <c r="M52" i="15"/>
  <c r="M81" i="15" s="1"/>
  <c r="M32" i="15"/>
  <c r="M61" i="15" s="1"/>
  <c r="M41" i="15"/>
  <c r="M70" i="15" s="1"/>
  <c r="M55" i="15"/>
  <c r="M84" i="15" s="1"/>
  <c r="M57" i="15"/>
  <c r="M86" i="15" s="1"/>
  <c r="R39" i="15"/>
  <c r="R68" i="15" s="1"/>
  <c r="R33" i="15"/>
  <c r="R62" i="15" s="1"/>
  <c r="R52" i="15"/>
  <c r="R81" i="15" s="1"/>
  <c r="M43" i="15"/>
  <c r="M72" i="15" s="1"/>
  <c r="M45" i="15"/>
  <c r="M74" i="15" s="1"/>
  <c r="R19" i="15"/>
  <c r="R50" i="15"/>
  <c r="R79" i="15" s="1"/>
  <c r="R40" i="15"/>
  <c r="R69" i="15" s="1"/>
  <c r="M42" i="15"/>
  <c r="M71" i="15" s="1"/>
  <c r="M33" i="15"/>
  <c r="M62" i="15" s="1"/>
  <c r="R59" i="15"/>
  <c r="R88" i="15" s="1"/>
  <c r="R55" i="15"/>
  <c r="R84" i="15" s="1"/>
  <c r="M51" i="15"/>
  <c r="M80" i="15" s="1"/>
  <c r="M36" i="15"/>
  <c r="M65" i="15" s="1"/>
  <c r="M56" i="15"/>
  <c r="M85" i="15" s="1"/>
  <c r="R35" i="15"/>
  <c r="R64" i="15" s="1"/>
  <c r="R43" i="15"/>
  <c r="R72" i="15" s="1"/>
  <c r="M50" i="15"/>
  <c r="M79" i="15" s="1"/>
  <c r="M59" i="15"/>
  <c r="M88" i="15" s="1"/>
  <c r="G17" i="10"/>
  <c r="P17" i="10" s="1"/>
  <c r="O17" i="10"/>
  <c r="G17" i="14"/>
  <c r="P17" i="14" s="1"/>
  <c r="O17" i="14"/>
  <c r="R61" i="15"/>
  <c r="M17" i="15"/>
  <c r="H8" i="14"/>
  <c r="P8" i="14"/>
  <c r="H20" i="14"/>
  <c r="P20" i="14"/>
  <c r="H19" i="14"/>
  <c r="P19" i="14"/>
  <c r="H18" i="14"/>
  <c r="P18" i="14"/>
  <c r="P9" i="10"/>
  <c r="P14" i="10"/>
  <c r="P4" i="10"/>
  <c r="P15" i="10"/>
  <c r="P8" i="10"/>
  <c r="P20" i="10"/>
  <c r="P19" i="10"/>
  <c r="R17" i="15"/>
  <c r="O58" i="10"/>
  <c r="O56" i="10"/>
  <c r="O53" i="10"/>
  <c r="O50" i="10"/>
  <c r="O55" i="10"/>
  <c r="O41" i="10"/>
  <c r="O33" i="10"/>
  <c r="O60" i="10"/>
  <c r="O43" i="10"/>
  <c r="O44" i="10"/>
  <c r="O34" i="10"/>
  <c r="O39" i="10"/>
  <c r="O48" i="10"/>
  <c r="O47" i="10"/>
  <c r="O40" i="10"/>
  <c r="O52" i="10"/>
  <c r="O54" i="10"/>
  <c r="O57" i="10"/>
  <c r="O37" i="10"/>
  <c r="O52" i="14"/>
  <c r="O34" i="14"/>
  <c r="O47" i="14"/>
  <c r="O39" i="14"/>
  <c r="O53" i="14"/>
  <c r="O60" i="14"/>
  <c r="O41" i="14"/>
  <c r="O43" i="14"/>
  <c r="O54" i="14"/>
  <c r="O44" i="14"/>
  <c r="O58" i="14"/>
  <c r="O48" i="14"/>
  <c r="O40" i="14"/>
  <c r="O55" i="14"/>
  <c r="K10" i="15"/>
  <c r="P10" i="15"/>
  <c r="T10" i="15" s="1"/>
  <c r="P9" i="15"/>
  <c r="T9" i="15" s="1"/>
  <c r="K9" i="15"/>
  <c r="P8" i="15"/>
  <c r="T8" i="15" s="1"/>
  <c r="K8" i="15"/>
  <c r="P6" i="15"/>
  <c r="T6" i="15" s="1"/>
  <c r="K6" i="15"/>
  <c r="P5" i="15"/>
  <c r="T5" i="15" s="1"/>
  <c r="K5" i="15"/>
  <c r="P7" i="15"/>
  <c r="T7" i="15" s="1"/>
  <c r="K7" i="15"/>
  <c r="K15" i="15"/>
  <c r="P19" i="15"/>
  <c r="T19" i="15" s="1"/>
  <c r="K11" i="15"/>
  <c r="P11" i="15"/>
  <c r="T11" i="15" s="1"/>
  <c r="K14" i="15"/>
  <c r="P14" i="15"/>
  <c r="T14" i="15" s="1"/>
  <c r="P12" i="15"/>
  <c r="T12" i="15" s="1"/>
  <c r="G62" i="10" l="1"/>
  <c r="S34" i="10"/>
  <c r="S35" i="10"/>
  <c r="G63" i="10"/>
  <c r="G61" i="10"/>
  <c r="S33" i="10"/>
  <c r="R60" i="15"/>
  <c r="F13" i="15"/>
  <c r="F14" i="15"/>
  <c r="F15" i="15"/>
  <c r="I15" i="15" s="1"/>
  <c r="F18" i="15"/>
  <c r="F12" i="15"/>
  <c r="F11" i="15"/>
  <c r="F10" i="15"/>
  <c r="F9" i="15"/>
  <c r="F8" i="15"/>
  <c r="F7" i="15"/>
  <c r="F6" i="15"/>
  <c r="F5" i="15"/>
  <c r="S8" i="15" l="1"/>
  <c r="N9" i="15"/>
  <c r="S9" i="15" s="1"/>
  <c r="J9" i="15"/>
  <c r="N10" i="15"/>
  <c r="S10" i="15" s="1"/>
  <c r="N11" i="15"/>
  <c r="S11" i="15" s="1"/>
  <c r="N12" i="15"/>
  <c r="S12" i="15" s="1"/>
  <c r="J18" i="15"/>
  <c r="N18" i="15"/>
  <c r="S18" i="15" s="1"/>
  <c r="J15" i="15"/>
  <c r="N15" i="15"/>
  <c r="S15" i="15" s="1"/>
  <c r="N14" i="15"/>
  <c r="S14" i="15" s="1"/>
  <c r="N13" i="15"/>
  <c r="S13" i="15" s="1"/>
  <c r="H5" i="15"/>
  <c r="J5" i="15"/>
  <c r="N5" i="15"/>
  <c r="S5" i="15" s="1"/>
  <c r="H6" i="15"/>
  <c r="N6" i="15"/>
  <c r="S6" i="15" s="1"/>
  <c r="I6" i="15"/>
  <c r="J6" i="15" s="1"/>
  <c r="H7" i="15"/>
  <c r="N7" i="15"/>
  <c r="S7" i="15" s="1"/>
  <c r="I7" i="15"/>
  <c r="J7" i="15" s="1"/>
  <c r="H12" i="15"/>
  <c r="H9" i="15"/>
  <c r="H10" i="15"/>
  <c r="H18" i="15"/>
  <c r="I14" i="15"/>
  <c r="J14" i="15" s="1"/>
  <c r="H14" i="15"/>
  <c r="H8" i="15"/>
  <c r="H11" i="15"/>
  <c r="H15" i="15"/>
  <c r="I13" i="15"/>
  <c r="J13" i="15" s="1"/>
  <c r="H13" i="15"/>
  <c r="I11" i="15"/>
  <c r="J11" i="15" s="1"/>
  <c r="I12" i="15"/>
  <c r="J12" i="15" s="1"/>
  <c r="I10" i="15"/>
  <c r="J10" i="15" s="1"/>
  <c r="R9" i="15" l="1"/>
  <c r="R10" i="15"/>
  <c r="R7" i="15"/>
  <c r="R12" i="15"/>
  <c r="R6" i="15"/>
  <c r="R5" i="15"/>
  <c r="R11" i="15"/>
  <c r="R14" i="15"/>
  <c r="M14" i="15"/>
  <c r="M11" i="15"/>
  <c r="M10" i="15"/>
  <c r="M12" i="15"/>
  <c r="M7" i="15"/>
  <c r="M8" i="15"/>
  <c r="M5" i="15"/>
  <c r="M9" i="15"/>
  <c r="M6" i="15"/>
  <c r="R8" i="15" l="1"/>
  <c r="R15" i="15" l="1"/>
  <c r="M15" i="15"/>
  <c r="K13" i="15" l="1"/>
  <c r="M13" i="15" s="1"/>
  <c r="R13" i="15" l="1"/>
  <c r="K18" i="15"/>
  <c r="R18" i="15" s="1"/>
  <c r="M18" i="15" l="1"/>
  <c r="R4" i="15"/>
  <c r="I19" i="15" l="1"/>
  <c r="M19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tc={6B674857-F948-41A0-9CF4-B28ECE41C23E}</author>
  </authors>
  <commentList>
    <comment ref="D19" authorId="0" shapeId="0" xr:uid="{6B674857-F948-41A0-9CF4-B28ECE41C23E}">
      <text>
        <t>[Threaded comment]
Your version of Excel allows you to read this threaded comment; however, any edits to it will get removed if the file is opened in a newer version of Excel. Learn more: https://go.microsoft.com/fwlink/?linkid=870924
Comment:
    Seemed to low: used gleam default values</t>
      </text>
    </comment>
  </commentList>
</comments>
</file>

<file path=xl/sharedStrings.xml><?xml version="1.0" encoding="utf-8"?>
<sst xmlns="http://schemas.openxmlformats.org/spreadsheetml/2006/main" count="1525" uniqueCount="244">
  <si>
    <t>REF</t>
  </si>
  <si>
    <t>BAU</t>
  </si>
  <si>
    <t>Reformed growth</t>
  </si>
  <si>
    <t>climate</t>
  </si>
  <si>
    <t>Source</t>
  </si>
  <si>
    <t>households</t>
  </si>
  <si>
    <t>Individual farms</t>
  </si>
  <si>
    <t>Average</t>
  </si>
  <si>
    <t>category</t>
  </si>
  <si>
    <t>parameter</t>
  </si>
  <si>
    <t>herd</t>
  </si>
  <si>
    <t>Age at the first parturition</t>
  </si>
  <si>
    <t>Death rate of adult animals</t>
  </si>
  <si>
    <t>Death rate of young females</t>
  </si>
  <si>
    <t>Death rate of young males</t>
  </si>
  <si>
    <t>Fertility rate (adult female)</t>
  </si>
  <si>
    <t>Live weight (Adult Females)</t>
  </si>
  <si>
    <t>Live weight (Adult Males)</t>
  </si>
  <si>
    <t>Live weight of animal at slaughter (Meat Females)</t>
  </si>
  <si>
    <t>Live weight of animal at slaughter (Meat Males)</t>
  </si>
  <si>
    <t>Milk fat content</t>
  </si>
  <si>
    <t>Milk protein content</t>
  </si>
  <si>
    <t>Milk Yield</t>
  </si>
  <si>
    <t>Number of animals (Adult Females)</t>
  </si>
  <si>
    <t>Number of animals (Adult Males)</t>
  </si>
  <si>
    <t>Replacement rate of adult females</t>
  </si>
  <si>
    <t>Weight at birth</t>
  </si>
  <si>
    <t>feed</t>
  </si>
  <si>
    <t>By-products from cottonseed</t>
  </si>
  <si>
    <t>By-products from rape (canola)</t>
  </si>
  <si>
    <t>By-products from soy</t>
  </si>
  <si>
    <t>By-products from sugar beet</t>
  </si>
  <si>
    <t>Crop residues from maize</t>
  </si>
  <si>
    <t>Crop residues from millet</t>
  </si>
  <si>
    <t>Crop residues from other grains</t>
  </si>
  <si>
    <t>Crop residues from rice</t>
  </si>
  <si>
    <t>Crop residues from sorghum</t>
  </si>
  <si>
    <t>Crop residues from sugarcane</t>
  </si>
  <si>
    <t>Crop residues from wheat</t>
  </si>
  <si>
    <t>Dry by-product from grain industries</t>
  </si>
  <si>
    <t>Fodder beet</t>
  </si>
  <si>
    <t>Fresh grass</t>
  </si>
  <si>
    <t>Fresh mixture of grass and legumes</t>
  </si>
  <si>
    <t>Grains</t>
  </si>
  <si>
    <t>Hay from adjacent areas</t>
  </si>
  <si>
    <t>Hay or silage from alfalfa</t>
  </si>
  <si>
    <t>Hay or silage from cultivated grass</t>
  </si>
  <si>
    <t>Hay or silage from grass and legumes</t>
  </si>
  <si>
    <t>Leaves from natural vegetation</t>
  </si>
  <si>
    <t>Maize</t>
  </si>
  <si>
    <t>Maize gluten feed</t>
  </si>
  <si>
    <t>Maize gluten meal</t>
  </si>
  <si>
    <t>Molasses</t>
  </si>
  <si>
    <t>Oil palm kernel expeller</t>
  </si>
  <si>
    <t>Silage from whole grain plants.</t>
  </si>
  <si>
    <t>Silage from whole maize plant</t>
  </si>
  <si>
    <t>Wet by-product from grain industries</t>
  </si>
  <si>
    <t>reformed growth</t>
  </si>
  <si>
    <t>climate resilience</t>
  </si>
  <si>
    <t>Death rate of young animals</t>
  </si>
  <si>
    <t>Litter size</t>
  </si>
  <si>
    <t>Parturition interval</t>
  </si>
  <si>
    <t>y = 303884.273x + -606046150.273</t>
  </si>
  <si>
    <t>Country</t>
  </si>
  <si>
    <t>Year</t>
  </si>
  <si>
    <t>EDGAR</t>
  </si>
  <si>
    <t>FAOSTAT</t>
  </si>
  <si>
    <t>NIR</t>
  </si>
  <si>
    <t>Estimated</t>
  </si>
  <si>
    <t>Kyrgyzstan</t>
  </si>
  <si>
    <t>Domain Code</t>
  </si>
  <si>
    <t>Domain</t>
  </si>
  <si>
    <t>Area Code (M49)</t>
  </si>
  <si>
    <t>Area</t>
  </si>
  <si>
    <t>Element Code</t>
  </si>
  <si>
    <t>Element</t>
  </si>
  <si>
    <t>Item Code (CPC)</t>
  </si>
  <si>
    <t>Item</t>
  </si>
  <si>
    <t>Year Code</t>
  </si>
  <si>
    <t>Unit</t>
  </si>
  <si>
    <t>Value</t>
  </si>
  <si>
    <t>Flag</t>
  </si>
  <si>
    <t>Flag Description</t>
  </si>
  <si>
    <t>Note</t>
  </si>
  <si>
    <t>QCL</t>
  </si>
  <si>
    <t>Crops and livestock products</t>
  </si>
  <si>
    <t>417</t>
  </si>
  <si>
    <t>5111</t>
  </si>
  <si>
    <t>Stocks</t>
  </si>
  <si>
    <t>02111</t>
  </si>
  <si>
    <t>Cattle</t>
  </si>
  <si>
    <t>2010</t>
  </si>
  <si>
    <t>An</t>
  </si>
  <si>
    <t>A</t>
  </si>
  <si>
    <t>Official figure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</si>
  <si>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</si>
  <si>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</si>
  <si>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</si>
  <si>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</si>
  <si>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</si>
  <si>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</si>
  <si>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</si>
  <si>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</si>
  <si>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</si>
  <si>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</si>
  <si>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</si>
  <si>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</si>
  <si>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</si>
  <si>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</si>
  <si>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</si>
  <si>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</si>
  <si>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</si>
  <si>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</si>
  <si>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</si>
  <si>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</si>
  <si>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</si>
  <si>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</si>
  <si>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</si>
  <si>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</si>
  <si>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</si>
  <si>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02123</t>
  </si>
  <si>
    <t>Goats</t>
  </si>
  <si>
    <t>02122</t>
  </si>
  <si>
    <t>Sheep</t>
  </si>
  <si>
    <t>sheep</t>
  </si>
  <si>
    <t>goat</t>
  </si>
  <si>
    <t>cattle</t>
  </si>
  <si>
    <t>slope</t>
  </si>
  <si>
    <t>intercept</t>
  </si>
  <si>
    <t>y = 42,849.15x + 1,323,221.71</t>
  </si>
  <si>
    <t>y = -24,722.58x + 980,864.22</t>
  </si>
  <si>
    <t>Number of cows</t>
  </si>
  <si>
    <t>Number of SM</t>
  </si>
  <si>
    <t>Goat</t>
  </si>
  <si>
    <t>Production Milk</t>
  </si>
  <si>
    <t>State farms</t>
  </si>
  <si>
    <t>Collective farms</t>
  </si>
  <si>
    <t>Peasant farms</t>
  </si>
  <si>
    <t>Private farms</t>
  </si>
  <si>
    <t>Household</t>
  </si>
  <si>
    <t>individual farms</t>
  </si>
  <si>
    <t>TRAIL and error goat</t>
  </si>
  <si>
    <t>TRAIL and error sheep</t>
  </si>
  <si>
    <t>y = 53,014.91x + 5,255,041.13</t>
  </si>
  <si>
    <t>Grow factor per year</t>
  </si>
  <si>
    <t>Total growh 2022 till 2050 (%)</t>
  </si>
  <si>
    <t>gleam adult female</t>
  </si>
  <si>
    <t>gleam total herd</t>
  </si>
  <si>
    <t>Mitigation</t>
  </si>
  <si>
    <t>manure</t>
  </si>
  <si>
    <t>Anaerobic digester (biogas)</t>
  </si>
  <si>
    <t>Burned for fuel</t>
  </si>
  <si>
    <t>Composting</t>
  </si>
  <si>
    <t>Daily spread</t>
  </si>
  <si>
    <t>Dry lot (manure collected to special beton pits)</t>
  </si>
  <si>
    <t>Liquid/Slurry</t>
  </si>
  <si>
    <t>Pasture/Range/Paddock</t>
  </si>
  <si>
    <t>Solid storage (manure kept on piles)</t>
  </si>
  <si>
    <t>Uncovered anaerobic lagoon</t>
  </si>
  <si>
    <t>Data</t>
  </si>
  <si>
    <t>zero.. Value</t>
  </si>
  <si>
    <t>gleam total</t>
  </si>
  <si>
    <t>Agricultureal emsisons</t>
  </si>
  <si>
    <t>Domestic emsisons</t>
  </si>
  <si>
    <t>methane emsisions</t>
  </si>
  <si>
    <t>Default direct emissions gleam</t>
  </si>
  <si>
    <t>cow</t>
  </si>
  <si>
    <t>Total</t>
  </si>
  <si>
    <t>Emissions totals</t>
  </si>
  <si>
    <t>Emissions (CO2eq) from CH4 (AR5)</t>
  </si>
  <si>
    <t>Enteric Fermentation</t>
  </si>
  <si>
    <t>FAO TIER 1</t>
  </si>
  <si>
    <t>kt</t>
  </si>
  <si>
    <t>E</t>
  </si>
  <si>
    <t>Estimated value</t>
  </si>
  <si>
    <t>GT</t>
  </si>
  <si>
    <t>Manure Management</t>
  </si>
  <si>
    <t>Emissions (CO2eq) from N2O (AR5)</t>
  </si>
  <si>
    <t>Manure left on Pasture</t>
  </si>
  <si>
    <t>FAO stat direct emissions</t>
  </si>
  <si>
    <t>FAOstat direct emisisons 2022</t>
  </si>
  <si>
    <t>https://www.fao.org/faostat/en/#data/GT</t>
  </si>
  <si>
    <t>https://www.climatewatchdata.org/countries/KGZ</t>
  </si>
  <si>
    <t>Scenario</t>
  </si>
  <si>
    <t>Total_direct</t>
  </si>
  <si>
    <t>Protein_total</t>
  </si>
  <si>
    <t>Meat_protein</t>
  </si>
  <si>
    <t>Milk_protein</t>
  </si>
  <si>
    <t>Population</t>
  </si>
  <si>
    <t>EI</t>
  </si>
  <si>
    <t>Protein_cap</t>
  </si>
  <si>
    <t>Broiler</t>
  </si>
  <si>
    <t>KYR</t>
  </si>
  <si>
    <t>Current</t>
  </si>
  <si>
    <t>Herd</t>
  </si>
  <si>
    <t>Mitigation_eff</t>
  </si>
  <si>
    <t>Reformed</t>
  </si>
  <si>
    <t>Resilience</t>
  </si>
  <si>
    <t>GHG (mil tCO2)</t>
  </si>
  <si>
    <t>Protein (ton)</t>
  </si>
  <si>
    <t>Protein (g/cap/d)</t>
  </si>
  <si>
    <t>% difference compared to BAU</t>
  </si>
  <si>
    <t>Resilient growth</t>
  </si>
  <si>
    <t xml:space="preserve">Mitigation </t>
  </si>
  <si>
    <t>Reference year</t>
  </si>
  <si>
    <t>Current growth</t>
  </si>
  <si>
    <t>Goat (FAO but same)</t>
  </si>
  <si>
    <t>Reference</t>
  </si>
  <si>
    <t>BAU 2050</t>
  </si>
  <si>
    <t>months</t>
  </si>
  <si>
    <t>%</t>
  </si>
  <si>
    <t>kg</t>
  </si>
  <si>
    <t>kg/cow/year</t>
  </si>
  <si>
    <t>bull to cow ratio</t>
  </si>
  <si>
    <t>ratio</t>
  </si>
  <si>
    <t>ratio (%)</t>
  </si>
  <si>
    <t xml:space="preserve">Cattle </t>
  </si>
  <si>
    <t>Climate resilience</t>
  </si>
  <si>
    <t>mitigation: eff</t>
  </si>
  <si>
    <t>Small ruminants</t>
  </si>
  <si>
    <t xml:space="preserve">household </t>
  </si>
  <si>
    <t>household</t>
  </si>
  <si>
    <t>individual</t>
  </si>
  <si>
    <t/>
  </si>
  <si>
    <t>Adult female population</t>
  </si>
  <si>
    <t>40 percent</t>
  </si>
  <si>
    <t>60 percent</t>
  </si>
  <si>
    <t>mitigation</t>
  </si>
  <si>
    <t>Methane additives</t>
  </si>
  <si>
    <t>Percentage difference (new-old/old)</t>
  </si>
  <si>
    <t>Percentage difference (new-old)</t>
  </si>
  <si>
    <t>20% of farmers reduce 30% of enteric methane</t>
  </si>
  <si>
    <t>Herd reduction equal to protein in BAU</t>
  </si>
  <si>
    <t>Numbers of cattle (heads at the end of the year) (FAOSTAT)</t>
  </si>
  <si>
    <t>ruminants</t>
  </si>
  <si>
    <t>total</t>
  </si>
  <si>
    <t>total ag</t>
  </si>
  <si>
    <t>Her</t>
  </si>
  <si>
    <t>GLE</t>
  </si>
  <si>
    <t>Emissions from Livestock</t>
  </si>
  <si>
    <t>Livestock total (Emissions N2O)</t>
  </si>
  <si>
    <t>F1755</t>
  </si>
  <si>
    <t>All Animals</t>
  </si>
  <si>
    <t>Livestock total (Emissions CH4)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</si>
</sst>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"/>
    <numFmt numFmtId="165" formatCode="#,##0.0"/>
    <numFmt numFmtId="166" formatCode="########0.0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indexed="0"/>
      <name val="Arial"/>
      <family val="2"/>
    </font>
    <font>
      <sz val="6"/>
      <color theme="1"/>
      <name val="Segoe UI"/>
      <family val="2"/>
    </font>
    <font>
      <sz val="12"/>
      <color indexed="0"/>
      <name val="Arial"/>
      <family val="2"/>
    </font>
    <font>
      <sz val="11"/>
      <color rgb="FF000000"/>
      <name val="Calibri"/>
      <family val="2"/>
    </font>
    <font>
      <sz val="7"/>
      <color rgb="FF333333"/>
      <name val="Open Sans"/>
      <family val="2"/>
    </font>
    <font>
      <sz val="10"/>
      <name val="Arial Cyr"/>
      <charset val="204"/>
    </font>
    <font>
      <sz val="10"/>
      <name val="NTHarmonica"/>
      <charset val="204"/>
    </font>
    <font>
      <b/>
      <sz val="9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9"/>
      <name val="Times New Roman Cyr"/>
      <family val="1"/>
      <charset val="204"/>
    </font>
    <font>
      <b/>
      <sz val="9"/>
      <name val="Times New Roman Cyr"/>
      <charset val="204"/>
    </font>
    <font>
      <sz val="11"/>
      <color rgb="FF000000"/>
      <name val="Times New Roman"/>
      <family val="1"/>
      <charset val="204"/>
    </font>
    <font>
      <sz val="7"/>
      <color rgb="FF333333"/>
      <name val="Arial"/>
      <family val="2"/>
    </font>
    <font>
      <sz val="10"/>
      <color rgb="FF333333"/>
      <name val="Arial"/>
      <family val="2"/>
    </font>
    <font>
      <b/>
      <sz val="11"/>
      <color rgb="FF000000"/>
      <name val="Calibri"/>
      <family val="2"/>
      <scheme val="minor"/>
    </font>
    <font>
      <sz val="9"/>
      <color rgb="FF333333"/>
      <name val="Arial"/>
      <family val="2"/>
    </font>
    <font>
      <b/>
      <sz val="6"/>
      <color rgb="FFFFFFFF"/>
      <name val="Segoe UI"/>
      <family val="2"/>
    </font>
    <font>
      <sz val="6"/>
      <color rgb="FFFFFFFF"/>
      <name val="Segoe UI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7"/>
      <color rgb="FF0000FF"/>
      <name val="Arial"/>
      <family val="2"/>
    </font>
    <font>
      <sz val="11"/>
      <name val="Segoe UI"/>
      <family val="2"/>
    </font>
    <font>
      <sz val="10"/>
      <name val="Segoe UI"/>
      <family val="2"/>
    </font>
    <font>
      <sz val="14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4E5C68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D0D0D0"/>
        <bgColor rgb="FF000000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/>
      <top style="medium">
        <color rgb="FFDDDDDD"/>
      </top>
      <bottom style="mediumDashed">
        <color rgb="FFE6E6E6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rgb="FFDDDDDD"/>
      </top>
      <bottom/>
      <diagonal/>
    </border>
    <border>
      <left/>
      <right style="medium">
        <color rgb="FF0C1F30"/>
      </right>
      <top/>
      <bottom/>
      <diagonal/>
    </border>
    <border>
      <left style="medium">
        <color rgb="FF0C1F30"/>
      </left>
      <right style="medium">
        <color rgb="FF0C1F30"/>
      </right>
      <top/>
      <bottom/>
      <diagonal/>
    </border>
    <border>
      <left style="medium">
        <color rgb="FF0C1F30"/>
      </left>
      <right style="medium">
        <color rgb="FF0C1F30"/>
      </right>
      <top/>
      <bottom style="medium">
        <color rgb="FF0C1F3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5" fillId="0" borderId="0">
      <alignment vertical="top"/>
      <protection locked="0"/>
    </xf>
    <xf numFmtId="0" fontId="7" fillId="0" borderId="0">
      <alignment vertical="top"/>
      <protection locked="0"/>
    </xf>
    <xf numFmtId="9" fontId="1" fillId="0" borderId="0" applyFont="0" applyFill="0" applyBorder="0" applyAlignment="0" applyProtection="0"/>
    <xf numFmtId="0" fontId="10" fillId="0" borderId="0"/>
    <xf numFmtId="0" fontId="11" fillId="0" borderId="0"/>
    <xf numFmtId="0" fontId="10" fillId="0" borderId="0"/>
  </cellStyleXfs>
  <cellXfs count="175">
    <xf numFmtId="0" fontId="0" fillId="0" borderId="0" xfId="0"/>
    <xf numFmtId="0" fontId="0" fillId="3" borderId="0" xfId="0" applyFill="1"/>
    <xf numFmtId="0" fontId="0" fillId="4" borderId="0" xfId="0" applyFill="1"/>
    <xf numFmtId="0" fontId="3" fillId="0" borderId="0" xfId="0" applyFont="1"/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5" borderId="0" xfId="0" applyFont="1" applyFill="1"/>
    <xf numFmtId="0" fontId="0" fillId="5" borderId="2" xfId="0" applyFill="1" applyBorder="1"/>
    <xf numFmtId="0" fontId="0" fillId="5" borderId="0" xfId="0" applyFill="1"/>
    <xf numFmtId="0" fontId="0" fillId="0" borderId="4" xfId="0" applyBorder="1"/>
    <xf numFmtId="0" fontId="0" fillId="5" borderId="5" xfId="0" applyFill="1" applyBorder="1"/>
    <xf numFmtId="0" fontId="0" fillId="5" borderId="1" xfId="0" applyFill="1" applyBorder="1"/>
    <xf numFmtId="0" fontId="0" fillId="8" borderId="0" xfId="0" applyFill="1"/>
    <xf numFmtId="0" fontId="4" fillId="8" borderId="0" xfId="0" applyFont="1" applyFill="1" applyAlignment="1">
      <alignment vertical="center" wrapText="1"/>
    </xf>
    <xf numFmtId="0" fontId="0" fillId="6" borderId="6" xfId="0" applyFill="1" applyBorder="1"/>
    <xf numFmtId="0" fontId="4" fillId="2" borderId="8" xfId="0" applyFont="1" applyFill="1" applyBorder="1" applyAlignment="1">
      <alignment vertical="center" wrapText="1"/>
    </xf>
    <xf numFmtId="0" fontId="0" fillId="6" borderId="1" xfId="0" applyFill="1" applyBorder="1"/>
    <xf numFmtId="3" fontId="0" fillId="0" borderId="0" xfId="0" applyNumberFormat="1"/>
    <xf numFmtId="164" fontId="0" fillId="7" borderId="0" xfId="0" applyNumberFormat="1" applyFill="1"/>
    <xf numFmtId="0" fontId="0" fillId="0" borderId="6" xfId="0" applyBorder="1"/>
    <xf numFmtId="1" fontId="0" fillId="2" borderId="0" xfId="1" applyNumberFormat="1" applyFont="1" applyFill="1" applyBorder="1"/>
    <xf numFmtId="0" fontId="0" fillId="2" borderId="0" xfId="0" applyFill="1"/>
    <xf numFmtId="1" fontId="0" fillId="7" borderId="0" xfId="1" applyNumberFormat="1" applyFont="1" applyFill="1" applyBorder="1"/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2" borderId="1" xfId="0" applyNumberFormat="1" applyFill="1" applyBorder="1"/>
    <xf numFmtId="164" fontId="0" fillId="2" borderId="0" xfId="0" applyNumberFormat="1" applyFill="1"/>
    <xf numFmtId="164" fontId="4" fillId="2" borderId="0" xfId="0" applyNumberFormat="1" applyFont="1" applyFill="1" applyAlignment="1">
      <alignment vertical="center" wrapText="1"/>
    </xf>
    <xf numFmtId="2" fontId="0" fillId="2" borderId="0" xfId="0" applyNumberFormat="1" applyFill="1"/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horizontal="right" vertical="center"/>
    </xf>
    <xf numFmtId="2" fontId="0" fillId="7" borderId="0" xfId="0" applyNumberFormat="1" applyFill="1"/>
    <xf numFmtId="1" fontId="8" fillId="9" borderId="2" xfId="0" applyNumberFormat="1" applyFont="1" applyFill="1" applyBorder="1"/>
    <xf numFmtId="2" fontId="0" fillId="0" borderId="0" xfId="0" applyNumberFormat="1"/>
    <xf numFmtId="0" fontId="0" fillId="5" borderId="0" xfId="0" applyFill="1" applyBorder="1"/>
    <xf numFmtId="0" fontId="0" fillId="0" borderId="0" xfId="0" applyAlignment="1" applyProtection="1">
      <alignment vertical="top"/>
      <protection locked="0"/>
    </xf>
    <xf numFmtId="166" fontId="0" fillId="0" borderId="0" xfId="0" applyNumberFormat="1" applyAlignment="1" applyProtection="1">
      <alignment vertical="top"/>
      <protection locked="0"/>
    </xf>
    <xf numFmtId="4" fontId="0" fillId="0" borderId="0" xfId="0" applyNumberFormat="1"/>
    <xf numFmtId="0" fontId="0" fillId="0" borderId="0" xfId="0" applyNumberFormat="1"/>
    <xf numFmtId="0" fontId="9" fillId="11" borderId="10" xfId="0" applyFont="1" applyFill="1" applyBorder="1" applyAlignment="1">
      <alignment vertical="top" wrapText="1"/>
    </xf>
    <xf numFmtId="0" fontId="9" fillId="10" borderId="10" xfId="0" applyFont="1" applyFill="1" applyBorder="1" applyAlignment="1">
      <alignment vertical="top" wrapText="1"/>
    </xf>
    <xf numFmtId="0" fontId="12" fillId="0" borderId="11" xfId="5" applyFont="1" applyBorder="1" applyAlignment="1">
      <alignment horizontal="right" vertical="center" wrapText="1"/>
    </xf>
    <xf numFmtId="0" fontId="12" fillId="0" borderId="0" xfId="5" applyFont="1"/>
    <xf numFmtId="0" fontId="12" fillId="0" borderId="0" xfId="5" applyFont="1" applyFill="1"/>
    <xf numFmtId="0" fontId="13" fillId="0" borderId="0" xfId="5" applyFont="1" applyFill="1" applyAlignment="1" applyProtection="1">
      <alignment wrapText="1"/>
    </xf>
    <xf numFmtId="0" fontId="14" fillId="0" borderId="0" xfId="5" applyFont="1" applyFill="1" applyAlignment="1" applyProtection="1">
      <alignment horizontal="right" wrapText="1"/>
    </xf>
    <xf numFmtId="0" fontId="13" fillId="0" borderId="0" xfId="5" applyFont="1" applyFill="1" applyAlignment="1" applyProtection="1">
      <alignment horizontal="right" wrapText="1"/>
    </xf>
    <xf numFmtId="9" fontId="0" fillId="0" borderId="0" xfId="4" applyFont="1"/>
    <xf numFmtId="164" fontId="0" fillId="0" borderId="0" xfId="0" applyNumberFormat="1"/>
    <xf numFmtId="164" fontId="0" fillId="12" borderId="0" xfId="1" applyNumberFormat="1" applyFont="1" applyFill="1" applyBorder="1"/>
    <xf numFmtId="0" fontId="0" fillId="0" borderId="0" xfId="0" applyAlignment="1">
      <alignment wrapText="1"/>
    </xf>
    <xf numFmtId="2" fontId="9" fillId="10" borderId="10" xfId="0" applyNumberFormat="1" applyFont="1" applyFill="1" applyBorder="1" applyAlignment="1">
      <alignment vertical="top" wrapText="1"/>
    </xf>
    <xf numFmtId="0" fontId="12" fillId="0" borderId="0" xfId="5" applyFont="1"/>
    <xf numFmtId="0" fontId="12" fillId="0" borderId="0" xfId="5" applyFont="1" applyBorder="1" applyAlignment="1">
      <alignment horizontal="right" vertical="center" wrapText="1"/>
    </xf>
    <xf numFmtId="0" fontId="12" fillId="0" borderId="0" xfId="5" applyFont="1" applyFill="1" applyBorder="1" applyAlignment="1">
      <alignment horizontal="right" vertical="center" wrapText="1"/>
    </xf>
    <xf numFmtId="0" fontId="13" fillId="0" borderId="0" xfId="5" applyFont="1" applyFill="1" applyAlignment="1" applyProtection="1">
      <alignment wrapText="1"/>
    </xf>
    <xf numFmtId="0" fontId="12" fillId="0" borderId="0" xfId="5" applyFont="1" applyBorder="1" applyAlignment="1">
      <alignment vertical="center" wrapText="1"/>
    </xf>
    <xf numFmtId="0" fontId="13" fillId="0" borderId="0" xfId="5" applyFont="1" applyFill="1" applyAlignment="1" applyProtection="1">
      <alignment horizontal="right" wrapText="1"/>
    </xf>
    <xf numFmtId="0" fontId="15" fillId="0" borderId="0" xfId="5" applyFont="1"/>
    <xf numFmtId="0" fontId="16" fillId="0" borderId="0" xfId="5" applyFont="1"/>
    <xf numFmtId="0" fontId="13" fillId="0" borderId="0" xfId="5" applyFont="1" applyFill="1" applyAlignment="1" applyProtection="1">
      <alignment horizontal="right" wrapText="1"/>
    </xf>
    <xf numFmtId="0" fontId="17" fillId="0" borderId="0" xfId="5" applyFont="1" applyFill="1" applyAlignment="1" applyProtection="1">
      <alignment horizontal="right" wrapText="1"/>
    </xf>
    <xf numFmtId="1" fontId="0" fillId="12" borderId="0" xfId="1" applyNumberFormat="1" applyFont="1" applyFill="1" applyBorder="1"/>
    <xf numFmtId="164" fontId="0" fillId="12" borderId="0" xfId="0" applyNumberFormat="1" applyFill="1"/>
    <xf numFmtId="164" fontId="4" fillId="8" borderId="0" xfId="0" applyNumberFormat="1" applyFont="1" applyFill="1" applyAlignment="1">
      <alignment vertical="center" wrapText="1"/>
    </xf>
    <xf numFmtId="164" fontId="0" fillId="2" borderId="8" xfId="0" applyNumberFormat="1" applyFill="1" applyBorder="1"/>
    <xf numFmtId="164" fontId="0" fillId="2" borderId="0" xfId="0" applyNumberFormat="1" applyFill="1" applyBorder="1"/>
    <xf numFmtId="164" fontId="0" fillId="5" borderId="0" xfId="0" applyNumberFormat="1" applyFill="1" applyBorder="1"/>
    <xf numFmtId="0" fontId="0" fillId="0" borderId="0" xfId="0" applyBorder="1"/>
    <xf numFmtId="9" fontId="0" fillId="4" borderId="0" xfId="4" applyFont="1" applyFill="1"/>
    <xf numFmtId="1" fontId="8" fillId="9" borderId="1" xfId="0" applyNumberFormat="1" applyFont="1" applyFill="1" applyBorder="1"/>
    <xf numFmtId="0" fontId="0" fillId="5" borderId="0" xfId="0" applyFill="1" applyAlignment="1">
      <alignment horizontal="center"/>
    </xf>
    <xf numFmtId="4" fontId="18" fillId="0" borderId="0" xfId="0" applyNumberFormat="1" applyFont="1"/>
    <xf numFmtId="0" fontId="18" fillId="11" borderId="12" xfId="0" applyNumberFormat="1" applyFont="1" applyFill="1" applyBorder="1" applyAlignment="1">
      <alignment vertical="top" wrapText="1"/>
    </xf>
    <xf numFmtId="1" fontId="19" fillId="0" borderId="0" xfId="0" applyNumberFormat="1" applyFont="1"/>
    <xf numFmtId="4" fontId="18" fillId="13" borderId="12" xfId="0" applyNumberFormat="1" applyFont="1" applyFill="1" applyBorder="1" applyAlignment="1">
      <alignment horizontal="right" vertical="top" wrapText="1"/>
    </xf>
    <xf numFmtId="164" fontId="0" fillId="7" borderId="0" xfId="0" applyNumberFormat="1" applyFill="1" applyBorder="1"/>
    <xf numFmtId="1" fontId="0" fillId="7" borderId="0" xfId="0" applyNumberFormat="1" applyFill="1" applyBorder="1"/>
    <xf numFmtId="0" fontId="0" fillId="0" borderId="6" xfId="0" applyBorder="1" applyAlignment="1"/>
    <xf numFmtId="9" fontId="0" fillId="0" borderId="0" xfId="4" applyFont="1" applyBorder="1"/>
    <xf numFmtId="2" fontId="0" fillId="5" borderId="0" xfId="0" applyNumberFormat="1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4" fillId="0" borderId="0" xfId="0" applyFont="1" applyFill="1" applyBorder="1" applyAlignment="1">
      <alignment vertical="center" wrapText="1"/>
    </xf>
    <xf numFmtId="0" fontId="3" fillId="0" borderId="0" xfId="0" applyFont="1" applyFill="1" applyBorder="1"/>
    <xf numFmtId="0" fontId="4" fillId="2" borderId="0" xfId="0" applyFont="1" applyFill="1" applyBorder="1" applyAlignment="1">
      <alignment vertical="center" wrapText="1"/>
    </xf>
    <xf numFmtId="0" fontId="0" fillId="4" borderId="0" xfId="0" applyFill="1" applyBorder="1"/>
    <xf numFmtId="0" fontId="20" fillId="4" borderId="0" xfId="0" applyFont="1" applyFill="1" applyBorder="1" applyAlignment="1">
      <alignment vertical="center" wrapText="1"/>
    </xf>
    <xf numFmtId="0" fontId="0" fillId="15" borderId="0" xfId="0" applyFill="1" applyBorder="1"/>
    <xf numFmtId="164" fontId="0" fillId="0" borderId="0" xfId="0" applyNumberFormat="1" applyBorder="1"/>
    <xf numFmtId="0" fontId="20" fillId="0" borderId="0" xfId="0" applyFont="1" applyFill="1" applyBorder="1" applyAlignment="1">
      <alignment vertical="center" wrapText="1"/>
    </xf>
    <xf numFmtId="2" fontId="0" fillId="12" borderId="0" xfId="0" applyNumberFormat="1" applyFill="1" applyBorder="1"/>
    <xf numFmtId="164" fontId="0" fillId="12" borderId="0" xfId="0" applyNumberFormat="1" applyFill="1" applyBorder="1"/>
    <xf numFmtId="164" fontId="0" fillId="7" borderId="7" xfId="0" applyNumberFormat="1" applyFill="1" applyBorder="1"/>
    <xf numFmtId="164" fontId="0" fillId="7" borderId="2" xfId="0" applyNumberFormat="1" applyFill="1" applyBorder="1"/>
    <xf numFmtId="164" fontId="0" fillId="14" borderId="0" xfId="0" applyNumberFormat="1" applyFill="1" applyBorder="1"/>
    <xf numFmtId="1" fontId="0" fillId="2" borderId="0" xfId="0" applyNumberFormat="1" applyFill="1"/>
    <xf numFmtId="1" fontId="8" fillId="9" borderId="5" xfId="0" applyNumberFormat="1" applyFont="1" applyFill="1" applyBorder="1"/>
    <xf numFmtId="1" fontId="8" fillId="16" borderId="1" xfId="0" applyNumberFormat="1" applyFont="1" applyFill="1" applyBorder="1"/>
    <xf numFmtId="2" fontId="0" fillId="12" borderId="0" xfId="0" applyNumberFormat="1" applyFill="1"/>
    <xf numFmtId="164" fontId="4" fillId="7" borderId="0" xfId="0" applyNumberFormat="1" applyFont="1" applyFill="1" applyAlignment="1">
      <alignment vertical="center" wrapText="1"/>
    </xf>
    <xf numFmtId="1" fontId="18" fillId="7" borderId="0" xfId="0" applyNumberFormat="1" applyFont="1" applyFill="1"/>
    <xf numFmtId="1" fontId="0" fillId="12" borderId="0" xfId="0" applyNumberFormat="1" applyFill="1"/>
    <xf numFmtId="1" fontId="8" fillId="16" borderId="5" xfId="0" applyNumberFormat="1" applyFont="1" applyFill="1" applyBorder="1"/>
    <xf numFmtId="1" fontId="8" fillId="17" borderId="5" xfId="0" applyNumberFormat="1" applyFont="1" applyFill="1" applyBorder="1"/>
    <xf numFmtId="0" fontId="0" fillId="0" borderId="0" xfId="0" applyFill="1"/>
    <xf numFmtId="0" fontId="4" fillId="0" borderId="0" xfId="0" applyFont="1" applyFill="1" applyAlignment="1">
      <alignment vertical="center"/>
    </xf>
    <xf numFmtId="164" fontId="0" fillId="7" borderId="5" xfId="0" applyNumberFormat="1" applyFill="1" applyBorder="1"/>
    <xf numFmtId="164" fontId="0" fillId="7" borderId="5" xfId="1" applyNumberFormat="1" applyFont="1" applyFill="1" applyBorder="1"/>
    <xf numFmtId="164" fontId="4" fillId="7" borderId="5" xfId="0" applyNumberFormat="1" applyFont="1" applyFill="1" applyBorder="1" applyAlignment="1">
      <alignment vertical="center" wrapText="1"/>
    </xf>
    <xf numFmtId="1" fontId="21" fillId="7" borderId="12" xfId="0" applyNumberFormat="1" applyFont="1" applyFill="1" applyBorder="1" applyAlignment="1">
      <alignment vertical="top" wrapText="1"/>
    </xf>
    <xf numFmtId="1" fontId="21" fillId="7" borderId="0" xfId="0" applyNumberFormat="1" applyFont="1" applyFill="1"/>
    <xf numFmtId="164" fontId="0" fillId="7" borderId="4" xfId="0" applyNumberFormat="1" applyFill="1" applyBorder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18" borderId="13" xfId="0" applyFill="1" applyBorder="1" applyAlignment="1">
      <alignment horizontal="left" vertical="center" wrapText="1"/>
    </xf>
    <xf numFmtId="0" fontId="22" fillId="18" borderId="9" xfId="0" applyFont="1" applyFill="1" applyBorder="1" applyAlignment="1">
      <alignment horizontal="left" vertical="center" wrapText="1"/>
    </xf>
    <xf numFmtId="0" fontId="22" fillId="18" borderId="13" xfId="0" applyFont="1" applyFill="1" applyBorder="1" applyAlignment="1">
      <alignment horizontal="left" vertical="center" wrapText="1"/>
    </xf>
    <xf numFmtId="0" fontId="23" fillId="18" borderId="9" xfId="0" applyFont="1" applyFill="1" applyBorder="1" applyAlignment="1">
      <alignment horizontal="right" vertical="center"/>
    </xf>
    <xf numFmtId="0" fontId="22" fillId="18" borderId="14" xfId="0" applyFont="1" applyFill="1" applyBorder="1" applyAlignment="1">
      <alignment horizontal="left" vertical="center" wrapText="1"/>
    </xf>
    <xf numFmtId="0" fontId="22" fillId="18" borderId="15" xfId="0" applyFont="1" applyFill="1" applyBorder="1" applyAlignment="1">
      <alignment horizontal="left" vertical="center" wrapText="1"/>
    </xf>
    <xf numFmtId="0" fontId="0" fillId="5" borderId="0" xfId="0" applyFill="1" applyAlignment="1">
      <alignment wrapText="1"/>
    </xf>
    <xf numFmtId="43" fontId="17" fillId="0" borderId="0" xfId="1" applyFont="1" applyFill="1" applyAlignment="1" applyProtection="1">
      <alignment horizontal="right" wrapText="1"/>
    </xf>
    <xf numFmtId="43" fontId="0" fillId="0" borderId="0" xfId="1" applyFont="1" applyAlignment="1" applyProtection="1">
      <alignment vertical="top"/>
      <protection locked="0"/>
    </xf>
    <xf numFmtId="43" fontId="0" fillId="8" borderId="0" xfId="0" applyNumberFormat="1" applyFill="1"/>
    <xf numFmtId="0" fontId="18" fillId="10" borderId="12" xfId="0" applyFont="1" applyFill="1" applyBorder="1" applyAlignment="1">
      <alignment horizontal="right" vertical="top" wrapText="1"/>
    </xf>
    <xf numFmtId="9" fontId="0" fillId="0" borderId="0" xfId="4" applyFont="1" applyFill="1" applyBorder="1"/>
    <xf numFmtId="0" fontId="22" fillId="18" borderId="14" xfId="0" applyFont="1" applyFill="1" applyBorder="1" applyAlignment="1">
      <alignment horizontal="left" vertical="center" wrapText="1"/>
    </xf>
    <xf numFmtId="0" fontId="22" fillId="18" borderId="15" xfId="0" applyFont="1" applyFill="1" applyBorder="1" applyAlignment="1">
      <alignment horizontal="left" vertical="center" wrapText="1"/>
    </xf>
    <xf numFmtId="0" fontId="24" fillId="19" borderId="0" xfId="0" applyFont="1" applyFill="1"/>
    <xf numFmtId="164" fontId="0" fillId="4" borderId="0" xfId="0" applyNumberFormat="1" applyFill="1" applyBorder="1"/>
    <xf numFmtId="0" fontId="0" fillId="0" borderId="3" xfId="0" applyBorder="1"/>
    <xf numFmtId="0" fontId="0" fillId="21" borderId="16" xfId="0" applyFill="1" applyBorder="1"/>
    <xf numFmtId="0" fontId="0" fillId="21" borderId="16" xfId="0" applyFill="1" applyBorder="1" applyAlignment="1">
      <alignment wrapText="1"/>
    </xf>
    <xf numFmtId="2" fontId="0" fillId="14" borderId="0" xfId="0" applyNumberFormat="1" applyFill="1" applyBorder="1"/>
    <xf numFmtId="0" fontId="4" fillId="0" borderId="0" xfId="0" applyFont="1" applyFill="1" applyAlignment="1">
      <alignment vertical="center" wrapText="1"/>
    </xf>
    <xf numFmtId="0" fontId="24" fillId="0" borderId="0" xfId="0" applyFont="1" applyFill="1" applyAlignment="1">
      <alignment wrapText="1"/>
    </xf>
    <xf numFmtId="0" fontId="24" fillId="0" borderId="0" xfId="0" applyFont="1" applyFill="1"/>
    <xf numFmtId="2" fontId="0" fillId="0" borderId="0" xfId="0" applyNumberFormat="1" applyFill="1" applyBorder="1"/>
    <xf numFmtId="0" fontId="24" fillId="0" borderId="3" xfId="0" applyFont="1" applyFill="1" applyBorder="1" applyAlignment="1">
      <alignment wrapText="1"/>
    </xf>
    <xf numFmtId="0" fontId="24" fillId="0" borderId="3" xfId="0" applyFont="1" applyFill="1" applyBorder="1"/>
    <xf numFmtId="0" fontId="24" fillId="0" borderId="0" xfId="0" applyFont="1" applyFill="1" applyBorder="1" applyAlignment="1">
      <alignment wrapText="1"/>
    </xf>
    <xf numFmtId="0" fontId="24" fillId="0" borderId="0" xfId="0" applyFont="1" applyFill="1" applyBorder="1"/>
    <xf numFmtId="0" fontId="4" fillId="0" borderId="3" xfId="0" applyFont="1" applyFill="1" applyBorder="1" applyAlignment="1">
      <alignment vertical="center" wrapText="1"/>
    </xf>
    <xf numFmtId="0" fontId="0" fillId="0" borderId="3" xfId="0" applyFill="1" applyBorder="1"/>
    <xf numFmtId="164" fontId="0" fillId="0" borderId="3" xfId="0" applyNumberFormat="1" applyFill="1" applyBorder="1"/>
    <xf numFmtId="9" fontId="0" fillId="0" borderId="3" xfId="4" applyFont="1" applyFill="1" applyBorder="1"/>
    <xf numFmtId="9" fontId="0" fillId="0" borderId="3" xfId="4" applyFont="1" applyBorder="1"/>
    <xf numFmtId="0" fontId="0" fillId="21" borderId="17" xfId="0" applyFill="1" applyBorder="1" applyAlignment="1">
      <alignment wrapText="1"/>
    </xf>
    <xf numFmtId="0" fontId="0" fillId="0" borderId="3" xfId="0" applyFill="1" applyBorder="1" applyAlignment="1">
      <alignment wrapText="1"/>
    </xf>
    <xf numFmtId="43" fontId="0" fillId="8" borderId="0" xfId="1" applyFont="1" applyFill="1"/>
    <xf numFmtId="4" fontId="18" fillId="11" borderId="12" xfId="0" applyNumberFormat="1" applyFont="1" applyFill="1" applyBorder="1" applyAlignment="1">
      <alignment horizontal="right" vertical="top" wrapText="1"/>
    </xf>
    <xf numFmtId="0" fontId="18" fillId="11" borderId="12" xfId="0" applyFont="1" applyFill="1" applyBorder="1" applyAlignment="1">
      <alignment horizontal="right" vertical="top" wrapText="1"/>
    </xf>
    <xf numFmtId="0" fontId="26" fillId="13" borderId="12" xfId="0" applyFont="1" applyFill="1" applyBorder="1" applyAlignment="1">
      <alignment vertical="top" wrapText="1"/>
    </xf>
    <xf numFmtId="43" fontId="0" fillId="0" borderId="0" xfId="1" applyFont="1"/>
    <xf numFmtId="0" fontId="18" fillId="13" borderId="12" xfId="0" applyFont="1" applyFill="1" applyBorder="1" applyAlignment="1">
      <alignment horizontal="right" vertical="top" wrapText="1"/>
    </xf>
    <xf numFmtId="1" fontId="0" fillId="5" borderId="0" xfId="0" applyNumberFormat="1" applyFill="1" applyBorder="1"/>
    <xf numFmtId="1" fontId="0" fillId="12" borderId="0" xfId="0" applyNumberFormat="1" applyFill="1" applyBorder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1" borderId="16" xfId="0" applyFill="1" applyBorder="1" applyAlignment="1">
      <alignment horizontal="center"/>
    </xf>
    <xf numFmtId="0" fontId="2" fillId="21" borderId="3" xfId="0" applyFont="1" applyFill="1" applyBorder="1" applyAlignment="1">
      <alignment horizontal="center" wrapText="1"/>
    </xf>
    <xf numFmtId="0" fontId="25" fillId="20" borderId="3" xfId="0" applyFont="1" applyFill="1" applyBorder="1" applyAlignment="1">
      <alignment horizontal="center" wrapText="1"/>
    </xf>
    <xf numFmtId="164" fontId="0" fillId="0" borderId="0" xfId="0" applyNumberFormat="1" applyFill="1" applyBorder="1" applyAlignment="1">
      <alignment horizontal="center" wrapText="1"/>
    </xf>
    <xf numFmtId="0" fontId="0" fillId="21" borderId="16" xfId="0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22" fillId="18" borderId="14" xfId="0" applyFont="1" applyFill="1" applyBorder="1" applyAlignment="1">
      <alignment horizontal="left" vertical="center" wrapText="1"/>
    </xf>
    <xf numFmtId="0" fontId="22" fillId="18" borderId="15" xfId="0" applyFont="1" applyFill="1" applyBorder="1" applyAlignment="1">
      <alignment horizontal="left" vertical="center" wrapText="1"/>
    </xf>
  </cellXfs>
  <cellStyles count="8">
    <cellStyle name="Comma" xfId="1" builtinId="3"/>
    <cellStyle name="Normal" xfId="0" builtinId="0"/>
    <cellStyle name="Normal 2" xfId="2" xr:uid="{3B6A2C1F-FA2F-4421-B0F9-D1C4BA22306E}"/>
    <cellStyle name="Normal 3" xfId="3" xr:uid="{187626F1-9F93-433D-A078-86B21B663C2F}"/>
    <cellStyle name="Normal 4" xfId="5" xr:uid="{A8B35C2D-26E5-4A33-B26C-AFCA5FAB9EF6}"/>
    <cellStyle name="Percent" xfId="4" builtinId="5"/>
    <cellStyle name="Обычный 2" xfId="7" xr:uid="{AD4A7F36-2C00-4BAB-8B7D-D7818EC7B434}"/>
    <cellStyle name="Обычный_80102" xfId="6" xr:uid="{7FEF1EE7-B34D-481B-8D88-23ACCC78E754}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KYRNIR!$C$50</c:f>
              <c:strCache>
                <c:ptCount val="1"/>
                <c:pt idx="0">
                  <c:v>State farms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KYRNIR!$A$51:$A$55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KYRNIR!$C$51:$C$55</c:f>
              <c:numCache>
                <c:formatCode>General</c:formatCode>
                <c:ptCount val="5"/>
                <c:pt idx="0">
                  <c:v>661.8</c:v>
                </c:pt>
                <c:pt idx="1">
                  <c:v>868</c:v>
                </c:pt>
                <c:pt idx="2">
                  <c:v>715</c:v>
                </c:pt>
                <c:pt idx="3">
                  <c:v>717</c:v>
                </c:pt>
                <c:pt idx="4">
                  <c:v>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5-4C3D-88B6-96260A027BEA}"/>
            </c:ext>
          </c:extLst>
        </c:ser>
        <c:ser>
          <c:idx val="1"/>
          <c:order val="1"/>
          <c:tx>
            <c:strRef>
              <c:f>KYRNIR!$E$50</c:f>
              <c:strCache>
                <c:ptCount val="1"/>
                <c:pt idx="0">
                  <c:v>Collective farms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KYRNIR!$A$51:$A$55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KYRNIR!$E$51:$E$55</c:f>
              <c:numCache>
                <c:formatCode>General</c:formatCode>
                <c:ptCount val="5"/>
                <c:pt idx="0">
                  <c:v>2511</c:v>
                </c:pt>
                <c:pt idx="1">
                  <c:v>2373</c:v>
                </c:pt>
                <c:pt idx="2">
                  <c:v>2412</c:v>
                </c:pt>
                <c:pt idx="3">
                  <c:v>2419</c:v>
                </c:pt>
                <c:pt idx="4">
                  <c:v>2421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5-4C3D-88B6-96260A027BEA}"/>
            </c:ext>
          </c:extLst>
        </c:ser>
        <c:ser>
          <c:idx val="2"/>
          <c:order val="2"/>
          <c:tx>
            <c:strRef>
              <c:f>KYRNIR!$F$50</c:f>
              <c:strCache>
                <c:ptCount val="1"/>
                <c:pt idx="0">
                  <c:v>Peasant farms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KYRNIR!$A$51:$A$55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KYRNIR!$F$51:$F$55</c:f>
              <c:numCache>
                <c:formatCode>General</c:formatCode>
                <c:ptCount val="5"/>
                <c:pt idx="0">
                  <c:v>2005</c:v>
                </c:pt>
                <c:pt idx="1">
                  <c:v>2008</c:v>
                </c:pt>
                <c:pt idx="2">
                  <c:v>2012</c:v>
                </c:pt>
                <c:pt idx="3">
                  <c:v>1956</c:v>
                </c:pt>
                <c:pt idx="4">
                  <c:v>1959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5-4C3D-88B6-96260A027BEA}"/>
            </c:ext>
          </c:extLst>
        </c:ser>
        <c:ser>
          <c:idx val="3"/>
          <c:order val="3"/>
          <c:tx>
            <c:strRef>
              <c:f>KYRNIR!$G$50</c:f>
              <c:strCache>
                <c:ptCount val="1"/>
                <c:pt idx="0">
                  <c:v>Private farms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KYRNIR!$A$51:$A$55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KYRNIR!$G$51:$G$55</c:f>
              <c:numCache>
                <c:formatCode>General</c:formatCode>
                <c:ptCount val="5"/>
                <c:pt idx="0">
                  <c:v>1971</c:v>
                </c:pt>
                <c:pt idx="1">
                  <c:v>1972</c:v>
                </c:pt>
                <c:pt idx="2">
                  <c:v>2006</c:v>
                </c:pt>
                <c:pt idx="3">
                  <c:v>1986</c:v>
                </c:pt>
                <c:pt idx="4">
                  <c:v>1994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5-4C3D-88B6-96260A027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250672"/>
        <c:axId val="1146252112"/>
      </c:lineChart>
      <c:catAx>
        <c:axId val="114625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46252112"/>
        <c:crosses val="autoZero"/>
        <c:auto val="1"/>
        <c:lblAlgn val="ctr"/>
        <c:lblOffset val="100"/>
        <c:noMultiLvlLbl val="0"/>
      </c:catAx>
      <c:valAx>
        <c:axId val="11462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4625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KYRNIR!$K$50</c:f>
              <c:strCache>
                <c:ptCount val="1"/>
                <c:pt idx="0">
                  <c:v>State farms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KYRNIR!$J$51:$J$55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KYRNIR!$K$51:$K$55</c:f>
              <c:numCache>
                <c:formatCode>General</c:formatCode>
                <c:ptCount val="5"/>
                <c:pt idx="0">
                  <c:v>2.7</c:v>
                </c:pt>
                <c:pt idx="1">
                  <c:v>3.9</c:v>
                </c:pt>
                <c:pt idx="2">
                  <c:v>4.4000000000000004</c:v>
                </c:pt>
                <c:pt idx="3">
                  <c:v>1.4</c:v>
                </c:pt>
                <c:pt idx="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6-4050-AAB1-9275C11F17EF}"/>
            </c:ext>
          </c:extLst>
        </c:ser>
        <c:ser>
          <c:idx val="1"/>
          <c:order val="1"/>
          <c:tx>
            <c:strRef>
              <c:f>KYRNIR!$L$50</c:f>
              <c:strCache>
                <c:ptCount val="1"/>
                <c:pt idx="0">
                  <c:v>Collective farms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KYRNIR!$J$51:$J$55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KYRNIR!$L$51:$L$55</c:f>
              <c:numCache>
                <c:formatCode>General</c:formatCode>
                <c:ptCount val="5"/>
                <c:pt idx="0">
                  <c:v>135</c:v>
                </c:pt>
                <c:pt idx="1">
                  <c:v>123.3</c:v>
                </c:pt>
                <c:pt idx="2">
                  <c:v>191.8</c:v>
                </c:pt>
                <c:pt idx="3">
                  <c:v>239.8</c:v>
                </c:pt>
                <c:pt idx="4">
                  <c:v>266.7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6-4050-AAB1-9275C11F17EF}"/>
            </c:ext>
          </c:extLst>
        </c:ser>
        <c:ser>
          <c:idx val="2"/>
          <c:order val="2"/>
          <c:tx>
            <c:strRef>
              <c:f>KYRNIR!$M$50</c:f>
              <c:strCache>
                <c:ptCount val="1"/>
                <c:pt idx="0">
                  <c:v>Peasant farms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KYRNIR!$J$51:$J$55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KYRNIR!$M$51:$M$55</c:f>
              <c:numCache>
                <c:formatCode>0.00</c:formatCode>
                <c:ptCount val="5"/>
                <c:pt idx="0">
                  <c:v>17031.2</c:v>
                </c:pt>
                <c:pt idx="1">
                  <c:v>17972.400000000001</c:v>
                </c:pt>
                <c:pt idx="2">
                  <c:v>20588.5</c:v>
                </c:pt>
                <c:pt idx="3">
                  <c:v>27341.7</c:v>
                </c:pt>
                <c:pt idx="4">
                  <c:v>29758.3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36-4050-AAB1-9275C11F17EF}"/>
            </c:ext>
          </c:extLst>
        </c:ser>
        <c:ser>
          <c:idx val="3"/>
          <c:order val="3"/>
          <c:tx>
            <c:strRef>
              <c:f>KYRNIR!$N$50</c:f>
              <c:strCache>
                <c:ptCount val="1"/>
                <c:pt idx="0">
                  <c:v>Private farms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KYRNIR!$J$51:$J$55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KYRNIR!$N$51:$N$55</c:f>
              <c:numCache>
                <c:formatCode>0.00</c:formatCode>
                <c:ptCount val="5"/>
                <c:pt idx="0">
                  <c:v>16728.400000000001</c:v>
                </c:pt>
                <c:pt idx="1">
                  <c:v>18465.8</c:v>
                </c:pt>
                <c:pt idx="2">
                  <c:v>21514.1</c:v>
                </c:pt>
                <c:pt idx="3">
                  <c:v>27372.1</c:v>
                </c:pt>
                <c:pt idx="4">
                  <c:v>29800.6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36-4050-AAB1-9275C11F1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659856"/>
        <c:axId val="1029171408"/>
      </c:lineChart>
      <c:catAx>
        <c:axId val="81165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29171408"/>
        <c:crosses val="autoZero"/>
        <c:auto val="1"/>
        <c:lblAlgn val="ctr"/>
        <c:lblOffset val="100"/>
        <c:noMultiLvlLbl val="0"/>
      </c:catAx>
      <c:valAx>
        <c:axId val="10291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165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cattle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KYRNIR!$C$1</c:f>
              <c:strCache>
                <c:ptCount val="1"/>
                <c:pt idx="0">
                  <c:v>Numbers of cattle (heads at the end of the year) (FAOSTAT)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1.415335773383657E-2"/>
                  <c:y val="-8.3944315545243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KYRNIR!$A$2:$A$46</c15:sqref>
                  </c15:fullRef>
                </c:ext>
              </c:extLst>
              <c:f>KYRNIR!$A$8:$A$46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KYRNIR!$C$2:$C$46</c15:sqref>
                  </c15:fullRef>
                </c:ext>
              </c:extLst>
              <c:f>KYRNIR!$C$8:$C$46</c:f>
              <c:numCache>
                <c:formatCode>General</c:formatCode>
                <c:ptCount val="39"/>
                <c:pt idx="0">
                  <c:v>1367466</c:v>
                </c:pt>
                <c:pt idx="1">
                  <c:v>1404168</c:v>
                </c:pt>
                <c:pt idx="2">
                  <c:v>1458377</c:v>
                </c:pt>
                <c:pt idx="3">
                  <c:v>1492517</c:v>
                </c:pt>
                <c:pt idx="4">
                  <c:v>1527763</c:v>
                </c:pt>
                <c:pt idx="5">
                  <c:v>1575434</c:v>
                </c:pt>
                <c:pt idx="6">
                  <c:v>1627296</c:v>
                </c:pt>
                <c:pt idx="7">
                  <c:v>1680750</c:v>
                </c:pt>
                <c:pt idx="8">
                  <c:v>1715776</c:v>
                </c:pt>
                <c:pt idx="9">
                  <c:v>1750467</c:v>
                </c:pt>
                <c:pt idx="10" formatCode="_(* #,##0.00_);_(* \(#,##0.00\);_(* &quot;-&quot;??_);_(@_)">
                  <c:v>1783469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D-4931-821A-9ACF37B2E2CB}"/>
            </c:ext>
          </c:extLst>
        </c:ser>
        <c:ser>
          <c:idx val="1"/>
          <c:order val="1"/>
          <c:tx>
            <c:strRef>
              <c:f>KYRNIR!$E$1</c:f>
              <c:strCache>
                <c:ptCount val="1"/>
                <c:pt idx="0">
                  <c:v>Number of cows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KYRNIR!$A$2:$A$46</c15:sqref>
                  </c15:fullRef>
                </c:ext>
              </c:extLst>
              <c:f>KYRNIR!$A$8:$A$46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KYRNIR!$E$2:$E$46</c15:sqref>
                  </c15:fullRef>
                </c:ext>
              </c:extLst>
              <c:f>KYRNIR!$E$8:$E$46</c:f>
              <c:numCache>
                <c:formatCode>General</c:formatCode>
                <c:ptCount val="39"/>
                <c:pt idx="0">
                  <c:v>699339</c:v>
                </c:pt>
                <c:pt idx="1">
                  <c:v>718516</c:v>
                </c:pt>
                <c:pt idx="2">
                  <c:v>744336</c:v>
                </c:pt>
                <c:pt idx="3">
                  <c:v>757423</c:v>
                </c:pt>
                <c:pt idx="4">
                  <c:v>769933</c:v>
                </c:pt>
                <c:pt idx="5">
                  <c:v>789796</c:v>
                </c:pt>
                <c:pt idx="6">
                  <c:v>812596</c:v>
                </c:pt>
                <c:pt idx="7">
                  <c:v>835270</c:v>
                </c:pt>
                <c:pt idx="8">
                  <c:v>855050</c:v>
                </c:pt>
                <c:pt idx="9">
                  <c:v>868820</c:v>
                </c:pt>
                <c:pt idx="10">
                  <c:v>885673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CD-4931-821A-9ACF37B2E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056160"/>
        <c:axId val="1029054000"/>
      </c:lineChart>
      <c:dateAx>
        <c:axId val="102905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29054000"/>
        <c:crosses val="autoZero"/>
        <c:auto val="0"/>
        <c:lblOffset val="100"/>
        <c:baseTimeUnit val="days"/>
      </c:dateAx>
      <c:valAx>
        <c:axId val="10290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2905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Goat,</a:t>
            </a:r>
            <a:r>
              <a:rPr lang="nl-NL" baseline="0"/>
              <a:t> sheep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KYRNIR!$G$1</c:f>
              <c:strCache>
                <c:ptCount val="1"/>
                <c:pt idx="0">
                  <c:v>Goat (FAO but same)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6761945852658825E-3"/>
                  <c:y val="-2.95979720953254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KYRNIR!$A$2:$A$46</c15:sqref>
                  </c15:fullRef>
                </c:ext>
              </c:extLst>
              <c:f>KYRNIR!$A$8:$A$46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KYRNIR!$G$2:$G$46</c15:sqref>
                  </c15:fullRef>
                </c:ext>
              </c:extLst>
              <c:f>KYRNIR!$G$8:$G$46</c:f>
              <c:numCache>
                <c:formatCode>########0.0</c:formatCode>
                <c:ptCount val="39"/>
                <c:pt idx="0">
                  <c:v>933777</c:v>
                </c:pt>
                <c:pt idx="1">
                  <c:v>960391</c:v>
                </c:pt>
                <c:pt idx="2">
                  <c:v>910246</c:v>
                </c:pt>
                <c:pt idx="3">
                  <c:v>869794</c:v>
                </c:pt>
                <c:pt idx="4">
                  <c:v>856904</c:v>
                </c:pt>
                <c:pt idx="5">
                  <c:v>820043</c:v>
                </c:pt>
                <c:pt idx="6">
                  <c:v>806949</c:v>
                </c:pt>
                <c:pt idx="7">
                  <c:v>801133</c:v>
                </c:pt>
                <c:pt idx="8">
                  <c:v>770704</c:v>
                </c:pt>
                <c:pt idx="9">
                  <c:v>742507</c:v>
                </c:pt>
                <c:pt idx="10" formatCode="_(* #,##0.00_);_(* \(#,##0.00\);_(* &quot;-&quot;??_);_(@_)">
                  <c:v>685368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5-4F27-BB9D-80723953F275}"/>
            </c:ext>
          </c:extLst>
        </c:ser>
        <c:ser>
          <c:idx val="1"/>
          <c:order val="1"/>
          <c:tx>
            <c:strRef>
              <c:f>KYRNIR!$H$1</c:f>
              <c:strCache>
                <c:ptCount val="1"/>
                <c:pt idx="0">
                  <c:v>Sheep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3009671736238382E-2"/>
                  <c:y val="-3.25789717052880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KYRNIR!$A$2:$A$46</c15:sqref>
                  </c15:fullRef>
                </c:ext>
              </c:extLst>
              <c:f>KYRNIR!$A$8:$A$46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KYRNIR!$H$2:$H$46</c15:sqref>
                  </c15:fullRef>
                </c:ext>
              </c:extLst>
              <c:f>KYRNIR!$H$8:$H$46</c:f>
              <c:numCache>
                <c:formatCode>General</c:formatCode>
                <c:ptCount val="39"/>
                <c:pt idx="0" formatCode="########0.0">
                  <c:v>4490104</c:v>
                </c:pt>
                <c:pt idx="1" formatCode="########0.0">
                  <c:v>4680823</c:v>
                </c:pt>
                <c:pt idx="2" formatCode="########0.0">
                  <c:v>4918778</c:v>
                </c:pt>
                <c:pt idx="3" formatCode="########0.0">
                  <c:v>5059735</c:v>
                </c:pt>
                <c:pt idx="4" formatCode="########0.0">
                  <c:v>5165650</c:v>
                </c:pt>
                <c:pt idx="5" formatCode="########0.0">
                  <c:v>5257732</c:v>
                </c:pt>
                <c:pt idx="6" formatCode="########0.0">
                  <c:v>5361000</c:v>
                </c:pt>
                <c:pt idx="7" formatCode="########0.0">
                  <c:v>5465606</c:v>
                </c:pt>
                <c:pt idx="8" formatCode="########0.0">
                  <c:v>5508032</c:v>
                </c:pt>
                <c:pt idx="9" formatCode="########0.0">
                  <c:v>5535597</c:v>
                </c:pt>
                <c:pt idx="10" formatCode="_(* #,##0.00_);_(* \(#,##0.00\);_(* &quot;-&quot;??_);_(@_)">
                  <c:v>5515593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65-4F27-BB9D-80723953F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015952"/>
        <c:axId val="451017392"/>
      </c:lineChart>
      <c:catAx>
        <c:axId val="4510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1017392"/>
        <c:crosses val="autoZero"/>
        <c:auto val="1"/>
        <c:lblAlgn val="ctr"/>
        <c:lblOffset val="100"/>
        <c:noMultiLvlLbl val="0"/>
      </c:catAx>
      <c:valAx>
        <c:axId val="4510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###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10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KYRemmisionsTIER1!$C$1</c:f>
              <c:strCache>
                <c:ptCount val="1"/>
                <c:pt idx="0">
                  <c:v>EDGAR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KYRemmisionsTIER1!$B$1:$B$34</c15:sqref>
                  </c15:fullRef>
                </c:ext>
              </c:extLst>
              <c:f>KYRemmisionsTIER1!$B$2:$B$34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KYRemmisionsTIER1!$C$2:$C$34</c15:sqref>
                  </c15:fullRef>
                </c:ext>
              </c:extLst>
              <c:f>KYRemmisionsTIER1!$C$3:$C$34</c:f>
              <c:numCache>
                <c:formatCode>General</c:formatCode>
                <c:ptCount val="32"/>
                <c:pt idx="0">
                  <c:v>5758.9114882064096</c:v>
                </c:pt>
                <c:pt idx="1">
                  <c:v>5550.3304399191902</c:v>
                </c:pt>
                <c:pt idx="2">
                  <c:v>5167.27026646989</c:v>
                </c:pt>
                <c:pt idx="3">
                  <c:v>4648.3998093051205</c:v>
                </c:pt>
                <c:pt idx="4">
                  <c:v>3739.5263797912698</c:v>
                </c:pt>
                <c:pt idx="5">
                  <c:v>3417.7661529985203</c:v>
                </c:pt>
                <c:pt idx="6">
                  <c:v>3223.1953654522599</c:v>
                </c:pt>
                <c:pt idx="7">
                  <c:v>3314.7506439102499</c:v>
                </c:pt>
                <c:pt idx="8">
                  <c:v>3373.6303816810696</c:v>
                </c:pt>
                <c:pt idx="9">
                  <c:v>3411.5361165303902</c:v>
                </c:pt>
                <c:pt idx="10">
                  <c:v>3437.23753637044</c:v>
                </c:pt>
                <c:pt idx="11">
                  <c:v>3470.2785270262102</c:v>
                </c:pt>
                <c:pt idx="12">
                  <c:v>3514.9639453909999</c:v>
                </c:pt>
                <c:pt idx="13">
                  <c:v>3496.1287701766896</c:v>
                </c:pt>
                <c:pt idx="14">
                  <c:v>3582.5780045211695</c:v>
                </c:pt>
                <c:pt idx="15">
                  <c:v>3704.5813523813504</c:v>
                </c:pt>
                <c:pt idx="16">
                  <c:v>3851.8717812335699</c:v>
                </c:pt>
                <c:pt idx="17">
                  <c:v>4025.1242456926798</c:v>
                </c:pt>
                <c:pt idx="18">
                  <c:v>4415.5299487641705</c:v>
                </c:pt>
                <c:pt idx="19">
                  <c:v>4527.5141487949804</c:v>
                </c:pt>
                <c:pt idx="20">
                  <c:v>4658.99181351066</c:v>
                </c:pt>
                <c:pt idx="21">
                  <c:v>4750.9107986866402</c:v>
                </c:pt>
                <c:pt idx="22">
                  <c:v>4892.7190937280502</c:v>
                </c:pt>
                <c:pt idx="23">
                  <c:v>5069.0970262000001</c:v>
                </c:pt>
                <c:pt idx="24">
                  <c:v>5159.8937676721398</c:v>
                </c:pt>
                <c:pt idx="25">
                  <c:v>5281.6305877754803</c:v>
                </c:pt>
                <c:pt idx="26">
                  <c:v>5412.7580834176297</c:v>
                </c:pt>
                <c:pt idx="27">
                  <c:v>5565.5512921599802</c:v>
                </c:pt>
                <c:pt idx="28">
                  <c:v>5728.2930842803098</c:v>
                </c:pt>
                <c:pt idx="29">
                  <c:v>5836.5107775513397</c:v>
                </c:pt>
                <c:pt idx="30">
                  <c:v>5971.8341795271799</c:v>
                </c:pt>
                <c:pt idx="31">
                  <c:v>6111.2296414113398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D-44D6-BE4B-8FF94A17D739}"/>
            </c:ext>
          </c:extLst>
        </c:ser>
        <c:ser>
          <c:idx val="2"/>
          <c:order val="1"/>
          <c:tx>
            <c:strRef>
              <c:f>KYRemmisionsTIER1!$D$1</c:f>
              <c:strCache>
                <c:ptCount val="1"/>
                <c:pt idx="0">
                  <c:v>FAOSTAT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KYRemmisionsTIER1!$B$1:$B$34</c15:sqref>
                  </c15:fullRef>
                </c:ext>
              </c:extLst>
              <c:f>KYRemmisionsTIER1!$B$2:$B$34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KYRemmisionsTIER1!$D$2:$D$34</c15:sqref>
                  </c15:fullRef>
                </c:ext>
              </c:extLst>
              <c:f>KYRemmisionsTIER1!$D$3:$D$34</c:f>
              <c:numCache>
                <c:formatCode>General</c:formatCode>
                <c:ptCount val="32"/>
                <c:pt idx="1">
                  <c:v>3816.5390999999995</c:v>
                </c:pt>
                <c:pt idx="2">
                  <c:v>3578.5884000000001</c:v>
                </c:pt>
                <c:pt idx="3">
                  <c:v>3270.1657999999998</c:v>
                </c:pt>
                <c:pt idx="4">
                  <c:v>2682.3634999999995</c:v>
                </c:pt>
                <c:pt idx="5">
                  <c:v>2479.5711000000001</c:v>
                </c:pt>
                <c:pt idx="6">
                  <c:v>2369.0702999999999</c:v>
                </c:pt>
                <c:pt idx="7">
                  <c:v>2452.0320999999999</c:v>
                </c:pt>
                <c:pt idx="8">
                  <c:v>2511.7532000000001</c:v>
                </c:pt>
                <c:pt idx="9">
                  <c:v>2566.0532000000003</c:v>
                </c:pt>
                <c:pt idx="10">
                  <c:v>2597.5717</c:v>
                </c:pt>
                <c:pt idx="11">
                  <c:v>2630.7451000000001</c:v>
                </c:pt>
                <c:pt idx="12">
                  <c:v>2673.3849</c:v>
                </c:pt>
                <c:pt idx="13">
                  <c:v>2662.1440999999995</c:v>
                </c:pt>
                <c:pt idx="14">
                  <c:v>2738.7354000000005</c:v>
                </c:pt>
                <c:pt idx="15">
                  <c:v>2831.1171000000004</c:v>
                </c:pt>
                <c:pt idx="16">
                  <c:v>2938.0041999999999</c:v>
                </c:pt>
                <c:pt idx="17">
                  <c:v>3066.2379000000001</c:v>
                </c:pt>
                <c:pt idx="18">
                  <c:v>3344.1806000000001</c:v>
                </c:pt>
                <c:pt idx="19">
                  <c:v>3433.5755999999997</c:v>
                </c:pt>
                <c:pt idx="20">
                  <c:v>3537.5354000000002</c:v>
                </c:pt>
                <c:pt idx="21">
                  <c:v>3619.3252000000002</c:v>
                </c:pt>
                <c:pt idx="22">
                  <c:v>3737.6276000000003</c:v>
                </c:pt>
                <c:pt idx="23">
                  <c:v>3876.1244999999999</c:v>
                </c:pt>
                <c:pt idx="24">
                  <c:v>3935.5322999999999</c:v>
                </c:pt>
                <c:pt idx="25">
                  <c:v>4032.1318000000001</c:v>
                </c:pt>
                <c:pt idx="26">
                  <c:v>4126.8081000000002</c:v>
                </c:pt>
                <c:pt idx="27">
                  <c:v>4241.5833000000002</c:v>
                </c:pt>
                <c:pt idx="28">
                  <c:v>4365.2524999999996</c:v>
                </c:pt>
                <c:pt idx="29">
                  <c:v>4459.585500000001</c:v>
                </c:pt>
                <c:pt idx="30">
                  <c:v>4526.3648000000003</c:v>
                </c:pt>
                <c:pt idx="31">
                  <c:v>4570.1013999999996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D-44D6-BE4B-8FF94A17D739}"/>
            </c:ext>
          </c:extLst>
        </c:ser>
        <c:ser>
          <c:idx val="3"/>
          <c:order val="2"/>
          <c:tx>
            <c:strRef>
              <c:f>KYRemmisionsTIER1!$E$1</c:f>
              <c:strCache>
                <c:ptCount val="1"/>
                <c:pt idx="0">
                  <c:v>NIR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KYRemmisionsTIER1!$B$1:$B$34</c15:sqref>
                  </c15:fullRef>
                </c:ext>
              </c:extLst>
              <c:f>KYRemmisionsTIER1!$B$2:$B$34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KYRemmisionsTIER1!$E$2:$E$34</c15:sqref>
                  </c15:fullRef>
                </c:ext>
              </c:extLst>
              <c:f>KYRemmisionsTIER1!$E$3:$E$34</c:f>
              <c:numCache>
                <c:formatCode>General</c:formatCode>
                <c:ptCount val="32"/>
                <c:pt idx="0">
                  <c:v>2998.0410999999999</c:v>
                </c:pt>
                <c:pt idx="1">
                  <c:v>2820.2444</c:v>
                </c:pt>
                <c:pt idx="2">
                  <c:v>2593.2819999999997</c:v>
                </c:pt>
                <c:pt idx="3">
                  <c:v>2147.9169999999999</c:v>
                </c:pt>
                <c:pt idx="4">
                  <c:v>1986.6959999999999</c:v>
                </c:pt>
                <c:pt idx="5">
                  <c:v>1886.7526</c:v>
                </c:pt>
                <c:pt idx="6">
                  <c:v>1941.3198</c:v>
                </c:pt>
                <c:pt idx="7">
                  <c:v>1985.9118000000001</c:v>
                </c:pt>
                <c:pt idx="8">
                  <c:v>2028.2201</c:v>
                </c:pt>
                <c:pt idx="9">
                  <c:v>2055.6199000000001</c:v>
                </c:pt>
                <c:pt idx="10">
                  <c:v>2084.3848000000003</c:v>
                </c:pt>
                <c:pt idx="11">
                  <c:v>2120.6705000000002</c:v>
                </c:pt>
                <c:pt idx="12">
                  <c:v>2115.8281000000002</c:v>
                </c:pt>
                <c:pt idx="13">
                  <c:v>2175.2254000000003</c:v>
                </c:pt>
                <c:pt idx="14">
                  <c:v>2246.1263999999996</c:v>
                </c:pt>
                <c:pt idx="15">
                  <c:v>2332.5744000000004</c:v>
                </c:pt>
                <c:pt idx="16">
                  <c:v>2434.8090999999999</c:v>
                </c:pt>
                <c:pt idx="17">
                  <c:v>2552.0446999999999</c:v>
                </c:pt>
                <c:pt idx="18">
                  <c:v>2674.1329000000001</c:v>
                </c:pt>
                <c:pt idx="19">
                  <c:v>2732.5639000000001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8D-44D6-BE4B-8FF94A17D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042840"/>
        <c:axId val="1029050760"/>
      </c:lineChart>
      <c:catAx>
        <c:axId val="102904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29050760"/>
        <c:crosses val="autoZero"/>
        <c:auto val="1"/>
        <c:lblAlgn val="ctr"/>
        <c:lblOffset val="100"/>
        <c:noMultiLvlLbl val="0"/>
      </c:catAx>
      <c:valAx>
        <c:axId val="102905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2904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Cattle</a:t>
            </a:r>
            <a:r>
              <a:rPr lang="nl-NL" baseline="0"/>
              <a:t> population</a:t>
            </a:r>
            <a:endParaRPr lang="nl-N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[1]Sheet1!$L$1</c:f>
              <c:strCache>
                <c:ptCount val="1"/>
                <c:pt idx="0">
                  <c:v>Value</c:v>
                </c:pt>
              </c:strCache>
            </c:strRef>
          </c:tx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6451088931451008E-2"/>
                  <c:y val="0.12700166655988537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[1]Sheet1!$J$2:$J$27</c15:sqref>
                  </c15:fullRef>
                </c:ext>
              </c:extLst>
              <c:f>[1]Sheet1!$J$4:$J$27</c:f>
              <c:strCache>
                <c:ptCount val="2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[1]Sheet1!$M$2:$M$27</c15:sqref>
                  </c15:fullRef>
                </c:ext>
              </c:extLst>
              <c:f>[1]Sheet1!$M$4:$M$27</c:f>
              <c:numCache>
                <c:formatCode>General</c:formatCode>
                <c:ptCount val="24"/>
                <c:pt idx="0">
                  <c:v>1367466</c:v>
                </c:pt>
                <c:pt idx="1">
                  <c:v>1404168</c:v>
                </c:pt>
                <c:pt idx="2">
                  <c:v>1458377</c:v>
                </c:pt>
                <c:pt idx="3">
                  <c:v>1492517</c:v>
                </c:pt>
                <c:pt idx="4">
                  <c:v>1527763</c:v>
                </c:pt>
                <c:pt idx="5">
                  <c:v>1575434</c:v>
                </c:pt>
                <c:pt idx="6">
                  <c:v>1627296</c:v>
                </c:pt>
                <c:pt idx="7">
                  <c:v>1680750</c:v>
                </c:pt>
                <c:pt idx="8">
                  <c:v>1715776</c:v>
                </c:pt>
                <c:pt idx="9">
                  <c:v>1750467</c:v>
                </c:pt>
                <c:pt idx="10">
                  <c:v>1783469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D-44BA-8192-BAC7D91AF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891248"/>
        <c:axId val="1"/>
      </c:lineChart>
      <c:catAx>
        <c:axId val="96389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"/>
        <c:crosses val="autoZero"/>
        <c:auto val="1"/>
        <c:lblAlgn val="ctr"/>
        <c:lblOffset val="100"/>
        <c:tickLblSkip val="5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63891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Goat population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6448631421072276E-2"/>
                  <c:y val="9.488720939405558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[1]Sheet1!$J$28:$J$53</c15:sqref>
                  </c15:fullRef>
                </c:ext>
              </c:extLst>
              <c:f>[1]Sheet1!$J$30:$J$53</c:f>
              <c:strCache>
                <c:ptCount val="2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[1]Sheet1!$M$28:$M$53</c15:sqref>
                  </c15:fullRef>
                </c:ext>
              </c:extLst>
              <c:f>[1]Sheet1!$M$30:$M$53</c:f>
              <c:numCache>
                <c:formatCode>General</c:formatCode>
                <c:ptCount val="24"/>
                <c:pt idx="0">
                  <c:v>933777</c:v>
                </c:pt>
                <c:pt idx="1">
                  <c:v>960391</c:v>
                </c:pt>
                <c:pt idx="2">
                  <c:v>910246</c:v>
                </c:pt>
                <c:pt idx="3">
                  <c:v>869794</c:v>
                </c:pt>
                <c:pt idx="4">
                  <c:v>856904</c:v>
                </c:pt>
                <c:pt idx="5">
                  <c:v>820043</c:v>
                </c:pt>
                <c:pt idx="6">
                  <c:v>806949</c:v>
                </c:pt>
                <c:pt idx="7">
                  <c:v>801133</c:v>
                </c:pt>
                <c:pt idx="8">
                  <c:v>770704</c:v>
                </c:pt>
                <c:pt idx="9">
                  <c:v>742507</c:v>
                </c:pt>
                <c:pt idx="10">
                  <c:v>685368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BC-4301-B8FC-D64B263D9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889448"/>
        <c:axId val="1"/>
      </c:lineChart>
      <c:catAx>
        <c:axId val="96388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"/>
        <c:crosses val="autoZero"/>
        <c:auto val="1"/>
        <c:lblAlgn val="ctr"/>
        <c:lblOffset val="100"/>
        <c:tickLblSkip val="5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63889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Sheep population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030839895013124E-2"/>
                  <c:y val="-5.662438028579761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[1]Sheet1!$J$54:$J$79</c15:sqref>
                  </c15:fullRef>
                </c:ext>
              </c:extLst>
              <c:f>[1]Sheet1!$J$61:$J$79</c:f>
              <c:strCache>
                <c:ptCount val="19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[1]Sheet1!$M$54:$M$79</c15:sqref>
                  </c15:fullRef>
                </c:ext>
              </c:extLst>
              <c:f>[1]Sheet1!$M$61:$M$79</c:f>
              <c:numCache>
                <c:formatCode>General</c:formatCode>
                <c:ptCount val="19"/>
                <c:pt idx="0">
                  <c:v>5257732</c:v>
                </c:pt>
                <c:pt idx="1">
                  <c:v>5361000</c:v>
                </c:pt>
                <c:pt idx="2">
                  <c:v>5465606</c:v>
                </c:pt>
                <c:pt idx="3">
                  <c:v>5508032</c:v>
                </c:pt>
                <c:pt idx="4">
                  <c:v>5535597</c:v>
                </c:pt>
                <c:pt idx="5">
                  <c:v>5515593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1D-49DF-B0E4-1FE039683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967200"/>
        <c:axId val="1"/>
      </c:lineChart>
      <c:catAx>
        <c:axId val="80396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3967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56</xdr:row>
      <xdr:rowOff>131762</xdr:rowOff>
    </xdr:from>
    <xdr:to>
      <xdr:col>7</xdr:col>
      <xdr:colOff>371475</xdr:colOff>
      <xdr:row>67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DE6ADE-92D8-85D0-EEEF-42A372702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41274</xdr:colOff>
      <xdr:row>48</xdr:row>
      <xdr:rowOff>179385</xdr:rowOff>
    </xdr:from>
    <xdr:to>
      <xdr:col>21</xdr:col>
      <xdr:colOff>415925</xdr:colOff>
      <xdr:row>61</xdr:row>
      <xdr:rowOff>174624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5964EB-8787-00D6-2C9E-DF5230CCE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1</xdr:row>
      <xdr:rowOff>144462</xdr:rowOff>
    </xdr:from>
    <xdr:to>
      <xdr:col>15</xdr:col>
      <xdr:colOff>409575</xdr:colOff>
      <xdr:row>16</xdr:row>
      <xdr:rowOff>20637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E112A9-9775-5F27-3CE0-74E520ECD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485499</xdr:colOff>
      <xdr:row>1</xdr:row>
      <xdr:rowOff>140803</xdr:rowOff>
    </xdr:from>
    <xdr:to>
      <xdr:col>22</xdr:col>
      <xdr:colOff>414131</xdr:colOff>
      <xdr:row>16</xdr:row>
      <xdr:rowOff>8282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83C3D7C-9C52-9C28-506A-D88ED9A0C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5</xdr:row>
      <xdr:rowOff>152399</xdr:rowOff>
    </xdr:from>
    <xdr:to>
      <xdr:col>17</xdr:col>
      <xdr:colOff>111125</xdr:colOff>
      <xdr:row>26</xdr:row>
      <xdr:rowOff>22224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028AA3-9F52-0AA9-808C-139F73E1F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342899</xdr:colOff>
      <xdr:row>88</xdr:row>
      <xdr:rowOff>28575</xdr:rowOff>
    </xdr:from>
    <xdr:to>
      <xdr:col>10</xdr:col>
      <xdr:colOff>314324</xdr:colOff>
      <xdr:row>99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E0F0B1-17C0-4A2B-93A0-26AD4C963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425450</xdr:colOff>
      <xdr:row>88</xdr:row>
      <xdr:rowOff>19051</xdr:rowOff>
    </xdr:from>
    <xdr:to>
      <xdr:col>15</xdr:col>
      <xdr:colOff>400050</xdr:colOff>
      <xdr:row>100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9B18F3-6898-4E42-8483-B64C3F29A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25399</xdr:colOff>
      <xdr:row>88</xdr:row>
      <xdr:rowOff>19051</xdr:rowOff>
    </xdr:from>
    <xdr:to>
      <xdr:col>5</xdr:col>
      <xdr:colOff>200024</xdr:colOff>
      <xdr:row>100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5FACD2-DDFC-490D-A78B-E94840A64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Rfiles\WB\CCDRKYR\KYRCCDR1\FAOSTAT%20data\Population%20growth%20ruminants.xls" TargetMode="External"/><Relationship Id="rId1" Type="http://schemas.openxmlformats.org/officeDocument/2006/relationships/externalLinkPath" Target="FAOSTAT%20data/Population%20growth%20ruminan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L1" t="str">
            <v>Value</v>
          </cell>
        </row>
        <row r="2">
          <cell r="J2" t="str">
            <v>2010</v>
          </cell>
          <cell r="M2">
            <v>1298825</v>
          </cell>
        </row>
        <row r="3">
          <cell r="J3" t="str">
            <v>2011</v>
          </cell>
          <cell r="M3">
            <v>1338583</v>
          </cell>
        </row>
        <row r="4">
          <cell r="J4" t="str">
            <v>2012</v>
          </cell>
          <cell r="M4">
            <v>1367466</v>
          </cell>
        </row>
        <row r="5">
          <cell r="J5" t="str">
            <v>2013</v>
          </cell>
          <cell r="M5">
            <v>1404168</v>
          </cell>
        </row>
        <row r="6">
          <cell r="J6" t="str">
            <v>2014</v>
          </cell>
          <cell r="M6">
            <v>1458377</v>
          </cell>
        </row>
        <row r="7">
          <cell r="J7" t="str">
            <v>2015</v>
          </cell>
          <cell r="M7">
            <v>1492517</v>
          </cell>
        </row>
        <row r="8">
          <cell r="J8" t="str">
            <v>2016</v>
          </cell>
          <cell r="M8">
            <v>1527763</v>
          </cell>
        </row>
        <row r="9">
          <cell r="J9" t="str">
            <v>2017</v>
          </cell>
          <cell r="M9">
            <v>1575434</v>
          </cell>
        </row>
        <row r="10">
          <cell r="J10" t="str">
            <v>2018</v>
          </cell>
          <cell r="M10">
            <v>1627296</v>
          </cell>
        </row>
        <row r="11">
          <cell r="J11" t="str">
            <v>2019</v>
          </cell>
          <cell r="M11">
            <v>1680750</v>
          </cell>
        </row>
        <row r="12">
          <cell r="J12" t="str">
            <v>2020</v>
          </cell>
          <cell r="M12">
            <v>1715776</v>
          </cell>
        </row>
        <row r="13">
          <cell r="J13" t="str">
            <v>2021</v>
          </cell>
          <cell r="M13">
            <v>1750467</v>
          </cell>
        </row>
        <row r="14">
          <cell r="J14" t="str">
            <v>2022</v>
          </cell>
          <cell r="M14">
            <v>1783469</v>
          </cell>
        </row>
        <row r="15">
          <cell r="J15" t="str">
            <v>2023</v>
          </cell>
        </row>
        <row r="16">
          <cell r="J16" t="str">
            <v>2024</v>
          </cell>
        </row>
        <row r="17">
          <cell r="J17" t="str">
            <v>2025</v>
          </cell>
        </row>
        <row r="18">
          <cell r="J18" t="str">
            <v>2026</v>
          </cell>
        </row>
        <row r="19">
          <cell r="J19" t="str">
            <v>2027</v>
          </cell>
        </row>
        <row r="20">
          <cell r="J20" t="str">
            <v>2028</v>
          </cell>
        </row>
        <row r="21">
          <cell r="J21" t="str">
            <v>2029</v>
          </cell>
        </row>
        <row r="22">
          <cell r="J22" t="str">
            <v>2030</v>
          </cell>
        </row>
        <row r="23">
          <cell r="J23" t="str">
            <v>2031</v>
          </cell>
        </row>
        <row r="24">
          <cell r="J24" t="str">
            <v>2032</v>
          </cell>
        </row>
        <row r="25">
          <cell r="J25" t="str">
            <v>2033</v>
          </cell>
        </row>
        <row r="26">
          <cell r="J26" t="str">
            <v>2034</v>
          </cell>
        </row>
        <row r="27">
          <cell r="J27" t="str">
            <v>2035</v>
          </cell>
        </row>
        <row r="28">
          <cell r="J28" t="str">
            <v>2010</v>
          </cell>
          <cell r="M28">
            <v>942484</v>
          </cell>
        </row>
        <row r="29">
          <cell r="J29" t="str">
            <v>2011</v>
          </cell>
          <cell r="M29">
            <v>973439</v>
          </cell>
        </row>
        <row r="30">
          <cell r="J30" t="str">
            <v>2012</v>
          </cell>
          <cell r="M30">
            <v>933777</v>
          </cell>
        </row>
        <row r="31">
          <cell r="J31" t="str">
            <v>2013</v>
          </cell>
          <cell r="M31">
            <v>960391</v>
          </cell>
        </row>
        <row r="32">
          <cell r="J32" t="str">
            <v>2014</v>
          </cell>
          <cell r="M32">
            <v>910246</v>
          </cell>
        </row>
        <row r="33">
          <cell r="J33" t="str">
            <v>2015</v>
          </cell>
          <cell r="M33">
            <v>869794</v>
          </cell>
        </row>
        <row r="34">
          <cell r="J34" t="str">
            <v>2016</v>
          </cell>
          <cell r="M34">
            <v>856904</v>
          </cell>
        </row>
        <row r="35">
          <cell r="J35" t="str">
            <v>2017</v>
          </cell>
          <cell r="M35">
            <v>820043</v>
          </cell>
        </row>
        <row r="36">
          <cell r="J36" t="str">
            <v>2018</v>
          </cell>
          <cell r="M36">
            <v>806949</v>
          </cell>
        </row>
        <row r="37">
          <cell r="J37" t="str">
            <v>2019</v>
          </cell>
          <cell r="M37">
            <v>801133</v>
          </cell>
        </row>
        <row r="38">
          <cell r="J38" t="str">
            <v>2020</v>
          </cell>
          <cell r="M38">
            <v>770704</v>
          </cell>
        </row>
        <row r="39">
          <cell r="J39" t="str">
            <v>2021</v>
          </cell>
          <cell r="M39">
            <v>742507</v>
          </cell>
        </row>
        <row r="40">
          <cell r="J40" t="str">
            <v>2022</v>
          </cell>
          <cell r="M40">
            <v>685368</v>
          </cell>
        </row>
        <row r="41">
          <cell r="J41" t="str">
            <v>2023</v>
          </cell>
        </row>
        <row r="42">
          <cell r="J42" t="str">
            <v>2024</v>
          </cell>
        </row>
        <row r="43">
          <cell r="J43" t="str">
            <v>2025</v>
          </cell>
        </row>
        <row r="44">
          <cell r="J44" t="str">
            <v>2026</v>
          </cell>
        </row>
        <row r="45">
          <cell r="J45" t="str">
            <v>2027</v>
          </cell>
        </row>
        <row r="46">
          <cell r="J46" t="str">
            <v>2028</v>
          </cell>
        </row>
        <row r="47">
          <cell r="J47" t="str">
            <v>2029</v>
          </cell>
        </row>
        <row r="48">
          <cell r="J48" t="str">
            <v>2030</v>
          </cell>
        </row>
        <row r="49">
          <cell r="J49" t="str">
            <v>2031</v>
          </cell>
        </row>
        <row r="50">
          <cell r="J50" t="str">
            <v>2032</v>
          </cell>
        </row>
        <row r="51">
          <cell r="J51" t="str">
            <v>2033</v>
          </cell>
        </row>
        <row r="52">
          <cell r="J52" t="str">
            <v>2034</v>
          </cell>
        </row>
        <row r="53">
          <cell r="J53" t="str">
            <v>2035</v>
          </cell>
        </row>
        <row r="54">
          <cell r="J54" t="str">
            <v>2010</v>
          </cell>
          <cell r="M54">
            <v>4095231</v>
          </cell>
        </row>
        <row r="55">
          <cell r="J55" t="str">
            <v>2011</v>
          </cell>
          <cell r="M55">
            <v>4314676</v>
          </cell>
        </row>
        <row r="56">
          <cell r="J56" t="str">
            <v>2012</v>
          </cell>
          <cell r="M56">
            <v>4490104</v>
          </cell>
        </row>
        <row r="57">
          <cell r="J57" t="str">
            <v>2013</v>
          </cell>
          <cell r="M57">
            <v>4680823</v>
          </cell>
        </row>
        <row r="58">
          <cell r="J58" t="str">
            <v>2014</v>
          </cell>
          <cell r="M58">
            <v>4918778</v>
          </cell>
        </row>
        <row r="59">
          <cell r="J59" t="str">
            <v>2015</v>
          </cell>
          <cell r="M59">
            <v>5059735</v>
          </cell>
        </row>
        <row r="60">
          <cell r="J60" t="str">
            <v>2016</v>
          </cell>
          <cell r="M60">
            <v>5165650</v>
          </cell>
        </row>
        <row r="61">
          <cell r="J61" t="str">
            <v>2017</v>
          </cell>
          <cell r="M61">
            <v>5257732</v>
          </cell>
        </row>
        <row r="62">
          <cell r="J62" t="str">
            <v>2018</v>
          </cell>
          <cell r="M62">
            <v>5361000</v>
          </cell>
        </row>
        <row r="63">
          <cell r="J63" t="str">
            <v>2019</v>
          </cell>
          <cell r="M63">
            <v>5465606</v>
          </cell>
        </row>
        <row r="64">
          <cell r="J64" t="str">
            <v>2020</v>
          </cell>
          <cell r="M64">
            <v>5508032</v>
          </cell>
        </row>
        <row r="65">
          <cell r="J65" t="str">
            <v>2021</v>
          </cell>
          <cell r="M65">
            <v>5535597</v>
          </cell>
        </row>
        <row r="66">
          <cell r="J66" t="str">
            <v>2022</v>
          </cell>
          <cell r="M66">
            <v>5515593</v>
          </cell>
        </row>
        <row r="67">
          <cell r="J67" t="str">
            <v>2023</v>
          </cell>
        </row>
        <row r="68">
          <cell r="J68" t="str">
            <v>2024</v>
          </cell>
        </row>
        <row r="69">
          <cell r="J69" t="str">
            <v>2025</v>
          </cell>
        </row>
        <row r="70">
          <cell r="J70" t="str">
            <v>2026</v>
          </cell>
        </row>
        <row r="71">
          <cell r="J71" t="str">
            <v>2027</v>
          </cell>
        </row>
        <row r="72">
          <cell r="J72" t="str">
            <v>2028</v>
          </cell>
        </row>
        <row r="73">
          <cell r="J73" t="str">
            <v>2029</v>
          </cell>
        </row>
        <row r="74">
          <cell r="J74" t="str">
            <v>2030</v>
          </cell>
        </row>
        <row r="75">
          <cell r="J75" t="str">
            <v>2031</v>
          </cell>
        </row>
        <row r="76">
          <cell r="J76" t="str">
            <v>2032</v>
          </cell>
        </row>
        <row r="77">
          <cell r="J77" t="str">
            <v>2033</v>
          </cell>
        </row>
        <row r="78">
          <cell r="J78" t="str">
            <v>2034</v>
          </cell>
        </row>
        <row r="79">
          <cell r="J79" t="str">
            <v>2035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oleman, Merel" id="{A40C02F9-D378-440E-A0EC-344335FDDB58}" userId="S::merel.moleman@wur.nl::206746e2-e35d-4a7a-aa10-884d5fcfcc3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9" dT="2025-02-12T14:51:44.16" personId="{A40C02F9-D378-440E-A0EC-344335FDDB58}" id="{6B674857-F948-41A0-9CF4-B28ECE41C23E}">
    <text>Seemed to low: used gleam default values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5FE07-4726-4546-AB0B-11A0CDE97FCB}">
  <dimension ref="A1:AB96"/>
  <sheetViews>
    <sheetView zoomScale="70" zoomScaleNormal="70" workbookViewId="0">
      <pane xSplit="2" ySplit="3" topLeftCell="P4" activePane="bottomRight" state="frozen"/>
      <selection pane="topRight" activeCell="C1" sqref="C1"/>
      <selection pane="bottomLeft" activeCell="A4" sqref="A4"/>
      <selection pane="bottomRight" activeCell="W9" sqref="W9:Y21"/>
    </sheetView>
  </sheetViews>
  <sheetFormatPr defaultColWidth="8.7265625" defaultRowHeight="14.5"/>
  <cols>
    <col min="2" max="2" width="44.90625" customWidth="1"/>
    <col min="3" max="5" width="12.453125" customWidth="1"/>
    <col min="6" max="7" width="12.453125" hidden="1" customWidth="1"/>
    <col min="8" max="8" width="15" customWidth="1"/>
    <col min="9" max="9" width="12.453125" hidden="1" customWidth="1"/>
    <col min="10" max="10" width="12.453125" style="68" hidden="1" customWidth="1"/>
    <col min="11" max="11" width="12.453125" hidden="1" customWidth="1"/>
    <col min="12" max="12" width="12.453125" style="68" hidden="1" customWidth="1"/>
    <col min="13" max="13" width="14.54296875" customWidth="1"/>
    <col min="14" max="14" width="12.453125" customWidth="1"/>
    <col min="15" max="15" width="12.453125" style="68" customWidth="1"/>
    <col min="16" max="16" width="12.453125" customWidth="1"/>
    <col min="17" max="17" width="12.453125" style="34" customWidth="1"/>
    <col min="18" max="18" width="12.6328125" customWidth="1"/>
    <col min="19" max="20" width="12.453125" style="21" customWidth="1"/>
    <col min="23" max="23" width="42.26953125" customWidth="1"/>
    <col min="24" max="25" width="18.7265625" customWidth="1"/>
    <col min="27" max="27" width="12.1796875" bestFit="1" customWidth="1"/>
  </cols>
  <sheetData>
    <row r="1" spans="1:28">
      <c r="C1" s="78" t="s">
        <v>0</v>
      </c>
      <c r="D1" s="78" t="s">
        <v>0</v>
      </c>
      <c r="E1" s="78" t="s">
        <v>0</v>
      </c>
      <c r="F1" s="78" t="s">
        <v>1</v>
      </c>
      <c r="G1" s="78" t="s">
        <v>1</v>
      </c>
      <c r="H1" s="78" t="s">
        <v>1</v>
      </c>
      <c r="I1" s="78" t="s">
        <v>2</v>
      </c>
      <c r="J1" s="78" t="s">
        <v>2</v>
      </c>
      <c r="K1" s="78" t="s">
        <v>2</v>
      </c>
      <c r="L1" s="78" t="s">
        <v>2</v>
      </c>
      <c r="M1" s="78" t="s">
        <v>2</v>
      </c>
      <c r="N1" s="78" t="s">
        <v>3</v>
      </c>
      <c r="O1" s="78" t="s">
        <v>3</v>
      </c>
      <c r="P1" s="78" t="s">
        <v>3</v>
      </c>
      <c r="Q1" s="78" t="s">
        <v>3</v>
      </c>
      <c r="R1" s="78" t="s">
        <v>3</v>
      </c>
      <c r="S1" s="163" t="s">
        <v>148</v>
      </c>
      <c r="T1" s="164"/>
    </row>
    <row r="2" spans="1:28">
      <c r="A2" s="6"/>
      <c r="B2" s="6" t="s">
        <v>4</v>
      </c>
      <c r="C2" s="11" t="s">
        <v>5</v>
      </c>
      <c r="D2" s="8" t="s">
        <v>6</v>
      </c>
      <c r="E2" s="7" t="s">
        <v>7</v>
      </c>
      <c r="F2" s="11" t="s">
        <v>5</v>
      </c>
      <c r="G2" s="8" t="s">
        <v>6</v>
      </c>
      <c r="H2" s="7" t="s">
        <v>7</v>
      </c>
      <c r="I2" s="11" t="s">
        <v>5</v>
      </c>
      <c r="J2" s="34"/>
      <c r="K2" s="8" t="s">
        <v>6</v>
      </c>
      <c r="L2" s="34"/>
      <c r="M2" s="7" t="s">
        <v>7</v>
      </c>
      <c r="N2" s="11" t="s">
        <v>5</v>
      </c>
      <c r="O2" s="34"/>
      <c r="P2" s="8" t="s">
        <v>6</v>
      </c>
      <c r="R2" s="7" t="s">
        <v>7</v>
      </c>
      <c r="S2" s="11" t="s">
        <v>5</v>
      </c>
      <c r="T2" s="8" t="s">
        <v>6</v>
      </c>
    </row>
    <row r="3" spans="1:28">
      <c r="A3" s="6" t="s">
        <v>8</v>
      </c>
      <c r="B3" s="6" t="s">
        <v>9</v>
      </c>
      <c r="C3" s="11">
        <v>2022</v>
      </c>
      <c r="D3" s="8">
        <v>2022</v>
      </c>
      <c r="E3" s="7">
        <v>2050</v>
      </c>
      <c r="F3" s="11">
        <v>2050</v>
      </c>
      <c r="G3" s="8">
        <v>2050</v>
      </c>
      <c r="H3" s="7">
        <v>2050</v>
      </c>
      <c r="I3" s="11">
        <v>2050</v>
      </c>
      <c r="J3" s="34"/>
      <c r="K3" s="8">
        <v>2050</v>
      </c>
      <c r="L3" s="34"/>
      <c r="M3" s="7">
        <v>2050</v>
      </c>
      <c r="N3" s="11">
        <v>2050</v>
      </c>
      <c r="O3" s="34"/>
      <c r="P3" s="8">
        <v>2050</v>
      </c>
      <c r="R3" s="7">
        <v>2050</v>
      </c>
      <c r="S3" s="7"/>
      <c r="T3" s="7"/>
    </row>
    <row r="4" spans="1:28">
      <c r="A4" s="1" t="s">
        <v>10</v>
      </c>
      <c r="B4" s="4" t="s">
        <v>11</v>
      </c>
      <c r="C4" s="131">
        <v>27</v>
      </c>
      <c r="D4" s="131">
        <v>27</v>
      </c>
      <c r="E4" s="94">
        <f>(C4*C$16+D4*D$16)/(C$16+D$16)</f>
        <v>27</v>
      </c>
      <c r="F4" s="25">
        <f t="shared" ref="F4:F15" si="0">C4</f>
        <v>27</v>
      </c>
      <c r="G4" s="26">
        <f t="shared" ref="G4:G15" si="1">D4</f>
        <v>27</v>
      </c>
      <c r="H4" s="76">
        <f>(F4*F$16+G4*G$16)/(F$16+G$16)</f>
        <v>26.999999999999996</v>
      </c>
      <c r="I4" s="65">
        <v>25</v>
      </c>
      <c r="J4" s="80">
        <f>IF(F4=I4,"",(I4-F4)/F4)</f>
        <v>-7.407407407407407E-2</v>
      </c>
      <c r="K4" s="26">
        <f t="shared" ref="K4:K18" si="2">G4*(1+L4)</f>
        <v>27</v>
      </c>
      <c r="L4" s="80"/>
      <c r="M4" s="93">
        <f>(I4*I$16+K4*K$16)/(I$16+K$16)</f>
        <v>26.228898830803679</v>
      </c>
      <c r="N4" s="26">
        <f>F4*(1+O4)</f>
        <v>23.275862068965516</v>
      </c>
      <c r="O4" s="67">
        <v>-0.13793103448275862</v>
      </c>
      <c r="P4" s="26">
        <f>G4*(1+Q4)</f>
        <v>27</v>
      </c>
      <c r="Q4" s="67"/>
      <c r="R4" s="94">
        <f>(N4*N$16+P4*P$16)/(N$16+P$16)</f>
        <v>25.564156443565473</v>
      </c>
      <c r="S4" s="92">
        <f>N4</f>
        <v>23.275862068965516</v>
      </c>
      <c r="T4" s="92">
        <f>P4</f>
        <v>27</v>
      </c>
    </row>
    <row r="5" spans="1:28">
      <c r="A5" s="1" t="s">
        <v>10</v>
      </c>
      <c r="B5" s="4" t="s">
        <v>12</v>
      </c>
      <c r="C5" s="131">
        <v>7</v>
      </c>
      <c r="D5" s="131">
        <v>9</v>
      </c>
      <c r="E5" s="94">
        <f t="shared" ref="E5:E15" si="3">(C5*C$16+D5*D$16)/(C$16+D$16)</f>
        <v>8.0302842495137838</v>
      </c>
      <c r="F5" s="25">
        <f t="shared" si="0"/>
        <v>7</v>
      </c>
      <c r="G5" s="26">
        <f t="shared" si="1"/>
        <v>9</v>
      </c>
      <c r="H5" s="76">
        <f t="shared" ref="H5:H18" si="4">(F5*F$16+G5*G$16)/(F$16+G$16)</f>
        <v>8.228898830803681</v>
      </c>
      <c r="I5" s="66">
        <f>F5*0.9</f>
        <v>6.3</v>
      </c>
      <c r="J5" s="80">
        <f>IF(F5=I5,"",(I5-F5)/F5)</f>
        <v>-0.10000000000000002</v>
      </c>
      <c r="K5" s="26">
        <f t="shared" si="2"/>
        <v>9</v>
      </c>
      <c r="L5" s="80"/>
      <c r="M5" s="94">
        <f>(I5*$I$16+K5*$K$16)/($I$16+$K$16)</f>
        <v>7.9590134215849684</v>
      </c>
      <c r="N5" s="26">
        <f t="shared" ref="N5:N19" si="5">F5*(1+O5)</f>
        <v>6.3</v>
      </c>
      <c r="O5" s="80">
        <v>-0.1</v>
      </c>
      <c r="P5" s="26">
        <f t="shared" ref="P5:P19" si="6">G5*(1+Q5)</f>
        <v>8.5499999999999989</v>
      </c>
      <c r="Q5" s="80">
        <v>-0.05</v>
      </c>
      <c r="R5" s="94">
        <f t="shared" ref="R5:R15" si="7">(N5*N$16+P5*P$16)/(N$16+P$16)</f>
        <v>7.6825111846541398</v>
      </c>
      <c r="S5" s="92">
        <f t="shared" ref="S5:S19" si="8">N5</f>
        <v>6.3</v>
      </c>
      <c r="T5" s="92">
        <f t="shared" ref="T5:T19" si="9">P5</f>
        <v>8.5499999999999989</v>
      </c>
    </row>
    <row r="6" spans="1:28">
      <c r="A6" s="1" t="s">
        <v>10</v>
      </c>
      <c r="B6" s="4" t="s">
        <v>13</v>
      </c>
      <c r="C6" s="131">
        <v>4</v>
      </c>
      <c r="D6" s="131">
        <v>6</v>
      </c>
      <c r="E6" s="94">
        <f t="shared" si="3"/>
        <v>5.0302842495137847</v>
      </c>
      <c r="F6" s="25">
        <f t="shared" si="0"/>
        <v>4</v>
      </c>
      <c r="G6" s="26">
        <f t="shared" si="1"/>
        <v>6</v>
      </c>
      <c r="H6" s="76">
        <f t="shared" si="4"/>
        <v>5.2288988308036792</v>
      </c>
      <c r="I6" s="66">
        <f t="shared" ref="I6:I7" si="10">F6*0.9</f>
        <v>3.6</v>
      </c>
      <c r="J6" s="80">
        <f t="shared" ref="J6:J18" si="11">IF(F6=I6,"",(I6-F6)/F6)</f>
        <v>-9.9999999999999978E-2</v>
      </c>
      <c r="K6" s="26">
        <f t="shared" si="2"/>
        <v>6</v>
      </c>
      <c r="L6" s="80"/>
      <c r="M6" s="94">
        <f>(I6*$I$16+K6*$K$16)/($I$16+$K$16)</f>
        <v>5.0746785969644161</v>
      </c>
      <c r="N6" s="26">
        <f t="shared" si="5"/>
        <v>3.6</v>
      </c>
      <c r="O6" s="80">
        <v>-0.1</v>
      </c>
      <c r="P6" s="26">
        <f t="shared" si="6"/>
        <v>5.6999999999999993</v>
      </c>
      <c r="Q6" s="80">
        <v>-0.05</v>
      </c>
      <c r="R6" s="94">
        <f t="shared" si="7"/>
        <v>4.8903437723438641</v>
      </c>
      <c r="S6" s="92">
        <f t="shared" si="8"/>
        <v>3.6</v>
      </c>
      <c r="T6" s="92">
        <f t="shared" si="9"/>
        <v>5.6999999999999993</v>
      </c>
    </row>
    <row r="7" spans="1:28">
      <c r="A7" s="1" t="s">
        <v>10</v>
      </c>
      <c r="B7" s="4" t="s">
        <v>14</v>
      </c>
      <c r="C7" s="131">
        <v>4</v>
      </c>
      <c r="D7" s="131">
        <v>6</v>
      </c>
      <c r="E7" s="18">
        <f t="shared" si="3"/>
        <v>5.0302842495137847</v>
      </c>
      <c r="F7" s="26">
        <f t="shared" si="0"/>
        <v>4</v>
      </c>
      <c r="G7" s="26">
        <f t="shared" si="1"/>
        <v>6</v>
      </c>
      <c r="H7" s="76">
        <f t="shared" si="4"/>
        <v>5.2288988308036792</v>
      </c>
      <c r="I7" s="66">
        <f t="shared" si="10"/>
        <v>3.6</v>
      </c>
      <c r="J7" s="80">
        <f t="shared" si="11"/>
        <v>-9.9999999999999978E-2</v>
      </c>
      <c r="K7" s="26">
        <f t="shared" si="2"/>
        <v>6</v>
      </c>
      <c r="L7" s="80"/>
      <c r="M7" s="18">
        <f>(I7*$I$16+K7*$K$16)/($I$16+$K$16)</f>
        <v>5.0746785969644161</v>
      </c>
      <c r="N7" s="26">
        <f t="shared" si="5"/>
        <v>3.6</v>
      </c>
      <c r="O7" s="80">
        <v>-0.1</v>
      </c>
      <c r="P7" s="26">
        <f t="shared" si="6"/>
        <v>5.6999999999999993</v>
      </c>
      <c r="Q7" s="80">
        <v>-0.05</v>
      </c>
      <c r="R7" s="18">
        <f t="shared" si="7"/>
        <v>4.8903437723438641</v>
      </c>
      <c r="S7" s="92">
        <f t="shared" si="8"/>
        <v>3.6</v>
      </c>
      <c r="T7" s="92">
        <f t="shared" si="9"/>
        <v>5.6999999999999993</v>
      </c>
    </row>
    <row r="8" spans="1:28">
      <c r="A8" s="1" t="s">
        <v>10</v>
      </c>
      <c r="B8" s="4" t="s">
        <v>15</v>
      </c>
      <c r="C8" s="26">
        <v>80</v>
      </c>
      <c r="D8" s="28">
        <v>70.096496448367702</v>
      </c>
      <c r="E8" s="18">
        <f t="shared" si="3"/>
        <v>74.898288137874701</v>
      </c>
      <c r="F8" s="26">
        <f t="shared" si="0"/>
        <v>80</v>
      </c>
      <c r="G8" s="26">
        <f t="shared" si="1"/>
        <v>70.096496448367702</v>
      </c>
      <c r="H8" s="76">
        <f t="shared" si="4"/>
        <v>73.914798032269502</v>
      </c>
      <c r="I8" s="26">
        <v>82.4</v>
      </c>
      <c r="J8" s="80">
        <f>IF(F8=I8,"",(I8-F8)/F8)</f>
        <v>3.0000000000000072E-2</v>
      </c>
      <c r="K8" s="26">
        <f t="shared" si="2"/>
        <v>72.199391341818739</v>
      </c>
      <c r="L8" s="80">
        <v>3.00000000000001E-2</v>
      </c>
      <c r="M8" s="18">
        <f>(I8*$I$16+K8*$K$16)/($I$16+$K$16)</f>
        <v>76.132241973237583</v>
      </c>
      <c r="N8" s="26">
        <f>F8*(1+O8)</f>
        <v>84</v>
      </c>
      <c r="O8" s="95">
        <v>0.05</v>
      </c>
      <c r="P8" s="26">
        <f t="shared" si="6"/>
        <v>73.601321270786087</v>
      </c>
      <c r="Q8" s="95">
        <v>0.05</v>
      </c>
      <c r="R8" s="18">
        <f t="shared" si="7"/>
        <v>77.610537933882952</v>
      </c>
      <c r="S8" s="92">
        <f t="shared" si="8"/>
        <v>84</v>
      </c>
      <c r="T8" s="92">
        <f t="shared" si="9"/>
        <v>73.601321270786087</v>
      </c>
      <c r="AA8" s="60"/>
    </row>
    <row r="9" spans="1:28">
      <c r="A9" s="1" t="s">
        <v>10</v>
      </c>
      <c r="B9" s="4" t="s">
        <v>16</v>
      </c>
      <c r="C9" s="26">
        <v>370</v>
      </c>
      <c r="D9" s="28">
        <f>C9</f>
        <v>370</v>
      </c>
      <c r="E9" s="18">
        <f t="shared" si="3"/>
        <v>370</v>
      </c>
      <c r="F9" s="26">
        <f t="shared" si="0"/>
        <v>370</v>
      </c>
      <c r="G9" s="26">
        <f t="shared" si="1"/>
        <v>370</v>
      </c>
      <c r="H9" s="76">
        <f t="shared" si="4"/>
        <v>370.00000000000006</v>
      </c>
      <c r="I9" s="26">
        <v>444</v>
      </c>
      <c r="J9" s="80">
        <f t="shared" si="11"/>
        <v>0.2</v>
      </c>
      <c r="K9" s="26">
        <f t="shared" si="2"/>
        <v>462.5</v>
      </c>
      <c r="L9" s="80">
        <v>0.25</v>
      </c>
      <c r="M9" s="18">
        <f>(I9*$I$16+K9*$K$16)/($I$16+$K$16)</f>
        <v>455.367314184934</v>
      </c>
      <c r="N9" s="26">
        <f>F9*(1+O9)</f>
        <v>444</v>
      </c>
      <c r="O9" s="136">
        <v>0.2</v>
      </c>
      <c r="P9" s="26">
        <f t="shared" si="6"/>
        <v>462.5</v>
      </c>
      <c r="Q9" s="95">
        <v>0.25</v>
      </c>
      <c r="R9" s="18">
        <f t="shared" si="7"/>
        <v>455.367314184934</v>
      </c>
      <c r="S9" s="92">
        <f t="shared" si="8"/>
        <v>444</v>
      </c>
      <c r="T9" s="92">
        <f t="shared" si="9"/>
        <v>462.5</v>
      </c>
      <c r="W9" s="12" t="s">
        <v>207</v>
      </c>
      <c r="X9" s="12"/>
      <c r="Y9" s="12"/>
    </row>
    <row r="10" spans="1:28">
      <c r="A10" s="1" t="s">
        <v>10</v>
      </c>
      <c r="B10" s="4" t="s">
        <v>17</v>
      </c>
      <c r="C10" s="131">
        <v>480</v>
      </c>
      <c r="D10" s="131">
        <v>480</v>
      </c>
      <c r="E10" s="18">
        <f t="shared" si="3"/>
        <v>479.99999999999994</v>
      </c>
      <c r="F10" s="26">
        <f t="shared" si="0"/>
        <v>480</v>
      </c>
      <c r="G10" s="26">
        <f t="shared" si="1"/>
        <v>480</v>
      </c>
      <c r="H10" s="76">
        <f t="shared" si="4"/>
        <v>480</v>
      </c>
      <c r="I10" s="26">
        <f t="shared" ref="I10:I11" si="12">F10*(1+20/100)</f>
        <v>576</v>
      </c>
      <c r="J10" s="80">
        <f t="shared" si="11"/>
        <v>0.2</v>
      </c>
      <c r="K10" s="26">
        <f>G10*(1+L10)</f>
        <v>600</v>
      </c>
      <c r="L10" s="80">
        <v>0.25</v>
      </c>
      <c r="M10" s="18">
        <f t="shared" ref="M10:M13" si="13">(I10*I$16+K10*K$16)/(I$16+K$16)</f>
        <v>590.74678596964418</v>
      </c>
      <c r="N10" s="26">
        <f t="shared" si="5"/>
        <v>576</v>
      </c>
      <c r="O10" s="136">
        <v>0.2</v>
      </c>
      <c r="P10" s="26">
        <f t="shared" si="6"/>
        <v>600</v>
      </c>
      <c r="Q10" s="95">
        <v>0.25</v>
      </c>
      <c r="R10" s="18">
        <f t="shared" si="7"/>
        <v>590.74678596964418</v>
      </c>
      <c r="S10" s="92">
        <f t="shared" si="8"/>
        <v>576</v>
      </c>
      <c r="T10" s="92">
        <f t="shared" si="9"/>
        <v>600</v>
      </c>
      <c r="W10" s="12"/>
      <c r="X10" s="12" t="s">
        <v>139</v>
      </c>
      <c r="Y10" s="12" t="s">
        <v>140</v>
      </c>
    </row>
    <row r="11" spans="1:28" ht="15" thickBot="1">
      <c r="A11" s="1" t="s">
        <v>10</v>
      </c>
      <c r="B11" s="4" t="s">
        <v>18</v>
      </c>
      <c r="C11" s="131">
        <v>380</v>
      </c>
      <c r="D11" s="131">
        <v>380</v>
      </c>
      <c r="E11" s="18">
        <f t="shared" si="3"/>
        <v>380</v>
      </c>
      <c r="F11" s="26">
        <f t="shared" si="0"/>
        <v>380</v>
      </c>
      <c r="G11" s="26">
        <f t="shared" si="1"/>
        <v>380</v>
      </c>
      <c r="H11" s="76">
        <f t="shared" si="4"/>
        <v>380</v>
      </c>
      <c r="I11" s="26">
        <f t="shared" si="12"/>
        <v>456</v>
      </c>
      <c r="J11" s="80">
        <f t="shared" si="11"/>
        <v>0.2</v>
      </c>
      <c r="K11" s="26">
        <f t="shared" si="2"/>
        <v>475</v>
      </c>
      <c r="L11" s="80">
        <v>0.25</v>
      </c>
      <c r="M11" s="18">
        <f>(I11*I$16+K11*K$16)/(I$16+K$16)</f>
        <v>467.67453889263498</v>
      </c>
      <c r="N11" s="26">
        <f t="shared" si="5"/>
        <v>456</v>
      </c>
      <c r="O11" s="136">
        <v>0.2</v>
      </c>
      <c r="P11" s="26">
        <f t="shared" si="6"/>
        <v>475</v>
      </c>
      <c r="Q11" s="95">
        <v>0.25</v>
      </c>
      <c r="R11" s="18">
        <f t="shared" si="7"/>
        <v>467.67453889263498</v>
      </c>
      <c r="S11" s="92">
        <f t="shared" si="8"/>
        <v>456</v>
      </c>
      <c r="T11" s="92">
        <f t="shared" si="9"/>
        <v>475</v>
      </c>
      <c r="W11" s="12"/>
      <c r="X11" s="126">
        <f>KYRNIR!C18*0.5</f>
        <v>891734.5</v>
      </c>
      <c r="Y11" s="126">
        <f>KYRNIR!C18*0.5</f>
        <v>891734.5</v>
      </c>
      <c r="AA11" s="156">
        <f>SUM(X11:Y11)</f>
        <v>1783469</v>
      </c>
    </row>
    <row r="12" spans="1:28">
      <c r="A12" s="1" t="s">
        <v>10</v>
      </c>
      <c r="B12" s="4" t="s">
        <v>19</v>
      </c>
      <c r="C12" s="131">
        <v>400</v>
      </c>
      <c r="D12" s="131">
        <v>400</v>
      </c>
      <c r="E12" s="18">
        <f t="shared" si="3"/>
        <v>400</v>
      </c>
      <c r="F12" s="26">
        <f t="shared" si="0"/>
        <v>400</v>
      </c>
      <c r="G12" s="26">
        <f t="shared" si="1"/>
        <v>400</v>
      </c>
      <c r="H12" s="76">
        <f t="shared" si="4"/>
        <v>399.99999999999994</v>
      </c>
      <c r="I12" s="26">
        <f>F12*(1+20/100)</f>
        <v>480</v>
      </c>
      <c r="J12" s="80">
        <f t="shared" si="11"/>
        <v>0.2</v>
      </c>
      <c r="K12" s="26">
        <f>G12*(1+L12)</f>
        <v>500</v>
      </c>
      <c r="L12" s="80">
        <v>0.25</v>
      </c>
      <c r="M12" s="18">
        <f t="shared" si="13"/>
        <v>492.28898830803678</v>
      </c>
      <c r="N12" s="26">
        <f t="shared" si="5"/>
        <v>480</v>
      </c>
      <c r="O12" s="136">
        <v>0.2</v>
      </c>
      <c r="P12" s="26">
        <f t="shared" si="6"/>
        <v>500</v>
      </c>
      <c r="Q12" s="95">
        <v>0.25</v>
      </c>
      <c r="R12" s="18">
        <f>(N12*N$16+P12*P$16)/(N$16+P$16)</f>
        <v>492.28898830803678</v>
      </c>
      <c r="S12" s="92">
        <f t="shared" si="8"/>
        <v>480</v>
      </c>
      <c r="T12" s="92">
        <f t="shared" si="9"/>
        <v>500</v>
      </c>
      <c r="W12" t="s">
        <v>146</v>
      </c>
      <c r="X12" s="62">
        <v>251357.1837639095</v>
      </c>
      <c r="Y12" s="62">
        <v>282970.7466048036</v>
      </c>
      <c r="AA12" s="75">
        <v>1775347.9</v>
      </c>
      <c r="AB12" s="157"/>
    </row>
    <row r="13" spans="1:28">
      <c r="A13" s="1" t="s">
        <v>10</v>
      </c>
      <c r="B13" s="4" t="s">
        <v>20</v>
      </c>
      <c r="C13" s="131">
        <v>3.4</v>
      </c>
      <c r="D13" s="131">
        <v>3.4</v>
      </c>
      <c r="E13" s="18">
        <f t="shared" si="3"/>
        <v>3.4</v>
      </c>
      <c r="F13" s="26">
        <f t="shared" si="0"/>
        <v>3.4</v>
      </c>
      <c r="G13" s="26">
        <f t="shared" si="1"/>
        <v>3.4</v>
      </c>
      <c r="H13" s="76">
        <f t="shared" si="4"/>
        <v>3.4</v>
      </c>
      <c r="I13" s="26">
        <f>F13+0.2</f>
        <v>3.6</v>
      </c>
      <c r="J13" s="80">
        <f t="shared" si="11"/>
        <v>5.8823529411764761E-2</v>
      </c>
      <c r="K13" s="26">
        <f>G13*(1+L13)</f>
        <v>3.6040000000000001</v>
      </c>
      <c r="L13" s="80">
        <v>0.06</v>
      </c>
      <c r="M13" s="18">
        <f t="shared" si="13"/>
        <v>3.6024577976616081</v>
      </c>
      <c r="N13" s="26">
        <f t="shared" si="5"/>
        <v>3.6</v>
      </c>
      <c r="O13" s="67">
        <v>5.8823529411764761E-2</v>
      </c>
      <c r="P13" s="26">
        <f t="shared" si="6"/>
        <v>3.6040000000000001</v>
      </c>
      <c r="Q13" s="67">
        <v>0.06</v>
      </c>
      <c r="R13" s="18">
        <f t="shared" si="7"/>
        <v>3.6024577976616081</v>
      </c>
      <c r="S13" s="92">
        <f t="shared" si="8"/>
        <v>3.6</v>
      </c>
      <c r="T13" s="92">
        <f t="shared" si="9"/>
        <v>3.6040000000000001</v>
      </c>
      <c r="W13" t="s">
        <v>147</v>
      </c>
      <c r="X13" s="72">
        <v>675521.86</v>
      </c>
      <c r="Y13" s="72">
        <v>715775.84</v>
      </c>
      <c r="AA13" s="156">
        <v>1783469</v>
      </c>
    </row>
    <row r="14" spans="1:28">
      <c r="A14" s="1" t="s">
        <v>10</v>
      </c>
      <c r="B14" s="4" t="s">
        <v>21</v>
      </c>
      <c r="C14" s="26">
        <v>3.5</v>
      </c>
      <c r="D14" s="28">
        <v>3.600000000000001</v>
      </c>
      <c r="E14" s="18">
        <f t="shared" si="3"/>
        <v>3.55151421247569</v>
      </c>
      <c r="F14" s="26">
        <f t="shared" si="0"/>
        <v>3.5</v>
      </c>
      <c r="G14" s="26">
        <f t="shared" si="1"/>
        <v>3.600000000000001</v>
      </c>
      <c r="H14" s="76">
        <f t="shared" si="4"/>
        <v>3.5614449415401848</v>
      </c>
      <c r="I14" s="26">
        <f>F14</f>
        <v>3.5</v>
      </c>
      <c r="J14" s="80" t="str">
        <f t="shared" si="11"/>
        <v/>
      </c>
      <c r="K14" s="26">
        <f t="shared" si="2"/>
        <v>3.600000000000001</v>
      </c>
      <c r="L14" s="80"/>
      <c r="M14" s="18">
        <f>(I14*I$16+K14*K$16)/(I$16+K$16)</f>
        <v>3.5614449415401848</v>
      </c>
      <c r="N14" s="26">
        <f t="shared" si="5"/>
        <v>3.5</v>
      </c>
      <c r="O14" s="67"/>
      <c r="P14" s="26">
        <f t="shared" si="6"/>
        <v>3.600000000000001</v>
      </c>
      <c r="Q14" s="67"/>
      <c r="R14" s="18">
        <f t="shared" si="7"/>
        <v>3.5614449415401848</v>
      </c>
      <c r="S14" s="92">
        <f t="shared" si="8"/>
        <v>3.5</v>
      </c>
      <c r="T14" s="92">
        <f t="shared" si="9"/>
        <v>3.600000000000001</v>
      </c>
      <c r="AA14" s="156"/>
    </row>
    <row r="15" spans="1:28">
      <c r="A15" s="1" t="s">
        <v>10</v>
      </c>
      <c r="B15" s="4" t="s">
        <v>22</v>
      </c>
      <c r="C15" s="49">
        <f>KYRNIR!F54</f>
        <v>1956</v>
      </c>
      <c r="D15" s="49">
        <f>KYRNIR!G54</f>
        <v>1986</v>
      </c>
      <c r="E15" s="18">
        <f t="shared" si="3"/>
        <v>1971.4542637427066</v>
      </c>
      <c r="F15" s="63">
        <f t="shared" si="0"/>
        <v>1956</v>
      </c>
      <c r="G15" s="63">
        <f t="shared" si="1"/>
        <v>1986</v>
      </c>
      <c r="H15" s="76">
        <f t="shared" si="4"/>
        <v>1974.4334824620553</v>
      </c>
      <c r="I15" s="63">
        <f>F15*1.25</f>
        <v>2445</v>
      </c>
      <c r="J15" s="80">
        <f>IF(F15=I15,"",(I15-F15)/F15)</f>
        <v>0.25</v>
      </c>
      <c r="K15" s="63">
        <f>G15*(1+L15)</f>
        <v>2581.8000000000002</v>
      </c>
      <c r="L15" s="80">
        <v>0.3</v>
      </c>
      <c r="M15" s="18">
        <f>(I15*I$16+K15*K$16)/(I$16+K$16)</f>
        <v>2529.0566800269717</v>
      </c>
      <c r="N15" s="26">
        <f t="shared" si="5"/>
        <v>2445</v>
      </c>
      <c r="O15" s="95">
        <v>0.25</v>
      </c>
      <c r="P15" s="26">
        <f>G15*(1+Q15)</f>
        <v>2581.8000000000002</v>
      </c>
      <c r="Q15" s="136">
        <v>0.3</v>
      </c>
      <c r="R15" s="18">
        <f t="shared" si="7"/>
        <v>2529.0566800269717</v>
      </c>
      <c r="S15" s="92">
        <f t="shared" si="8"/>
        <v>2445</v>
      </c>
      <c r="T15" s="92">
        <f t="shared" si="9"/>
        <v>2581.8000000000002</v>
      </c>
      <c r="AA15" s="156"/>
    </row>
    <row r="16" spans="1:28">
      <c r="A16" s="1" t="s">
        <v>10</v>
      </c>
      <c r="B16" s="4" t="s">
        <v>23</v>
      </c>
      <c r="C16" s="62">
        <f>X12/X13*X11</f>
        <v>331808.46669435385</v>
      </c>
      <c r="D16" s="62">
        <f>Y12/Y13*Y11</f>
        <v>352533.24174543424</v>
      </c>
      <c r="E16" s="74">
        <f>SUM(C16:D16)</f>
        <v>684341.70843978808</v>
      </c>
      <c r="F16" s="62">
        <f>X21</f>
        <v>397560.51900139626</v>
      </c>
      <c r="G16" s="62">
        <f>Y21</f>
        <v>633589.56838792458</v>
      </c>
      <c r="H16" s="77">
        <f>SUM(F16:G16)</f>
        <v>1031150.0873893208</v>
      </c>
      <c r="I16" s="62">
        <f>F16</f>
        <v>397560.51900139626</v>
      </c>
      <c r="J16" s="158" t="str">
        <f t="shared" si="11"/>
        <v/>
      </c>
      <c r="K16" s="102">
        <f>G16*(1+L16)</f>
        <v>633589.56838792458</v>
      </c>
      <c r="L16" s="158"/>
      <c r="M16" s="22">
        <f>SUM(I16:K16)</f>
        <v>1031150.0873893208</v>
      </c>
      <c r="N16" s="96">
        <f>F16*(1+O16)</f>
        <v>397560.51900139626</v>
      </c>
      <c r="O16" s="158"/>
      <c r="P16" s="96">
        <f>G16*(1+Q16)</f>
        <v>633589.56838792458</v>
      </c>
      <c r="Q16" s="158"/>
      <c r="R16" s="22">
        <f>SUM(N16:P16)</f>
        <v>1031150.0873893208</v>
      </c>
      <c r="S16" s="159">
        <f>N16</f>
        <v>397560.51900139626</v>
      </c>
      <c r="T16" s="159">
        <f>P16</f>
        <v>633589.56838792458</v>
      </c>
      <c r="U16" s="114">
        <f>SUM(S16:T16)</f>
        <v>1031150.0873893208</v>
      </c>
      <c r="W16" s="12" t="s">
        <v>1</v>
      </c>
      <c r="X16" s="12"/>
      <c r="Y16" s="12"/>
      <c r="AA16" s="156"/>
    </row>
    <row r="17" spans="1:27">
      <c r="A17" s="1" t="s">
        <v>10</v>
      </c>
      <c r="B17" s="4" t="s">
        <v>24</v>
      </c>
      <c r="C17" s="20">
        <f>C16/25</f>
        <v>13272.338667774155</v>
      </c>
      <c r="D17" s="20">
        <f>D16/25</f>
        <v>14101.329669817369</v>
      </c>
      <c r="E17" s="74">
        <f>SUM(C17:D17)</f>
        <v>27373.668337591524</v>
      </c>
      <c r="F17" s="20">
        <f>C17/C16*F16</f>
        <v>15902.420760055851</v>
      </c>
      <c r="G17" s="20">
        <f>D17/D16*G16</f>
        <v>25343.582735516982</v>
      </c>
      <c r="H17" s="77">
        <f>SUM(F17:G17)</f>
        <v>41246.003495572833</v>
      </c>
      <c r="I17" s="20">
        <f>F17</f>
        <v>15902.420760055851</v>
      </c>
      <c r="J17" s="158" t="str">
        <f t="shared" si="11"/>
        <v/>
      </c>
      <c r="K17" s="96">
        <f t="shared" si="2"/>
        <v>25343.582735516982</v>
      </c>
      <c r="L17" s="158"/>
      <c r="M17" s="22">
        <f>SUM(I17:K17)</f>
        <v>41246.003495572833</v>
      </c>
      <c r="N17" s="96">
        <f t="shared" si="5"/>
        <v>15902.420760055851</v>
      </c>
      <c r="O17" s="158"/>
      <c r="P17" s="96">
        <f>G17*(1+Q17)</f>
        <v>25343.582735516982</v>
      </c>
      <c r="Q17" s="158"/>
      <c r="R17" s="22">
        <f>SUM(N17:P17)</f>
        <v>41246.003495572833</v>
      </c>
      <c r="S17" s="159">
        <f t="shared" si="8"/>
        <v>15902.420760055851</v>
      </c>
      <c r="T17" s="159">
        <f t="shared" si="9"/>
        <v>25343.582735516982</v>
      </c>
      <c r="U17" s="114">
        <f>SUM(S17:T17)</f>
        <v>41246.003495572833</v>
      </c>
      <c r="W17" s="12"/>
      <c r="X17" s="12" t="s">
        <v>139</v>
      </c>
      <c r="Y17" s="12" t="s">
        <v>140</v>
      </c>
      <c r="AA17" s="156"/>
    </row>
    <row r="18" spans="1:27">
      <c r="A18" s="1" t="s">
        <v>10</v>
      </c>
      <c r="B18" s="4" t="s">
        <v>25</v>
      </c>
      <c r="C18" s="27">
        <v>15</v>
      </c>
      <c r="D18" s="64">
        <v>21</v>
      </c>
      <c r="E18" s="18">
        <f>(C18*$C$16+D18*$D$16)/($C$16+$D$16)</f>
        <v>18.090852748541355</v>
      </c>
      <c r="F18" s="26">
        <f>C18</f>
        <v>15</v>
      </c>
      <c r="G18" s="27">
        <f>D18</f>
        <v>21</v>
      </c>
      <c r="H18" s="76">
        <f t="shared" si="4"/>
        <v>18.686696492411041</v>
      </c>
      <c r="I18" s="26">
        <v>12</v>
      </c>
      <c r="J18" s="80">
        <f t="shared" si="11"/>
        <v>-0.2</v>
      </c>
      <c r="K18" s="26">
        <f t="shared" si="2"/>
        <v>16.8</v>
      </c>
      <c r="L18" s="80">
        <v>-0.2</v>
      </c>
      <c r="M18" s="18">
        <f>(I18*$I$16+K18*$K$16)/($I$16+$K$16)</f>
        <v>14.949357193928831</v>
      </c>
      <c r="N18" s="26">
        <f t="shared" si="5"/>
        <v>12</v>
      </c>
      <c r="O18" s="67">
        <v>-0.2</v>
      </c>
      <c r="P18" s="26">
        <f t="shared" si="6"/>
        <v>16.8</v>
      </c>
      <c r="Q18" s="67">
        <v>-0.2</v>
      </c>
      <c r="R18" s="18">
        <f>(N18*N$16+P18*P$16)/(N$16+P$16)</f>
        <v>14.949357193928831</v>
      </c>
      <c r="S18" s="92">
        <f t="shared" si="8"/>
        <v>12</v>
      </c>
      <c r="T18" s="92">
        <f t="shared" si="9"/>
        <v>16.8</v>
      </c>
      <c r="W18" s="12"/>
      <c r="X18" s="12">
        <f>KYRNIR!AA4*0.4</f>
        <v>1068444.4000000001</v>
      </c>
      <c r="Y18" s="12">
        <f>KYRNIR!AA4*0.6</f>
        <v>1602666.5999999999</v>
      </c>
      <c r="AA18" s="156">
        <f t="shared" ref="AA18" si="14">SUM(X18:Y18)</f>
        <v>2671111</v>
      </c>
    </row>
    <row r="19" spans="1:27" ht="15" thickBot="1">
      <c r="A19" s="1" t="s">
        <v>10</v>
      </c>
      <c r="B19" s="4" t="s">
        <v>26</v>
      </c>
      <c r="C19" s="131">
        <v>35</v>
      </c>
      <c r="D19" s="131">
        <v>35</v>
      </c>
      <c r="E19" s="18">
        <f>(C19*$C$16+D19*$D$16)/($C$16+$D$16)</f>
        <v>34.999999999999993</v>
      </c>
      <c r="F19" s="26">
        <f>C19</f>
        <v>35</v>
      </c>
      <c r="G19" s="27">
        <f>D19</f>
        <v>35</v>
      </c>
      <c r="H19" s="76">
        <f>(F19*F$16+G19*G$16)/(F$16+G$16)</f>
        <v>35</v>
      </c>
      <c r="I19" s="26">
        <f>E19*(1+J19)</f>
        <v>38.499999999999993</v>
      </c>
      <c r="J19" s="80">
        <v>0.1</v>
      </c>
      <c r="K19" s="26">
        <f>G19*(1+L19)</f>
        <v>38.5</v>
      </c>
      <c r="L19" s="80">
        <v>0.10000000000000013</v>
      </c>
      <c r="M19" s="18">
        <f>(I19*$I$16+K19*$K$16)/($I$16+$K$16)</f>
        <v>38.499999999999993</v>
      </c>
      <c r="N19" s="26">
        <f t="shared" si="5"/>
        <v>38.5</v>
      </c>
      <c r="O19" s="67">
        <v>0.1</v>
      </c>
      <c r="P19" s="26">
        <f t="shared" si="6"/>
        <v>38.5</v>
      </c>
      <c r="Q19" s="67">
        <v>0.10000000000000013</v>
      </c>
      <c r="R19" s="18">
        <f>(N19*N$16+P19*P$16)/(N$16+P$16)</f>
        <v>38.5</v>
      </c>
      <c r="S19" s="92">
        <f t="shared" si="8"/>
        <v>38.5</v>
      </c>
      <c r="T19" s="92">
        <f t="shared" si="9"/>
        <v>38.5</v>
      </c>
      <c r="W19" t="s">
        <v>146</v>
      </c>
      <c r="X19">
        <v>374125.94775619492</v>
      </c>
      <c r="Y19" s="62">
        <v>591894.84910812671</v>
      </c>
      <c r="AA19" s="156"/>
    </row>
    <row r="20" spans="1:27">
      <c r="A20" s="86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W20" t="s">
        <v>147</v>
      </c>
      <c r="X20" s="153">
        <v>1005463.96</v>
      </c>
      <c r="Y20" s="72">
        <v>1497199.69</v>
      </c>
    </row>
    <row r="21" spans="1:27">
      <c r="A21" s="88" t="s">
        <v>149</v>
      </c>
      <c r="B21" s="85" t="s">
        <v>150</v>
      </c>
      <c r="C21" s="89"/>
      <c r="D21" s="89"/>
      <c r="E21" s="18">
        <f t="shared" ref="E21:E29" si="15">(C21*$C$16+D21*$D$16)/($C$16+$D$16)</f>
        <v>0</v>
      </c>
      <c r="F21" s="89"/>
      <c r="G21" s="89"/>
      <c r="H21" s="76">
        <f t="shared" ref="H21:H29" si="16">(F21*F$16+G21*G$16)/(F$16+G$16)</f>
        <v>0</v>
      </c>
      <c r="I21" s="68"/>
      <c r="K21" s="68"/>
      <c r="M21" s="18">
        <f t="shared" ref="M21:M29" si="17">(I21*$I$16+K21*$K$16)/($I$16+$K$16)</f>
        <v>0</v>
      </c>
      <c r="N21" s="68"/>
      <c r="P21" s="68"/>
      <c r="Q21" s="68"/>
      <c r="R21" s="18">
        <f t="shared" ref="R21:R29" si="18">(N21*N$16+P21*P$16)/(N$16+P$16)</f>
        <v>0</v>
      </c>
      <c r="S21" s="91">
        <v>5</v>
      </c>
      <c r="T21" s="91">
        <v>20</v>
      </c>
      <c r="U21" s="33">
        <f>S21-F21</f>
        <v>5</v>
      </c>
      <c r="V21" s="33">
        <f>T21-G21</f>
        <v>20</v>
      </c>
      <c r="X21" s="114">
        <f>X18/X20*X19</f>
        <v>397560.51900139626</v>
      </c>
      <c r="Y21" s="114">
        <f>Y18/Y20*Y19</f>
        <v>633589.56838792458</v>
      </c>
      <c r="Z21" s="114">
        <f>SUM(X21:Y21)</f>
        <v>1031150.0873893208</v>
      </c>
    </row>
    <row r="22" spans="1:27">
      <c r="A22" s="88" t="s">
        <v>149</v>
      </c>
      <c r="B22" s="85" t="s">
        <v>151</v>
      </c>
      <c r="C22" s="131">
        <v>40</v>
      </c>
      <c r="D22" s="131">
        <v>30</v>
      </c>
      <c r="E22" s="18">
        <f t="shared" si="15"/>
        <v>34.848578752431074</v>
      </c>
      <c r="F22" s="131">
        <v>40</v>
      </c>
      <c r="G22" s="131">
        <v>30</v>
      </c>
      <c r="H22" s="76">
        <f t="shared" si="16"/>
        <v>33.855505845981604</v>
      </c>
      <c r="I22" s="131">
        <v>40</v>
      </c>
      <c r="K22" s="131">
        <v>30</v>
      </c>
      <c r="M22" s="18">
        <f t="shared" si="17"/>
        <v>33.855505845981604</v>
      </c>
      <c r="N22" s="131">
        <v>40</v>
      </c>
      <c r="P22" s="131">
        <v>30</v>
      </c>
      <c r="Q22" s="68"/>
      <c r="R22" s="18">
        <f t="shared" si="18"/>
        <v>33.855505845981604</v>
      </c>
      <c r="S22" s="91">
        <v>10</v>
      </c>
      <c r="T22" s="91">
        <v>10</v>
      </c>
      <c r="U22" s="33">
        <f t="shared" ref="U22:V29" si="19">S22-F22</f>
        <v>-30</v>
      </c>
      <c r="V22" s="33">
        <f t="shared" si="19"/>
        <v>-20</v>
      </c>
    </row>
    <row r="23" spans="1:27">
      <c r="A23" s="88" t="s">
        <v>149</v>
      </c>
      <c r="B23" s="85" t="s">
        <v>152</v>
      </c>
      <c r="C23" s="89"/>
      <c r="D23" s="89"/>
      <c r="E23" s="18">
        <f t="shared" si="15"/>
        <v>0</v>
      </c>
      <c r="F23" s="89"/>
      <c r="G23" s="89"/>
      <c r="H23" s="76">
        <f t="shared" si="16"/>
        <v>0</v>
      </c>
      <c r="I23" s="68"/>
      <c r="K23" s="68"/>
      <c r="M23" s="18">
        <f t="shared" si="17"/>
        <v>0</v>
      </c>
      <c r="N23" s="68"/>
      <c r="P23" s="68"/>
      <c r="Q23" s="68"/>
      <c r="R23" s="18">
        <f t="shared" si="18"/>
        <v>0</v>
      </c>
      <c r="S23" s="91">
        <v>5</v>
      </c>
      <c r="T23" s="91">
        <v>10</v>
      </c>
      <c r="U23" s="33">
        <f t="shared" si="19"/>
        <v>5</v>
      </c>
      <c r="V23" s="33">
        <f t="shared" si="19"/>
        <v>10</v>
      </c>
    </row>
    <row r="24" spans="1:27">
      <c r="A24" s="88" t="s">
        <v>149</v>
      </c>
      <c r="B24" s="85" t="s">
        <v>153</v>
      </c>
      <c r="C24" s="89"/>
      <c r="D24" s="89"/>
      <c r="E24" s="18">
        <f t="shared" si="15"/>
        <v>0</v>
      </c>
      <c r="F24" s="89"/>
      <c r="G24" s="89"/>
      <c r="H24" s="76">
        <f t="shared" si="16"/>
        <v>0</v>
      </c>
      <c r="I24" s="68"/>
      <c r="K24" s="68"/>
      <c r="M24" s="18">
        <f t="shared" si="17"/>
        <v>0</v>
      </c>
      <c r="N24" s="68"/>
      <c r="P24" s="68"/>
      <c r="Q24" s="68"/>
      <c r="R24" s="18">
        <f t="shared" si="18"/>
        <v>0</v>
      </c>
      <c r="S24" s="91">
        <f t="shared" ref="S24:S29" si="20">N24</f>
        <v>0</v>
      </c>
      <c r="T24" s="91">
        <f t="shared" ref="T24:T29" si="21">P24</f>
        <v>0</v>
      </c>
      <c r="U24" s="33">
        <f t="shared" si="19"/>
        <v>0</v>
      </c>
      <c r="V24" s="33">
        <f t="shared" si="19"/>
        <v>0</v>
      </c>
    </row>
    <row r="25" spans="1:27">
      <c r="A25" s="88" t="s">
        <v>149</v>
      </c>
      <c r="B25" s="85" t="s">
        <v>154</v>
      </c>
      <c r="C25" s="89"/>
      <c r="D25" s="89"/>
      <c r="E25" s="18">
        <f t="shared" si="15"/>
        <v>0</v>
      </c>
      <c r="F25" s="89"/>
      <c r="G25" s="89"/>
      <c r="H25" s="76">
        <f t="shared" si="16"/>
        <v>0</v>
      </c>
      <c r="I25" s="68"/>
      <c r="K25" s="68"/>
      <c r="M25" s="18">
        <f t="shared" si="17"/>
        <v>0</v>
      </c>
      <c r="N25" s="68"/>
      <c r="P25" s="68"/>
      <c r="Q25" s="68"/>
      <c r="R25" s="18">
        <f t="shared" si="18"/>
        <v>0</v>
      </c>
      <c r="S25" s="91">
        <f t="shared" si="20"/>
        <v>0</v>
      </c>
      <c r="T25" s="91">
        <f t="shared" si="21"/>
        <v>0</v>
      </c>
      <c r="U25" s="33">
        <f t="shared" si="19"/>
        <v>0</v>
      </c>
      <c r="V25" s="33">
        <f t="shared" si="19"/>
        <v>0</v>
      </c>
    </row>
    <row r="26" spans="1:27">
      <c r="A26" s="88" t="s">
        <v>149</v>
      </c>
      <c r="B26" s="85" t="s">
        <v>155</v>
      </c>
      <c r="C26" s="89"/>
      <c r="D26" s="89"/>
      <c r="E26" s="18">
        <f t="shared" si="15"/>
        <v>0</v>
      </c>
      <c r="F26" s="89"/>
      <c r="G26" s="89"/>
      <c r="H26" s="76">
        <f t="shared" si="16"/>
        <v>0</v>
      </c>
      <c r="I26" s="68"/>
      <c r="K26" s="68"/>
      <c r="M26" s="18">
        <f t="shared" si="17"/>
        <v>0</v>
      </c>
      <c r="N26" s="68"/>
      <c r="P26" s="68"/>
      <c r="Q26" s="68"/>
      <c r="R26" s="18">
        <f t="shared" si="18"/>
        <v>0</v>
      </c>
      <c r="S26" s="91">
        <f t="shared" si="20"/>
        <v>0</v>
      </c>
      <c r="T26" s="91">
        <f t="shared" si="21"/>
        <v>0</v>
      </c>
      <c r="U26" s="33">
        <f t="shared" si="19"/>
        <v>0</v>
      </c>
      <c r="V26" s="33">
        <f t="shared" si="19"/>
        <v>0</v>
      </c>
    </row>
    <row r="27" spans="1:27">
      <c r="A27" s="88" t="s">
        <v>149</v>
      </c>
      <c r="B27" s="85" t="s">
        <v>156</v>
      </c>
      <c r="C27" s="89">
        <v>30</v>
      </c>
      <c r="D27" s="89">
        <v>35</v>
      </c>
      <c r="E27" s="18">
        <f t="shared" si="15"/>
        <v>32.57571062378446</v>
      </c>
      <c r="F27" s="89">
        <v>30</v>
      </c>
      <c r="G27" s="89">
        <v>35</v>
      </c>
      <c r="H27" s="76">
        <f t="shared" si="16"/>
        <v>33.072247077009202</v>
      </c>
      <c r="I27" s="89">
        <v>30</v>
      </c>
      <c r="K27" s="89">
        <v>35</v>
      </c>
      <c r="M27" s="18">
        <f t="shared" si="17"/>
        <v>33.072247077009202</v>
      </c>
      <c r="N27" s="89">
        <v>30</v>
      </c>
      <c r="P27" s="89">
        <v>35</v>
      </c>
      <c r="Q27" s="68"/>
      <c r="R27" s="18">
        <f t="shared" si="18"/>
        <v>33.072247077009202</v>
      </c>
      <c r="S27" s="91">
        <v>40</v>
      </c>
      <c r="T27" s="91">
        <v>30</v>
      </c>
      <c r="U27" s="33">
        <f t="shared" si="19"/>
        <v>10</v>
      </c>
      <c r="V27" s="33">
        <f t="shared" si="19"/>
        <v>-5</v>
      </c>
    </row>
    <row r="28" spans="1:27">
      <c r="A28" s="88" t="s">
        <v>149</v>
      </c>
      <c r="B28" s="85" t="s">
        <v>157</v>
      </c>
      <c r="C28" s="89">
        <v>30</v>
      </c>
      <c r="D28" s="89">
        <v>35</v>
      </c>
      <c r="E28" s="18">
        <f t="shared" si="15"/>
        <v>32.57571062378446</v>
      </c>
      <c r="F28" s="89">
        <v>30</v>
      </c>
      <c r="G28" s="89">
        <v>35</v>
      </c>
      <c r="H28" s="76">
        <f t="shared" si="16"/>
        <v>33.072247077009202</v>
      </c>
      <c r="I28" s="89">
        <v>30</v>
      </c>
      <c r="K28" s="89">
        <v>35</v>
      </c>
      <c r="M28" s="18">
        <f t="shared" si="17"/>
        <v>33.072247077009202</v>
      </c>
      <c r="N28" s="89">
        <v>30</v>
      </c>
      <c r="P28" s="89">
        <v>35</v>
      </c>
      <c r="Q28" s="68"/>
      <c r="R28" s="18">
        <f t="shared" si="18"/>
        <v>33.072247077009202</v>
      </c>
      <c r="S28" s="91">
        <v>40</v>
      </c>
      <c r="T28" s="91">
        <v>30</v>
      </c>
      <c r="U28" s="33">
        <f t="shared" si="19"/>
        <v>10</v>
      </c>
      <c r="V28" s="33">
        <f t="shared" si="19"/>
        <v>-5</v>
      </c>
    </row>
    <row r="29" spans="1:27">
      <c r="A29" s="88" t="s">
        <v>149</v>
      </c>
      <c r="B29" s="85" t="s">
        <v>158</v>
      </c>
      <c r="C29" s="89"/>
      <c r="D29" s="89"/>
      <c r="E29" s="18">
        <f t="shared" si="15"/>
        <v>0</v>
      </c>
      <c r="F29" s="89"/>
      <c r="G29" s="89"/>
      <c r="H29" s="76">
        <f t="shared" si="16"/>
        <v>0</v>
      </c>
      <c r="I29" s="68"/>
      <c r="K29" s="68"/>
      <c r="M29" s="18">
        <f t="shared" si="17"/>
        <v>0</v>
      </c>
      <c r="N29" s="68"/>
      <c r="P29" s="68"/>
      <c r="Q29" s="68"/>
      <c r="R29" s="18">
        <f t="shared" si="18"/>
        <v>0</v>
      </c>
      <c r="S29" s="91">
        <f t="shared" si="20"/>
        <v>0</v>
      </c>
      <c r="T29" s="91">
        <f t="shared" si="21"/>
        <v>0</v>
      </c>
      <c r="U29" s="33">
        <f t="shared" si="19"/>
        <v>0</v>
      </c>
      <c r="V29" s="33">
        <f t="shared" si="19"/>
        <v>0</v>
      </c>
    </row>
    <row r="30" spans="1:27">
      <c r="A30" s="86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</row>
    <row r="31" spans="1:27">
      <c r="A31" s="16" t="s">
        <v>27</v>
      </c>
      <c r="B31" s="85" t="s">
        <v>28</v>
      </c>
      <c r="C31" s="21">
        <v>0</v>
      </c>
      <c r="D31" s="21">
        <v>5</v>
      </c>
      <c r="E31" s="18">
        <f t="shared" ref="E31:E59" si="22">(C31*$C$16+D31*$D$16)/($C$16+$D$16)</f>
        <v>2.5757106237844622</v>
      </c>
      <c r="F31" s="26">
        <f>IF(C31="","",C31)</f>
        <v>0</v>
      </c>
      <c r="G31" s="26">
        <f t="shared" ref="G31:G59" si="23">IF(D31="","",D31)</f>
        <v>5</v>
      </c>
      <c r="H31" s="18">
        <f>(F31*$F$16+G31*$G$16)/($F$16+$G$16)</f>
        <v>3.0722470770092007</v>
      </c>
      <c r="I31" s="26">
        <v>0</v>
      </c>
      <c r="J31" s="67">
        <f>I31-F31</f>
        <v>0</v>
      </c>
      <c r="K31" s="27">
        <f>G31</f>
        <v>5</v>
      </c>
      <c r="L31" s="67">
        <f>K31-G31</f>
        <v>0</v>
      </c>
      <c r="M31" s="18">
        <f>(I31*$I$16+K31*$K$16)/($I$16+$K$16)</f>
        <v>3.0722470770092007</v>
      </c>
      <c r="N31" s="26">
        <f>I31</f>
        <v>0</v>
      </c>
      <c r="O31" s="67">
        <f>N31-F31</f>
        <v>0</v>
      </c>
      <c r="P31" s="27">
        <f>K31</f>
        <v>5</v>
      </c>
      <c r="Q31" s="67">
        <f>P31-G31</f>
        <v>0</v>
      </c>
      <c r="R31" s="18">
        <f>(N31*N$16+P31*P$16)/(N$16+P$16)</f>
        <v>3.0722470770092007</v>
      </c>
      <c r="S31" s="92">
        <f>N31</f>
        <v>0</v>
      </c>
      <c r="T31" s="92">
        <f>P31</f>
        <v>5</v>
      </c>
    </row>
    <row r="32" spans="1:27">
      <c r="A32" s="16" t="s">
        <v>27</v>
      </c>
      <c r="B32" s="4" t="s">
        <v>29</v>
      </c>
      <c r="C32" s="21">
        <v>0</v>
      </c>
      <c r="D32" s="21">
        <v>0</v>
      </c>
      <c r="E32" s="18">
        <f t="shared" si="22"/>
        <v>0</v>
      </c>
      <c r="F32" s="26">
        <f t="shared" ref="F32:F59" si="24">IF(C32="","",C32)</f>
        <v>0</v>
      </c>
      <c r="G32" s="26">
        <f t="shared" si="23"/>
        <v>0</v>
      </c>
      <c r="H32" s="18">
        <f t="shared" ref="H32:H59" si="25">(F32*$F$16+G32*$G$16)/($F$16+$G$16)</f>
        <v>0</v>
      </c>
      <c r="I32" s="26">
        <f>F32</f>
        <v>0</v>
      </c>
      <c r="J32" s="67">
        <f t="shared" ref="J32:J59" si="26">I32-F32</f>
        <v>0</v>
      </c>
      <c r="K32" s="27">
        <f t="shared" ref="K32:K59" si="27">G32</f>
        <v>0</v>
      </c>
      <c r="L32" s="67">
        <f t="shared" ref="L32:L59" si="28">K32-G32</f>
        <v>0</v>
      </c>
      <c r="M32" s="18">
        <f t="shared" ref="M32:M59" si="29">(I32*$I$16+K32*$K$16)/($I$16+$K$16)</f>
        <v>0</v>
      </c>
      <c r="N32" s="26">
        <f t="shared" ref="N32:N59" si="30">I32</f>
        <v>0</v>
      </c>
      <c r="O32" s="67">
        <f t="shared" ref="O32:O59" si="31">N32-F32</f>
        <v>0</v>
      </c>
      <c r="P32" s="27">
        <f t="shared" ref="P32:P59" si="32">K32</f>
        <v>0</v>
      </c>
      <c r="Q32" s="67">
        <f t="shared" ref="Q32:Q59" si="33">P32-G32</f>
        <v>0</v>
      </c>
      <c r="R32" s="18">
        <f t="shared" ref="R32:R59" si="34">(N32*N$16+P32*P$16)/(N$16+P$16)</f>
        <v>0</v>
      </c>
      <c r="S32" s="92">
        <f t="shared" ref="S32:S59" si="35">N32</f>
        <v>0</v>
      </c>
      <c r="T32" s="92">
        <f t="shared" ref="T32:T59" si="36">P32</f>
        <v>0</v>
      </c>
    </row>
    <row r="33" spans="1:25">
      <c r="A33" s="16" t="s">
        <v>27</v>
      </c>
      <c r="B33" s="4" t="s">
        <v>30</v>
      </c>
      <c r="C33" s="21">
        <v>0</v>
      </c>
      <c r="D33" s="21">
        <v>0</v>
      </c>
      <c r="E33" s="18">
        <f t="shared" si="22"/>
        <v>0</v>
      </c>
      <c r="F33" s="26">
        <f t="shared" si="24"/>
        <v>0</v>
      </c>
      <c r="G33" s="26">
        <f t="shared" si="23"/>
        <v>0</v>
      </c>
      <c r="H33" s="18">
        <f t="shared" si="25"/>
        <v>0</v>
      </c>
      <c r="I33" s="26">
        <f>F33</f>
        <v>0</v>
      </c>
      <c r="J33" s="67">
        <f t="shared" si="26"/>
        <v>0</v>
      </c>
      <c r="K33" s="27">
        <f t="shared" si="27"/>
        <v>0</v>
      </c>
      <c r="L33" s="67">
        <f t="shared" si="28"/>
        <v>0</v>
      </c>
      <c r="M33" s="18">
        <f t="shared" si="29"/>
        <v>0</v>
      </c>
      <c r="N33" s="26">
        <f t="shared" si="30"/>
        <v>0</v>
      </c>
      <c r="O33" s="67">
        <f t="shared" si="31"/>
        <v>0</v>
      </c>
      <c r="P33" s="27">
        <f t="shared" si="32"/>
        <v>0</v>
      </c>
      <c r="Q33" s="67">
        <f t="shared" si="33"/>
        <v>0</v>
      </c>
      <c r="R33" s="18">
        <f t="shared" si="34"/>
        <v>0</v>
      </c>
      <c r="S33" s="92">
        <f t="shared" si="35"/>
        <v>0</v>
      </c>
      <c r="T33" s="92">
        <f t="shared" si="36"/>
        <v>0</v>
      </c>
    </row>
    <row r="34" spans="1:25">
      <c r="A34" s="16" t="s">
        <v>27</v>
      </c>
      <c r="B34" s="4" t="s">
        <v>31</v>
      </c>
      <c r="C34" s="21">
        <v>0</v>
      </c>
      <c r="D34" s="21">
        <v>0</v>
      </c>
      <c r="E34" s="18">
        <f t="shared" si="22"/>
        <v>0</v>
      </c>
      <c r="F34" s="26">
        <f t="shared" si="24"/>
        <v>0</v>
      </c>
      <c r="G34" s="26">
        <f t="shared" si="23"/>
        <v>0</v>
      </c>
      <c r="H34" s="18">
        <f t="shared" si="25"/>
        <v>0</v>
      </c>
      <c r="I34" s="26">
        <v>5</v>
      </c>
      <c r="J34" s="67">
        <f t="shared" si="26"/>
        <v>5</v>
      </c>
      <c r="K34" s="27">
        <v>5</v>
      </c>
      <c r="L34" s="67">
        <f t="shared" si="28"/>
        <v>5</v>
      </c>
      <c r="M34" s="18">
        <f t="shared" si="29"/>
        <v>5</v>
      </c>
      <c r="N34" s="26">
        <f>I34</f>
        <v>5</v>
      </c>
      <c r="O34" s="67">
        <f t="shared" si="31"/>
        <v>5</v>
      </c>
      <c r="P34" s="27">
        <f t="shared" si="32"/>
        <v>5</v>
      </c>
      <c r="Q34" s="67">
        <f t="shared" si="33"/>
        <v>5</v>
      </c>
      <c r="R34" s="18">
        <f t="shared" si="34"/>
        <v>5</v>
      </c>
      <c r="S34" s="92">
        <f t="shared" si="35"/>
        <v>5</v>
      </c>
      <c r="T34" s="92">
        <f t="shared" si="36"/>
        <v>5</v>
      </c>
    </row>
    <row r="35" spans="1:25">
      <c r="A35" s="16" t="s">
        <v>27</v>
      </c>
      <c r="B35" s="4" t="s">
        <v>32</v>
      </c>
      <c r="C35" s="21">
        <v>0</v>
      </c>
      <c r="D35" s="21">
        <v>0</v>
      </c>
      <c r="E35" s="18">
        <f t="shared" si="22"/>
        <v>0</v>
      </c>
      <c r="F35" s="26">
        <f t="shared" si="24"/>
        <v>0</v>
      </c>
      <c r="G35" s="26">
        <f t="shared" si="23"/>
        <v>0</v>
      </c>
      <c r="H35" s="18">
        <f t="shared" si="25"/>
        <v>0</v>
      </c>
      <c r="I35" s="26">
        <v>0</v>
      </c>
      <c r="J35" s="67">
        <f t="shared" si="26"/>
        <v>0</v>
      </c>
      <c r="K35" s="27">
        <f t="shared" si="27"/>
        <v>0</v>
      </c>
      <c r="L35" s="67">
        <f t="shared" si="28"/>
        <v>0</v>
      </c>
      <c r="M35" s="18">
        <f t="shared" si="29"/>
        <v>0</v>
      </c>
      <c r="N35" s="26">
        <f t="shared" si="30"/>
        <v>0</v>
      </c>
      <c r="O35" s="67">
        <f t="shared" si="31"/>
        <v>0</v>
      </c>
      <c r="P35" s="27">
        <f t="shared" si="32"/>
        <v>0</v>
      </c>
      <c r="Q35" s="67">
        <f t="shared" si="33"/>
        <v>0</v>
      </c>
      <c r="R35" s="18">
        <f t="shared" si="34"/>
        <v>0</v>
      </c>
      <c r="S35" s="92">
        <f t="shared" si="35"/>
        <v>0</v>
      </c>
      <c r="T35" s="92">
        <f t="shared" si="36"/>
        <v>0</v>
      </c>
    </row>
    <row r="36" spans="1:25">
      <c r="A36" s="16" t="s">
        <v>27</v>
      </c>
      <c r="B36" s="4" t="s">
        <v>33</v>
      </c>
      <c r="C36" s="21">
        <v>0</v>
      </c>
      <c r="D36" s="21">
        <v>0</v>
      </c>
      <c r="E36" s="18">
        <f t="shared" si="22"/>
        <v>0</v>
      </c>
      <c r="F36" s="26">
        <f t="shared" si="24"/>
        <v>0</v>
      </c>
      <c r="G36" s="26">
        <f t="shared" si="23"/>
        <v>0</v>
      </c>
      <c r="H36" s="18">
        <f t="shared" si="25"/>
        <v>0</v>
      </c>
      <c r="I36" s="26">
        <f t="shared" ref="I36:I59" si="37">F36</f>
        <v>0</v>
      </c>
      <c r="J36" s="67">
        <f t="shared" si="26"/>
        <v>0</v>
      </c>
      <c r="K36" s="27">
        <f t="shared" si="27"/>
        <v>0</v>
      </c>
      <c r="L36" s="67">
        <f t="shared" si="28"/>
        <v>0</v>
      </c>
      <c r="M36" s="18">
        <f t="shared" si="29"/>
        <v>0</v>
      </c>
      <c r="N36" s="26">
        <f t="shared" si="30"/>
        <v>0</v>
      </c>
      <c r="O36" s="67">
        <f t="shared" si="31"/>
        <v>0</v>
      </c>
      <c r="P36" s="27">
        <f t="shared" si="32"/>
        <v>0</v>
      </c>
      <c r="Q36" s="67">
        <f t="shared" si="33"/>
        <v>0</v>
      </c>
      <c r="R36" s="18">
        <f t="shared" si="34"/>
        <v>0</v>
      </c>
      <c r="S36" s="92">
        <f t="shared" si="35"/>
        <v>0</v>
      </c>
      <c r="T36" s="92">
        <f t="shared" si="36"/>
        <v>0</v>
      </c>
    </row>
    <row r="37" spans="1:25">
      <c r="A37" s="16" t="s">
        <v>27</v>
      </c>
      <c r="B37" s="4" t="s">
        <v>34</v>
      </c>
      <c r="C37" s="21">
        <v>9</v>
      </c>
      <c r="D37" s="21">
        <v>10</v>
      </c>
      <c r="E37" s="18">
        <f t="shared" si="22"/>
        <v>9.5151421247568919</v>
      </c>
      <c r="F37" s="26">
        <f t="shared" si="24"/>
        <v>9</v>
      </c>
      <c r="G37" s="26">
        <f t="shared" si="23"/>
        <v>10</v>
      </c>
      <c r="H37" s="18">
        <f t="shared" si="25"/>
        <v>9.6144494154018396</v>
      </c>
      <c r="I37" s="26">
        <v>5</v>
      </c>
      <c r="J37" s="67">
        <f t="shared" si="26"/>
        <v>-4</v>
      </c>
      <c r="K37" s="27">
        <v>5</v>
      </c>
      <c r="L37" s="67">
        <f t="shared" si="28"/>
        <v>-5</v>
      </c>
      <c r="M37" s="18">
        <f t="shared" si="29"/>
        <v>5</v>
      </c>
      <c r="N37" s="26">
        <v>2</v>
      </c>
      <c r="O37" s="67">
        <f t="shared" si="31"/>
        <v>-7</v>
      </c>
      <c r="P37" s="27">
        <v>2</v>
      </c>
      <c r="Q37" s="67">
        <f t="shared" si="33"/>
        <v>-8</v>
      </c>
      <c r="R37" s="18">
        <f t="shared" si="34"/>
        <v>2</v>
      </c>
      <c r="S37" s="92">
        <f t="shared" si="35"/>
        <v>2</v>
      </c>
      <c r="T37" s="92">
        <f t="shared" si="36"/>
        <v>2</v>
      </c>
    </row>
    <row r="38" spans="1:25">
      <c r="A38" s="16" t="s">
        <v>27</v>
      </c>
      <c r="B38" s="4" t="s">
        <v>35</v>
      </c>
      <c r="C38" s="21">
        <v>0</v>
      </c>
      <c r="D38" s="21">
        <v>0</v>
      </c>
      <c r="E38" s="18">
        <f t="shared" si="22"/>
        <v>0</v>
      </c>
      <c r="F38" s="26">
        <f t="shared" si="24"/>
        <v>0</v>
      </c>
      <c r="G38" s="26">
        <f t="shared" si="23"/>
        <v>0</v>
      </c>
      <c r="H38" s="18">
        <f t="shared" si="25"/>
        <v>0</v>
      </c>
      <c r="I38" s="26">
        <f t="shared" si="37"/>
        <v>0</v>
      </c>
      <c r="J38" s="67">
        <f t="shared" si="26"/>
        <v>0</v>
      </c>
      <c r="K38" s="27">
        <v>0</v>
      </c>
      <c r="L38" s="67">
        <f t="shared" si="28"/>
        <v>0</v>
      </c>
      <c r="M38" s="18">
        <f t="shared" si="29"/>
        <v>0</v>
      </c>
      <c r="N38" s="26">
        <f t="shared" si="30"/>
        <v>0</v>
      </c>
      <c r="O38" s="67">
        <f t="shared" si="31"/>
        <v>0</v>
      </c>
      <c r="P38" s="27">
        <f t="shared" si="32"/>
        <v>0</v>
      </c>
      <c r="Q38" s="67">
        <f t="shared" si="33"/>
        <v>0</v>
      </c>
      <c r="R38" s="18">
        <f t="shared" si="34"/>
        <v>0</v>
      </c>
      <c r="S38" s="92">
        <f t="shared" si="35"/>
        <v>0</v>
      </c>
      <c r="T38" s="92">
        <f t="shared" si="36"/>
        <v>0</v>
      </c>
    </row>
    <row r="39" spans="1:25">
      <c r="A39" s="16" t="s">
        <v>27</v>
      </c>
      <c r="B39" s="4" t="s">
        <v>36</v>
      </c>
      <c r="C39" s="21">
        <v>0</v>
      </c>
      <c r="D39" s="21">
        <v>0</v>
      </c>
      <c r="E39" s="18">
        <f t="shared" si="22"/>
        <v>0</v>
      </c>
      <c r="F39" s="26">
        <f t="shared" si="24"/>
        <v>0</v>
      </c>
      <c r="G39" s="26">
        <f t="shared" si="23"/>
        <v>0</v>
      </c>
      <c r="H39" s="18">
        <f t="shared" si="25"/>
        <v>0</v>
      </c>
      <c r="I39" s="26">
        <f t="shared" si="37"/>
        <v>0</v>
      </c>
      <c r="J39" s="67">
        <f t="shared" si="26"/>
        <v>0</v>
      </c>
      <c r="K39" s="27">
        <f t="shared" si="27"/>
        <v>0</v>
      </c>
      <c r="L39" s="67">
        <f t="shared" si="28"/>
        <v>0</v>
      </c>
      <c r="M39" s="18">
        <f t="shared" si="29"/>
        <v>0</v>
      </c>
      <c r="N39" s="26">
        <f t="shared" si="30"/>
        <v>0</v>
      </c>
      <c r="O39" s="67">
        <f t="shared" si="31"/>
        <v>0</v>
      </c>
      <c r="P39" s="27">
        <f t="shared" si="32"/>
        <v>0</v>
      </c>
      <c r="Q39" s="67">
        <f t="shared" si="33"/>
        <v>0</v>
      </c>
      <c r="R39" s="18">
        <f t="shared" si="34"/>
        <v>0</v>
      </c>
      <c r="S39" s="92">
        <f t="shared" si="35"/>
        <v>0</v>
      </c>
      <c r="T39" s="92">
        <f t="shared" si="36"/>
        <v>0</v>
      </c>
    </row>
    <row r="40" spans="1:25">
      <c r="A40" s="16" t="s">
        <v>27</v>
      </c>
      <c r="B40" s="4" t="s">
        <v>37</v>
      </c>
      <c r="C40" s="21">
        <v>0</v>
      </c>
      <c r="D40" s="21">
        <v>0</v>
      </c>
      <c r="E40" s="18">
        <f t="shared" si="22"/>
        <v>0</v>
      </c>
      <c r="F40" s="26">
        <f t="shared" si="24"/>
        <v>0</v>
      </c>
      <c r="G40" s="26">
        <f t="shared" si="23"/>
        <v>0</v>
      </c>
      <c r="H40" s="18">
        <f t="shared" si="25"/>
        <v>0</v>
      </c>
      <c r="I40" s="26">
        <v>5</v>
      </c>
      <c r="J40" s="67">
        <f t="shared" si="26"/>
        <v>5</v>
      </c>
      <c r="K40" s="27">
        <f t="shared" si="27"/>
        <v>0</v>
      </c>
      <c r="L40" s="67">
        <f t="shared" si="28"/>
        <v>0</v>
      </c>
      <c r="M40" s="18">
        <f t="shared" si="29"/>
        <v>1.9277529229907993</v>
      </c>
      <c r="N40" s="26">
        <v>0</v>
      </c>
      <c r="O40" s="67">
        <f t="shared" si="31"/>
        <v>0</v>
      </c>
      <c r="P40" s="27">
        <f t="shared" si="32"/>
        <v>0</v>
      </c>
      <c r="Q40" s="67">
        <f t="shared" si="33"/>
        <v>0</v>
      </c>
      <c r="R40" s="18">
        <f t="shared" si="34"/>
        <v>0</v>
      </c>
      <c r="S40" s="92">
        <f t="shared" si="35"/>
        <v>0</v>
      </c>
      <c r="T40" s="92">
        <f t="shared" si="36"/>
        <v>0</v>
      </c>
    </row>
    <row r="41" spans="1:25">
      <c r="A41" s="16" t="s">
        <v>27</v>
      </c>
      <c r="B41" s="4" t="s">
        <v>38</v>
      </c>
      <c r="C41" s="21">
        <v>9</v>
      </c>
      <c r="D41" s="21">
        <v>5</v>
      </c>
      <c r="E41" s="18">
        <f t="shared" si="22"/>
        <v>6.9394315009724297</v>
      </c>
      <c r="F41" s="26">
        <f t="shared" si="24"/>
        <v>9</v>
      </c>
      <c r="G41" s="26">
        <f t="shared" si="23"/>
        <v>5</v>
      </c>
      <c r="H41" s="18">
        <f t="shared" si="25"/>
        <v>6.5422023383926398</v>
      </c>
      <c r="I41" s="26">
        <v>4</v>
      </c>
      <c r="J41" s="67">
        <f t="shared" si="26"/>
        <v>-5</v>
      </c>
      <c r="K41" s="27">
        <v>0</v>
      </c>
      <c r="L41" s="67">
        <f t="shared" si="28"/>
        <v>-5</v>
      </c>
      <c r="M41" s="18">
        <f t="shared" si="29"/>
        <v>1.5422023383926393</v>
      </c>
      <c r="N41" s="26">
        <v>0</v>
      </c>
      <c r="O41" s="67">
        <f t="shared" si="31"/>
        <v>-9</v>
      </c>
      <c r="P41" s="27">
        <f t="shared" si="32"/>
        <v>0</v>
      </c>
      <c r="Q41" s="67">
        <f t="shared" si="33"/>
        <v>-5</v>
      </c>
      <c r="R41" s="18">
        <f t="shared" si="34"/>
        <v>0</v>
      </c>
      <c r="S41" s="92">
        <f t="shared" si="35"/>
        <v>0</v>
      </c>
      <c r="T41" s="92">
        <f t="shared" si="36"/>
        <v>0</v>
      </c>
    </row>
    <row r="42" spans="1:25">
      <c r="A42" s="16" t="s">
        <v>27</v>
      </c>
      <c r="B42" s="4" t="s">
        <v>39</v>
      </c>
      <c r="C42" s="21">
        <v>0</v>
      </c>
      <c r="D42" s="21">
        <v>0</v>
      </c>
      <c r="E42" s="18">
        <f t="shared" si="22"/>
        <v>0</v>
      </c>
      <c r="F42" s="26">
        <f t="shared" si="24"/>
        <v>0</v>
      </c>
      <c r="G42" s="26">
        <f t="shared" si="23"/>
        <v>0</v>
      </c>
      <c r="H42" s="18">
        <f t="shared" si="25"/>
        <v>0</v>
      </c>
      <c r="I42" s="26">
        <f t="shared" si="37"/>
        <v>0</v>
      </c>
      <c r="J42" s="67">
        <f t="shared" si="26"/>
        <v>0</v>
      </c>
      <c r="K42" s="27">
        <f t="shared" si="27"/>
        <v>0</v>
      </c>
      <c r="L42" s="67">
        <f t="shared" si="28"/>
        <v>0</v>
      </c>
      <c r="M42" s="18">
        <f t="shared" si="29"/>
        <v>0</v>
      </c>
      <c r="N42" s="26">
        <f t="shared" si="30"/>
        <v>0</v>
      </c>
      <c r="O42" s="67">
        <f t="shared" si="31"/>
        <v>0</v>
      </c>
      <c r="P42" s="27">
        <f t="shared" si="32"/>
        <v>0</v>
      </c>
      <c r="Q42" s="67">
        <f t="shared" si="33"/>
        <v>0</v>
      </c>
      <c r="R42" s="18">
        <f t="shared" si="34"/>
        <v>0</v>
      </c>
      <c r="S42" s="92">
        <f t="shared" si="35"/>
        <v>0</v>
      </c>
      <c r="T42" s="92">
        <f t="shared" si="36"/>
        <v>0</v>
      </c>
    </row>
    <row r="43" spans="1:25">
      <c r="A43" s="16" t="s">
        <v>27</v>
      </c>
      <c r="B43" s="4" t="s">
        <v>40</v>
      </c>
      <c r="C43" s="21">
        <v>0</v>
      </c>
      <c r="D43" s="21">
        <v>0</v>
      </c>
      <c r="E43" s="18">
        <f t="shared" si="22"/>
        <v>0</v>
      </c>
      <c r="F43" s="26">
        <f t="shared" si="24"/>
        <v>0</v>
      </c>
      <c r="G43" s="26">
        <f t="shared" si="23"/>
        <v>0</v>
      </c>
      <c r="H43" s="18">
        <f t="shared" si="25"/>
        <v>0</v>
      </c>
      <c r="I43" s="26">
        <f t="shared" si="37"/>
        <v>0</v>
      </c>
      <c r="J43" s="67">
        <f t="shared" si="26"/>
        <v>0</v>
      </c>
      <c r="K43" s="27">
        <f t="shared" si="27"/>
        <v>0</v>
      </c>
      <c r="L43" s="67">
        <f t="shared" si="28"/>
        <v>0</v>
      </c>
      <c r="M43" s="18">
        <f t="shared" si="29"/>
        <v>0</v>
      </c>
      <c r="N43" s="26">
        <f t="shared" si="30"/>
        <v>0</v>
      </c>
      <c r="O43" s="67">
        <f t="shared" si="31"/>
        <v>0</v>
      </c>
      <c r="P43" s="27">
        <f t="shared" si="32"/>
        <v>0</v>
      </c>
      <c r="Q43" s="67">
        <f t="shared" si="33"/>
        <v>0</v>
      </c>
      <c r="R43" s="18">
        <f t="shared" si="34"/>
        <v>0</v>
      </c>
      <c r="S43" s="92">
        <f t="shared" si="35"/>
        <v>0</v>
      </c>
      <c r="T43" s="92">
        <f t="shared" si="36"/>
        <v>0</v>
      </c>
      <c r="W43" s="17"/>
      <c r="X43" s="17"/>
      <c r="Y43" s="17"/>
    </row>
    <row r="44" spans="1:25">
      <c r="A44" s="16" t="s">
        <v>27</v>
      </c>
      <c r="B44" s="4" t="s">
        <v>41</v>
      </c>
      <c r="C44" s="21">
        <v>40</v>
      </c>
      <c r="D44" s="21">
        <v>25</v>
      </c>
      <c r="E44" s="18">
        <f t="shared" si="22"/>
        <v>32.272868128646614</v>
      </c>
      <c r="F44" s="26">
        <f t="shared" si="24"/>
        <v>40</v>
      </c>
      <c r="G44" s="26">
        <f t="shared" si="23"/>
        <v>25</v>
      </c>
      <c r="H44" s="18">
        <f t="shared" si="25"/>
        <v>30.783258768972399</v>
      </c>
      <c r="I44" s="26">
        <v>35</v>
      </c>
      <c r="J44" s="67">
        <f t="shared" si="26"/>
        <v>-5</v>
      </c>
      <c r="K44" s="27">
        <v>25</v>
      </c>
      <c r="L44" s="67">
        <f t="shared" si="28"/>
        <v>0</v>
      </c>
      <c r="M44" s="18">
        <f t="shared" si="29"/>
        <v>28.8555058459816</v>
      </c>
      <c r="N44" s="26">
        <f t="shared" si="30"/>
        <v>35</v>
      </c>
      <c r="O44" s="67">
        <f t="shared" si="31"/>
        <v>-5</v>
      </c>
      <c r="P44" s="27">
        <f t="shared" si="32"/>
        <v>25</v>
      </c>
      <c r="Q44" s="67">
        <f t="shared" si="33"/>
        <v>0</v>
      </c>
      <c r="R44" s="18">
        <f t="shared" si="34"/>
        <v>28.8555058459816</v>
      </c>
      <c r="S44" s="92">
        <f t="shared" si="35"/>
        <v>35</v>
      </c>
      <c r="T44" s="92">
        <f t="shared" si="36"/>
        <v>25</v>
      </c>
    </row>
    <row r="45" spans="1:25">
      <c r="A45" s="16" t="s">
        <v>27</v>
      </c>
      <c r="B45" s="4" t="s">
        <v>42</v>
      </c>
      <c r="C45" s="21">
        <v>9</v>
      </c>
      <c r="D45" s="21">
        <v>5</v>
      </c>
      <c r="E45" s="18">
        <f t="shared" si="22"/>
        <v>6.9394315009724297</v>
      </c>
      <c r="F45" s="26">
        <f t="shared" si="24"/>
        <v>9</v>
      </c>
      <c r="G45" s="26">
        <f t="shared" si="23"/>
        <v>5</v>
      </c>
      <c r="H45" s="18">
        <f t="shared" si="25"/>
        <v>6.5422023383926398</v>
      </c>
      <c r="I45" s="26">
        <v>10</v>
      </c>
      <c r="J45" s="67">
        <f t="shared" si="26"/>
        <v>1</v>
      </c>
      <c r="K45" s="27">
        <f t="shared" si="27"/>
        <v>5</v>
      </c>
      <c r="L45" s="67">
        <f t="shared" si="28"/>
        <v>0</v>
      </c>
      <c r="M45" s="18">
        <f t="shared" si="29"/>
        <v>6.9277529229908001</v>
      </c>
      <c r="N45" s="26">
        <v>7</v>
      </c>
      <c r="O45" s="67">
        <f t="shared" si="31"/>
        <v>-2</v>
      </c>
      <c r="P45" s="27">
        <f t="shared" si="32"/>
        <v>5</v>
      </c>
      <c r="Q45" s="67">
        <f t="shared" si="33"/>
        <v>0</v>
      </c>
      <c r="R45" s="18">
        <f t="shared" si="34"/>
        <v>5.7711011691963199</v>
      </c>
      <c r="S45" s="92">
        <f t="shared" si="35"/>
        <v>7</v>
      </c>
      <c r="T45" s="92">
        <f t="shared" si="36"/>
        <v>5</v>
      </c>
    </row>
    <row r="46" spans="1:25">
      <c r="A46" s="16" t="s">
        <v>27</v>
      </c>
      <c r="B46" s="4" t="s">
        <v>43</v>
      </c>
      <c r="C46" s="21">
        <v>0</v>
      </c>
      <c r="D46" s="21">
        <v>0</v>
      </c>
      <c r="E46" s="18">
        <f t="shared" si="22"/>
        <v>0</v>
      </c>
      <c r="F46" s="26">
        <f t="shared" si="24"/>
        <v>0</v>
      </c>
      <c r="G46" s="26">
        <f t="shared" si="23"/>
        <v>0</v>
      </c>
      <c r="H46" s="18">
        <f t="shared" si="25"/>
        <v>0</v>
      </c>
      <c r="I46" s="26">
        <v>5</v>
      </c>
      <c r="J46" s="67">
        <f t="shared" si="26"/>
        <v>5</v>
      </c>
      <c r="K46" s="27">
        <f t="shared" si="27"/>
        <v>0</v>
      </c>
      <c r="L46" s="67">
        <f t="shared" si="28"/>
        <v>0</v>
      </c>
      <c r="M46" s="18">
        <f t="shared" si="29"/>
        <v>1.9277529229907993</v>
      </c>
      <c r="N46" s="26">
        <f t="shared" si="30"/>
        <v>5</v>
      </c>
      <c r="O46" s="67">
        <f t="shared" si="31"/>
        <v>5</v>
      </c>
      <c r="P46" s="27">
        <f t="shared" si="32"/>
        <v>0</v>
      </c>
      <c r="Q46" s="67">
        <f t="shared" si="33"/>
        <v>0</v>
      </c>
      <c r="R46" s="18">
        <f t="shared" si="34"/>
        <v>1.9277529229907993</v>
      </c>
      <c r="S46" s="92">
        <f t="shared" si="35"/>
        <v>5</v>
      </c>
      <c r="T46" s="92">
        <f t="shared" si="36"/>
        <v>0</v>
      </c>
    </row>
    <row r="47" spans="1:25">
      <c r="A47" s="16" t="s">
        <v>27</v>
      </c>
      <c r="B47" s="4" t="s">
        <v>44</v>
      </c>
      <c r="C47" s="21">
        <v>0</v>
      </c>
      <c r="D47" s="21">
        <v>0</v>
      </c>
      <c r="E47" s="18">
        <f t="shared" si="22"/>
        <v>0</v>
      </c>
      <c r="F47" s="26">
        <f t="shared" si="24"/>
        <v>0</v>
      </c>
      <c r="G47" s="26">
        <f t="shared" si="23"/>
        <v>0</v>
      </c>
      <c r="H47" s="18">
        <f t="shared" si="25"/>
        <v>0</v>
      </c>
      <c r="I47" s="26">
        <f t="shared" si="37"/>
        <v>0</v>
      </c>
      <c r="J47" s="67">
        <f t="shared" si="26"/>
        <v>0</v>
      </c>
      <c r="K47" s="27">
        <f t="shared" si="27"/>
        <v>0</v>
      </c>
      <c r="L47" s="67">
        <f t="shared" si="28"/>
        <v>0</v>
      </c>
      <c r="M47" s="18">
        <f t="shared" si="29"/>
        <v>0</v>
      </c>
      <c r="N47" s="26">
        <f t="shared" si="30"/>
        <v>0</v>
      </c>
      <c r="O47" s="67">
        <f t="shared" si="31"/>
        <v>0</v>
      </c>
      <c r="P47" s="27">
        <f t="shared" si="32"/>
        <v>0</v>
      </c>
      <c r="Q47" s="67">
        <f t="shared" si="33"/>
        <v>0</v>
      </c>
      <c r="R47" s="18">
        <f t="shared" si="34"/>
        <v>0</v>
      </c>
      <c r="S47" s="92">
        <f t="shared" si="35"/>
        <v>0</v>
      </c>
      <c r="T47" s="92">
        <f t="shared" si="36"/>
        <v>0</v>
      </c>
    </row>
    <row r="48" spans="1:25">
      <c r="A48" s="16" t="s">
        <v>27</v>
      </c>
      <c r="B48" s="4" t="s">
        <v>45</v>
      </c>
      <c r="C48" s="21">
        <v>9</v>
      </c>
      <c r="D48" s="21">
        <v>15</v>
      </c>
      <c r="E48" s="18">
        <f t="shared" si="22"/>
        <v>12.090852748541355</v>
      </c>
      <c r="F48" s="26">
        <f t="shared" si="24"/>
        <v>9</v>
      </c>
      <c r="G48" s="26">
        <f t="shared" si="23"/>
        <v>15</v>
      </c>
      <c r="H48" s="18">
        <f t="shared" si="25"/>
        <v>12.686696492411041</v>
      </c>
      <c r="I48" s="26">
        <v>8</v>
      </c>
      <c r="J48" s="67">
        <f t="shared" si="26"/>
        <v>-1</v>
      </c>
      <c r="K48" s="27">
        <f t="shared" si="27"/>
        <v>15</v>
      </c>
      <c r="L48" s="67">
        <f t="shared" si="28"/>
        <v>0</v>
      </c>
      <c r="M48" s="18">
        <f t="shared" si="29"/>
        <v>12.301145907812883</v>
      </c>
      <c r="N48" s="26">
        <v>20</v>
      </c>
      <c r="O48" s="67">
        <f t="shared" si="31"/>
        <v>11</v>
      </c>
      <c r="P48" s="27">
        <v>20</v>
      </c>
      <c r="Q48" s="67">
        <f t="shared" si="33"/>
        <v>5</v>
      </c>
      <c r="R48" s="18">
        <f t="shared" si="34"/>
        <v>20</v>
      </c>
      <c r="S48" s="92">
        <f t="shared" si="35"/>
        <v>20</v>
      </c>
      <c r="T48" s="92">
        <f t="shared" si="36"/>
        <v>20</v>
      </c>
    </row>
    <row r="49" spans="1:23">
      <c r="A49" s="16" t="s">
        <v>27</v>
      </c>
      <c r="B49" s="4" t="s">
        <v>46</v>
      </c>
      <c r="C49" s="21">
        <v>0</v>
      </c>
      <c r="D49" s="21">
        <v>0</v>
      </c>
      <c r="E49" s="18">
        <f t="shared" si="22"/>
        <v>0</v>
      </c>
      <c r="F49" s="26">
        <f t="shared" si="24"/>
        <v>0</v>
      </c>
      <c r="G49" s="26">
        <f t="shared" si="23"/>
        <v>0</v>
      </c>
      <c r="H49" s="18">
        <f t="shared" si="25"/>
        <v>0</v>
      </c>
      <c r="I49" s="26">
        <f t="shared" si="37"/>
        <v>0</v>
      </c>
      <c r="J49" s="67">
        <f t="shared" si="26"/>
        <v>0</v>
      </c>
      <c r="K49" s="27">
        <f t="shared" si="27"/>
        <v>0</v>
      </c>
      <c r="L49" s="67">
        <f t="shared" si="28"/>
        <v>0</v>
      </c>
      <c r="M49" s="18">
        <f t="shared" si="29"/>
        <v>0</v>
      </c>
      <c r="N49" s="26">
        <f t="shared" si="30"/>
        <v>0</v>
      </c>
      <c r="O49" s="67">
        <f t="shared" si="31"/>
        <v>0</v>
      </c>
      <c r="P49" s="27">
        <f t="shared" si="32"/>
        <v>0</v>
      </c>
      <c r="Q49" s="67">
        <f t="shared" si="33"/>
        <v>0</v>
      </c>
      <c r="R49" s="18">
        <f t="shared" si="34"/>
        <v>0</v>
      </c>
      <c r="S49" s="92">
        <f t="shared" si="35"/>
        <v>0</v>
      </c>
      <c r="T49" s="92">
        <f t="shared" si="36"/>
        <v>0</v>
      </c>
    </row>
    <row r="50" spans="1:23">
      <c r="A50" s="16" t="s">
        <v>27</v>
      </c>
      <c r="B50" s="4" t="s">
        <v>47</v>
      </c>
      <c r="C50" s="21">
        <v>10</v>
      </c>
      <c r="D50" s="21">
        <v>15</v>
      </c>
      <c r="E50" s="18">
        <f t="shared" si="22"/>
        <v>12.575710623784463</v>
      </c>
      <c r="F50" s="26">
        <f t="shared" si="24"/>
        <v>10</v>
      </c>
      <c r="G50" s="26">
        <f t="shared" si="23"/>
        <v>15</v>
      </c>
      <c r="H50" s="18">
        <f t="shared" si="25"/>
        <v>13.072247077009203</v>
      </c>
      <c r="I50" s="26">
        <v>7</v>
      </c>
      <c r="J50" s="67">
        <f t="shared" si="26"/>
        <v>-3</v>
      </c>
      <c r="K50" s="27">
        <f t="shared" si="27"/>
        <v>15</v>
      </c>
      <c r="L50" s="67">
        <f t="shared" si="28"/>
        <v>0</v>
      </c>
      <c r="M50" s="18">
        <f t="shared" si="29"/>
        <v>11.91559532321472</v>
      </c>
      <c r="N50" s="26">
        <f t="shared" si="30"/>
        <v>7</v>
      </c>
      <c r="O50" s="67">
        <f t="shared" si="31"/>
        <v>-3</v>
      </c>
      <c r="P50" s="27">
        <v>10</v>
      </c>
      <c r="Q50" s="67">
        <f t="shared" si="33"/>
        <v>-5</v>
      </c>
      <c r="R50" s="18">
        <f t="shared" si="34"/>
        <v>8.8433482462055206</v>
      </c>
      <c r="S50" s="92">
        <f t="shared" si="35"/>
        <v>7</v>
      </c>
      <c r="T50" s="92">
        <f t="shared" si="36"/>
        <v>10</v>
      </c>
    </row>
    <row r="51" spans="1:23">
      <c r="A51" s="16" t="s">
        <v>27</v>
      </c>
      <c r="B51" s="4" t="s">
        <v>48</v>
      </c>
      <c r="C51" s="21">
        <v>0</v>
      </c>
      <c r="D51" s="21">
        <v>0</v>
      </c>
      <c r="E51" s="18">
        <f t="shared" si="22"/>
        <v>0</v>
      </c>
      <c r="F51" s="26">
        <f t="shared" si="24"/>
        <v>0</v>
      </c>
      <c r="G51" s="26">
        <f t="shared" si="23"/>
        <v>0</v>
      </c>
      <c r="H51" s="18">
        <f t="shared" si="25"/>
        <v>0</v>
      </c>
      <c r="I51" s="26">
        <f t="shared" si="37"/>
        <v>0</v>
      </c>
      <c r="J51" s="67">
        <f t="shared" si="26"/>
        <v>0</v>
      </c>
      <c r="K51" s="27">
        <f t="shared" si="27"/>
        <v>0</v>
      </c>
      <c r="L51" s="67">
        <f t="shared" si="28"/>
        <v>0</v>
      </c>
      <c r="M51" s="18">
        <f t="shared" si="29"/>
        <v>0</v>
      </c>
      <c r="N51" s="26">
        <f t="shared" si="30"/>
        <v>0</v>
      </c>
      <c r="O51" s="67">
        <f t="shared" si="31"/>
        <v>0</v>
      </c>
      <c r="P51" s="27">
        <f t="shared" si="32"/>
        <v>0</v>
      </c>
      <c r="Q51" s="67">
        <f t="shared" si="33"/>
        <v>0</v>
      </c>
      <c r="R51" s="18">
        <f t="shared" si="34"/>
        <v>0</v>
      </c>
      <c r="S51" s="92">
        <f t="shared" si="35"/>
        <v>0</v>
      </c>
      <c r="T51" s="92">
        <f t="shared" si="36"/>
        <v>0</v>
      </c>
    </row>
    <row r="52" spans="1:23">
      <c r="A52" s="16" t="s">
        <v>27</v>
      </c>
      <c r="B52" s="4" t="s">
        <v>49</v>
      </c>
      <c r="C52" s="21">
        <v>0</v>
      </c>
      <c r="D52" s="21">
        <v>0</v>
      </c>
      <c r="E52" s="18">
        <f t="shared" si="22"/>
        <v>0</v>
      </c>
      <c r="F52" s="26">
        <f t="shared" si="24"/>
        <v>0</v>
      </c>
      <c r="G52" s="26">
        <f t="shared" si="23"/>
        <v>0</v>
      </c>
      <c r="H52" s="18">
        <f t="shared" si="25"/>
        <v>0</v>
      </c>
      <c r="I52" s="26">
        <f t="shared" si="37"/>
        <v>0</v>
      </c>
      <c r="J52" s="67">
        <f t="shared" si="26"/>
        <v>0</v>
      </c>
      <c r="K52" s="27">
        <f t="shared" si="27"/>
        <v>0</v>
      </c>
      <c r="L52" s="67">
        <f t="shared" si="28"/>
        <v>0</v>
      </c>
      <c r="M52" s="18">
        <f t="shared" si="29"/>
        <v>0</v>
      </c>
      <c r="N52" s="26">
        <f t="shared" si="30"/>
        <v>0</v>
      </c>
      <c r="O52" s="67">
        <f t="shared" si="31"/>
        <v>0</v>
      </c>
      <c r="P52" s="27">
        <f t="shared" si="32"/>
        <v>0</v>
      </c>
      <c r="Q52" s="67">
        <f t="shared" si="33"/>
        <v>0</v>
      </c>
      <c r="R52" s="18">
        <f t="shared" si="34"/>
        <v>0</v>
      </c>
      <c r="S52" s="92">
        <f t="shared" si="35"/>
        <v>0</v>
      </c>
      <c r="T52" s="92">
        <f t="shared" si="36"/>
        <v>0</v>
      </c>
    </row>
    <row r="53" spans="1:23">
      <c r="A53" s="16" t="s">
        <v>27</v>
      </c>
      <c r="B53" s="4" t="s">
        <v>50</v>
      </c>
      <c r="C53" s="21">
        <v>0</v>
      </c>
      <c r="D53" s="21">
        <v>0</v>
      </c>
      <c r="E53" s="18">
        <f t="shared" si="22"/>
        <v>0</v>
      </c>
      <c r="F53" s="26">
        <f t="shared" si="24"/>
        <v>0</v>
      </c>
      <c r="G53" s="26">
        <f t="shared" si="23"/>
        <v>0</v>
      </c>
      <c r="H53" s="18">
        <f t="shared" si="25"/>
        <v>0</v>
      </c>
      <c r="I53" s="26">
        <f t="shared" si="37"/>
        <v>0</v>
      </c>
      <c r="J53" s="67">
        <f t="shared" si="26"/>
        <v>0</v>
      </c>
      <c r="K53" s="27">
        <f t="shared" si="27"/>
        <v>0</v>
      </c>
      <c r="L53" s="67">
        <f t="shared" si="28"/>
        <v>0</v>
      </c>
      <c r="M53" s="18">
        <f t="shared" si="29"/>
        <v>0</v>
      </c>
      <c r="N53" s="26">
        <f t="shared" si="30"/>
        <v>0</v>
      </c>
      <c r="O53" s="67">
        <f t="shared" si="31"/>
        <v>0</v>
      </c>
      <c r="P53" s="27">
        <f t="shared" si="32"/>
        <v>0</v>
      </c>
      <c r="Q53" s="67">
        <f t="shared" si="33"/>
        <v>0</v>
      </c>
      <c r="R53" s="18">
        <f t="shared" si="34"/>
        <v>0</v>
      </c>
      <c r="S53" s="92">
        <f t="shared" si="35"/>
        <v>0</v>
      </c>
      <c r="T53" s="92">
        <f t="shared" si="36"/>
        <v>0</v>
      </c>
    </row>
    <row r="54" spans="1:23">
      <c r="A54" s="16" t="s">
        <v>27</v>
      </c>
      <c r="B54" s="4" t="s">
        <v>51</v>
      </c>
      <c r="C54" s="21">
        <v>0</v>
      </c>
      <c r="D54" s="21">
        <v>0</v>
      </c>
      <c r="E54" s="18">
        <f t="shared" si="22"/>
        <v>0</v>
      </c>
      <c r="F54" s="26">
        <f t="shared" si="24"/>
        <v>0</v>
      </c>
      <c r="G54" s="26">
        <f t="shared" si="23"/>
        <v>0</v>
      </c>
      <c r="H54" s="18">
        <f t="shared" si="25"/>
        <v>0</v>
      </c>
      <c r="I54" s="26">
        <f t="shared" si="37"/>
        <v>0</v>
      </c>
      <c r="J54" s="67">
        <f t="shared" si="26"/>
        <v>0</v>
      </c>
      <c r="K54" s="27">
        <f t="shared" si="27"/>
        <v>0</v>
      </c>
      <c r="L54" s="67">
        <f t="shared" si="28"/>
        <v>0</v>
      </c>
      <c r="M54" s="18">
        <f t="shared" si="29"/>
        <v>0</v>
      </c>
      <c r="N54" s="26">
        <f t="shared" si="30"/>
        <v>0</v>
      </c>
      <c r="O54" s="67">
        <f t="shared" si="31"/>
        <v>0</v>
      </c>
      <c r="P54" s="27">
        <f t="shared" si="32"/>
        <v>0</v>
      </c>
      <c r="Q54" s="67">
        <f t="shared" si="33"/>
        <v>0</v>
      </c>
      <c r="R54" s="18">
        <f t="shared" si="34"/>
        <v>0</v>
      </c>
      <c r="S54" s="92">
        <f t="shared" si="35"/>
        <v>0</v>
      </c>
      <c r="T54" s="92">
        <f t="shared" si="36"/>
        <v>0</v>
      </c>
    </row>
    <row r="55" spans="1:23">
      <c r="A55" s="16" t="s">
        <v>27</v>
      </c>
      <c r="B55" s="4" t="s">
        <v>52</v>
      </c>
      <c r="C55" s="21">
        <v>0</v>
      </c>
      <c r="D55" s="21">
        <v>0</v>
      </c>
      <c r="E55" s="18">
        <f t="shared" si="22"/>
        <v>0</v>
      </c>
      <c r="F55" s="26">
        <f t="shared" si="24"/>
        <v>0</v>
      </c>
      <c r="G55" s="26">
        <f t="shared" si="23"/>
        <v>0</v>
      </c>
      <c r="H55" s="18">
        <f t="shared" si="25"/>
        <v>0</v>
      </c>
      <c r="I55" s="26">
        <v>2</v>
      </c>
      <c r="J55" s="67">
        <f t="shared" si="26"/>
        <v>2</v>
      </c>
      <c r="K55" s="27">
        <f t="shared" si="27"/>
        <v>0</v>
      </c>
      <c r="L55" s="67">
        <f t="shared" si="28"/>
        <v>0</v>
      </c>
      <c r="M55" s="18">
        <f t="shared" si="29"/>
        <v>0.77110116919631966</v>
      </c>
      <c r="N55" s="26">
        <v>0</v>
      </c>
      <c r="O55" s="67">
        <f t="shared" si="31"/>
        <v>0</v>
      </c>
      <c r="P55" s="27">
        <f t="shared" si="32"/>
        <v>0</v>
      </c>
      <c r="Q55" s="67">
        <f t="shared" si="33"/>
        <v>0</v>
      </c>
      <c r="R55" s="18">
        <f t="shared" si="34"/>
        <v>0</v>
      </c>
      <c r="S55" s="92">
        <f t="shared" si="35"/>
        <v>0</v>
      </c>
      <c r="T55" s="92">
        <f t="shared" si="36"/>
        <v>0</v>
      </c>
    </row>
    <row r="56" spans="1:23">
      <c r="A56" s="16" t="s">
        <v>27</v>
      </c>
      <c r="B56" s="4" t="s">
        <v>53</v>
      </c>
      <c r="C56" s="21">
        <v>0</v>
      </c>
      <c r="D56" s="21">
        <v>0</v>
      </c>
      <c r="E56" s="18">
        <f t="shared" si="22"/>
        <v>0</v>
      </c>
      <c r="F56" s="26">
        <f t="shared" si="24"/>
        <v>0</v>
      </c>
      <c r="G56" s="26">
        <f t="shared" si="23"/>
        <v>0</v>
      </c>
      <c r="H56" s="18">
        <f t="shared" si="25"/>
        <v>0</v>
      </c>
      <c r="I56" s="26">
        <f t="shared" si="37"/>
        <v>0</v>
      </c>
      <c r="J56" s="67">
        <f t="shared" si="26"/>
        <v>0</v>
      </c>
      <c r="K56" s="27">
        <f t="shared" si="27"/>
        <v>0</v>
      </c>
      <c r="L56" s="67">
        <f t="shared" si="28"/>
        <v>0</v>
      </c>
      <c r="M56" s="18">
        <f t="shared" si="29"/>
        <v>0</v>
      </c>
      <c r="N56" s="26">
        <f t="shared" si="30"/>
        <v>0</v>
      </c>
      <c r="O56" s="67">
        <f t="shared" si="31"/>
        <v>0</v>
      </c>
      <c r="P56" s="27">
        <f t="shared" si="32"/>
        <v>0</v>
      </c>
      <c r="Q56" s="67">
        <f t="shared" si="33"/>
        <v>0</v>
      </c>
      <c r="R56" s="18">
        <f t="shared" si="34"/>
        <v>0</v>
      </c>
      <c r="S56" s="92">
        <f t="shared" si="35"/>
        <v>0</v>
      </c>
      <c r="T56" s="92">
        <f t="shared" si="36"/>
        <v>0</v>
      </c>
    </row>
    <row r="57" spans="1:23">
      <c r="A57" s="16" t="s">
        <v>27</v>
      </c>
      <c r="B57" s="4" t="s">
        <v>54</v>
      </c>
      <c r="C57" s="21">
        <v>9</v>
      </c>
      <c r="D57" s="21">
        <v>10</v>
      </c>
      <c r="E57" s="18">
        <f t="shared" si="22"/>
        <v>9.5151421247568919</v>
      </c>
      <c r="F57" s="26">
        <f t="shared" si="24"/>
        <v>9</v>
      </c>
      <c r="G57" s="26">
        <f t="shared" si="23"/>
        <v>10</v>
      </c>
      <c r="H57" s="18">
        <f t="shared" si="25"/>
        <v>9.6144494154018396</v>
      </c>
      <c r="I57" s="26">
        <v>4</v>
      </c>
      <c r="J57" s="67">
        <f t="shared" si="26"/>
        <v>-5</v>
      </c>
      <c r="K57" s="27">
        <f t="shared" si="27"/>
        <v>10</v>
      </c>
      <c r="L57" s="67">
        <f t="shared" si="28"/>
        <v>0</v>
      </c>
      <c r="M57" s="18">
        <f t="shared" si="29"/>
        <v>7.6866964924110404</v>
      </c>
      <c r="N57" s="26">
        <f t="shared" si="30"/>
        <v>4</v>
      </c>
      <c r="O57" s="67">
        <f t="shared" si="31"/>
        <v>-5</v>
      </c>
      <c r="P57" s="27">
        <v>8</v>
      </c>
      <c r="Q57" s="67">
        <f t="shared" si="33"/>
        <v>-2</v>
      </c>
      <c r="R57" s="18">
        <f t="shared" si="34"/>
        <v>6.4577976616073602</v>
      </c>
      <c r="S57" s="92">
        <f t="shared" si="35"/>
        <v>4</v>
      </c>
      <c r="T57" s="92">
        <f t="shared" si="36"/>
        <v>8</v>
      </c>
      <c r="V57" s="33"/>
      <c r="W57" s="33"/>
    </row>
    <row r="58" spans="1:23">
      <c r="A58" s="16" t="s">
        <v>27</v>
      </c>
      <c r="B58" s="4" t="s">
        <v>55</v>
      </c>
      <c r="C58" s="21">
        <v>5</v>
      </c>
      <c r="D58" s="21">
        <v>10</v>
      </c>
      <c r="E58" s="18">
        <f t="shared" si="22"/>
        <v>7.5757106237844622</v>
      </c>
      <c r="F58" s="26">
        <f t="shared" si="24"/>
        <v>5</v>
      </c>
      <c r="G58" s="26">
        <f t="shared" si="23"/>
        <v>10</v>
      </c>
      <c r="H58" s="18">
        <f t="shared" si="25"/>
        <v>8.0722470770091999</v>
      </c>
      <c r="I58" s="26">
        <v>10</v>
      </c>
      <c r="J58" s="67">
        <f t="shared" si="26"/>
        <v>5</v>
      </c>
      <c r="K58" s="27">
        <v>15</v>
      </c>
      <c r="L58" s="67">
        <f t="shared" si="28"/>
        <v>5</v>
      </c>
      <c r="M58" s="18">
        <f t="shared" si="29"/>
        <v>13.072247077009203</v>
      </c>
      <c r="N58" s="26">
        <v>15</v>
      </c>
      <c r="O58" s="67">
        <f t="shared" si="31"/>
        <v>10</v>
      </c>
      <c r="P58" s="27">
        <v>20</v>
      </c>
      <c r="Q58" s="67">
        <f t="shared" si="33"/>
        <v>10</v>
      </c>
      <c r="R58" s="18">
        <f t="shared" si="34"/>
        <v>18.072247077009202</v>
      </c>
      <c r="S58" s="92">
        <f t="shared" si="35"/>
        <v>15</v>
      </c>
      <c r="T58" s="92">
        <f t="shared" si="36"/>
        <v>20</v>
      </c>
    </row>
    <row r="59" spans="1:23">
      <c r="A59" s="16" t="s">
        <v>27</v>
      </c>
      <c r="B59" s="4" t="s">
        <v>56</v>
      </c>
      <c r="C59" s="21">
        <v>0</v>
      </c>
      <c r="D59" s="21">
        <v>0</v>
      </c>
      <c r="E59" s="18">
        <f t="shared" si="22"/>
        <v>0</v>
      </c>
      <c r="F59" s="26">
        <f t="shared" si="24"/>
        <v>0</v>
      </c>
      <c r="G59" s="26">
        <f t="shared" si="23"/>
        <v>0</v>
      </c>
      <c r="H59" s="18">
        <f t="shared" si="25"/>
        <v>0</v>
      </c>
      <c r="I59" s="26">
        <f t="shared" si="37"/>
        <v>0</v>
      </c>
      <c r="J59" s="67">
        <f t="shared" si="26"/>
        <v>0</v>
      </c>
      <c r="K59" s="27">
        <f t="shared" si="27"/>
        <v>0</v>
      </c>
      <c r="L59" s="67">
        <f t="shared" si="28"/>
        <v>0</v>
      </c>
      <c r="M59" s="18">
        <f t="shared" si="29"/>
        <v>0</v>
      </c>
      <c r="N59" s="26">
        <f t="shared" si="30"/>
        <v>0</v>
      </c>
      <c r="O59" s="67">
        <f t="shared" si="31"/>
        <v>0</v>
      </c>
      <c r="P59" s="27">
        <f t="shared" si="32"/>
        <v>0</v>
      </c>
      <c r="Q59" s="67">
        <f t="shared" si="33"/>
        <v>0</v>
      </c>
      <c r="R59" s="18">
        <f t="shared" si="34"/>
        <v>0</v>
      </c>
      <c r="S59" s="92">
        <f t="shared" si="35"/>
        <v>0</v>
      </c>
      <c r="T59" s="92">
        <f t="shared" si="36"/>
        <v>0</v>
      </c>
    </row>
    <row r="60" spans="1:23">
      <c r="A60" s="81" t="s">
        <v>27</v>
      </c>
      <c r="B60" s="81" t="s">
        <v>28</v>
      </c>
      <c r="C60" s="81">
        <f>C31</f>
        <v>0</v>
      </c>
      <c r="D60" s="81">
        <f t="shared" ref="D60" si="38">D31</f>
        <v>5</v>
      </c>
      <c r="E60" s="82">
        <f>E31</f>
        <v>2.5757106237844622</v>
      </c>
      <c r="F60" s="82">
        <f t="shared" ref="F60:T60" si="39">F31</f>
        <v>0</v>
      </c>
      <c r="G60" s="82">
        <f t="shared" si="39"/>
        <v>5</v>
      </c>
      <c r="H60" s="82">
        <f t="shared" si="39"/>
        <v>3.0722470770092007</v>
      </c>
      <c r="I60" s="82">
        <f t="shared" si="39"/>
        <v>0</v>
      </c>
      <c r="J60" s="82">
        <f t="shared" si="39"/>
        <v>0</v>
      </c>
      <c r="K60" s="82">
        <f t="shared" si="39"/>
        <v>5</v>
      </c>
      <c r="L60" s="82">
        <f t="shared" si="39"/>
        <v>0</v>
      </c>
      <c r="M60" s="82">
        <f t="shared" si="39"/>
        <v>3.0722470770092007</v>
      </c>
      <c r="N60" s="82">
        <f t="shared" si="39"/>
        <v>0</v>
      </c>
      <c r="O60" s="82">
        <f t="shared" si="39"/>
        <v>0</v>
      </c>
      <c r="P60" s="82">
        <f t="shared" si="39"/>
        <v>5</v>
      </c>
      <c r="Q60" s="82">
        <f t="shared" si="39"/>
        <v>0</v>
      </c>
      <c r="R60" s="82">
        <f t="shared" si="39"/>
        <v>3.0722470770092007</v>
      </c>
      <c r="S60" s="82">
        <f t="shared" si="39"/>
        <v>0</v>
      </c>
      <c r="T60" s="82">
        <f t="shared" si="39"/>
        <v>5</v>
      </c>
    </row>
    <row r="61" spans="1:23">
      <c r="A61" s="81" t="s">
        <v>27</v>
      </c>
      <c r="B61" s="83" t="s">
        <v>29</v>
      </c>
      <c r="C61" s="81">
        <f t="shared" ref="C61:D88" si="40">C32</f>
        <v>0</v>
      </c>
      <c r="D61" s="81">
        <f t="shared" si="40"/>
        <v>0</v>
      </c>
      <c r="E61" s="82">
        <f t="shared" ref="E61:T61" si="41">E32</f>
        <v>0</v>
      </c>
      <c r="F61" s="82">
        <f t="shared" si="41"/>
        <v>0</v>
      </c>
      <c r="G61" s="82">
        <f t="shared" si="41"/>
        <v>0</v>
      </c>
      <c r="H61" s="82">
        <f t="shared" si="41"/>
        <v>0</v>
      </c>
      <c r="I61" s="82">
        <f t="shared" si="41"/>
        <v>0</v>
      </c>
      <c r="J61" s="82">
        <f t="shared" si="41"/>
        <v>0</v>
      </c>
      <c r="K61" s="82">
        <f t="shared" si="41"/>
        <v>0</v>
      </c>
      <c r="L61" s="82">
        <f t="shared" si="41"/>
        <v>0</v>
      </c>
      <c r="M61" s="82">
        <f t="shared" si="41"/>
        <v>0</v>
      </c>
      <c r="N61" s="82">
        <f t="shared" si="41"/>
        <v>0</v>
      </c>
      <c r="O61" s="82">
        <f t="shared" si="41"/>
        <v>0</v>
      </c>
      <c r="P61" s="82">
        <f t="shared" si="41"/>
        <v>0</v>
      </c>
      <c r="Q61" s="82">
        <f t="shared" si="41"/>
        <v>0</v>
      </c>
      <c r="R61" s="82">
        <f t="shared" si="41"/>
        <v>0</v>
      </c>
      <c r="S61" s="82">
        <f t="shared" si="41"/>
        <v>0</v>
      </c>
      <c r="T61" s="82">
        <f t="shared" si="41"/>
        <v>0</v>
      </c>
    </row>
    <row r="62" spans="1:23">
      <c r="A62" s="81" t="s">
        <v>27</v>
      </c>
      <c r="B62" s="83" t="s">
        <v>30</v>
      </c>
      <c r="C62" s="81">
        <f t="shared" si="40"/>
        <v>0</v>
      </c>
      <c r="D62" s="81">
        <f t="shared" si="40"/>
        <v>0</v>
      </c>
      <c r="E62" s="82">
        <f t="shared" ref="E62:T62" si="42">E33</f>
        <v>0</v>
      </c>
      <c r="F62" s="82">
        <f t="shared" si="42"/>
        <v>0</v>
      </c>
      <c r="G62" s="82">
        <f t="shared" si="42"/>
        <v>0</v>
      </c>
      <c r="H62" s="82">
        <f t="shared" si="42"/>
        <v>0</v>
      </c>
      <c r="I62" s="82">
        <f t="shared" si="42"/>
        <v>0</v>
      </c>
      <c r="J62" s="82">
        <f t="shared" si="42"/>
        <v>0</v>
      </c>
      <c r="K62" s="82">
        <f t="shared" si="42"/>
        <v>0</v>
      </c>
      <c r="L62" s="82">
        <f t="shared" si="42"/>
        <v>0</v>
      </c>
      <c r="M62" s="82">
        <f t="shared" si="42"/>
        <v>0</v>
      </c>
      <c r="N62" s="82">
        <f t="shared" si="42"/>
        <v>0</v>
      </c>
      <c r="O62" s="82">
        <f t="shared" si="42"/>
        <v>0</v>
      </c>
      <c r="P62" s="82">
        <f t="shared" si="42"/>
        <v>0</v>
      </c>
      <c r="Q62" s="82">
        <f t="shared" si="42"/>
        <v>0</v>
      </c>
      <c r="R62" s="82">
        <f t="shared" si="42"/>
        <v>0</v>
      </c>
      <c r="S62" s="82">
        <f t="shared" si="42"/>
        <v>0</v>
      </c>
      <c r="T62" s="82">
        <f t="shared" si="42"/>
        <v>0</v>
      </c>
    </row>
    <row r="63" spans="1:23">
      <c r="A63" s="81" t="s">
        <v>27</v>
      </c>
      <c r="B63" s="83" t="s">
        <v>31</v>
      </c>
      <c r="C63" s="81">
        <f t="shared" si="40"/>
        <v>0</v>
      </c>
      <c r="D63" s="81">
        <f t="shared" si="40"/>
        <v>0</v>
      </c>
      <c r="E63" s="82">
        <f t="shared" ref="E63:T63" si="43">E34</f>
        <v>0</v>
      </c>
      <c r="F63" s="82">
        <f t="shared" si="43"/>
        <v>0</v>
      </c>
      <c r="G63" s="82">
        <f t="shared" si="43"/>
        <v>0</v>
      </c>
      <c r="H63" s="82">
        <f t="shared" si="43"/>
        <v>0</v>
      </c>
      <c r="I63" s="82">
        <f t="shared" si="43"/>
        <v>5</v>
      </c>
      <c r="J63" s="82">
        <f t="shared" si="43"/>
        <v>5</v>
      </c>
      <c r="K63" s="82">
        <f t="shared" si="43"/>
        <v>5</v>
      </c>
      <c r="L63" s="82">
        <f t="shared" si="43"/>
        <v>5</v>
      </c>
      <c r="M63" s="82">
        <f t="shared" si="43"/>
        <v>5</v>
      </c>
      <c r="N63" s="82">
        <f t="shared" si="43"/>
        <v>5</v>
      </c>
      <c r="O63" s="82">
        <f t="shared" si="43"/>
        <v>5</v>
      </c>
      <c r="P63" s="82">
        <f t="shared" si="43"/>
        <v>5</v>
      </c>
      <c r="Q63" s="82">
        <f t="shared" si="43"/>
        <v>5</v>
      </c>
      <c r="R63" s="82">
        <f t="shared" si="43"/>
        <v>5</v>
      </c>
      <c r="S63" s="82">
        <f t="shared" si="43"/>
        <v>5</v>
      </c>
      <c r="T63" s="82">
        <f t="shared" si="43"/>
        <v>5</v>
      </c>
    </row>
    <row r="64" spans="1:23">
      <c r="A64" s="81" t="s">
        <v>27</v>
      </c>
      <c r="B64" s="83" t="s">
        <v>32</v>
      </c>
      <c r="C64" s="81">
        <f t="shared" si="40"/>
        <v>0</v>
      </c>
      <c r="D64" s="81">
        <f t="shared" si="40"/>
        <v>0</v>
      </c>
      <c r="E64" s="82">
        <f t="shared" ref="E64:T64" si="44">E35</f>
        <v>0</v>
      </c>
      <c r="F64" s="82">
        <f t="shared" si="44"/>
        <v>0</v>
      </c>
      <c r="G64" s="82">
        <f t="shared" si="44"/>
        <v>0</v>
      </c>
      <c r="H64" s="82">
        <f t="shared" si="44"/>
        <v>0</v>
      </c>
      <c r="I64" s="82">
        <f t="shared" si="44"/>
        <v>0</v>
      </c>
      <c r="J64" s="82">
        <f t="shared" si="44"/>
        <v>0</v>
      </c>
      <c r="K64" s="82">
        <f t="shared" si="44"/>
        <v>0</v>
      </c>
      <c r="L64" s="82">
        <f t="shared" si="44"/>
        <v>0</v>
      </c>
      <c r="M64" s="82">
        <f t="shared" si="44"/>
        <v>0</v>
      </c>
      <c r="N64" s="82">
        <f t="shared" si="44"/>
        <v>0</v>
      </c>
      <c r="O64" s="82">
        <f t="shared" si="44"/>
        <v>0</v>
      </c>
      <c r="P64" s="82">
        <f t="shared" si="44"/>
        <v>0</v>
      </c>
      <c r="Q64" s="82">
        <f t="shared" si="44"/>
        <v>0</v>
      </c>
      <c r="R64" s="82">
        <f t="shared" si="44"/>
        <v>0</v>
      </c>
      <c r="S64" s="82">
        <f t="shared" si="44"/>
        <v>0</v>
      </c>
      <c r="T64" s="82">
        <f t="shared" si="44"/>
        <v>0</v>
      </c>
    </row>
    <row r="65" spans="1:20">
      <c r="A65" s="81" t="s">
        <v>27</v>
      </c>
      <c r="B65" s="83" t="s">
        <v>33</v>
      </c>
      <c r="C65" s="81">
        <f t="shared" si="40"/>
        <v>0</v>
      </c>
      <c r="D65" s="81">
        <f t="shared" si="40"/>
        <v>0</v>
      </c>
      <c r="E65" s="82">
        <f t="shared" ref="E65:T65" si="45">E36</f>
        <v>0</v>
      </c>
      <c r="F65" s="82">
        <f t="shared" si="45"/>
        <v>0</v>
      </c>
      <c r="G65" s="82">
        <f t="shared" si="45"/>
        <v>0</v>
      </c>
      <c r="H65" s="82">
        <f t="shared" si="45"/>
        <v>0</v>
      </c>
      <c r="I65" s="82">
        <f t="shared" si="45"/>
        <v>0</v>
      </c>
      <c r="J65" s="82">
        <f t="shared" si="45"/>
        <v>0</v>
      </c>
      <c r="K65" s="82">
        <f t="shared" si="45"/>
        <v>0</v>
      </c>
      <c r="L65" s="82">
        <f t="shared" si="45"/>
        <v>0</v>
      </c>
      <c r="M65" s="82">
        <f t="shared" si="45"/>
        <v>0</v>
      </c>
      <c r="N65" s="82">
        <f t="shared" si="45"/>
        <v>0</v>
      </c>
      <c r="O65" s="82">
        <f t="shared" si="45"/>
        <v>0</v>
      </c>
      <c r="P65" s="82">
        <f t="shared" si="45"/>
        <v>0</v>
      </c>
      <c r="Q65" s="82">
        <f t="shared" si="45"/>
        <v>0</v>
      </c>
      <c r="R65" s="82">
        <f t="shared" si="45"/>
        <v>0</v>
      </c>
      <c r="S65" s="82">
        <f t="shared" si="45"/>
        <v>0</v>
      </c>
      <c r="T65" s="82">
        <f t="shared" si="45"/>
        <v>0</v>
      </c>
    </row>
    <row r="66" spans="1:20">
      <c r="A66" s="81" t="s">
        <v>27</v>
      </c>
      <c r="B66" s="83" t="s">
        <v>34</v>
      </c>
      <c r="C66" s="81">
        <f t="shared" si="40"/>
        <v>9</v>
      </c>
      <c r="D66" s="81">
        <f t="shared" si="40"/>
        <v>10</v>
      </c>
      <c r="E66" s="82">
        <f t="shared" ref="E66:T66" si="46">E37</f>
        <v>9.5151421247568919</v>
      </c>
      <c r="F66" s="82">
        <f t="shared" si="46"/>
        <v>9</v>
      </c>
      <c r="G66" s="82">
        <f t="shared" si="46"/>
        <v>10</v>
      </c>
      <c r="H66" s="82">
        <f t="shared" si="46"/>
        <v>9.6144494154018396</v>
      </c>
      <c r="I66" s="82">
        <f t="shared" si="46"/>
        <v>5</v>
      </c>
      <c r="J66" s="82">
        <f t="shared" si="46"/>
        <v>-4</v>
      </c>
      <c r="K66" s="82">
        <f t="shared" si="46"/>
        <v>5</v>
      </c>
      <c r="L66" s="82">
        <f t="shared" si="46"/>
        <v>-5</v>
      </c>
      <c r="M66" s="82">
        <f t="shared" si="46"/>
        <v>5</v>
      </c>
      <c r="N66" s="82">
        <f t="shared" si="46"/>
        <v>2</v>
      </c>
      <c r="O66" s="82">
        <f t="shared" si="46"/>
        <v>-7</v>
      </c>
      <c r="P66" s="82">
        <f t="shared" si="46"/>
        <v>2</v>
      </c>
      <c r="Q66" s="82">
        <f t="shared" si="46"/>
        <v>-8</v>
      </c>
      <c r="R66" s="82">
        <f t="shared" si="46"/>
        <v>2</v>
      </c>
      <c r="S66" s="82">
        <f t="shared" si="46"/>
        <v>2</v>
      </c>
      <c r="T66" s="82">
        <f t="shared" si="46"/>
        <v>2</v>
      </c>
    </row>
    <row r="67" spans="1:20">
      <c r="A67" s="81" t="s">
        <v>27</v>
      </c>
      <c r="B67" s="83" t="s">
        <v>35</v>
      </c>
      <c r="C67" s="81">
        <f t="shared" si="40"/>
        <v>0</v>
      </c>
      <c r="D67" s="81">
        <f t="shared" si="40"/>
        <v>0</v>
      </c>
      <c r="E67" s="82">
        <f t="shared" ref="E67:T67" si="47">E38</f>
        <v>0</v>
      </c>
      <c r="F67" s="82">
        <f t="shared" si="47"/>
        <v>0</v>
      </c>
      <c r="G67" s="82">
        <f t="shared" si="47"/>
        <v>0</v>
      </c>
      <c r="H67" s="82">
        <f t="shared" si="47"/>
        <v>0</v>
      </c>
      <c r="I67" s="82">
        <f t="shared" si="47"/>
        <v>0</v>
      </c>
      <c r="J67" s="82">
        <f t="shared" si="47"/>
        <v>0</v>
      </c>
      <c r="K67" s="82">
        <f t="shared" si="47"/>
        <v>0</v>
      </c>
      <c r="L67" s="82">
        <f t="shared" si="47"/>
        <v>0</v>
      </c>
      <c r="M67" s="82">
        <f t="shared" si="47"/>
        <v>0</v>
      </c>
      <c r="N67" s="82">
        <f t="shared" si="47"/>
        <v>0</v>
      </c>
      <c r="O67" s="82">
        <f t="shared" si="47"/>
        <v>0</v>
      </c>
      <c r="P67" s="82">
        <f t="shared" si="47"/>
        <v>0</v>
      </c>
      <c r="Q67" s="82">
        <f t="shared" si="47"/>
        <v>0</v>
      </c>
      <c r="R67" s="82">
        <f t="shared" si="47"/>
        <v>0</v>
      </c>
      <c r="S67" s="82">
        <f t="shared" si="47"/>
        <v>0</v>
      </c>
      <c r="T67" s="82">
        <f t="shared" si="47"/>
        <v>0</v>
      </c>
    </row>
    <row r="68" spans="1:20">
      <c r="A68" s="81" t="s">
        <v>27</v>
      </c>
      <c r="B68" s="83" t="s">
        <v>36</v>
      </c>
      <c r="C68" s="81">
        <f t="shared" si="40"/>
        <v>0</v>
      </c>
      <c r="D68" s="81">
        <f t="shared" si="40"/>
        <v>0</v>
      </c>
      <c r="E68" s="82">
        <f t="shared" ref="E68:T68" si="48">E39</f>
        <v>0</v>
      </c>
      <c r="F68" s="82">
        <f t="shared" si="48"/>
        <v>0</v>
      </c>
      <c r="G68" s="82">
        <f t="shared" si="48"/>
        <v>0</v>
      </c>
      <c r="H68" s="82">
        <f t="shared" si="48"/>
        <v>0</v>
      </c>
      <c r="I68" s="82">
        <f t="shared" si="48"/>
        <v>0</v>
      </c>
      <c r="J68" s="82">
        <f t="shared" si="48"/>
        <v>0</v>
      </c>
      <c r="K68" s="82">
        <f t="shared" si="48"/>
        <v>0</v>
      </c>
      <c r="L68" s="82">
        <f t="shared" si="48"/>
        <v>0</v>
      </c>
      <c r="M68" s="82">
        <f t="shared" si="48"/>
        <v>0</v>
      </c>
      <c r="N68" s="82">
        <f t="shared" si="48"/>
        <v>0</v>
      </c>
      <c r="O68" s="82">
        <f t="shared" si="48"/>
        <v>0</v>
      </c>
      <c r="P68" s="82">
        <f t="shared" si="48"/>
        <v>0</v>
      </c>
      <c r="Q68" s="82">
        <f t="shared" si="48"/>
        <v>0</v>
      </c>
      <c r="R68" s="82">
        <f t="shared" si="48"/>
        <v>0</v>
      </c>
      <c r="S68" s="82">
        <f t="shared" si="48"/>
        <v>0</v>
      </c>
      <c r="T68" s="82">
        <f t="shared" si="48"/>
        <v>0</v>
      </c>
    </row>
    <row r="69" spans="1:20">
      <c r="A69" s="81" t="s">
        <v>27</v>
      </c>
      <c r="B69" s="83" t="s">
        <v>37</v>
      </c>
      <c r="C69" s="81">
        <f t="shared" si="40"/>
        <v>0</v>
      </c>
      <c r="D69" s="81">
        <f t="shared" si="40"/>
        <v>0</v>
      </c>
      <c r="E69" s="82">
        <f t="shared" ref="E69:T69" si="49">E40</f>
        <v>0</v>
      </c>
      <c r="F69" s="82">
        <f t="shared" si="49"/>
        <v>0</v>
      </c>
      <c r="G69" s="82">
        <f t="shared" si="49"/>
        <v>0</v>
      </c>
      <c r="H69" s="82">
        <f t="shared" si="49"/>
        <v>0</v>
      </c>
      <c r="I69" s="82">
        <f t="shared" si="49"/>
        <v>5</v>
      </c>
      <c r="J69" s="82">
        <f t="shared" si="49"/>
        <v>5</v>
      </c>
      <c r="K69" s="82">
        <f t="shared" si="49"/>
        <v>0</v>
      </c>
      <c r="L69" s="82">
        <f t="shared" si="49"/>
        <v>0</v>
      </c>
      <c r="M69" s="82">
        <f t="shared" si="49"/>
        <v>1.9277529229907993</v>
      </c>
      <c r="N69" s="82">
        <f t="shared" si="49"/>
        <v>0</v>
      </c>
      <c r="O69" s="82">
        <f t="shared" si="49"/>
        <v>0</v>
      </c>
      <c r="P69" s="82">
        <f t="shared" si="49"/>
        <v>0</v>
      </c>
      <c r="Q69" s="82">
        <f t="shared" si="49"/>
        <v>0</v>
      </c>
      <c r="R69" s="82">
        <f t="shared" si="49"/>
        <v>0</v>
      </c>
      <c r="S69" s="82">
        <f t="shared" si="49"/>
        <v>0</v>
      </c>
      <c r="T69" s="82">
        <f t="shared" si="49"/>
        <v>0</v>
      </c>
    </row>
    <row r="70" spans="1:20">
      <c r="A70" s="81" t="s">
        <v>27</v>
      </c>
      <c r="B70" s="83" t="s">
        <v>38</v>
      </c>
      <c r="C70" s="81">
        <f t="shared" si="40"/>
        <v>9</v>
      </c>
      <c r="D70" s="81">
        <f t="shared" si="40"/>
        <v>5</v>
      </c>
      <c r="E70" s="82">
        <f t="shared" ref="E70:T70" si="50">E41</f>
        <v>6.9394315009724297</v>
      </c>
      <c r="F70" s="82">
        <f t="shared" si="50"/>
        <v>9</v>
      </c>
      <c r="G70" s="82">
        <f t="shared" si="50"/>
        <v>5</v>
      </c>
      <c r="H70" s="82">
        <f t="shared" si="50"/>
        <v>6.5422023383926398</v>
      </c>
      <c r="I70" s="82">
        <f t="shared" si="50"/>
        <v>4</v>
      </c>
      <c r="J70" s="82">
        <f t="shared" si="50"/>
        <v>-5</v>
      </c>
      <c r="K70" s="82">
        <f t="shared" si="50"/>
        <v>0</v>
      </c>
      <c r="L70" s="82">
        <f t="shared" si="50"/>
        <v>-5</v>
      </c>
      <c r="M70" s="82">
        <f t="shared" si="50"/>
        <v>1.5422023383926393</v>
      </c>
      <c r="N70" s="82">
        <f t="shared" si="50"/>
        <v>0</v>
      </c>
      <c r="O70" s="82">
        <f t="shared" si="50"/>
        <v>-9</v>
      </c>
      <c r="P70" s="82">
        <f t="shared" si="50"/>
        <v>0</v>
      </c>
      <c r="Q70" s="82">
        <f t="shared" si="50"/>
        <v>-5</v>
      </c>
      <c r="R70" s="82">
        <f t="shared" si="50"/>
        <v>0</v>
      </c>
      <c r="S70" s="82">
        <f t="shared" si="50"/>
        <v>0</v>
      </c>
      <c r="T70" s="82">
        <f t="shared" si="50"/>
        <v>0</v>
      </c>
    </row>
    <row r="71" spans="1:20">
      <c r="A71" s="81" t="s">
        <v>27</v>
      </c>
      <c r="B71" s="83" t="s">
        <v>39</v>
      </c>
      <c r="C71" s="81">
        <f t="shared" si="40"/>
        <v>0</v>
      </c>
      <c r="D71" s="81">
        <f t="shared" si="40"/>
        <v>0</v>
      </c>
      <c r="E71" s="82">
        <f t="shared" ref="E71:T71" si="51">E42</f>
        <v>0</v>
      </c>
      <c r="F71" s="82">
        <f t="shared" si="51"/>
        <v>0</v>
      </c>
      <c r="G71" s="82">
        <f t="shared" si="51"/>
        <v>0</v>
      </c>
      <c r="H71" s="82">
        <f t="shared" si="51"/>
        <v>0</v>
      </c>
      <c r="I71" s="82">
        <f t="shared" si="51"/>
        <v>0</v>
      </c>
      <c r="J71" s="82">
        <f t="shared" si="51"/>
        <v>0</v>
      </c>
      <c r="K71" s="82">
        <f t="shared" si="51"/>
        <v>0</v>
      </c>
      <c r="L71" s="82">
        <f t="shared" si="51"/>
        <v>0</v>
      </c>
      <c r="M71" s="82">
        <f t="shared" si="51"/>
        <v>0</v>
      </c>
      <c r="N71" s="82">
        <f t="shared" si="51"/>
        <v>0</v>
      </c>
      <c r="O71" s="82">
        <f t="shared" si="51"/>
        <v>0</v>
      </c>
      <c r="P71" s="82">
        <f t="shared" si="51"/>
        <v>0</v>
      </c>
      <c r="Q71" s="82">
        <f t="shared" si="51"/>
        <v>0</v>
      </c>
      <c r="R71" s="82">
        <f t="shared" si="51"/>
        <v>0</v>
      </c>
      <c r="S71" s="82">
        <f t="shared" si="51"/>
        <v>0</v>
      </c>
      <c r="T71" s="82">
        <f t="shared" si="51"/>
        <v>0</v>
      </c>
    </row>
    <row r="72" spans="1:20">
      <c r="A72" s="81" t="s">
        <v>27</v>
      </c>
      <c r="B72" s="83" t="s">
        <v>40</v>
      </c>
      <c r="C72" s="81">
        <f t="shared" si="40"/>
        <v>0</v>
      </c>
      <c r="D72" s="81">
        <f t="shared" si="40"/>
        <v>0</v>
      </c>
      <c r="E72" s="82">
        <f t="shared" ref="E72:T72" si="52">E43</f>
        <v>0</v>
      </c>
      <c r="F72" s="82">
        <f t="shared" si="52"/>
        <v>0</v>
      </c>
      <c r="G72" s="82">
        <f t="shared" si="52"/>
        <v>0</v>
      </c>
      <c r="H72" s="82">
        <f t="shared" si="52"/>
        <v>0</v>
      </c>
      <c r="I72" s="82">
        <f t="shared" si="52"/>
        <v>0</v>
      </c>
      <c r="J72" s="82">
        <f t="shared" si="52"/>
        <v>0</v>
      </c>
      <c r="K72" s="82">
        <f t="shared" si="52"/>
        <v>0</v>
      </c>
      <c r="L72" s="82">
        <f t="shared" si="52"/>
        <v>0</v>
      </c>
      <c r="M72" s="82">
        <f t="shared" si="52"/>
        <v>0</v>
      </c>
      <c r="N72" s="82">
        <f t="shared" si="52"/>
        <v>0</v>
      </c>
      <c r="O72" s="82">
        <f t="shared" si="52"/>
        <v>0</v>
      </c>
      <c r="P72" s="82">
        <f t="shared" si="52"/>
        <v>0</v>
      </c>
      <c r="Q72" s="82">
        <f t="shared" si="52"/>
        <v>0</v>
      </c>
      <c r="R72" s="82">
        <f t="shared" si="52"/>
        <v>0</v>
      </c>
      <c r="S72" s="82">
        <f t="shared" si="52"/>
        <v>0</v>
      </c>
      <c r="T72" s="82">
        <f t="shared" si="52"/>
        <v>0</v>
      </c>
    </row>
    <row r="73" spans="1:20">
      <c r="A73" s="81" t="s">
        <v>27</v>
      </c>
      <c r="B73" s="83" t="s">
        <v>41</v>
      </c>
      <c r="C73" s="81">
        <f t="shared" si="40"/>
        <v>40</v>
      </c>
      <c r="D73" s="81">
        <f t="shared" si="40"/>
        <v>25</v>
      </c>
      <c r="E73" s="82">
        <f t="shared" ref="E73:T73" si="53">E44</f>
        <v>32.272868128646614</v>
      </c>
      <c r="F73" s="82">
        <f t="shared" si="53"/>
        <v>40</v>
      </c>
      <c r="G73" s="82">
        <f t="shared" si="53"/>
        <v>25</v>
      </c>
      <c r="H73" s="82">
        <f t="shared" si="53"/>
        <v>30.783258768972399</v>
      </c>
      <c r="I73" s="82">
        <f t="shared" si="53"/>
        <v>35</v>
      </c>
      <c r="J73" s="82">
        <f t="shared" si="53"/>
        <v>-5</v>
      </c>
      <c r="K73" s="82">
        <f t="shared" si="53"/>
        <v>25</v>
      </c>
      <c r="L73" s="82">
        <f t="shared" si="53"/>
        <v>0</v>
      </c>
      <c r="M73" s="82">
        <f t="shared" si="53"/>
        <v>28.8555058459816</v>
      </c>
      <c r="N73" s="82">
        <f t="shared" si="53"/>
        <v>35</v>
      </c>
      <c r="O73" s="82">
        <f t="shared" si="53"/>
        <v>-5</v>
      </c>
      <c r="P73" s="82">
        <f t="shared" si="53"/>
        <v>25</v>
      </c>
      <c r="Q73" s="82">
        <f t="shared" si="53"/>
        <v>0</v>
      </c>
      <c r="R73" s="82">
        <f t="shared" si="53"/>
        <v>28.8555058459816</v>
      </c>
      <c r="S73" s="82">
        <f t="shared" si="53"/>
        <v>35</v>
      </c>
      <c r="T73" s="82">
        <f t="shared" si="53"/>
        <v>25</v>
      </c>
    </row>
    <row r="74" spans="1:20">
      <c r="A74" s="81" t="s">
        <v>27</v>
      </c>
      <c r="B74" s="83" t="s">
        <v>42</v>
      </c>
      <c r="C74" s="81">
        <f t="shared" si="40"/>
        <v>9</v>
      </c>
      <c r="D74" s="81">
        <f t="shared" si="40"/>
        <v>5</v>
      </c>
      <c r="E74" s="82">
        <f t="shared" ref="E74:T74" si="54">E45</f>
        <v>6.9394315009724297</v>
      </c>
      <c r="F74" s="82">
        <f t="shared" si="54"/>
        <v>9</v>
      </c>
      <c r="G74" s="82">
        <f t="shared" si="54"/>
        <v>5</v>
      </c>
      <c r="H74" s="82">
        <f t="shared" si="54"/>
        <v>6.5422023383926398</v>
      </c>
      <c r="I74" s="82">
        <f t="shared" si="54"/>
        <v>10</v>
      </c>
      <c r="J74" s="82">
        <f t="shared" si="54"/>
        <v>1</v>
      </c>
      <c r="K74" s="82">
        <f t="shared" si="54"/>
        <v>5</v>
      </c>
      <c r="L74" s="82">
        <f t="shared" si="54"/>
        <v>0</v>
      </c>
      <c r="M74" s="82">
        <f t="shared" si="54"/>
        <v>6.9277529229908001</v>
      </c>
      <c r="N74" s="82">
        <f t="shared" si="54"/>
        <v>7</v>
      </c>
      <c r="O74" s="82">
        <f t="shared" si="54"/>
        <v>-2</v>
      </c>
      <c r="P74" s="82">
        <f t="shared" si="54"/>
        <v>5</v>
      </c>
      <c r="Q74" s="82">
        <f t="shared" si="54"/>
        <v>0</v>
      </c>
      <c r="R74" s="82">
        <f t="shared" si="54"/>
        <v>5.7711011691963199</v>
      </c>
      <c r="S74" s="82">
        <f t="shared" si="54"/>
        <v>7</v>
      </c>
      <c r="T74" s="82">
        <f t="shared" si="54"/>
        <v>5</v>
      </c>
    </row>
    <row r="75" spans="1:20">
      <c r="A75" s="81" t="s">
        <v>27</v>
      </c>
      <c r="B75" s="83" t="s">
        <v>43</v>
      </c>
      <c r="C75" s="81">
        <f t="shared" si="40"/>
        <v>0</v>
      </c>
      <c r="D75" s="81">
        <f t="shared" si="40"/>
        <v>0</v>
      </c>
      <c r="E75" s="82">
        <f t="shared" ref="E75:T75" si="55">E46</f>
        <v>0</v>
      </c>
      <c r="F75" s="82">
        <f t="shared" si="55"/>
        <v>0</v>
      </c>
      <c r="G75" s="82">
        <f t="shared" si="55"/>
        <v>0</v>
      </c>
      <c r="H75" s="82">
        <f t="shared" si="55"/>
        <v>0</v>
      </c>
      <c r="I75" s="82">
        <f t="shared" si="55"/>
        <v>5</v>
      </c>
      <c r="J75" s="82">
        <f t="shared" si="55"/>
        <v>5</v>
      </c>
      <c r="K75" s="82">
        <f t="shared" si="55"/>
        <v>0</v>
      </c>
      <c r="L75" s="82">
        <f t="shared" si="55"/>
        <v>0</v>
      </c>
      <c r="M75" s="82">
        <f t="shared" si="55"/>
        <v>1.9277529229907993</v>
      </c>
      <c r="N75" s="82">
        <f t="shared" si="55"/>
        <v>5</v>
      </c>
      <c r="O75" s="82">
        <f t="shared" si="55"/>
        <v>5</v>
      </c>
      <c r="P75" s="82">
        <f t="shared" si="55"/>
        <v>0</v>
      </c>
      <c r="Q75" s="82">
        <f t="shared" si="55"/>
        <v>0</v>
      </c>
      <c r="R75" s="82">
        <f t="shared" si="55"/>
        <v>1.9277529229907993</v>
      </c>
      <c r="S75" s="82">
        <f t="shared" si="55"/>
        <v>5</v>
      </c>
      <c r="T75" s="82">
        <f t="shared" si="55"/>
        <v>0</v>
      </c>
    </row>
    <row r="76" spans="1:20">
      <c r="A76" s="81" t="s">
        <v>27</v>
      </c>
      <c r="B76" s="83" t="s">
        <v>44</v>
      </c>
      <c r="C76" s="81">
        <f t="shared" si="40"/>
        <v>0</v>
      </c>
      <c r="D76" s="81">
        <f t="shared" si="40"/>
        <v>0</v>
      </c>
      <c r="E76" s="82">
        <f t="shared" ref="E76:T76" si="56">E47</f>
        <v>0</v>
      </c>
      <c r="F76" s="82">
        <f t="shared" si="56"/>
        <v>0</v>
      </c>
      <c r="G76" s="82">
        <f t="shared" si="56"/>
        <v>0</v>
      </c>
      <c r="H76" s="82">
        <f t="shared" si="56"/>
        <v>0</v>
      </c>
      <c r="I76" s="82">
        <f t="shared" si="56"/>
        <v>0</v>
      </c>
      <c r="J76" s="82">
        <f t="shared" si="56"/>
        <v>0</v>
      </c>
      <c r="K76" s="82">
        <f t="shared" si="56"/>
        <v>0</v>
      </c>
      <c r="L76" s="82">
        <f t="shared" si="56"/>
        <v>0</v>
      </c>
      <c r="M76" s="82">
        <f t="shared" si="56"/>
        <v>0</v>
      </c>
      <c r="N76" s="82">
        <f t="shared" si="56"/>
        <v>0</v>
      </c>
      <c r="O76" s="82">
        <f t="shared" si="56"/>
        <v>0</v>
      </c>
      <c r="P76" s="82">
        <f t="shared" si="56"/>
        <v>0</v>
      </c>
      <c r="Q76" s="82">
        <f t="shared" si="56"/>
        <v>0</v>
      </c>
      <c r="R76" s="82">
        <f t="shared" si="56"/>
        <v>0</v>
      </c>
      <c r="S76" s="82">
        <f t="shared" si="56"/>
        <v>0</v>
      </c>
      <c r="T76" s="82">
        <f t="shared" si="56"/>
        <v>0</v>
      </c>
    </row>
    <row r="77" spans="1:20">
      <c r="A77" s="81" t="s">
        <v>27</v>
      </c>
      <c r="B77" s="83" t="s">
        <v>45</v>
      </c>
      <c r="C77" s="81">
        <f t="shared" si="40"/>
        <v>9</v>
      </c>
      <c r="D77" s="81">
        <f t="shared" ref="D77:S88" si="57">D48</f>
        <v>15</v>
      </c>
      <c r="E77" s="82">
        <f t="shared" si="57"/>
        <v>12.090852748541355</v>
      </c>
      <c r="F77" s="82">
        <f t="shared" si="57"/>
        <v>9</v>
      </c>
      <c r="G77" s="82">
        <f t="shared" si="57"/>
        <v>15</v>
      </c>
      <c r="H77" s="82">
        <f t="shared" si="57"/>
        <v>12.686696492411041</v>
      </c>
      <c r="I77" s="82">
        <f t="shared" si="57"/>
        <v>8</v>
      </c>
      <c r="J77" s="82">
        <f t="shared" si="57"/>
        <v>-1</v>
      </c>
      <c r="K77" s="82">
        <f t="shared" si="57"/>
        <v>15</v>
      </c>
      <c r="L77" s="82">
        <f t="shared" si="57"/>
        <v>0</v>
      </c>
      <c r="M77" s="82">
        <f t="shared" si="57"/>
        <v>12.301145907812883</v>
      </c>
      <c r="N77" s="82">
        <f t="shared" si="57"/>
        <v>20</v>
      </c>
      <c r="O77" s="82">
        <f t="shared" si="57"/>
        <v>11</v>
      </c>
      <c r="P77" s="82">
        <f t="shared" si="57"/>
        <v>20</v>
      </c>
      <c r="Q77" s="82">
        <f t="shared" si="57"/>
        <v>5</v>
      </c>
      <c r="R77" s="82">
        <f t="shared" si="57"/>
        <v>20</v>
      </c>
      <c r="S77" s="82">
        <f t="shared" si="57"/>
        <v>20</v>
      </c>
      <c r="T77" s="82">
        <f t="shared" ref="T77" si="58">T48</f>
        <v>20</v>
      </c>
    </row>
    <row r="78" spans="1:20">
      <c r="A78" s="81" t="s">
        <v>27</v>
      </c>
      <c r="B78" s="83" t="s">
        <v>46</v>
      </c>
      <c r="C78" s="81">
        <f t="shared" si="40"/>
        <v>0</v>
      </c>
      <c r="D78" s="81">
        <f t="shared" si="57"/>
        <v>0</v>
      </c>
      <c r="E78" s="82">
        <f t="shared" si="57"/>
        <v>0</v>
      </c>
      <c r="F78" s="82">
        <f t="shared" si="57"/>
        <v>0</v>
      </c>
      <c r="G78" s="82">
        <f t="shared" si="57"/>
        <v>0</v>
      </c>
      <c r="H78" s="82">
        <f t="shared" si="57"/>
        <v>0</v>
      </c>
      <c r="I78" s="82">
        <f t="shared" si="57"/>
        <v>0</v>
      </c>
      <c r="J78" s="82">
        <f t="shared" si="57"/>
        <v>0</v>
      </c>
      <c r="K78" s="82">
        <f t="shared" si="57"/>
        <v>0</v>
      </c>
      <c r="L78" s="82">
        <f t="shared" si="57"/>
        <v>0</v>
      </c>
      <c r="M78" s="82">
        <f t="shared" si="57"/>
        <v>0</v>
      </c>
      <c r="N78" s="82">
        <f t="shared" si="57"/>
        <v>0</v>
      </c>
      <c r="O78" s="82">
        <f t="shared" si="57"/>
        <v>0</v>
      </c>
      <c r="P78" s="82">
        <f t="shared" si="57"/>
        <v>0</v>
      </c>
      <c r="Q78" s="82">
        <f t="shared" si="57"/>
        <v>0</v>
      </c>
      <c r="R78" s="82">
        <f t="shared" si="57"/>
        <v>0</v>
      </c>
      <c r="S78" s="82">
        <f t="shared" si="57"/>
        <v>0</v>
      </c>
      <c r="T78" s="82">
        <f t="shared" ref="T78" si="59">T49</f>
        <v>0</v>
      </c>
    </row>
    <row r="79" spans="1:20">
      <c r="A79" s="81" t="s">
        <v>27</v>
      </c>
      <c r="B79" s="83" t="s">
        <v>47</v>
      </c>
      <c r="C79" s="81">
        <f t="shared" si="40"/>
        <v>10</v>
      </c>
      <c r="D79" s="81">
        <f t="shared" si="57"/>
        <v>15</v>
      </c>
      <c r="E79" s="82">
        <f t="shared" si="57"/>
        <v>12.575710623784463</v>
      </c>
      <c r="F79" s="82">
        <f t="shared" si="57"/>
        <v>10</v>
      </c>
      <c r="G79" s="82">
        <f t="shared" si="57"/>
        <v>15</v>
      </c>
      <c r="H79" s="82">
        <f t="shared" si="57"/>
        <v>13.072247077009203</v>
      </c>
      <c r="I79" s="82">
        <f t="shared" si="57"/>
        <v>7</v>
      </c>
      <c r="J79" s="82">
        <f t="shared" si="57"/>
        <v>-3</v>
      </c>
      <c r="K79" s="82">
        <f t="shared" si="57"/>
        <v>15</v>
      </c>
      <c r="L79" s="82">
        <f t="shared" si="57"/>
        <v>0</v>
      </c>
      <c r="M79" s="82">
        <f t="shared" si="57"/>
        <v>11.91559532321472</v>
      </c>
      <c r="N79" s="82">
        <f t="shared" si="57"/>
        <v>7</v>
      </c>
      <c r="O79" s="82">
        <f t="shared" si="57"/>
        <v>-3</v>
      </c>
      <c r="P79" s="82">
        <f t="shared" si="57"/>
        <v>10</v>
      </c>
      <c r="Q79" s="82">
        <f t="shared" si="57"/>
        <v>-5</v>
      </c>
      <c r="R79" s="82">
        <f t="shared" si="57"/>
        <v>8.8433482462055206</v>
      </c>
      <c r="S79" s="82">
        <f t="shared" si="57"/>
        <v>7</v>
      </c>
      <c r="T79" s="82">
        <f t="shared" ref="T79" si="60">T50</f>
        <v>10</v>
      </c>
    </row>
    <row r="80" spans="1:20">
      <c r="A80" s="81" t="s">
        <v>27</v>
      </c>
      <c r="B80" s="83" t="s">
        <v>48</v>
      </c>
      <c r="C80" s="81">
        <f t="shared" si="40"/>
        <v>0</v>
      </c>
      <c r="D80" s="81">
        <f t="shared" si="57"/>
        <v>0</v>
      </c>
      <c r="E80" s="82">
        <f t="shared" si="57"/>
        <v>0</v>
      </c>
      <c r="F80" s="82">
        <f t="shared" si="57"/>
        <v>0</v>
      </c>
      <c r="G80" s="82">
        <f t="shared" si="57"/>
        <v>0</v>
      </c>
      <c r="H80" s="82">
        <f t="shared" si="57"/>
        <v>0</v>
      </c>
      <c r="I80" s="82">
        <f t="shared" ref="I80:T80" si="61">I51</f>
        <v>0</v>
      </c>
      <c r="J80" s="82">
        <f t="shared" si="61"/>
        <v>0</v>
      </c>
      <c r="K80" s="82">
        <f t="shared" si="61"/>
        <v>0</v>
      </c>
      <c r="L80" s="82">
        <f t="shared" si="61"/>
        <v>0</v>
      </c>
      <c r="M80" s="82">
        <f t="shared" si="61"/>
        <v>0</v>
      </c>
      <c r="N80" s="82">
        <f t="shared" si="61"/>
        <v>0</v>
      </c>
      <c r="O80" s="82">
        <f t="shared" si="61"/>
        <v>0</v>
      </c>
      <c r="P80" s="82">
        <f t="shared" si="61"/>
        <v>0</v>
      </c>
      <c r="Q80" s="82">
        <f t="shared" si="61"/>
        <v>0</v>
      </c>
      <c r="R80" s="82">
        <f t="shared" si="61"/>
        <v>0</v>
      </c>
      <c r="S80" s="82">
        <f t="shared" si="61"/>
        <v>0</v>
      </c>
      <c r="T80" s="82">
        <f t="shared" si="61"/>
        <v>0</v>
      </c>
    </row>
    <row r="81" spans="1:20">
      <c r="A81" s="81" t="s">
        <v>27</v>
      </c>
      <c r="B81" s="83" t="s">
        <v>49</v>
      </c>
      <c r="C81" s="81">
        <f t="shared" si="40"/>
        <v>0</v>
      </c>
      <c r="D81" s="81">
        <f t="shared" si="57"/>
        <v>0</v>
      </c>
      <c r="E81" s="82">
        <f t="shared" ref="E81:T81" si="62">E52</f>
        <v>0</v>
      </c>
      <c r="F81" s="82">
        <f t="shared" si="62"/>
        <v>0</v>
      </c>
      <c r="G81" s="82">
        <f t="shared" si="62"/>
        <v>0</v>
      </c>
      <c r="H81" s="82">
        <f t="shared" si="62"/>
        <v>0</v>
      </c>
      <c r="I81" s="82">
        <f t="shared" si="62"/>
        <v>0</v>
      </c>
      <c r="J81" s="82">
        <f t="shared" si="62"/>
        <v>0</v>
      </c>
      <c r="K81" s="82">
        <f t="shared" si="62"/>
        <v>0</v>
      </c>
      <c r="L81" s="82">
        <f t="shared" si="62"/>
        <v>0</v>
      </c>
      <c r="M81" s="82">
        <f t="shared" si="62"/>
        <v>0</v>
      </c>
      <c r="N81" s="82">
        <f t="shared" si="62"/>
        <v>0</v>
      </c>
      <c r="O81" s="82">
        <f t="shared" si="62"/>
        <v>0</v>
      </c>
      <c r="P81" s="82">
        <f t="shared" si="62"/>
        <v>0</v>
      </c>
      <c r="Q81" s="82">
        <f t="shared" si="62"/>
        <v>0</v>
      </c>
      <c r="R81" s="82">
        <f t="shared" si="62"/>
        <v>0</v>
      </c>
      <c r="S81" s="82">
        <f t="shared" si="62"/>
        <v>0</v>
      </c>
      <c r="T81" s="82">
        <f t="shared" si="62"/>
        <v>0</v>
      </c>
    </row>
    <row r="82" spans="1:20">
      <c r="A82" s="81" t="s">
        <v>27</v>
      </c>
      <c r="B82" s="83" t="s">
        <v>50</v>
      </c>
      <c r="C82" s="81">
        <f t="shared" si="40"/>
        <v>0</v>
      </c>
      <c r="D82" s="81">
        <f t="shared" si="57"/>
        <v>0</v>
      </c>
      <c r="E82" s="82">
        <f t="shared" ref="E82:T82" si="63">E53</f>
        <v>0</v>
      </c>
      <c r="F82" s="82">
        <f t="shared" si="63"/>
        <v>0</v>
      </c>
      <c r="G82" s="82">
        <f t="shared" si="63"/>
        <v>0</v>
      </c>
      <c r="H82" s="82">
        <f t="shared" si="63"/>
        <v>0</v>
      </c>
      <c r="I82" s="82">
        <f t="shared" si="63"/>
        <v>0</v>
      </c>
      <c r="J82" s="82">
        <f t="shared" si="63"/>
        <v>0</v>
      </c>
      <c r="K82" s="82">
        <f t="shared" si="63"/>
        <v>0</v>
      </c>
      <c r="L82" s="82">
        <f t="shared" si="63"/>
        <v>0</v>
      </c>
      <c r="M82" s="82">
        <f t="shared" si="63"/>
        <v>0</v>
      </c>
      <c r="N82" s="82">
        <f t="shared" si="63"/>
        <v>0</v>
      </c>
      <c r="O82" s="82">
        <f t="shared" si="63"/>
        <v>0</v>
      </c>
      <c r="P82" s="82">
        <f t="shared" si="63"/>
        <v>0</v>
      </c>
      <c r="Q82" s="82">
        <f t="shared" si="63"/>
        <v>0</v>
      </c>
      <c r="R82" s="82">
        <f t="shared" si="63"/>
        <v>0</v>
      </c>
      <c r="S82" s="82">
        <f t="shared" si="63"/>
        <v>0</v>
      </c>
      <c r="T82" s="82">
        <f t="shared" si="63"/>
        <v>0</v>
      </c>
    </row>
    <row r="83" spans="1:20">
      <c r="A83" s="81" t="s">
        <v>27</v>
      </c>
      <c r="B83" s="83" t="s">
        <v>51</v>
      </c>
      <c r="C83" s="81">
        <f t="shared" si="40"/>
        <v>0</v>
      </c>
      <c r="D83" s="81">
        <f t="shared" si="57"/>
        <v>0</v>
      </c>
      <c r="E83" s="82">
        <f t="shared" ref="E83:T83" si="64">E54</f>
        <v>0</v>
      </c>
      <c r="F83" s="82">
        <f t="shared" si="64"/>
        <v>0</v>
      </c>
      <c r="G83" s="82">
        <f t="shared" si="64"/>
        <v>0</v>
      </c>
      <c r="H83" s="82">
        <f t="shared" si="64"/>
        <v>0</v>
      </c>
      <c r="I83" s="82">
        <f t="shared" si="64"/>
        <v>0</v>
      </c>
      <c r="J83" s="82">
        <f t="shared" si="64"/>
        <v>0</v>
      </c>
      <c r="K83" s="82">
        <f t="shared" si="64"/>
        <v>0</v>
      </c>
      <c r="L83" s="82">
        <f t="shared" si="64"/>
        <v>0</v>
      </c>
      <c r="M83" s="82">
        <f t="shared" si="64"/>
        <v>0</v>
      </c>
      <c r="N83" s="82">
        <f t="shared" si="64"/>
        <v>0</v>
      </c>
      <c r="O83" s="82">
        <f t="shared" si="64"/>
        <v>0</v>
      </c>
      <c r="P83" s="82">
        <f t="shared" si="64"/>
        <v>0</v>
      </c>
      <c r="Q83" s="82">
        <f t="shared" si="64"/>
        <v>0</v>
      </c>
      <c r="R83" s="82">
        <f t="shared" si="64"/>
        <v>0</v>
      </c>
      <c r="S83" s="82">
        <f t="shared" si="64"/>
        <v>0</v>
      </c>
      <c r="T83" s="82">
        <f t="shared" si="64"/>
        <v>0</v>
      </c>
    </row>
    <row r="84" spans="1:20">
      <c r="A84" s="81" t="s">
        <v>27</v>
      </c>
      <c r="B84" s="83" t="s">
        <v>52</v>
      </c>
      <c r="C84" s="81">
        <f t="shared" si="40"/>
        <v>0</v>
      </c>
      <c r="D84" s="81">
        <f t="shared" si="57"/>
        <v>0</v>
      </c>
      <c r="E84" s="82">
        <f t="shared" ref="E84:T84" si="65">E55</f>
        <v>0</v>
      </c>
      <c r="F84" s="82">
        <f t="shared" si="65"/>
        <v>0</v>
      </c>
      <c r="G84" s="82">
        <f t="shared" si="65"/>
        <v>0</v>
      </c>
      <c r="H84" s="82">
        <f t="shared" si="65"/>
        <v>0</v>
      </c>
      <c r="I84" s="82">
        <f t="shared" si="65"/>
        <v>2</v>
      </c>
      <c r="J84" s="82">
        <f t="shared" si="65"/>
        <v>2</v>
      </c>
      <c r="K84" s="82">
        <f t="shared" si="65"/>
        <v>0</v>
      </c>
      <c r="L84" s="82">
        <f t="shared" si="65"/>
        <v>0</v>
      </c>
      <c r="M84" s="82">
        <f t="shared" si="65"/>
        <v>0.77110116919631966</v>
      </c>
      <c r="N84" s="82">
        <f t="shared" si="65"/>
        <v>0</v>
      </c>
      <c r="O84" s="82">
        <f t="shared" si="65"/>
        <v>0</v>
      </c>
      <c r="P84" s="82">
        <f t="shared" si="65"/>
        <v>0</v>
      </c>
      <c r="Q84" s="82">
        <f t="shared" si="65"/>
        <v>0</v>
      </c>
      <c r="R84" s="82">
        <f t="shared" si="65"/>
        <v>0</v>
      </c>
      <c r="S84" s="82">
        <f t="shared" si="65"/>
        <v>0</v>
      </c>
      <c r="T84" s="82">
        <f t="shared" si="65"/>
        <v>0</v>
      </c>
    </row>
    <row r="85" spans="1:20">
      <c r="A85" s="81" t="s">
        <v>27</v>
      </c>
      <c r="B85" s="83" t="s">
        <v>53</v>
      </c>
      <c r="C85" s="81">
        <f t="shared" si="40"/>
        <v>0</v>
      </c>
      <c r="D85" s="81">
        <f t="shared" si="57"/>
        <v>0</v>
      </c>
      <c r="E85" s="82">
        <f t="shared" ref="E85:T85" si="66">E56</f>
        <v>0</v>
      </c>
      <c r="F85" s="82">
        <f t="shared" si="66"/>
        <v>0</v>
      </c>
      <c r="G85" s="82">
        <f t="shared" si="66"/>
        <v>0</v>
      </c>
      <c r="H85" s="82">
        <f t="shared" si="66"/>
        <v>0</v>
      </c>
      <c r="I85" s="82">
        <f t="shared" si="66"/>
        <v>0</v>
      </c>
      <c r="J85" s="82">
        <f t="shared" si="66"/>
        <v>0</v>
      </c>
      <c r="K85" s="82">
        <f t="shared" si="66"/>
        <v>0</v>
      </c>
      <c r="L85" s="82">
        <f t="shared" si="66"/>
        <v>0</v>
      </c>
      <c r="M85" s="82">
        <f t="shared" si="66"/>
        <v>0</v>
      </c>
      <c r="N85" s="82">
        <f t="shared" si="66"/>
        <v>0</v>
      </c>
      <c r="O85" s="82">
        <f t="shared" si="66"/>
        <v>0</v>
      </c>
      <c r="P85" s="82">
        <f t="shared" si="66"/>
        <v>0</v>
      </c>
      <c r="Q85" s="82">
        <f t="shared" si="66"/>
        <v>0</v>
      </c>
      <c r="R85" s="82">
        <f t="shared" si="66"/>
        <v>0</v>
      </c>
      <c r="S85" s="82">
        <f t="shared" si="66"/>
        <v>0</v>
      </c>
      <c r="T85" s="82">
        <f t="shared" si="66"/>
        <v>0</v>
      </c>
    </row>
    <row r="86" spans="1:20">
      <c r="A86" s="81" t="s">
        <v>27</v>
      </c>
      <c r="B86" s="84" t="s">
        <v>54</v>
      </c>
      <c r="C86" s="81">
        <f t="shared" si="40"/>
        <v>9</v>
      </c>
      <c r="D86" s="81">
        <f t="shared" si="57"/>
        <v>10</v>
      </c>
      <c r="E86" s="82">
        <f t="shared" ref="E86:T86" si="67">E57</f>
        <v>9.5151421247568919</v>
      </c>
      <c r="F86" s="82">
        <f t="shared" si="67"/>
        <v>9</v>
      </c>
      <c r="G86" s="82">
        <f t="shared" si="67"/>
        <v>10</v>
      </c>
      <c r="H86" s="82">
        <f t="shared" si="67"/>
        <v>9.6144494154018396</v>
      </c>
      <c r="I86" s="82">
        <f t="shared" si="67"/>
        <v>4</v>
      </c>
      <c r="J86" s="82">
        <f t="shared" si="67"/>
        <v>-5</v>
      </c>
      <c r="K86" s="82">
        <f t="shared" si="67"/>
        <v>10</v>
      </c>
      <c r="L86" s="82">
        <f t="shared" si="67"/>
        <v>0</v>
      </c>
      <c r="M86" s="82">
        <f t="shared" si="67"/>
        <v>7.6866964924110404</v>
      </c>
      <c r="N86" s="82">
        <f t="shared" si="67"/>
        <v>4</v>
      </c>
      <c r="O86" s="82">
        <f t="shared" si="67"/>
        <v>-5</v>
      </c>
      <c r="P86" s="82">
        <f t="shared" si="67"/>
        <v>8</v>
      </c>
      <c r="Q86" s="82">
        <f t="shared" si="67"/>
        <v>-2</v>
      </c>
      <c r="R86" s="82">
        <f t="shared" si="67"/>
        <v>6.4577976616073602</v>
      </c>
      <c r="S86" s="82">
        <f t="shared" si="67"/>
        <v>4</v>
      </c>
      <c r="T86" s="82">
        <f t="shared" si="67"/>
        <v>8</v>
      </c>
    </row>
    <row r="87" spans="1:20">
      <c r="A87" s="81" t="s">
        <v>27</v>
      </c>
      <c r="B87" s="81" t="s">
        <v>55</v>
      </c>
      <c r="C87" s="81">
        <f t="shared" si="40"/>
        <v>5</v>
      </c>
      <c r="D87" s="81">
        <f t="shared" si="57"/>
        <v>10</v>
      </c>
      <c r="E87" s="82">
        <f t="shared" ref="E87:T87" si="68">E58</f>
        <v>7.5757106237844622</v>
      </c>
      <c r="F87" s="82">
        <f t="shared" si="68"/>
        <v>5</v>
      </c>
      <c r="G87" s="82">
        <f t="shared" si="68"/>
        <v>10</v>
      </c>
      <c r="H87" s="82">
        <f t="shared" si="68"/>
        <v>8.0722470770091999</v>
      </c>
      <c r="I87" s="82">
        <f t="shared" si="68"/>
        <v>10</v>
      </c>
      <c r="J87" s="82">
        <f t="shared" si="68"/>
        <v>5</v>
      </c>
      <c r="K87" s="82">
        <f t="shared" si="68"/>
        <v>15</v>
      </c>
      <c r="L87" s="82">
        <f t="shared" si="68"/>
        <v>5</v>
      </c>
      <c r="M87" s="82">
        <f t="shared" si="68"/>
        <v>13.072247077009203</v>
      </c>
      <c r="N87" s="82">
        <f t="shared" si="68"/>
        <v>15</v>
      </c>
      <c r="O87" s="82">
        <f t="shared" si="68"/>
        <v>10</v>
      </c>
      <c r="P87" s="82">
        <f t="shared" si="68"/>
        <v>20</v>
      </c>
      <c r="Q87" s="82">
        <f t="shared" si="68"/>
        <v>10</v>
      </c>
      <c r="R87" s="82">
        <f t="shared" si="68"/>
        <v>18.072247077009202</v>
      </c>
      <c r="S87" s="82">
        <f t="shared" si="68"/>
        <v>15</v>
      </c>
      <c r="T87" s="82">
        <f t="shared" si="68"/>
        <v>20</v>
      </c>
    </row>
    <row r="88" spans="1:20">
      <c r="A88" s="81" t="s">
        <v>27</v>
      </c>
      <c r="B88" s="81" t="s">
        <v>56</v>
      </c>
      <c r="C88" s="81">
        <f t="shared" si="40"/>
        <v>0</v>
      </c>
      <c r="D88" s="81">
        <f t="shared" si="57"/>
        <v>0</v>
      </c>
      <c r="E88" s="82">
        <f t="shared" ref="E88:T88" si="69">E59</f>
        <v>0</v>
      </c>
      <c r="F88" s="82">
        <f t="shared" si="69"/>
        <v>0</v>
      </c>
      <c r="G88" s="82">
        <f t="shared" si="69"/>
        <v>0</v>
      </c>
      <c r="H88" s="82">
        <f t="shared" si="69"/>
        <v>0</v>
      </c>
      <c r="I88" s="82">
        <f t="shared" si="69"/>
        <v>0</v>
      </c>
      <c r="J88" s="82">
        <f t="shared" si="69"/>
        <v>0</v>
      </c>
      <c r="K88" s="82">
        <f t="shared" si="69"/>
        <v>0</v>
      </c>
      <c r="L88" s="82">
        <f t="shared" si="69"/>
        <v>0</v>
      </c>
      <c r="M88" s="82">
        <f t="shared" si="69"/>
        <v>0</v>
      </c>
      <c r="N88" s="82">
        <f t="shared" si="69"/>
        <v>0</v>
      </c>
      <c r="O88" s="82">
        <f t="shared" si="69"/>
        <v>0</v>
      </c>
      <c r="P88" s="82">
        <f t="shared" si="69"/>
        <v>0</v>
      </c>
      <c r="Q88" s="82">
        <f t="shared" si="69"/>
        <v>0</v>
      </c>
      <c r="R88" s="82">
        <f t="shared" si="69"/>
        <v>0</v>
      </c>
      <c r="S88" s="82">
        <f t="shared" si="69"/>
        <v>0</v>
      </c>
      <c r="T88" s="82">
        <f t="shared" si="69"/>
        <v>0</v>
      </c>
    </row>
    <row r="89" spans="1:20">
      <c r="C89" s="81">
        <f>SUM(C31:C88)</f>
        <v>200</v>
      </c>
      <c r="D89" s="81">
        <f t="shared" ref="D89" si="70">SUM(D31:D88)</f>
        <v>200</v>
      </c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66"/>
      <c r="T89" s="66"/>
    </row>
    <row r="96" spans="1:20">
      <c r="J96" s="79"/>
    </row>
  </sheetData>
  <autoFilter ref="C3:R88" xr:uid="{C135FE07-4726-4546-AB0B-11A0CDE97FCB}"/>
  <mergeCells count="1">
    <mergeCell ref="S1:T1"/>
  </mergeCells>
  <conditionalFormatting sqref="J31:J59 L31:L59 O31:O59 Q31:Q59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A4E7-4434-4F49-BD60-C2D8C019629E}">
  <dimension ref="A1:K66"/>
  <sheetViews>
    <sheetView topLeftCell="A15" zoomScale="70" zoomScaleNormal="70" workbookViewId="0">
      <selection activeCell="J11" sqref="J11"/>
    </sheetView>
  </sheetViews>
  <sheetFormatPr defaultRowHeight="14.5"/>
  <cols>
    <col min="1" max="1" width="48.453125" customWidth="1"/>
    <col min="2" max="2" width="8" customWidth="1"/>
    <col min="3" max="3" width="16.26953125" customWidth="1"/>
    <col min="4" max="6" width="12.26953125" customWidth="1"/>
    <col min="7" max="7" width="17.453125" customWidth="1"/>
    <col min="8" max="8" width="13.81640625" customWidth="1"/>
    <col min="10" max="10" width="8.7265625" customWidth="1"/>
  </cols>
  <sheetData>
    <row r="1" spans="1:11">
      <c r="A1" s="134"/>
      <c r="B1" s="134"/>
      <c r="C1" s="165" t="s">
        <v>216</v>
      </c>
      <c r="D1" s="165"/>
      <c r="E1" s="165"/>
      <c r="F1" s="165"/>
      <c r="G1" s="165"/>
      <c r="H1" s="165"/>
      <c r="I1" s="165" t="s">
        <v>219</v>
      </c>
      <c r="J1" s="165"/>
      <c r="K1" s="165"/>
    </row>
    <row r="2" spans="1:11" s="50" customFormat="1" ht="32.5" customHeight="1">
      <c r="A2" s="135"/>
      <c r="B2" s="135"/>
      <c r="C2" s="169" t="s">
        <v>2</v>
      </c>
      <c r="D2" s="169"/>
      <c r="E2" s="169" t="s">
        <v>217</v>
      </c>
      <c r="F2" s="169"/>
      <c r="G2" s="169" t="s">
        <v>227</v>
      </c>
      <c r="H2" s="169"/>
      <c r="I2" s="135" t="s">
        <v>57</v>
      </c>
      <c r="J2" s="135" t="s">
        <v>58</v>
      </c>
      <c r="K2" s="135" t="s">
        <v>218</v>
      </c>
    </row>
    <row r="3" spans="1:11" s="50" customFormat="1" ht="32.5" customHeight="1">
      <c r="A3" s="150"/>
      <c r="B3" s="150"/>
      <c r="C3" s="150" t="s">
        <v>220</v>
      </c>
      <c r="D3" s="150" t="s">
        <v>222</v>
      </c>
      <c r="E3" s="150" t="s">
        <v>221</v>
      </c>
      <c r="F3" s="150" t="s">
        <v>222</v>
      </c>
      <c r="G3" s="150" t="s">
        <v>221</v>
      </c>
      <c r="H3" s="150" t="s">
        <v>222</v>
      </c>
      <c r="I3" s="150"/>
      <c r="J3" s="150"/>
      <c r="K3" s="150"/>
    </row>
    <row r="4" spans="1:11" s="50" customFormat="1" ht="32.5" customHeight="1">
      <c r="A4" s="166" t="s">
        <v>229</v>
      </c>
      <c r="B4" s="166"/>
      <c r="C4" s="166"/>
      <c r="D4" s="166"/>
      <c r="E4" s="166"/>
      <c r="F4" s="166"/>
      <c r="G4" s="166"/>
      <c r="H4" s="166"/>
      <c r="I4" s="166"/>
      <c r="J4" s="166"/>
      <c r="K4" s="166"/>
    </row>
    <row r="5" spans="1:11">
      <c r="A5" s="143" t="s">
        <v>11</v>
      </c>
      <c r="B5" s="144" t="s">
        <v>209</v>
      </c>
      <c r="C5" s="128">
        <v>-7.407407407407407E-2</v>
      </c>
      <c r="D5" s="128"/>
      <c r="E5" s="128">
        <v>-0.13793103448275862</v>
      </c>
      <c r="F5" s="128"/>
      <c r="G5" s="128">
        <v>-0.13793103448275862</v>
      </c>
      <c r="H5" s="128"/>
      <c r="I5" s="79">
        <v>-9.5238095238095233E-2</v>
      </c>
      <c r="J5" s="79">
        <v>-9.5238095238095233E-2</v>
      </c>
      <c r="K5" s="79">
        <v>-9.5238095238095233E-2</v>
      </c>
    </row>
    <row r="6" spans="1:11" ht="14.5" customHeight="1">
      <c r="A6" s="143" t="s">
        <v>12</v>
      </c>
      <c r="B6" s="144" t="s">
        <v>210</v>
      </c>
      <c r="C6" s="128">
        <v>-0.10000000000000002</v>
      </c>
      <c r="D6" s="128"/>
      <c r="E6" s="128">
        <v>-0.1</v>
      </c>
      <c r="F6" s="128">
        <v>-0.05</v>
      </c>
      <c r="G6" s="128">
        <v>-0.1</v>
      </c>
      <c r="H6" s="128">
        <v>-0.05</v>
      </c>
      <c r="I6" s="79">
        <v>-0.20000000000000004</v>
      </c>
      <c r="J6" s="79">
        <v>-0.25</v>
      </c>
      <c r="K6" s="79">
        <v>-0.25</v>
      </c>
    </row>
    <row r="7" spans="1:11" ht="14.5" customHeight="1">
      <c r="A7" s="143" t="s">
        <v>13</v>
      </c>
      <c r="B7" s="144" t="s">
        <v>210</v>
      </c>
      <c r="C7" s="128">
        <v>-9.9999999999999978E-2</v>
      </c>
      <c r="D7" s="128"/>
      <c r="E7" s="128">
        <v>-0.1</v>
      </c>
      <c r="F7" s="128">
        <v>-0.05</v>
      </c>
      <c r="G7" s="128">
        <v>-0.1</v>
      </c>
      <c r="H7" s="128">
        <v>-0.05</v>
      </c>
      <c r="I7" s="79">
        <v>-0.19999999999999998</v>
      </c>
      <c r="J7" s="79">
        <v>-0.25</v>
      </c>
      <c r="K7" s="79">
        <v>-0.25</v>
      </c>
    </row>
    <row r="8" spans="1:11" ht="14.5" customHeight="1">
      <c r="A8" s="143" t="s">
        <v>14</v>
      </c>
      <c r="B8" s="144" t="s">
        <v>210</v>
      </c>
      <c r="C8" s="128">
        <v>-9.9999999999999978E-2</v>
      </c>
      <c r="D8" s="128"/>
      <c r="E8" s="128">
        <v>-0.1</v>
      </c>
      <c r="F8" s="128">
        <v>-0.05</v>
      </c>
      <c r="G8" s="128">
        <v>-0.1</v>
      </c>
      <c r="H8" s="128">
        <v>-0.05</v>
      </c>
      <c r="I8" s="79"/>
      <c r="J8" s="79">
        <v>0.05</v>
      </c>
      <c r="K8" s="79">
        <v>0.05</v>
      </c>
    </row>
    <row r="9" spans="1:11" ht="14.5" customHeight="1">
      <c r="A9" s="143" t="s">
        <v>15</v>
      </c>
      <c r="B9" s="144" t="s">
        <v>210</v>
      </c>
      <c r="C9" s="128">
        <v>3.0000000000000072E-2</v>
      </c>
      <c r="D9" s="128">
        <v>3.0000000000000072E-2</v>
      </c>
      <c r="E9" s="128">
        <v>0.05</v>
      </c>
      <c r="F9" s="128">
        <v>0.05</v>
      </c>
      <c r="G9" s="128">
        <v>0.05</v>
      </c>
      <c r="H9" s="128">
        <v>0.05</v>
      </c>
      <c r="I9" s="79">
        <v>0.25000000000000006</v>
      </c>
      <c r="J9" s="79">
        <v>0.25000000000000006</v>
      </c>
      <c r="K9" s="79">
        <v>0.25000000000000006</v>
      </c>
    </row>
    <row r="10" spans="1:11" ht="14.5" customHeight="1">
      <c r="A10" s="143" t="s">
        <v>60</v>
      </c>
      <c r="B10" s="144"/>
      <c r="C10" s="128"/>
      <c r="D10" s="128"/>
      <c r="E10" s="128"/>
      <c r="F10" s="128"/>
      <c r="G10" s="128"/>
      <c r="H10" s="128"/>
      <c r="I10" s="79"/>
      <c r="J10" s="79">
        <v>0.25</v>
      </c>
      <c r="K10" s="79">
        <v>0.15</v>
      </c>
    </row>
    <row r="11" spans="1:11" ht="14.5" customHeight="1">
      <c r="A11" s="143" t="s">
        <v>16</v>
      </c>
      <c r="B11" s="144" t="s">
        <v>211</v>
      </c>
      <c r="C11" s="128">
        <v>0.2</v>
      </c>
      <c r="D11" s="128">
        <v>0.25</v>
      </c>
      <c r="E11" s="128">
        <v>0.25</v>
      </c>
      <c r="F11" s="128">
        <v>0.3</v>
      </c>
      <c r="G11" s="128">
        <v>0.2</v>
      </c>
      <c r="H11" s="128">
        <v>0.25</v>
      </c>
      <c r="I11" s="79"/>
      <c r="J11" s="79">
        <v>0.25</v>
      </c>
      <c r="K11" s="79">
        <v>0.15</v>
      </c>
    </row>
    <row r="12" spans="1:11" ht="14.5" customHeight="1">
      <c r="A12" s="143" t="s">
        <v>17</v>
      </c>
      <c r="B12" s="144" t="s">
        <v>211</v>
      </c>
      <c r="C12" s="128">
        <v>0.2</v>
      </c>
      <c r="D12" s="128">
        <v>0.25</v>
      </c>
      <c r="E12" s="128">
        <v>0.25</v>
      </c>
      <c r="F12" s="128">
        <v>0.3</v>
      </c>
      <c r="G12" s="128">
        <v>0.2</v>
      </c>
      <c r="H12" s="128">
        <v>0.25</v>
      </c>
      <c r="I12" s="79"/>
      <c r="J12" s="79">
        <v>0.25</v>
      </c>
      <c r="K12" s="79">
        <v>0.15</v>
      </c>
    </row>
    <row r="13" spans="1:11" ht="14.5" customHeight="1">
      <c r="A13" s="143" t="s">
        <v>18</v>
      </c>
      <c r="B13" s="144" t="s">
        <v>211</v>
      </c>
      <c r="C13" s="128">
        <v>0.2</v>
      </c>
      <c r="D13" s="128">
        <v>0.25</v>
      </c>
      <c r="E13" s="128">
        <v>0.25</v>
      </c>
      <c r="F13" s="128">
        <v>0.3</v>
      </c>
      <c r="G13" s="128">
        <v>0.2</v>
      </c>
      <c r="H13" s="128">
        <v>0.25</v>
      </c>
      <c r="I13" s="79"/>
      <c r="J13" s="79">
        <v>0.25</v>
      </c>
      <c r="K13" s="79">
        <v>0.15</v>
      </c>
    </row>
    <row r="14" spans="1:11" ht="14.5" customHeight="1">
      <c r="A14" s="143" t="s">
        <v>19</v>
      </c>
      <c r="B14" s="144" t="s">
        <v>211</v>
      </c>
      <c r="C14" s="128">
        <v>0.2</v>
      </c>
      <c r="D14" s="128">
        <v>0.25</v>
      </c>
      <c r="E14" s="128">
        <v>0.25</v>
      </c>
      <c r="F14" s="128">
        <v>0.3</v>
      </c>
      <c r="G14" s="128">
        <v>0.2</v>
      </c>
      <c r="H14" s="128">
        <v>0.25</v>
      </c>
      <c r="I14" s="79"/>
      <c r="J14" s="79"/>
      <c r="K14" s="79"/>
    </row>
    <row r="15" spans="1:11" ht="14.5" customHeight="1">
      <c r="A15" s="143" t="s">
        <v>20</v>
      </c>
      <c r="B15" s="144" t="s">
        <v>210</v>
      </c>
      <c r="C15" s="128">
        <v>5.8823529411764761E-2</v>
      </c>
      <c r="D15" s="128">
        <v>0.06</v>
      </c>
      <c r="E15" s="128">
        <v>5.8823529411764761E-2</v>
      </c>
      <c r="F15" s="128">
        <v>0.06</v>
      </c>
      <c r="G15" s="128">
        <v>5.8823529411764761E-2</v>
      </c>
      <c r="H15" s="128">
        <v>0.06</v>
      </c>
      <c r="I15" s="79"/>
      <c r="J15" s="79"/>
      <c r="K15" s="79"/>
    </row>
    <row r="16" spans="1:11" ht="14.5" customHeight="1">
      <c r="A16" s="143" t="s">
        <v>21</v>
      </c>
      <c r="B16" s="144" t="s">
        <v>210</v>
      </c>
      <c r="C16" s="140" t="s">
        <v>223</v>
      </c>
      <c r="D16" s="140"/>
      <c r="E16" s="82"/>
      <c r="F16" s="82"/>
      <c r="G16" s="82"/>
      <c r="H16" s="82"/>
      <c r="I16" s="68"/>
      <c r="J16" s="68"/>
      <c r="K16" s="68"/>
    </row>
    <row r="17" spans="1:11" ht="14.5" customHeight="1">
      <c r="A17" s="143" t="s">
        <v>22</v>
      </c>
      <c r="B17" s="144" t="s">
        <v>212</v>
      </c>
      <c r="C17" s="128">
        <v>0.25</v>
      </c>
      <c r="D17" s="128">
        <v>0.3</v>
      </c>
      <c r="E17" s="128">
        <v>0.3</v>
      </c>
      <c r="F17" s="128">
        <v>0.35</v>
      </c>
      <c r="G17" s="128">
        <v>0.25</v>
      </c>
      <c r="H17" s="128">
        <v>0.3</v>
      </c>
      <c r="I17" s="79"/>
      <c r="J17" s="79"/>
      <c r="K17" s="79"/>
    </row>
    <row r="18" spans="1:11" ht="34.5" customHeight="1">
      <c r="A18" s="143" t="s">
        <v>224</v>
      </c>
      <c r="B18" s="144"/>
      <c r="C18" s="140" t="s">
        <v>225</v>
      </c>
      <c r="D18" s="140" t="s">
        <v>226</v>
      </c>
      <c r="E18" s="82"/>
      <c r="F18" s="140"/>
      <c r="G18" s="168" t="s">
        <v>232</v>
      </c>
      <c r="H18" s="168"/>
      <c r="I18" s="68"/>
      <c r="J18" s="68"/>
      <c r="K18" s="68"/>
    </row>
    <row r="19" spans="1:11">
      <c r="A19" s="143" t="s">
        <v>213</v>
      </c>
      <c r="B19" s="144" t="s">
        <v>214</v>
      </c>
      <c r="C19" s="140" t="s">
        <v>223</v>
      </c>
      <c r="D19" s="140"/>
      <c r="E19" s="140"/>
      <c r="F19" s="140"/>
      <c r="G19" s="140"/>
      <c r="H19" s="140"/>
      <c r="I19" s="68"/>
      <c r="J19" s="68"/>
      <c r="K19" s="68"/>
    </row>
    <row r="20" spans="1:11" ht="14.5" customHeight="1">
      <c r="A20" s="143" t="s">
        <v>25</v>
      </c>
      <c r="B20" s="144" t="s">
        <v>210</v>
      </c>
      <c r="C20" s="128">
        <v>-0.2</v>
      </c>
      <c r="D20" s="128">
        <v>-0.2</v>
      </c>
      <c r="E20" s="128">
        <v>-0.2</v>
      </c>
      <c r="F20" s="128">
        <v>-0.2</v>
      </c>
      <c r="G20" s="128">
        <v>-0.2</v>
      </c>
      <c r="H20" s="128">
        <v>-0.2</v>
      </c>
      <c r="I20" s="79">
        <v>-0.2</v>
      </c>
      <c r="J20" s="79">
        <v>-0.2</v>
      </c>
      <c r="K20" s="79">
        <v>-0.2</v>
      </c>
    </row>
    <row r="21" spans="1:11" ht="14.5" customHeight="1">
      <c r="A21" s="141" t="s">
        <v>26</v>
      </c>
      <c r="B21" s="142" t="s">
        <v>211</v>
      </c>
      <c r="C21" s="148">
        <v>0.1</v>
      </c>
      <c r="D21" s="148">
        <v>0.1</v>
      </c>
      <c r="E21" s="148">
        <v>0.1</v>
      </c>
      <c r="F21" s="148">
        <v>0.10000000000000013</v>
      </c>
      <c r="G21" s="148">
        <v>0.1</v>
      </c>
      <c r="H21" s="148">
        <v>0.10000000000000013</v>
      </c>
      <c r="I21" s="149"/>
      <c r="J21" s="149"/>
      <c r="K21" s="149"/>
    </row>
    <row r="22" spans="1:11" ht="14.5" customHeight="1">
      <c r="A22" s="167" t="s">
        <v>230</v>
      </c>
      <c r="B22" s="167"/>
      <c r="C22" s="167"/>
      <c r="D22" s="167"/>
      <c r="E22" s="167"/>
      <c r="F22" s="167"/>
      <c r="G22" s="167"/>
      <c r="H22" s="167"/>
      <c r="I22" s="167"/>
      <c r="J22" s="167"/>
      <c r="K22" s="167"/>
    </row>
    <row r="23" spans="1:11">
      <c r="A23" s="143" t="s">
        <v>150</v>
      </c>
      <c r="B23" s="144" t="s">
        <v>215</v>
      </c>
      <c r="C23" s="90"/>
      <c r="D23" s="90"/>
      <c r="E23" s="81"/>
      <c r="F23" s="81"/>
      <c r="G23" s="81">
        <v>5</v>
      </c>
      <c r="H23" s="81">
        <v>20</v>
      </c>
      <c r="I23" s="68"/>
      <c r="J23" s="68"/>
      <c r="K23" s="68">
        <v>10</v>
      </c>
    </row>
    <row r="24" spans="1:11" ht="14.5" customHeight="1">
      <c r="A24" s="143" t="s">
        <v>151</v>
      </c>
      <c r="B24" s="144" t="s">
        <v>215</v>
      </c>
      <c r="C24" s="81"/>
      <c r="D24" s="81"/>
      <c r="E24" s="81"/>
      <c r="F24" s="81"/>
      <c r="G24" s="81">
        <v>-30</v>
      </c>
      <c r="H24" s="81">
        <v>-20</v>
      </c>
      <c r="I24" s="68"/>
      <c r="J24" s="68"/>
      <c r="K24" s="68">
        <v>-30</v>
      </c>
    </row>
    <row r="25" spans="1:11" ht="14.5" customHeight="1">
      <c r="A25" s="143" t="s">
        <v>152</v>
      </c>
      <c r="B25" s="144" t="s">
        <v>215</v>
      </c>
      <c r="C25" s="81"/>
      <c r="D25" s="81"/>
      <c r="E25" s="81"/>
      <c r="F25" s="81"/>
      <c r="G25" s="81">
        <v>5</v>
      </c>
      <c r="H25" s="81">
        <v>10</v>
      </c>
      <c r="I25" s="68"/>
      <c r="J25" s="68"/>
      <c r="K25" s="68"/>
    </row>
    <row r="26" spans="1:11" ht="14.5" customHeight="1">
      <c r="A26" s="143" t="s">
        <v>153</v>
      </c>
      <c r="B26" s="144" t="s">
        <v>215</v>
      </c>
      <c r="C26" s="81"/>
      <c r="D26" s="81"/>
      <c r="E26" s="81"/>
      <c r="F26" s="81"/>
      <c r="G26" s="81"/>
      <c r="H26" s="81"/>
      <c r="I26" s="68"/>
      <c r="J26" s="68"/>
      <c r="K26" s="68"/>
    </row>
    <row r="27" spans="1:11" ht="14.5" customHeight="1">
      <c r="A27" s="143" t="s">
        <v>154</v>
      </c>
      <c r="B27" s="144" t="s">
        <v>215</v>
      </c>
      <c r="C27" s="81"/>
      <c r="D27" s="81"/>
      <c r="E27" s="81"/>
      <c r="F27" s="81"/>
      <c r="G27" s="81"/>
      <c r="H27" s="81"/>
      <c r="I27" s="68"/>
      <c r="J27" s="68"/>
      <c r="K27" s="68"/>
    </row>
    <row r="28" spans="1:11" ht="14.5" customHeight="1">
      <c r="A28" s="143" t="s">
        <v>155</v>
      </c>
      <c r="B28" s="144" t="s">
        <v>215</v>
      </c>
      <c r="C28" s="81"/>
      <c r="D28" s="81"/>
      <c r="E28" s="81"/>
      <c r="F28" s="81"/>
      <c r="G28" s="81"/>
      <c r="H28" s="81"/>
      <c r="I28" s="68"/>
      <c r="J28" s="68"/>
      <c r="K28" s="68"/>
    </row>
    <row r="29" spans="1:11" ht="14.5" customHeight="1">
      <c r="A29" s="143" t="s">
        <v>156</v>
      </c>
      <c r="B29" s="144" t="s">
        <v>215</v>
      </c>
      <c r="C29" s="81"/>
      <c r="D29" s="81"/>
      <c r="E29" s="81"/>
      <c r="F29" s="81"/>
      <c r="G29" s="81">
        <v>10</v>
      </c>
      <c r="H29" s="81">
        <v>-5</v>
      </c>
      <c r="I29" s="68"/>
      <c r="J29" s="68"/>
      <c r="K29" s="68">
        <v>20</v>
      </c>
    </row>
    <row r="30" spans="1:11" ht="14.5" customHeight="1">
      <c r="A30" s="143" t="s">
        <v>157</v>
      </c>
      <c r="B30" s="144" t="s">
        <v>215</v>
      </c>
      <c r="C30" s="81"/>
      <c r="D30" s="81"/>
      <c r="E30" s="81"/>
      <c r="F30" s="81"/>
      <c r="G30" s="81">
        <v>10</v>
      </c>
      <c r="H30" s="81">
        <v>-5</v>
      </c>
      <c r="I30" s="68"/>
      <c r="J30" s="68"/>
      <c r="K30" s="68"/>
    </row>
    <row r="31" spans="1:11" ht="14.5" customHeight="1">
      <c r="A31" s="141" t="s">
        <v>158</v>
      </c>
      <c r="B31" s="142" t="s">
        <v>215</v>
      </c>
      <c r="C31" s="146"/>
      <c r="D31" s="146"/>
      <c r="E31" s="146"/>
      <c r="F31" s="146"/>
      <c r="G31" s="146"/>
      <c r="H31" s="146"/>
      <c r="I31" s="133"/>
      <c r="J31" s="133"/>
      <c r="K31" s="133"/>
    </row>
    <row r="32" spans="1:11" ht="14.5" customHeight="1">
      <c r="A32" s="167" t="s">
        <v>230</v>
      </c>
      <c r="B32" s="167"/>
      <c r="C32" s="167"/>
      <c r="D32" s="167"/>
      <c r="E32" s="167"/>
      <c r="F32" s="167"/>
      <c r="G32" s="167"/>
      <c r="H32" s="167"/>
      <c r="I32" s="167"/>
      <c r="J32" s="167"/>
      <c r="K32" s="167"/>
    </row>
    <row r="33" spans="1:11">
      <c r="A33" s="138" t="s">
        <v>28</v>
      </c>
      <c r="B33" s="139" t="s">
        <v>215</v>
      </c>
      <c r="C33" s="82"/>
      <c r="D33" s="82"/>
      <c r="E33" s="82"/>
      <c r="F33" s="82"/>
      <c r="G33" s="82"/>
      <c r="H33" s="82"/>
      <c r="I33" s="105"/>
      <c r="J33" s="105"/>
      <c r="K33" s="105"/>
    </row>
    <row r="34" spans="1:11" ht="14.5" customHeight="1">
      <c r="A34" s="138" t="s">
        <v>29</v>
      </c>
      <c r="B34" s="139" t="s">
        <v>215</v>
      </c>
      <c r="C34" s="82"/>
      <c r="D34" s="82"/>
      <c r="E34" s="82"/>
      <c r="F34" s="82"/>
      <c r="G34" s="82"/>
      <c r="H34" s="82"/>
      <c r="I34" s="105"/>
      <c r="J34" s="105"/>
      <c r="K34" s="105"/>
    </row>
    <row r="35" spans="1:11" ht="14.5" customHeight="1">
      <c r="A35" s="138" t="s">
        <v>30</v>
      </c>
      <c r="B35" s="139" t="s">
        <v>215</v>
      </c>
      <c r="C35" s="82"/>
      <c r="D35" s="82"/>
      <c r="E35" s="82"/>
      <c r="F35" s="82"/>
      <c r="G35" s="82"/>
      <c r="H35" s="82"/>
      <c r="I35" s="105">
        <v>5</v>
      </c>
      <c r="J35" s="105">
        <v>5</v>
      </c>
      <c r="K35" s="105">
        <v>5</v>
      </c>
    </row>
    <row r="36" spans="1:11" ht="14.5" customHeight="1">
      <c r="A36" s="138" t="s">
        <v>31</v>
      </c>
      <c r="B36" s="139" t="s">
        <v>215</v>
      </c>
      <c r="C36" s="82">
        <v>5</v>
      </c>
      <c r="D36" s="82">
        <v>5</v>
      </c>
      <c r="E36" s="82">
        <v>5</v>
      </c>
      <c r="F36" s="82">
        <v>5</v>
      </c>
      <c r="G36" s="82">
        <v>5</v>
      </c>
      <c r="H36" s="82">
        <v>5</v>
      </c>
      <c r="I36" s="105">
        <v>5</v>
      </c>
      <c r="J36" s="105">
        <v>5</v>
      </c>
      <c r="K36" s="105">
        <v>5</v>
      </c>
    </row>
    <row r="37" spans="1:11" ht="14.5" customHeight="1">
      <c r="A37" s="138" t="s">
        <v>32</v>
      </c>
      <c r="B37" s="139" t="s">
        <v>215</v>
      </c>
      <c r="C37" s="82"/>
      <c r="D37" s="82"/>
      <c r="E37" s="82"/>
      <c r="F37" s="82"/>
      <c r="G37" s="82"/>
      <c r="H37" s="82"/>
      <c r="I37" s="105"/>
      <c r="J37" s="105"/>
      <c r="K37" s="105"/>
    </row>
    <row r="38" spans="1:11" ht="14.5" customHeight="1">
      <c r="A38" s="138" t="s">
        <v>33</v>
      </c>
      <c r="B38" s="139" t="s">
        <v>215</v>
      </c>
      <c r="C38" s="82"/>
      <c r="D38" s="82"/>
      <c r="E38" s="82"/>
      <c r="F38" s="82"/>
      <c r="G38" s="82"/>
      <c r="H38" s="82"/>
      <c r="I38" s="105">
        <v>-10</v>
      </c>
      <c r="J38" s="105">
        <v>-10</v>
      </c>
      <c r="K38" s="105">
        <v>-10</v>
      </c>
    </row>
    <row r="39" spans="1:11" ht="14.5" customHeight="1">
      <c r="A39" s="138" t="s">
        <v>34</v>
      </c>
      <c r="B39" s="139" t="s">
        <v>215</v>
      </c>
      <c r="C39" s="82">
        <v>-4</v>
      </c>
      <c r="D39" s="82">
        <v>-5</v>
      </c>
      <c r="E39" s="82">
        <v>-7</v>
      </c>
      <c r="F39" s="82">
        <v>-8</v>
      </c>
      <c r="G39" s="82">
        <v>-7</v>
      </c>
      <c r="H39" s="82">
        <v>-8</v>
      </c>
      <c r="I39" s="105"/>
      <c r="J39" s="105"/>
      <c r="K39" s="105"/>
    </row>
    <row r="40" spans="1:11" ht="14.5" customHeight="1">
      <c r="A40" s="138" t="s">
        <v>35</v>
      </c>
      <c r="B40" s="139" t="s">
        <v>215</v>
      </c>
      <c r="C40" s="82"/>
      <c r="D40" s="82"/>
      <c r="E40" s="82"/>
      <c r="F40" s="82"/>
      <c r="G40" s="82"/>
      <c r="H40" s="82"/>
      <c r="I40" s="105"/>
      <c r="J40" s="105"/>
      <c r="K40" s="105"/>
    </row>
    <row r="41" spans="1:11" ht="14.5" customHeight="1">
      <c r="A41" s="138" t="s">
        <v>36</v>
      </c>
      <c r="B41" s="139" t="s">
        <v>215</v>
      </c>
      <c r="C41" s="82"/>
      <c r="D41" s="82"/>
      <c r="E41" s="82"/>
      <c r="F41" s="82"/>
      <c r="G41" s="82"/>
      <c r="H41" s="82"/>
      <c r="I41" s="105"/>
      <c r="J41" s="105"/>
      <c r="K41" s="105"/>
    </row>
    <row r="42" spans="1:11" ht="14.5" customHeight="1">
      <c r="A42" s="138" t="s">
        <v>37</v>
      </c>
      <c r="B42" s="139" t="s">
        <v>215</v>
      </c>
      <c r="C42" s="82">
        <v>5</v>
      </c>
      <c r="D42" s="82"/>
      <c r="E42" s="82"/>
      <c r="F42" s="82"/>
      <c r="G42" s="82"/>
      <c r="H42" s="82"/>
      <c r="I42" s="105">
        <v>-3</v>
      </c>
      <c r="J42" s="105">
        <v>-3</v>
      </c>
      <c r="K42" s="105">
        <v>-3</v>
      </c>
    </row>
    <row r="43" spans="1:11" ht="14.5" customHeight="1">
      <c r="A43" s="138" t="s">
        <v>38</v>
      </c>
      <c r="B43" s="139" t="s">
        <v>215</v>
      </c>
      <c r="C43" s="82">
        <v>-5</v>
      </c>
      <c r="D43" s="82">
        <v>-5</v>
      </c>
      <c r="E43" s="82">
        <v>-9</v>
      </c>
      <c r="F43" s="82">
        <v>-5</v>
      </c>
      <c r="G43" s="82">
        <v>-9</v>
      </c>
      <c r="H43" s="82">
        <v>-5</v>
      </c>
      <c r="I43" s="105"/>
      <c r="J43" s="105"/>
      <c r="K43" s="105"/>
    </row>
    <row r="44" spans="1:11" ht="14.5" customHeight="1">
      <c r="A44" s="138" t="s">
        <v>39</v>
      </c>
      <c r="B44" s="139" t="s">
        <v>215</v>
      </c>
      <c r="C44" s="82"/>
      <c r="D44" s="82"/>
      <c r="E44" s="82"/>
      <c r="F44" s="82"/>
      <c r="G44" s="82"/>
      <c r="H44" s="82"/>
      <c r="I44" s="105"/>
      <c r="J44" s="105"/>
      <c r="K44" s="105"/>
    </row>
    <row r="45" spans="1:11" ht="14.5" customHeight="1">
      <c r="A45" s="138" t="s">
        <v>40</v>
      </c>
      <c r="B45" s="139" t="s">
        <v>215</v>
      </c>
      <c r="C45" s="82"/>
      <c r="D45" s="82"/>
      <c r="E45" s="82"/>
      <c r="F45" s="82"/>
      <c r="G45" s="82"/>
      <c r="H45" s="82"/>
      <c r="I45" s="105">
        <v>-6</v>
      </c>
      <c r="J45" s="105">
        <v>-9</v>
      </c>
      <c r="K45" s="105">
        <v>-9</v>
      </c>
    </row>
    <row r="46" spans="1:11" ht="14.5" customHeight="1">
      <c r="A46" s="138" t="s">
        <v>41</v>
      </c>
      <c r="B46" s="139" t="s">
        <v>215</v>
      </c>
      <c r="C46" s="82">
        <v>-5</v>
      </c>
      <c r="D46" s="82"/>
      <c r="E46" s="82">
        <v>-5</v>
      </c>
      <c r="F46" s="82"/>
      <c r="G46" s="82">
        <v>-5</v>
      </c>
      <c r="H46" s="82"/>
      <c r="I46" s="105"/>
      <c r="J46" s="105">
        <v>-4</v>
      </c>
      <c r="K46" s="105">
        <v>-4</v>
      </c>
    </row>
    <row r="47" spans="1:11" ht="14.5" customHeight="1">
      <c r="A47" s="138" t="s">
        <v>42</v>
      </c>
      <c r="B47" s="139" t="s">
        <v>215</v>
      </c>
      <c r="C47" s="82">
        <v>1</v>
      </c>
      <c r="D47" s="82"/>
      <c r="E47" s="82">
        <v>-2</v>
      </c>
      <c r="F47" s="82"/>
      <c r="G47" s="82">
        <v>-2</v>
      </c>
      <c r="H47" s="82"/>
      <c r="I47" s="105"/>
      <c r="J47" s="105"/>
      <c r="K47" s="105"/>
    </row>
    <row r="48" spans="1:11" ht="14.5" customHeight="1">
      <c r="A48" s="143" t="s">
        <v>43</v>
      </c>
      <c r="B48" s="144" t="s">
        <v>215</v>
      </c>
      <c r="C48" s="82">
        <v>5</v>
      </c>
      <c r="D48" s="82"/>
      <c r="E48" s="82">
        <v>5</v>
      </c>
      <c r="F48" s="82"/>
      <c r="G48" s="82">
        <v>5</v>
      </c>
      <c r="H48" s="82"/>
      <c r="I48" s="81"/>
      <c r="J48" s="81"/>
      <c r="K48" s="81"/>
    </row>
    <row r="49" spans="1:11">
      <c r="A49" s="143" t="s">
        <v>44</v>
      </c>
      <c r="B49" s="144" t="s">
        <v>215</v>
      </c>
      <c r="C49" s="82"/>
      <c r="D49" s="82"/>
      <c r="E49" s="82"/>
      <c r="F49" s="82"/>
      <c r="G49" s="82"/>
      <c r="H49" s="82"/>
      <c r="I49" s="81"/>
      <c r="J49" s="81">
        <v>4</v>
      </c>
      <c r="K49" s="81">
        <v>4</v>
      </c>
    </row>
    <row r="50" spans="1:11" ht="14.5" customHeight="1">
      <c r="A50" s="143" t="s">
        <v>45</v>
      </c>
      <c r="B50" s="144" t="s">
        <v>215</v>
      </c>
      <c r="C50" s="82">
        <v>-1</v>
      </c>
      <c r="D50" s="82"/>
      <c r="E50" s="82">
        <v>11</v>
      </c>
      <c r="F50" s="82">
        <v>5</v>
      </c>
      <c r="G50" s="82">
        <v>11</v>
      </c>
      <c r="H50" s="82">
        <v>5</v>
      </c>
      <c r="I50" s="81"/>
      <c r="J50" s="81"/>
      <c r="K50" s="81"/>
    </row>
    <row r="51" spans="1:11" ht="14.5" customHeight="1">
      <c r="A51" s="143" t="s">
        <v>46</v>
      </c>
      <c r="B51" s="144" t="s">
        <v>215</v>
      </c>
      <c r="C51" s="82"/>
      <c r="D51" s="82"/>
      <c r="E51" s="82"/>
      <c r="F51" s="82"/>
      <c r="G51" s="82"/>
      <c r="H51" s="82"/>
      <c r="I51" s="81">
        <v>-5</v>
      </c>
      <c r="J51" s="81">
        <v>-5</v>
      </c>
      <c r="K51" s="81">
        <v>-5</v>
      </c>
    </row>
    <row r="52" spans="1:11" ht="14.5" customHeight="1">
      <c r="A52" s="143" t="s">
        <v>47</v>
      </c>
      <c r="B52" s="144" t="s">
        <v>215</v>
      </c>
      <c r="C52" s="82">
        <v>-3</v>
      </c>
      <c r="D52" s="82"/>
      <c r="E52" s="82">
        <v>-3</v>
      </c>
      <c r="F52" s="82">
        <v>-5</v>
      </c>
      <c r="G52" s="82">
        <v>-3</v>
      </c>
      <c r="H52" s="82">
        <v>-5</v>
      </c>
      <c r="I52" s="81"/>
      <c r="J52" s="81"/>
      <c r="K52" s="81"/>
    </row>
    <row r="53" spans="1:11" ht="14.5" customHeight="1">
      <c r="A53" s="143" t="s">
        <v>48</v>
      </c>
      <c r="B53" s="144" t="s">
        <v>215</v>
      </c>
      <c r="C53" s="82"/>
      <c r="D53" s="82"/>
      <c r="E53" s="82"/>
      <c r="F53" s="82"/>
      <c r="G53" s="82"/>
      <c r="H53" s="82"/>
      <c r="I53" s="81"/>
      <c r="J53" s="81"/>
      <c r="K53" s="81"/>
    </row>
    <row r="54" spans="1:11" ht="14.5" customHeight="1">
      <c r="A54" s="143" t="s">
        <v>49</v>
      </c>
      <c r="B54" s="144" t="s">
        <v>215</v>
      </c>
      <c r="C54" s="82"/>
      <c r="D54" s="82"/>
      <c r="E54" s="82"/>
      <c r="F54" s="82"/>
      <c r="G54" s="82"/>
      <c r="H54" s="82"/>
      <c r="I54" s="81"/>
      <c r="J54" s="81"/>
      <c r="K54" s="81"/>
    </row>
    <row r="55" spans="1:11">
      <c r="A55" s="143" t="s">
        <v>50</v>
      </c>
      <c r="B55" s="144" t="s">
        <v>215</v>
      </c>
      <c r="C55" s="82"/>
      <c r="D55" s="82"/>
      <c r="E55" s="82"/>
      <c r="F55" s="82"/>
      <c r="G55" s="82"/>
      <c r="H55" s="82"/>
      <c r="I55" s="81"/>
      <c r="J55" s="81"/>
      <c r="K55" s="81"/>
    </row>
    <row r="56" spans="1:11" ht="14.5" customHeight="1">
      <c r="A56" s="143" t="s">
        <v>51</v>
      </c>
      <c r="B56" s="144" t="s">
        <v>215</v>
      </c>
      <c r="C56" s="82"/>
      <c r="D56" s="82"/>
      <c r="E56" s="82"/>
      <c r="F56" s="82"/>
      <c r="G56" s="82"/>
      <c r="H56" s="82"/>
      <c r="I56" s="81"/>
      <c r="J56" s="81"/>
      <c r="K56" s="81"/>
    </row>
    <row r="57" spans="1:11" ht="14.5" customHeight="1">
      <c r="A57" s="143" t="s">
        <v>52</v>
      </c>
      <c r="B57" s="144" t="s">
        <v>215</v>
      </c>
      <c r="C57" s="82">
        <v>2</v>
      </c>
      <c r="D57" s="82"/>
      <c r="E57" s="82"/>
      <c r="F57" s="82"/>
      <c r="G57" s="82"/>
      <c r="H57" s="82"/>
      <c r="I57" s="81"/>
      <c r="J57" s="81"/>
      <c r="K57" s="81"/>
    </row>
    <row r="58" spans="1:11">
      <c r="A58" s="143" t="s">
        <v>53</v>
      </c>
      <c r="B58" s="144" t="s">
        <v>215</v>
      </c>
      <c r="C58" s="82"/>
      <c r="D58" s="82"/>
      <c r="E58" s="82"/>
      <c r="F58" s="82"/>
      <c r="G58" s="82"/>
      <c r="H58" s="82"/>
      <c r="I58" s="81"/>
      <c r="J58" s="81"/>
      <c r="K58" s="81"/>
    </row>
    <row r="59" spans="1:11" ht="14.5" customHeight="1">
      <c r="A59" s="143" t="s">
        <v>54</v>
      </c>
      <c r="B59" s="144" t="s">
        <v>215</v>
      </c>
      <c r="C59" s="82">
        <v>-5</v>
      </c>
      <c r="D59" s="82"/>
      <c r="E59" s="82">
        <v>-5</v>
      </c>
      <c r="F59" s="82">
        <v>-2</v>
      </c>
      <c r="G59" s="82">
        <v>-5</v>
      </c>
      <c r="H59" s="82">
        <v>-2</v>
      </c>
      <c r="I59" s="81">
        <v>14</v>
      </c>
      <c r="J59" s="81">
        <v>17</v>
      </c>
      <c r="K59" s="81">
        <v>17</v>
      </c>
    </row>
    <row r="60" spans="1:11" ht="14.5" customHeight="1">
      <c r="A60" s="143" t="s">
        <v>55</v>
      </c>
      <c r="B60" s="144" t="s">
        <v>215</v>
      </c>
      <c r="C60" s="82">
        <v>5</v>
      </c>
      <c r="D60" s="82">
        <v>5</v>
      </c>
      <c r="E60" s="82">
        <v>10</v>
      </c>
      <c r="F60" s="82">
        <v>10</v>
      </c>
      <c r="G60" s="82">
        <v>10</v>
      </c>
      <c r="H60" s="82">
        <v>10</v>
      </c>
      <c r="I60" s="81"/>
      <c r="J60" s="81"/>
      <c r="K60" s="81"/>
    </row>
    <row r="61" spans="1:11" ht="14.5" customHeight="1">
      <c r="A61" s="141" t="s">
        <v>56</v>
      </c>
      <c r="B61" s="142" t="s">
        <v>215</v>
      </c>
      <c r="C61" s="147"/>
      <c r="D61" s="147"/>
      <c r="E61" s="147"/>
      <c r="F61" s="147"/>
      <c r="G61" s="147"/>
      <c r="H61" s="147"/>
      <c r="I61" s="146"/>
      <c r="J61" s="146"/>
      <c r="K61" s="146"/>
    </row>
    <row r="62" spans="1:11" ht="65.5" customHeight="1">
      <c r="A62" s="145" t="s">
        <v>228</v>
      </c>
      <c r="B62" s="146"/>
      <c r="C62" s="146"/>
      <c r="D62" s="146"/>
      <c r="E62" s="146"/>
      <c r="F62" s="146"/>
      <c r="G62" s="146"/>
      <c r="H62" s="151" t="s">
        <v>231</v>
      </c>
      <c r="I62" s="146"/>
      <c r="J62" s="146"/>
      <c r="K62" s="146"/>
    </row>
    <row r="63" spans="1:11">
      <c r="A63" s="137"/>
      <c r="B63" s="105"/>
      <c r="C63" s="105"/>
      <c r="D63" s="105"/>
      <c r="E63" s="105"/>
    </row>
    <row r="64" spans="1:11">
      <c r="A64" s="105"/>
      <c r="B64" s="105"/>
      <c r="C64" s="105"/>
      <c r="D64" s="105"/>
      <c r="E64" s="105"/>
    </row>
    <row r="65" spans="1:5">
      <c r="A65" s="105"/>
      <c r="B65" s="105"/>
      <c r="C65" s="105"/>
      <c r="D65" s="105"/>
      <c r="E65" s="105"/>
    </row>
    <row r="66" spans="1:5">
      <c r="A66" s="105"/>
      <c r="B66" s="105"/>
      <c r="C66" s="105"/>
      <c r="D66" s="105"/>
      <c r="E66" s="105"/>
    </row>
  </sheetData>
  <mergeCells count="9">
    <mergeCell ref="I1:K1"/>
    <mergeCell ref="C1:H1"/>
    <mergeCell ref="A4:K4"/>
    <mergeCell ref="A22:K22"/>
    <mergeCell ref="A32:K32"/>
    <mergeCell ref="G18:H18"/>
    <mergeCell ref="C2:D2"/>
    <mergeCell ref="E2:F2"/>
    <mergeCell ref="G2:H2"/>
  </mergeCells>
  <conditionalFormatting sqref="C33:H61">
    <cfRule type="cellIs" dxfId="1" priority="5" operator="lessThan">
      <formula>0</formula>
    </cfRule>
    <cfRule type="cellIs" dxfId="0" priority="6" operator="greaterThan">
      <formula>0</formula>
    </cfRule>
  </conditionalFormatting>
  <conditionalFormatting sqref="C19:K21 C18:G18 I18:K18 C5:K1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3:K3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3:K6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3:K6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C901D-1241-4AE1-9FBD-553FA3403C2D}">
  <dimension ref="A1:U89"/>
  <sheetViews>
    <sheetView zoomScale="85" zoomScaleNormal="85"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K14" sqref="K14"/>
    </sheetView>
  </sheetViews>
  <sheetFormatPr defaultColWidth="8.7265625" defaultRowHeight="14.5"/>
  <cols>
    <col min="2" max="2" width="48.26953125" customWidth="1"/>
    <col min="3" max="5" width="19" customWidth="1"/>
    <col min="6" max="6" width="19" hidden="1" customWidth="1"/>
    <col min="7" max="8" width="19" customWidth="1"/>
    <col min="10" max="10" width="18.6328125" customWidth="1"/>
    <col min="11" max="11" width="15.08984375" customWidth="1"/>
    <col min="14" max="14" width="10.26953125" bestFit="1" customWidth="1"/>
  </cols>
  <sheetData>
    <row r="1" spans="1:16">
      <c r="C1" s="9" t="s">
        <v>0</v>
      </c>
      <c r="D1" s="19" t="s">
        <v>1</v>
      </c>
      <c r="E1" s="24" t="s">
        <v>57</v>
      </c>
      <c r="F1" s="23" t="s">
        <v>58</v>
      </c>
      <c r="G1" s="172" t="s">
        <v>148</v>
      </c>
      <c r="H1" s="172"/>
    </row>
    <row r="2" spans="1:16">
      <c r="A2" s="6"/>
      <c r="B2" s="6" t="s">
        <v>4</v>
      </c>
      <c r="C2" s="170"/>
      <c r="D2" s="171"/>
      <c r="E2" s="171"/>
      <c r="F2" s="171"/>
      <c r="G2" s="71"/>
      <c r="H2" s="71"/>
    </row>
    <row r="3" spans="1:16">
      <c r="A3" s="6" t="s">
        <v>8</v>
      </c>
      <c r="B3" s="6" t="s">
        <v>9</v>
      </c>
      <c r="C3" s="10"/>
      <c r="D3" s="10">
        <v>2022</v>
      </c>
      <c r="E3" s="10">
        <v>2050</v>
      </c>
      <c r="F3" s="11">
        <v>2050</v>
      </c>
      <c r="G3" s="34" t="s">
        <v>159</v>
      </c>
      <c r="H3" s="34" t="s">
        <v>160</v>
      </c>
    </row>
    <row r="4" spans="1:16">
      <c r="A4" s="1" t="s">
        <v>10</v>
      </c>
      <c r="B4" s="4" t="s">
        <v>11</v>
      </c>
      <c r="C4" s="131">
        <v>21</v>
      </c>
      <c r="D4" s="18">
        <f>C4</f>
        <v>21</v>
      </c>
      <c r="E4" s="18">
        <v>19</v>
      </c>
      <c r="F4" s="18">
        <f>E4</f>
        <v>19</v>
      </c>
      <c r="G4" s="63">
        <f>F4</f>
        <v>19</v>
      </c>
      <c r="H4" s="63">
        <f>G4</f>
        <v>19</v>
      </c>
      <c r="N4" s="47">
        <f>(E4-D4)/D4</f>
        <v>-9.5238095238095233E-2</v>
      </c>
      <c r="O4" s="47">
        <f>(F4-D4)/D4</f>
        <v>-9.5238095238095233E-2</v>
      </c>
      <c r="P4" s="47">
        <f>(G4-D4)/D4</f>
        <v>-9.5238095238095233E-2</v>
      </c>
    </row>
    <row r="5" spans="1:16">
      <c r="A5" s="1" t="s">
        <v>10</v>
      </c>
      <c r="B5" s="4" t="s">
        <v>12</v>
      </c>
      <c r="C5" s="18">
        <v>7</v>
      </c>
      <c r="D5" s="18">
        <f t="shared" ref="D5:H60" si="0">C5</f>
        <v>7</v>
      </c>
      <c r="E5" s="18">
        <v>5.6</v>
      </c>
      <c r="F5" s="18">
        <f>D5*0.75</f>
        <v>5.25</v>
      </c>
      <c r="G5" s="63">
        <f t="shared" ref="G5:G20" si="1">F5</f>
        <v>5.25</v>
      </c>
      <c r="H5" s="63">
        <f>F5*0.75</f>
        <v>3.9375</v>
      </c>
      <c r="N5" s="47">
        <f t="shared" ref="N5:N20" si="2">(E5-D5)/D5</f>
        <v>-0.20000000000000004</v>
      </c>
      <c r="O5" s="47">
        <f t="shared" ref="O5:O20" si="3">(F5-D5)/D5</f>
        <v>-0.25</v>
      </c>
      <c r="P5" s="47">
        <f t="shared" ref="P5:P20" si="4">(G5-D5)/D5</f>
        <v>-0.25</v>
      </c>
    </row>
    <row r="6" spans="1:16">
      <c r="A6" s="1" t="s">
        <v>10</v>
      </c>
      <c r="B6" s="4" t="s">
        <v>59</v>
      </c>
      <c r="C6" s="18">
        <v>9</v>
      </c>
      <c r="D6" s="18">
        <f t="shared" si="0"/>
        <v>9</v>
      </c>
      <c r="E6" s="18">
        <v>7.2</v>
      </c>
      <c r="F6" s="18">
        <f t="shared" ref="F6:H6" si="5">D6*0.75</f>
        <v>6.75</v>
      </c>
      <c r="G6" s="63">
        <f t="shared" si="1"/>
        <v>6.75</v>
      </c>
      <c r="H6" s="63">
        <f t="shared" si="5"/>
        <v>5.0625</v>
      </c>
      <c r="N6" s="47">
        <f t="shared" si="2"/>
        <v>-0.19999999999999998</v>
      </c>
      <c r="O6" s="47">
        <f t="shared" si="3"/>
        <v>-0.25</v>
      </c>
      <c r="P6" s="47">
        <f t="shared" si="4"/>
        <v>-0.25</v>
      </c>
    </row>
    <row r="7" spans="1:16">
      <c r="A7" s="1" t="s">
        <v>10</v>
      </c>
      <c r="B7" s="4" t="s">
        <v>15</v>
      </c>
      <c r="C7" s="18">
        <v>90</v>
      </c>
      <c r="D7" s="18">
        <f t="shared" si="0"/>
        <v>90</v>
      </c>
      <c r="E7" s="18">
        <v>90</v>
      </c>
      <c r="F7" s="18">
        <f>E7</f>
        <v>90</v>
      </c>
      <c r="G7" s="63">
        <f t="shared" si="1"/>
        <v>90</v>
      </c>
      <c r="H7" s="63">
        <f>G7</f>
        <v>90</v>
      </c>
      <c r="J7" s="12"/>
      <c r="K7" s="12" t="s">
        <v>141</v>
      </c>
      <c r="L7" s="12"/>
      <c r="N7" s="47">
        <f t="shared" si="2"/>
        <v>0</v>
      </c>
      <c r="O7" s="47">
        <f t="shared" si="3"/>
        <v>0</v>
      </c>
      <c r="P7" s="47">
        <f t="shared" si="4"/>
        <v>0</v>
      </c>
    </row>
    <row r="8" spans="1:16">
      <c r="A8" s="1" t="s">
        <v>10</v>
      </c>
      <c r="B8" s="4" t="s">
        <v>60</v>
      </c>
      <c r="C8" s="18">
        <v>1.1000000000000001</v>
      </c>
      <c r="D8" s="18">
        <f t="shared" si="0"/>
        <v>1.1000000000000001</v>
      </c>
      <c r="E8" s="18">
        <v>1.4</v>
      </c>
      <c r="F8" s="18">
        <v>1.4</v>
      </c>
      <c r="G8" s="63">
        <f t="shared" si="1"/>
        <v>1.4</v>
      </c>
      <c r="H8" s="63">
        <f t="shared" si="0"/>
        <v>1.4</v>
      </c>
      <c r="J8" s="12">
        <v>2022</v>
      </c>
      <c r="K8" s="12">
        <f>KYRNIR!G18</f>
        <v>685368</v>
      </c>
      <c r="L8" s="12"/>
      <c r="N8" s="47">
        <f t="shared" si="2"/>
        <v>0.27272727272727254</v>
      </c>
      <c r="O8" s="47">
        <f t="shared" si="3"/>
        <v>0.27272727272727254</v>
      </c>
      <c r="P8" s="47">
        <f t="shared" si="4"/>
        <v>0.27272727272727254</v>
      </c>
    </row>
    <row r="9" spans="1:16">
      <c r="A9" s="1" t="s">
        <v>10</v>
      </c>
      <c r="B9" s="4" t="s">
        <v>16</v>
      </c>
      <c r="C9" s="18">
        <v>45</v>
      </c>
      <c r="D9" s="18">
        <f t="shared" si="0"/>
        <v>45</v>
      </c>
      <c r="E9" s="18">
        <f>D9</f>
        <v>45</v>
      </c>
      <c r="F9" s="18">
        <f>D9*1.15</f>
        <v>51.749999999999993</v>
      </c>
      <c r="G9" s="63">
        <f>D9*1.15</f>
        <v>51.749999999999993</v>
      </c>
      <c r="H9" s="63">
        <f>F9</f>
        <v>51.749999999999993</v>
      </c>
      <c r="J9" t="s">
        <v>146</v>
      </c>
      <c r="K9" s="101">
        <v>229271.26569368018</v>
      </c>
      <c r="N9" s="47">
        <f t="shared" si="2"/>
        <v>0</v>
      </c>
      <c r="O9" s="47">
        <f t="shared" si="3"/>
        <v>0.14999999999999986</v>
      </c>
      <c r="P9" s="47">
        <f t="shared" si="4"/>
        <v>0.14999999999999986</v>
      </c>
    </row>
    <row r="10" spans="1:16" ht="19.5" customHeight="1">
      <c r="A10" s="1" t="s">
        <v>10</v>
      </c>
      <c r="B10" s="4" t="s">
        <v>17</v>
      </c>
      <c r="C10" s="131">
        <v>65</v>
      </c>
      <c r="D10" s="18">
        <f t="shared" si="0"/>
        <v>65</v>
      </c>
      <c r="E10" s="18">
        <f t="shared" ref="E10:E12" si="6">D10</f>
        <v>65</v>
      </c>
      <c r="F10" s="18">
        <f>D10*1.15</f>
        <v>74.75</v>
      </c>
      <c r="G10" s="63">
        <f t="shared" ref="G10:G11" si="7">D10*1.15</f>
        <v>74.75</v>
      </c>
      <c r="H10" s="63">
        <f>F10</f>
        <v>74.75</v>
      </c>
      <c r="J10" t="s">
        <v>161</v>
      </c>
      <c r="K10" s="72">
        <v>634385.59</v>
      </c>
      <c r="N10" s="47">
        <f t="shared" si="2"/>
        <v>0</v>
      </c>
      <c r="O10" s="47">
        <f t="shared" si="3"/>
        <v>0.15</v>
      </c>
      <c r="P10" s="47">
        <f t="shared" si="4"/>
        <v>0.15</v>
      </c>
    </row>
    <row r="11" spans="1:16" ht="13" customHeight="1">
      <c r="A11" s="1" t="s">
        <v>10</v>
      </c>
      <c r="B11" s="4" t="s">
        <v>18</v>
      </c>
      <c r="C11" s="18">
        <v>50</v>
      </c>
      <c r="D11" s="18">
        <f t="shared" si="0"/>
        <v>50</v>
      </c>
      <c r="E11" s="18">
        <f t="shared" si="6"/>
        <v>50</v>
      </c>
      <c r="F11" s="18">
        <f t="shared" ref="F11:F12" si="8">D11*1.15</f>
        <v>57.499999999999993</v>
      </c>
      <c r="G11" s="63">
        <f t="shared" si="7"/>
        <v>57.499999999999993</v>
      </c>
      <c r="H11" s="63">
        <f>F11</f>
        <v>57.499999999999993</v>
      </c>
      <c r="N11" s="47">
        <f t="shared" si="2"/>
        <v>0</v>
      </c>
      <c r="O11" s="47">
        <f t="shared" si="3"/>
        <v>0.14999999999999986</v>
      </c>
      <c r="P11" s="47">
        <f t="shared" si="4"/>
        <v>0.14999999999999986</v>
      </c>
    </row>
    <row r="12" spans="1:16">
      <c r="A12" s="1" t="s">
        <v>10</v>
      </c>
      <c r="B12" s="4" t="s">
        <v>19</v>
      </c>
      <c r="C12" s="18">
        <v>60</v>
      </c>
      <c r="D12" s="18">
        <f t="shared" si="0"/>
        <v>60</v>
      </c>
      <c r="E12" s="18">
        <f t="shared" si="6"/>
        <v>60</v>
      </c>
      <c r="F12" s="18">
        <f t="shared" si="8"/>
        <v>69</v>
      </c>
      <c r="G12" s="63">
        <f>D12*1.15</f>
        <v>69</v>
      </c>
      <c r="H12" s="63">
        <f>F12</f>
        <v>69</v>
      </c>
      <c r="N12" s="47">
        <f t="shared" si="2"/>
        <v>0</v>
      </c>
      <c r="O12" s="47">
        <f t="shared" si="3"/>
        <v>0.15</v>
      </c>
      <c r="P12" s="47">
        <f t="shared" si="4"/>
        <v>0.15</v>
      </c>
    </row>
    <row r="13" spans="1:16">
      <c r="A13" s="12" t="s">
        <v>10</v>
      </c>
      <c r="B13" s="13" t="s">
        <v>20</v>
      </c>
      <c r="C13" s="18">
        <v>0</v>
      </c>
      <c r="D13" s="18">
        <f>C13</f>
        <v>0</v>
      </c>
      <c r="E13" s="18">
        <f t="shared" si="0"/>
        <v>0</v>
      </c>
      <c r="F13" s="18">
        <f t="shared" si="0"/>
        <v>0</v>
      </c>
      <c r="G13" s="63">
        <f t="shared" si="1"/>
        <v>0</v>
      </c>
      <c r="H13" s="63">
        <f t="shared" si="0"/>
        <v>0</v>
      </c>
      <c r="J13" s="12"/>
      <c r="K13" s="12" t="s">
        <v>141</v>
      </c>
      <c r="N13" s="47" t="e">
        <f t="shared" si="2"/>
        <v>#DIV/0!</v>
      </c>
      <c r="O13" s="47" t="e">
        <f t="shared" si="3"/>
        <v>#DIV/0!</v>
      </c>
      <c r="P13" s="47" t="e">
        <f t="shared" si="4"/>
        <v>#DIV/0!</v>
      </c>
    </row>
    <row r="14" spans="1:16">
      <c r="A14" s="12" t="s">
        <v>10</v>
      </c>
      <c r="B14" s="13" t="s">
        <v>21</v>
      </c>
      <c r="C14" s="18">
        <v>0</v>
      </c>
      <c r="D14" s="18">
        <f t="shared" si="0"/>
        <v>0</v>
      </c>
      <c r="E14" s="18">
        <f t="shared" si="0"/>
        <v>0</v>
      </c>
      <c r="F14" s="18">
        <f t="shared" si="0"/>
        <v>0</v>
      </c>
      <c r="G14" s="63">
        <f t="shared" si="1"/>
        <v>0</v>
      </c>
      <c r="H14" s="63">
        <f t="shared" si="0"/>
        <v>0</v>
      </c>
      <c r="J14" s="12" t="s">
        <v>208</v>
      </c>
      <c r="K14" s="12">
        <f>KYRNIR!AA6</f>
        <v>16667</v>
      </c>
      <c r="N14" s="47" t="e">
        <f t="shared" si="2"/>
        <v>#DIV/0!</v>
      </c>
      <c r="O14" s="47" t="e">
        <f t="shared" si="3"/>
        <v>#DIV/0!</v>
      </c>
      <c r="P14" s="47" t="e">
        <f t="shared" si="4"/>
        <v>#DIV/0!</v>
      </c>
    </row>
    <row r="15" spans="1:16" ht="15" thickBot="1">
      <c r="A15" s="12" t="s">
        <v>10</v>
      </c>
      <c r="B15" s="13" t="s">
        <v>22</v>
      </c>
      <c r="C15" s="18">
        <v>0</v>
      </c>
      <c r="D15" s="18">
        <f t="shared" si="0"/>
        <v>0</v>
      </c>
      <c r="E15" s="18">
        <f t="shared" si="0"/>
        <v>0</v>
      </c>
      <c r="F15" s="18">
        <f t="shared" si="0"/>
        <v>0</v>
      </c>
      <c r="G15" s="63">
        <f t="shared" si="1"/>
        <v>0</v>
      </c>
      <c r="H15" s="63">
        <f t="shared" si="0"/>
        <v>0</v>
      </c>
      <c r="J15" t="s">
        <v>146</v>
      </c>
      <c r="K15" s="101">
        <v>5575.4925606631286</v>
      </c>
      <c r="N15" s="47" t="e">
        <f t="shared" si="2"/>
        <v>#DIV/0!</v>
      </c>
      <c r="O15" s="47" t="e">
        <f t="shared" si="3"/>
        <v>#DIV/0!</v>
      </c>
      <c r="P15" s="47" t="e">
        <f t="shared" si="4"/>
        <v>#DIV/0!</v>
      </c>
    </row>
    <row r="16" spans="1:16" ht="15" thickBot="1">
      <c r="A16" s="1" t="s">
        <v>10</v>
      </c>
      <c r="B16" s="4" t="s">
        <v>23</v>
      </c>
      <c r="C16" s="111">
        <f>K8/K10*K9</f>
        <v>247696.65531959233</v>
      </c>
      <c r="D16" s="70">
        <f>K14/K16*K15</f>
        <v>6024.0955765502795</v>
      </c>
      <c r="E16" s="70">
        <f>D16</f>
        <v>6024.0955765502795</v>
      </c>
      <c r="F16" s="70">
        <f>D16</f>
        <v>6024.0955765502795</v>
      </c>
      <c r="G16" s="102">
        <f t="shared" si="1"/>
        <v>6024.0955765502795</v>
      </c>
      <c r="H16" s="98">
        <v>0</v>
      </c>
      <c r="J16" t="s">
        <v>161</v>
      </c>
      <c r="K16" s="75">
        <v>15425.84</v>
      </c>
      <c r="L16" s="155"/>
      <c r="N16" s="47">
        <f t="shared" si="2"/>
        <v>0</v>
      </c>
      <c r="O16" s="47">
        <f t="shared" si="3"/>
        <v>0</v>
      </c>
      <c r="P16" s="47">
        <f t="shared" si="4"/>
        <v>0</v>
      </c>
    </row>
    <row r="17" spans="1:21">
      <c r="A17" s="1" t="s">
        <v>10</v>
      </c>
      <c r="B17" s="4" t="s">
        <v>24</v>
      </c>
      <c r="C17" s="110">
        <f>C16/25</f>
        <v>9907.8662127836942</v>
      </c>
      <c r="D17" s="97">
        <f>C17/C16*D16</f>
        <v>240.96382306201119</v>
      </c>
      <c r="E17" s="97">
        <f t="shared" ref="E17:G17" si="9">D17/D16*E16</f>
        <v>240.96382306201119</v>
      </c>
      <c r="F17" s="97">
        <f t="shared" si="9"/>
        <v>240.96382306201119</v>
      </c>
      <c r="G17" s="104">
        <f t="shared" si="9"/>
        <v>240.96382306201119</v>
      </c>
      <c r="H17" s="103">
        <v>0</v>
      </c>
      <c r="N17" s="47">
        <f t="shared" si="2"/>
        <v>0</v>
      </c>
      <c r="O17" s="47">
        <f t="shared" si="3"/>
        <v>0</v>
      </c>
      <c r="P17" s="47">
        <f t="shared" si="4"/>
        <v>0</v>
      </c>
    </row>
    <row r="18" spans="1:21">
      <c r="A18" s="1" t="s">
        <v>10</v>
      </c>
      <c r="B18" s="4" t="s">
        <v>61</v>
      </c>
      <c r="C18" s="18">
        <v>365</v>
      </c>
      <c r="D18" s="18">
        <f t="shared" si="0"/>
        <v>365</v>
      </c>
      <c r="E18" s="18">
        <f t="shared" si="0"/>
        <v>365</v>
      </c>
      <c r="F18" s="18">
        <f t="shared" si="0"/>
        <v>365</v>
      </c>
      <c r="G18" s="63">
        <f t="shared" si="1"/>
        <v>365</v>
      </c>
      <c r="H18" s="63">
        <f t="shared" si="0"/>
        <v>365</v>
      </c>
      <c r="J18" s="82"/>
      <c r="K18" s="81"/>
      <c r="L18" s="81"/>
      <c r="N18" s="47">
        <f t="shared" si="2"/>
        <v>0</v>
      </c>
      <c r="O18" s="47">
        <f t="shared" si="3"/>
        <v>0</v>
      </c>
      <c r="P18" s="47">
        <f t="shared" si="4"/>
        <v>0</v>
      </c>
    </row>
    <row r="19" spans="1:21">
      <c r="A19" s="1" t="s">
        <v>10</v>
      </c>
      <c r="B19" s="4" t="s">
        <v>25</v>
      </c>
      <c r="C19" s="100">
        <v>15</v>
      </c>
      <c r="D19" s="18">
        <f t="shared" si="0"/>
        <v>15</v>
      </c>
      <c r="E19" s="18">
        <v>12</v>
      </c>
      <c r="F19" s="18">
        <f t="shared" si="0"/>
        <v>12</v>
      </c>
      <c r="G19" s="63">
        <f t="shared" si="1"/>
        <v>12</v>
      </c>
      <c r="H19" s="63">
        <f t="shared" si="0"/>
        <v>12</v>
      </c>
      <c r="J19" s="82"/>
      <c r="K19" s="81"/>
      <c r="L19" s="81"/>
      <c r="N19" s="47">
        <f t="shared" si="2"/>
        <v>-0.2</v>
      </c>
      <c r="O19" s="47">
        <f t="shared" si="3"/>
        <v>-0.2</v>
      </c>
      <c r="P19" s="47">
        <f t="shared" si="4"/>
        <v>-0.2</v>
      </c>
    </row>
    <row r="20" spans="1:21">
      <c r="A20" s="1" t="s">
        <v>10</v>
      </c>
      <c r="B20" s="4" t="s">
        <v>26</v>
      </c>
      <c r="C20" s="131">
        <v>3</v>
      </c>
      <c r="D20" s="18">
        <f t="shared" si="0"/>
        <v>3</v>
      </c>
      <c r="E20" s="18">
        <f t="shared" si="0"/>
        <v>3</v>
      </c>
      <c r="F20" s="18">
        <f t="shared" si="0"/>
        <v>3</v>
      </c>
      <c r="G20" s="63">
        <f t="shared" si="1"/>
        <v>3</v>
      </c>
      <c r="H20" s="63">
        <f t="shared" si="0"/>
        <v>3</v>
      </c>
      <c r="J20" s="82"/>
      <c r="K20" s="81"/>
      <c r="L20" s="81"/>
      <c r="N20" s="47">
        <f t="shared" si="2"/>
        <v>0</v>
      </c>
      <c r="O20" s="47">
        <f t="shared" si="3"/>
        <v>0</v>
      </c>
      <c r="P20" s="47">
        <f t="shared" si="4"/>
        <v>0</v>
      </c>
    </row>
    <row r="21" spans="1:21">
      <c r="A21" s="86"/>
      <c r="B21" s="87"/>
      <c r="C21" s="87"/>
      <c r="D21" s="87"/>
      <c r="E21" s="87"/>
      <c r="F21" s="87"/>
      <c r="G21" s="87"/>
      <c r="H21" s="87"/>
      <c r="I21" s="90"/>
      <c r="J21" s="82"/>
      <c r="K21" s="81"/>
      <c r="L21" s="81"/>
      <c r="M21" s="90"/>
      <c r="N21" s="90"/>
      <c r="O21" s="90"/>
      <c r="P21" s="90"/>
      <c r="Q21" s="90"/>
      <c r="R21" s="90"/>
      <c r="S21" s="90"/>
      <c r="T21" s="90"/>
      <c r="U21" s="90"/>
    </row>
    <row r="22" spans="1:21">
      <c r="A22" s="88" t="s">
        <v>149</v>
      </c>
      <c r="B22" s="85" t="s">
        <v>150</v>
      </c>
      <c r="C22" s="89"/>
      <c r="D22" s="89"/>
      <c r="E22" s="89"/>
      <c r="F22" s="89"/>
      <c r="G22" s="92">
        <v>10</v>
      </c>
      <c r="H22" s="92">
        <v>10</v>
      </c>
      <c r="I22" s="82"/>
      <c r="J22" s="82"/>
      <c r="K22" s="128">
        <f>(K14-K8)/K8</f>
        <v>-0.9756816775805115</v>
      </c>
      <c r="L22" s="81"/>
      <c r="M22" s="81"/>
      <c r="N22" s="81"/>
      <c r="O22" s="82"/>
      <c r="P22" s="81"/>
      <c r="Q22" s="81"/>
      <c r="R22" s="81"/>
      <c r="S22" s="81"/>
      <c r="T22" s="82"/>
      <c r="U22" s="82"/>
    </row>
    <row r="23" spans="1:21">
      <c r="A23" s="88" t="s">
        <v>149</v>
      </c>
      <c r="B23" s="85" t="s">
        <v>151</v>
      </c>
      <c r="C23" s="131">
        <v>40</v>
      </c>
      <c r="D23" s="131">
        <v>40</v>
      </c>
      <c r="E23" s="131">
        <v>40</v>
      </c>
      <c r="F23" s="89"/>
      <c r="G23" s="92">
        <v>10</v>
      </c>
      <c r="H23" s="92">
        <v>10</v>
      </c>
      <c r="I23" s="82"/>
      <c r="J23" s="82"/>
      <c r="K23" s="81"/>
      <c r="L23" s="81"/>
      <c r="M23" s="81"/>
      <c r="N23" s="81"/>
      <c r="O23" s="82"/>
      <c r="P23" s="81"/>
      <c r="Q23" s="81"/>
      <c r="R23" s="81"/>
      <c r="S23" s="81"/>
      <c r="T23" s="82"/>
      <c r="U23" s="82"/>
    </row>
    <row r="24" spans="1:21">
      <c r="A24" s="88" t="s">
        <v>149</v>
      </c>
      <c r="B24" s="85" t="s">
        <v>152</v>
      </c>
      <c r="C24" s="89"/>
      <c r="D24" s="89"/>
      <c r="E24" s="89"/>
      <c r="F24" s="89"/>
      <c r="G24" s="92">
        <v>0</v>
      </c>
      <c r="H24" s="92">
        <v>0</v>
      </c>
      <c r="I24" s="82"/>
      <c r="J24" s="90"/>
      <c r="K24" s="90"/>
      <c r="L24" s="90"/>
      <c r="M24" s="81"/>
      <c r="N24" s="81"/>
      <c r="O24" s="82"/>
      <c r="P24" s="81"/>
      <c r="Q24" s="81"/>
      <c r="R24" s="81"/>
      <c r="S24" s="81"/>
      <c r="T24" s="82"/>
      <c r="U24" s="82"/>
    </row>
    <row r="25" spans="1:21">
      <c r="A25" s="88" t="s">
        <v>149</v>
      </c>
      <c r="B25" s="85" t="s">
        <v>153</v>
      </c>
      <c r="C25" s="89"/>
      <c r="D25" s="89"/>
      <c r="E25" s="89"/>
      <c r="F25" s="89"/>
      <c r="G25" s="92">
        <v>0</v>
      </c>
      <c r="H25" s="92">
        <v>0</v>
      </c>
      <c r="I25" s="82"/>
      <c r="M25" s="81"/>
      <c r="N25" s="81"/>
      <c r="O25" s="82"/>
      <c r="P25" s="81"/>
      <c r="Q25" s="81"/>
      <c r="R25" s="81"/>
      <c r="S25" s="81"/>
      <c r="T25" s="82"/>
      <c r="U25" s="82"/>
    </row>
    <row r="26" spans="1:21">
      <c r="A26" s="88" t="s">
        <v>149</v>
      </c>
      <c r="B26" s="85" t="s">
        <v>154</v>
      </c>
      <c r="C26" s="89">
        <v>30</v>
      </c>
      <c r="D26" s="89">
        <v>30</v>
      </c>
      <c r="E26" s="89">
        <v>30</v>
      </c>
      <c r="F26" s="89"/>
      <c r="G26" s="92">
        <v>30</v>
      </c>
      <c r="H26" s="92">
        <v>30</v>
      </c>
      <c r="I26" s="82"/>
      <c r="M26" s="81"/>
      <c r="N26" s="81"/>
      <c r="O26" s="82"/>
      <c r="P26" s="81"/>
      <c r="Q26" s="81"/>
      <c r="R26" s="81"/>
      <c r="S26" s="81"/>
      <c r="T26" s="82"/>
      <c r="U26" s="82"/>
    </row>
    <row r="27" spans="1:21">
      <c r="A27" s="88" t="s">
        <v>149</v>
      </c>
      <c r="B27" s="85" t="s">
        <v>155</v>
      </c>
      <c r="C27" s="89"/>
      <c r="D27" s="89"/>
      <c r="E27" s="89"/>
      <c r="F27" s="89"/>
      <c r="G27" s="92">
        <v>0</v>
      </c>
      <c r="H27" s="92">
        <v>0</v>
      </c>
      <c r="I27" s="82"/>
      <c r="M27" s="81"/>
      <c r="N27" s="81"/>
      <c r="O27" s="82"/>
      <c r="P27" s="81"/>
      <c r="Q27" s="81"/>
      <c r="R27" s="81"/>
      <c r="S27" s="81"/>
      <c r="T27" s="82"/>
      <c r="U27" s="82"/>
    </row>
    <row r="28" spans="1:21">
      <c r="A28" s="88" t="s">
        <v>149</v>
      </c>
      <c r="B28" s="85" t="s">
        <v>156</v>
      </c>
      <c r="C28" s="89">
        <v>30</v>
      </c>
      <c r="D28" s="89">
        <v>30</v>
      </c>
      <c r="E28" s="89">
        <v>30</v>
      </c>
      <c r="F28" s="89"/>
      <c r="G28" s="92">
        <v>50</v>
      </c>
      <c r="H28" s="92">
        <v>50</v>
      </c>
      <c r="I28" s="82"/>
      <c r="M28" s="81"/>
      <c r="N28" s="81"/>
      <c r="O28" s="82"/>
      <c r="P28" s="81"/>
      <c r="Q28" s="81"/>
      <c r="R28" s="81"/>
      <c r="S28" s="81"/>
      <c r="T28" s="82"/>
      <c r="U28" s="82"/>
    </row>
    <row r="29" spans="1:21">
      <c r="A29" s="88" t="s">
        <v>149</v>
      </c>
      <c r="B29" s="85" t="s">
        <v>157</v>
      </c>
      <c r="F29" s="89"/>
      <c r="G29" s="92">
        <v>0</v>
      </c>
      <c r="H29" s="92">
        <v>0</v>
      </c>
      <c r="I29" s="82"/>
      <c r="M29" s="81"/>
      <c r="N29" s="81"/>
      <c r="O29" s="82"/>
      <c r="P29" s="81"/>
      <c r="Q29" s="81"/>
      <c r="R29" s="81"/>
      <c r="S29" s="81"/>
      <c r="T29" s="82"/>
      <c r="U29" s="82"/>
    </row>
    <row r="30" spans="1:21">
      <c r="A30" s="88" t="s">
        <v>149</v>
      </c>
      <c r="B30" s="85" t="s">
        <v>158</v>
      </c>
      <c r="C30" s="89"/>
      <c r="D30" s="89"/>
      <c r="E30" s="89"/>
      <c r="F30" s="89"/>
      <c r="G30" s="92">
        <v>0</v>
      </c>
      <c r="H30" s="92">
        <v>0</v>
      </c>
      <c r="I30" s="82"/>
      <c r="M30" s="81"/>
      <c r="N30" s="81"/>
      <c r="O30" s="82"/>
      <c r="P30" s="81"/>
      <c r="Q30" s="81"/>
      <c r="R30" s="81"/>
      <c r="S30" s="81"/>
      <c r="T30" s="82"/>
      <c r="U30" s="82"/>
    </row>
    <row r="31" spans="1:21">
      <c r="A31" s="86"/>
      <c r="B31" s="87"/>
      <c r="C31" s="87"/>
      <c r="D31" s="87"/>
      <c r="E31" s="87"/>
      <c r="F31" s="87"/>
      <c r="G31" s="87"/>
      <c r="H31" s="87"/>
      <c r="I31" s="90"/>
      <c r="M31" s="90"/>
      <c r="N31" s="90"/>
      <c r="O31" s="90"/>
      <c r="P31" s="90"/>
      <c r="Q31" s="90"/>
      <c r="R31" s="90"/>
      <c r="S31" s="90"/>
      <c r="T31" s="90"/>
      <c r="U31" s="90"/>
    </row>
    <row r="32" spans="1:21">
      <c r="A32" s="16" t="s">
        <v>27</v>
      </c>
      <c r="B32" s="4" t="s">
        <v>28</v>
      </c>
      <c r="C32" s="31">
        <v>0</v>
      </c>
      <c r="D32" s="31">
        <f t="shared" si="0"/>
        <v>0</v>
      </c>
      <c r="E32" s="31">
        <f t="shared" si="0"/>
        <v>0</v>
      </c>
      <c r="F32" s="31">
        <f t="shared" si="0"/>
        <v>0</v>
      </c>
      <c r="G32" s="99">
        <v>0</v>
      </c>
      <c r="H32" s="99">
        <v>0</v>
      </c>
      <c r="N32" s="33">
        <f>E32-D32</f>
        <v>0</v>
      </c>
      <c r="O32" s="33">
        <f>F32-D32</f>
        <v>0</v>
      </c>
    </row>
    <row r="33" spans="1:15">
      <c r="A33" s="16" t="s">
        <v>27</v>
      </c>
      <c r="B33" s="4" t="s">
        <v>29</v>
      </c>
      <c r="C33" s="31">
        <v>0</v>
      </c>
      <c r="D33" s="31">
        <f t="shared" si="0"/>
        <v>0</v>
      </c>
      <c r="E33" s="31">
        <f t="shared" si="0"/>
        <v>0</v>
      </c>
      <c r="F33" s="31">
        <f t="shared" si="0"/>
        <v>0</v>
      </c>
      <c r="G33" s="99">
        <v>0</v>
      </c>
      <c r="H33" s="99">
        <v>0</v>
      </c>
      <c r="N33" s="33">
        <f t="shared" ref="N33:N60" si="10">E33-D33</f>
        <v>0</v>
      </c>
      <c r="O33" s="33">
        <f t="shared" ref="O33:O60" si="11">F33-D33</f>
        <v>0</v>
      </c>
    </row>
    <row r="34" spans="1:15">
      <c r="A34" s="16" t="s">
        <v>27</v>
      </c>
      <c r="B34" s="4" t="s">
        <v>30</v>
      </c>
      <c r="C34" s="31">
        <v>0</v>
      </c>
      <c r="D34" s="31">
        <f t="shared" si="0"/>
        <v>0</v>
      </c>
      <c r="E34" s="31">
        <f t="shared" si="0"/>
        <v>0</v>
      </c>
      <c r="F34" s="31">
        <f t="shared" si="0"/>
        <v>0</v>
      </c>
      <c r="G34" s="99">
        <v>0</v>
      </c>
      <c r="H34" s="99">
        <v>0</v>
      </c>
      <c r="N34" s="33">
        <f t="shared" si="10"/>
        <v>0</v>
      </c>
      <c r="O34" s="33">
        <f t="shared" si="11"/>
        <v>0</v>
      </c>
    </row>
    <row r="35" spans="1:15">
      <c r="A35" s="16" t="s">
        <v>27</v>
      </c>
      <c r="B35" s="4" t="s">
        <v>31</v>
      </c>
      <c r="C35" s="31">
        <v>0</v>
      </c>
      <c r="D35" s="31">
        <f t="shared" si="0"/>
        <v>0</v>
      </c>
      <c r="E35" s="31">
        <v>5</v>
      </c>
      <c r="F35" s="31">
        <f t="shared" si="0"/>
        <v>5</v>
      </c>
      <c r="G35" s="99">
        <v>5</v>
      </c>
      <c r="H35" s="99">
        <v>5</v>
      </c>
      <c r="N35" s="33">
        <f t="shared" si="10"/>
        <v>5</v>
      </c>
      <c r="O35" s="33">
        <f t="shared" si="11"/>
        <v>5</v>
      </c>
    </row>
    <row r="36" spans="1:15">
      <c r="A36" s="16" t="s">
        <v>27</v>
      </c>
      <c r="B36" s="4" t="s">
        <v>32</v>
      </c>
      <c r="C36" s="31">
        <v>0</v>
      </c>
      <c r="D36" s="31">
        <f t="shared" si="0"/>
        <v>0</v>
      </c>
      <c r="E36" s="31">
        <v>5</v>
      </c>
      <c r="F36" s="31">
        <v>5</v>
      </c>
      <c r="G36" s="99">
        <v>5</v>
      </c>
      <c r="H36" s="99">
        <v>5</v>
      </c>
      <c r="N36" s="33">
        <f t="shared" si="10"/>
        <v>5</v>
      </c>
      <c r="O36" s="33">
        <f t="shared" si="11"/>
        <v>5</v>
      </c>
    </row>
    <row r="37" spans="1:15">
      <c r="A37" s="16" t="s">
        <v>27</v>
      </c>
      <c r="B37" s="4" t="s">
        <v>33</v>
      </c>
      <c r="C37" s="31">
        <v>0</v>
      </c>
      <c r="D37" s="31">
        <f t="shared" si="0"/>
        <v>0</v>
      </c>
      <c r="E37" s="31">
        <f t="shared" si="0"/>
        <v>0</v>
      </c>
      <c r="F37" s="31">
        <f t="shared" si="0"/>
        <v>0</v>
      </c>
      <c r="G37" s="99">
        <v>0</v>
      </c>
      <c r="H37" s="99">
        <v>0</v>
      </c>
      <c r="N37" s="33">
        <f t="shared" si="10"/>
        <v>0</v>
      </c>
      <c r="O37" s="33">
        <f t="shared" si="11"/>
        <v>0</v>
      </c>
    </row>
    <row r="38" spans="1:15">
      <c r="A38" s="16" t="s">
        <v>27</v>
      </c>
      <c r="B38" s="4" t="s">
        <v>34</v>
      </c>
      <c r="C38" s="31">
        <v>10</v>
      </c>
      <c r="D38" s="31">
        <f t="shared" si="0"/>
        <v>10</v>
      </c>
      <c r="E38" s="31">
        <v>0</v>
      </c>
      <c r="F38" s="31">
        <f t="shared" si="0"/>
        <v>0</v>
      </c>
      <c r="G38" s="99">
        <v>0</v>
      </c>
      <c r="H38" s="99">
        <v>0</v>
      </c>
      <c r="N38" s="33">
        <f t="shared" si="10"/>
        <v>-10</v>
      </c>
      <c r="O38" s="33">
        <f t="shared" si="11"/>
        <v>-10</v>
      </c>
    </row>
    <row r="39" spans="1:15">
      <c r="A39" s="16" t="s">
        <v>27</v>
      </c>
      <c r="B39" s="4" t="s">
        <v>35</v>
      </c>
      <c r="C39" s="31">
        <v>0</v>
      </c>
      <c r="D39" s="31">
        <f t="shared" si="0"/>
        <v>0</v>
      </c>
      <c r="E39" s="31">
        <f t="shared" si="0"/>
        <v>0</v>
      </c>
      <c r="F39" s="31">
        <f t="shared" si="0"/>
        <v>0</v>
      </c>
      <c r="G39" s="99">
        <v>0</v>
      </c>
      <c r="H39" s="99">
        <v>0</v>
      </c>
      <c r="N39" s="33">
        <f t="shared" si="10"/>
        <v>0</v>
      </c>
      <c r="O39" s="33">
        <f t="shared" si="11"/>
        <v>0</v>
      </c>
    </row>
    <row r="40" spans="1:15">
      <c r="A40" s="16" t="s">
        <v>27</v>
      </c>
      <c r="B40" s="4" t="s">
        <v>36</v>
      </c>
      <c r="C40" s="31">
        <v>0</v>
      </c>
      <c r="D40" s="31">
        <f t="shared" si="0"/>
        <v>0</v>
      </c>
      <c r="E40" s="31">
        <f t="shared" si="0"/>
        <v>0</v>
      </c>
      <c r="F40" s="31">
        <f t="shared" si="0"/>
        <v>0</v>
      </c>
      <c r="G40" s="99">
        <v>0</v>
      </c>
      <c r="H40" s="99">
        <v>0</v>
      </c>
      <c r="N40" s="33">
        <f t="shared" si="10"/>
        <v>0</v>
      </c>
      <c r="O40" s="33">
        <f t="shared" si="11"/>
        <v>0</v>
      </c>
    </row>
    <row r="41" spans="1:15">
      <c r="A41" s="16" t="s">
        <v>27</v>
      </c>
      <c r="B41" s="4" t="s">
        <v>37</v>
      </c>
      <c r="C41" s="31">
        <v>0</v>
      </c>
      <c r="D41" s="31">
        <f t="shared" si="0"/>
        <v>0</v>
      </c>
      <c r="E41" s="31">
        <f t="shared" si="0"/>
        <v>0</v>
      </c>
      <c r="F41" s="31">
        <f t="shared" si="0"/>
        <v>0</v>
      </c>
      <c r="G41" s="99">
        <v>0</v>
      </c>
      <c r="H41" s="99">
        <v>0</v>
      </c>
      <c r="I41" s="33">
        <f>SUM(F32:F60)</f>
        <v>100</v>
      </c>
      <c r="N41" s="33">
        <f t="shared" si="10"/>
        <v>0</v>
      </c>
      <c r="O41" s="33">
        <f t="shared" si="11"/>
        <v>0</v>
      </c>
    </row>
    <row r="42" spans="1:15">
      <c r="A42" s="16" t="s">
        <v>27</v>
      </c>
      <c r="B42" s="4" t="s">
        <v>38</v>
      </c>
      <c r="C42" s="31">
        <v>3</v>
      </c>
      <c r="D42" s="31">
        <f t="shared" si="0"/>
        <v>3</v>
      </c>
      <c r="E42" s="31">
        <v>0</v>
      </c>
      <c r="F42" s="31">
        <f t="shared" si="0"/>
        <v>0</v>
      </c>
      <c r="G42" s="99">
        <v>0</v>
      </c>
      <c r="H42" s="99">
        <v>0</v>
      </c>
      <c r="N42" s="33">
        <f t="shared" si="10"/>
        <v>-3</v>
      </c>
      <c r="O42" s="33">
        <f t="shared" si="11"/>
        <v>-3</v>
      </c>
    </row>
    <row r="43" spans="1:15">
      <c r="A43" s="16" t="s">
        <v>27</v>
      </c>
      <c r="B43" s="4" t="s">
        <v>39</v>
      </c>
      <c r="C43" s="31">
        <v>0</v>
      </c>
      <c r="D43" s="31">
        <f t="shared" si="0"/>
        <v>0</v>
      </c>
      <c r="E43" s="31">
        <f t="shared" si="0"/>
        <v>0</v>
      </c>
      <c r="F43" s="31">
        <f t="shared" si="0"/>
        <v>0</v>
      </c>
      <c r="G43" s="99">
        <v>0</v>
      </c>
      <c r="H43" s="99">
        <v>0</v>
      </c>
      <c r="N43" s="33">
        <f t="shared" si="10"/>
        <v>0</v>
      </c>
      <c r="O43" s="33">
        <f t="shared" si="11"/>
        <v>0</v>
      </c>
    </row>
    <row r="44" spans="1:15">
      <c r="A44" s="16" t="s">
        <v>27</v>
      </c>
      <c r="B44" s="4" t="s">
        <v>40</v>
      </c>
      <c r="C44" s="31">
        <v>0</v>
      </c>
      <c r="D44" s="31">
        <f t="shared" si="0"/>
        <v>0</v>
      </c>
      <c r="E44" s="31">
        <f t="shared" si="0"/>
        <v>0</v>
      </c>
      <c r="F44" s="31">
        <f t="shared" si="0"/>
        <v>0</v>
      </c>
      <c r="G44" s="99">
        <v>0</v>
      </c>
      <c r="H44" s="99">
        <v>0</v>
      </c>
      <c r="N44" s="33">
        <f t="shared" si="10"/>
        <v>0</v>
      </c>
      <c r="O44" s="33">
        <f t="shared" si="11"/>
        <v>0</v>
      </c>
    </row>
    <row r="45" spans="1:15">
      <c r="A45" s="16" t="s">
        <v>27</v>
      </c>
      <c r="B45" s="4" t="s">
        <v>41</v>
      </c>
      <c r="C45" s="31">
        <v>60</v>
      </c>
      <c r="D45" s="31">
        <f t="shared" si="0"/>
        <v>60</v>
      </c>
      <c r="E45" s="31">
        <v>54</v>
      </c>
      <c r="F45" s="31">
        <f>E45-3</f>
        <v>51</v>
      </c>
      <c r="G45" s="99">
        <v>51</v>
      </c>
      <c r="H45" s="99">
        <v>51</v>
      </c>
      <c r="N45" s="33">
        <f t="shared" si="10"/>
        <v>-6</v>
      </c>
      <c r="O45" s="33">
        <f t="shared" si="11"/>
        <v>-9</v>
      </c>
    </row>
    <row r="46" spans="1:15">
      <c r="A46" s="16" t="s">
        <v>27</v>
      </c>
      <c r="B46" s="4" t="s">
        <v>42</v>
      </c>
      <c r="C46" s="31">
        <v>7</v>
      </c>
      <c r="D46" s="31">
        <f t="shared" si="0"/>
        <v>7</v>
      </c>
      <c r="E46" s="31">
        <v>7</v>
      </c>
      <c r="F46" s="31">
        <v>3</v>
      </c>
      <c r="G46" s="99">
        <v>3</v>
      </c>
      <c r="H46" s="99">
        <v>3</v>
      </c>
      <c r="N46" s="33">
        <f t="shared" si="10"/>
        <v>0</v>
      </c>
      <c r="O46" s="33">
        <f t="shared" si="11"/>
        <v>-4</v>
      </c>
    </row>
    <row r="47" spans="1:15">
      <c r="A47" s="16" t="s">
        <v>27</v>
      </c>
      <c r="B47" s="4" t="s">
        <v>43</v>
      </c>
      <c r="C47" s="31">
        <v>0</v>
      </c>
      <c r="D47" s="31">
        <f t="shared" si="0"/>
        <v>0</v>
      </c>
      <c r="E47" s="31">
        <f t="shared" si="0"/>
        <v>0</v>
      </c>
      <c r="F47" s="31">
        <f t="shared" si="0"/>
        <v>0</v>
      </c>
      <c r="G47" s="99">
        <v>0</v>
      </c>
      <c r="H47" s="99">
        <v>0</v>
      </c>
      <c r="N47" s="33">
        <f t="shared" si="10"/>
        <v>0</v>
      </c>
      <c r="O47" s="33">
        <f t="shared" si="11"/>
        <v>0</v>
      </c>
    </row>
    <row r="48" spans="1:15">
      <c r="A48" s="16" t="s">
        <v>27</v>
      </c>
      <c r="B48" s="4" t="s">
        <v>44</v>
      </c>
      <c r="C48" s="31">
        <v>0</v>
      </c>
      <c r="D48" s="31">
        <f t="shared" si="0"/>
        <v>0</v>
      </c>
      <c r="E48" s="31">
        <f t="shared" si="0"/>
        <v>0</v>
      </c>
      <c r="F48" s="31">
        <f t="shared" si="0"/>
        <v>0</v>
      </c>
      <c r="G48" s="99">
        <v>0</v>
      </c>
      <c r="H48" s="99">
        <v>0</v>
      </c>
      <c r="N48" s="33">
        <f t="shared" si="10"/>
        <v>0</v>
      </c>
      <c r="O48" s="33">
        <f t="shared" si="11"/>
        <v>0</v>
      </c>
    </row>
    <row r="49" spans="1:15">
      <c r="A49" s="16" t="s">
        <v>27</v>
      </c>
      <c r="B49" s="4" t="s">
        <v>45</v>
      </c>
      <c r="C49" s="31">
        <v>10</v>
      </c>
      <c r="D49" s="31">
        <f t="shared" si="0"/>
        <v>10</v>
      </c>
      <c r="E49" s="31">
        <f t="shared" si="0"/>
        <v>10</v>
      </c>
      <c r="F49" s="31">
        <v>14</v>
      </c>
      <c r="G49" s="99">
        <v>14</v>
      </c>
      <c r="H49" s="99">
        <v>14</v>
      </c>
      <c r="N49" s="33">
        <f t="shared" si="10"/>
        <v>0</v>
      </c>
      <c r="O49" s="33">
        <f t="shared" si="11"/>
        <v>4</v>
      </c>
    </row>
    <row r="50" spans="1:15">
      <c r="A50" s="16" t="s">
        <v>27</v>
      </c>
      <c r="B50" s="4" t="s">
        <v>46</v>
      </c>
      <c r="C50" s="31">
        <v>0</v>
      </c>
      <c r="D50" s="31">
        <f t="shared" si="0"/>
        <v>0</v>
      </c>
      <c r="E50" s="31">
        <f t="shared" si="0"/>
        <v>0</v>
      </c>
      <c r="F50" s="31">
        <f t="shared" si="0"/>
        <v>0</v>
      </c>
      <c r="G50" s="99">
        <v>0</v>
      </c>
      <c r="H50" s="99">
        <v>0</v>
      </c>
      <c r="J50" s="33"/>
      <c r="K50" s="33"/>
      <c r="N50" s="33">
        <f t="shared" si="10"/>
        <v>0</v>
      </c>
      <c r="O50" s="33">
        <f t="shared" si="11"/>
        <v>0</v>
      </c>
    </row>
    <row r="51" spans="1:15">
      <c r="A51" s="16" t="s">
        <v>27</v>
      </c>
      <c r="B51" s="4" t="s">
        <v>47</v>
      </c>
      <c r="C51" s="31">
        <v>10</v>
      </c>
      <c r="D51" s="31">
        <f t="shared" si="0"/>
        <v>10</v>
      </c>
      <c r="E51" s="31">
        <v>5</v>
      </c>
      <c r="F51" s="31">
        <f t="shared" si="0"/>
        <v>5</v>
      </c>
      <c r="G51" s="99">
        <v>5</v>
      </c>
      <c r="H51" s="99">
        <v>5</v>
      </c>
      <c r="N51" s="33">
        <f t="shared" si="10"/>
        <v>-5</v>
      </c>
      <c r="O51" s="33">
        <f t="shared" si="11"/>
        <v>-5</v>
      </c>
    </row>
    <row r="52" spans="1:15">
      <c r="A52" s="16" t="s">
        <v>27</v>
      </c>
      <c r="B52" s="4" t="s">
        <v>48</v>
      </c>
      <c r="C52" s="31">
        <v>0</v>
      </c>
      <c r="D52" s="31">
        <f t="shared" si="0"/>
        <v>0</v>
      </c>
      <c r="E52" s="31">
        <f t="shared" si="0"/>
        <v>0</v>
      </c>
      <c r="F52" s="31">
        <f t="shared" si="0"/>
        <v>0</v>
      </c>
      <c r="G52" s="99">
        <v>0</v>
      </c>
      <c r="H52" s="99">
        <v>0</v>
      </c>
      <c r="N52" s="33">
        <f t="shared" si="10"/>
        <v>0</v>
      </c>
      <c r="O52" s="33">
        <f t="shared" si="11"/>
        <v>0</v>
      </c>
    </row>
    <row r="53" spans="1:15">
      <c r="A53" s="16" t="s">
        <v>27</v>
      </c>
      <c r="B53" s="4" t="s">
        <v>49</v>
      </c>
      <c r="C53" s="31">
        <v>0</v>
      </c>
      <c r="D53" s="31">
        <f t="shared" si="0"/>
        <v>0</v>
      </c>
      <c r="E53" s="31">
        <f t="shared" si="0"/>
        <v>0</v>
      </c>
      <c r="F53" s="31">
        <f t="shared" si="0"/>
        <v>0</v>
      </c>
      <c r="G53" s="99">
        <v>0</v>
      </c>
      <c r="H53" s="99">
        <v>0</v>
      </c>
      <c r="N53" s="33">
        <f t="shared" si="10"/>
        <v>0</v>
      </c>
      <c r="O53" s="33">
        <f t="shared" si="11"/>
        <v>0</v>
      </c>
    </row>
    <row r="54" spans="1:15">
      <c r="A54" s="16" t="s">
        <v>27</v>
      </c>
      <c r="B54" s="4" t="s">
        <v>50</v>
      </c>
      <c r="C54" s="31">
        <v>0</v>
      </c>
      <c r="D54" s="31">
        <f t="shared" si="0"/>
        <v>0</v>
      </c>
      <c r="E54" s="31">
        <f t="shared" si="0"/>
        <v>0</v>
      </c>
      <c r="F54" s="31">
        <f t="shared" si="0"/>
        <v>0</v>
      </c>
      <c r="G54" s="99">
        <v>0</v>
      </c>
      <c r="H54" s="99">
        <v>0</v>
      </c>
      <c r="N54" s="33">
        <f t="shared" si="10"/>
        <v>0</v>
      </c>
      <c r="O54" s="33">
        <f t="shared" si="11"/>
        <v>0</v>
      </c>
    </row>
    <row r="55" spans="1:15">
      <c r="A55" s="16" t="s">
        <v>27</v>
      </c>
      <c r="B55" s="4" t="s">
        <v>51</v>
      </c>
      <c r="C55" s="31">
        <v>0</v>
      </c>
      <c r="D55" s="31">
        <f t="shared" si="0"/>
        <v>0</v>
      </c>
      <c r="E55" s="31">
        <f t="shared" si="0"/>
        <v>0</v>
      </c>
      <c r="F55" s="31">
        <f t="shared" si="0"/>
        <v>0</v>
      </c>
      <c r="G55" s="99">
        <v>0</v>
      </c>
      <c r="H55" s="99">
        <v>0</v>
      </c>
      <c r="N55" s="33">
        <f t="shared" si="10"/>
        <v>0</v>
      </c>
      <c r="O55" s="33">
        <f t="shared" si="11"/>
        <v>0</v>
      </c>
    </row>
    <row r="56" spans="1:15">
      <c r="A56" s="16" t="s">
        <v>27</v>
      </c>
      <c r="B56" s="4" t="s">
        <v>52</v>
      </c>
      <c r="C56" s="31">
        <v>0</v>
      </c>
      <c r="D56" s="31">
        <f t="shared" si="0"/>
        <v>0</v>
      </c>
      <c r="E56" s="31">
        <f t="shared" si="0"/>
        <v>0</v>
      </c>
      <c r="F56" s="31">
        <f t="shared" si="0"/>
        <v>0</v>
      </c>
      <c r="G56" s="99">
        <v>0</v>
      </c>
      <c r="H56" s="99">
        <v>0</v>
      </c>
      <c r="N56" s="33">
        <f t="shared" si="10"/>
        <v>0</v>
      </c>
      <c r="O56" s="33">
        <f t="shared" si="11"/>
        <v>0</v>
      </c>
    </row>
    <row r="57" spans="1:15">
      <c r="A57" s="16" t="s">
        <v>27</v>
      </c>
      <c r="B57" s="4" t="s">
        <v>53</v>
      </c>
      <c r="C57" s="31">
        <v>0</v>
      </c>
      <c r="D57" s="31">
        <f t="shared" si="0"/>
        <v>0</v>
      </c>
      <c r="E57" s="31">
        <f t="shared" si="0"/>
        <v>0</v>
      </c>
      <c r="F57" s="31">
        <f t="shared" si="0"/>
        <v>0</v>
      </c>
      <c r="G57" s="99">
        <v>0</v>
      </c>
      <c r="H57" s="99">
        <v>0</v>
      </c>
      <c r="N57" s="33">
        <f t="shared" si="10"/>
        <v>0</v>
      </c>
      <c r="O57" s="33">
        <f t="shared" si="11"/>
        <v>0</v>
      </c>
    </row>
    <row r="58" spans="1:15">
      <c r="A58" s="16" t="s">
        <v>27</v>
      </c>
      <c r="B58" s="4" t="s">
        <v>54</v>
      </c>
      <c r="C58" s="31">
        <v>0</v>
      </c>
      <c r="D58" s="31">
        <f t="shared" si="0"/>
        <v>0</v>
      </c>
      <c r="E58" s="31">
        <f t="shared" si="0"/>
        <v>0</v>
      </c>
      <c r="F58" s="31">
        <f t="shared" si="0"/>
        <v>0</v>
      </c>
      <c r="G58" s="99">
        <v>0</v>
      </c>
      <c r="H58" s="99">
        <v>0</v>
      </c>
      <c r="N58" s="33">
        <f t="shared" si="10"/>
        <v>0</v>
      </c>
      <c r="O58" s="33">
        <f t="shared" si="11"/>
        <v>0</v>
      </c>
    </row>
    <row r="59" spans="1:15">
      <c r="A59" s="16" t="s">
        <v>27</v>
      </c>
      <c r="B59" s="4" t="s">
        <v>55</v>
      </c>
      <c r="C59" s="31">
        <v>0</v>
      </c>
      <c r="D59" s="31">
        <f t="shared" si="0"/>
        <v>0</v>
      </c>
      <c r="E59" s="31">
        <v>14</v>
      </c>
      <c r="F59" s="31">
        <v>17</v>
      </c>
      <c r="G59" s="99">
        <v>17</v>
      </c>
      <c r="H59" s="99">
        <v>17</v>
      </c>
      <c r="N59" s="33">
        <f t="shared" si="10"/>
        <v>14</v>
      </c>
      <c r="O59" s="33">
        <f t="shared" si="11"/>
        <v>17</v>
      </c>
    </row>
    <row r="60" spans="1:15">
      <c r="A60" s="16" t="s">
        <v>27</v>
      </c>
      <c r="B60" s="4" t="s">
        <v>56</v>
      </c>
      <c r="C60" s="31">
        <v>0</v>
      </c>
      <c r="D60" s="31">
        <f t="shared" si="0"/>
        <v>0</v>
      </c>
      <c r="E60" s="31">
        <f t="shared" si="0"/>
        <v>0</v>
      </c>
      <c r="F60" s="31">
        <f t="shared" si="0"/>
        <v>0</v>
      </c>
      <c r="G60" s="99">
        <v>0</v>
      </c>
      <c r="H60" s="99">
        <v>0</v>
      </c>
      <c r="N60" s="33">
        <f t="shared" si="10"/>
        <v>0</v>
      </c>
      <c r="O60" s="33">
        <f t="shared" si="11"/>
        <v>0</v>
      </c>
    </row>
    <row r="61" spans="1:15">
      <c r="A61" t="s">
        <v>27</v>
      </c>
      <c r="B61" t="s">
        <v>28</v>
      </c>
      <c r="C61" s="33">
        <f t="shared" ref="C61:H70" si="12">C32</f>
        <v>0</v>
      </c>
      <c r="D61" s="33">
        <f t="shared" si="12"/>
        <v>0</v>
      </c>
      <c r="E61" s="33">
        <f t="shared" si="12"/>
        <v>0</v>
      </c>
      <c r="F61" s="33">
        <f t="shared" si="12"/>
        <v>0</v>
      </c>
      <c r="G61" s="33">
        <f t="shared" si="12"/>
        <v>0</v>
      </c>
      <c r="H61" s="33">
        <f t="shared" si="12"/>
        <v>0</v>
      </c>
    </row>
    <row r="62" spans="1:15">
      <c r="A62" t="s">
        <v>27</v>
      </c>
      <c r="B62" s="5" t="s">
        <v>29</v>
      </c>
      <c r="C62" s="33">
        <f t="shared" si="12"/>
        <v>0</v>
      </c>
      <c r="D62" s="33">
        <f t="shared" si="12"/>
        <v>0</v>
      </c>
      <c r="E62" s="33">
        <f t="shared" si="12"/>
        <v>0</v>
      </c>
      <c r="F62" s="33">
        <f t="shared" si="12"/>
        <v>0</v>
      </c>
      <c r="G62" s="33">
        <f t="shared" si="12"/>
        <v>0</v>
      </c>
      <c r="H62" s="33">
        <f t="shared" si="12"/>
        <v>0</v>
      </c>
    </row>
    <row r="63" spans="1:15">
      <c r="A63" t="s">
        <v>27</v>
      </c>
      <c r="B63" s="5" t="s">
        <v>30</v>
      </c>
      <c r="C63" s="33">
        <f t="shared" si="12"/>
        <v>0</v>
      </c>
      <c r="D63" s="33">
        <f t="shared" si="12"/>
        <v>0</v>
      </c>
      <c r="E63" s="33">
        <f t="shared" si="12"/>
        <v>0</v>
      </c>
      <c r="F63" s="33">
        <f t="shared" si="12"/>
        <v>0</v>
      </c>
      <c r="G63" s="33">
        <f t="shared" si="12"/>
        <v>0</v>
      </c>
      <c r="H63" s="33">
        <f t="shared" si="12"/>
        <v>0</v>
      </c>
    </row>
    <row r="64" spans="1:15">
      <c r="A64" t="s">
        <v>27</v>
      </c>
      <c r="B64" s="5" t="s">
        <v>31</v>
      </c>
      <c r="C64" s="33">
        <f t="shared" si="12"/>
        <v>0</v>
      </c>
      <c r="D64" s="33">
        <f t="shared" si="12"/>
        <v>0</v>
      </c>
      <c r="E64" s="33">
        <f t="shared" si="12"/>
        <v>5</v>
      </c>
      <c r="F64" s="33">
        <f t="shared" si="12"/>
        <v>5</v>
      </c>
      <c r="G64" s="33">
        <f t="shared" si="12"/>
        <v>5</v>
      </c>
      <c r="H64" s="33">
        <f t="shared" si="12"/>
        <v>5</v>
      </c>
    </row>
    <row r="65" spans="1:8">
      <c r="A65" t="s">
        <v>27</v>
      </c>
      <c r="B65" s="5" t="s">
        <v>32</v>
      </c>
      <c r="C65" s="33">
        <f t="shared" si="12"/>
        <v>0</v>
      </c>
      <c r="D65" s="33">
        <f t="shared" si="12"/>
        <v>0</v>
      </c>
      <c r="E65" s="33">
        <f t="shared" si="12"/>
        <v>5</v>
      </c>
      <c r="F65" s="33">
        <f t="shared" si="12"/>
        <v>5</v>
      </c>
      <c r="G65" s="33">
        <f t="shared" si="12"/>
        <v>5</v>
      </c>
      <c r="H65" s="33">
        <f t="shared" si="12"/>
        <v>5</v>
      </c>
    </row>
    <row r="66" spans="1:8">
      <c r="A66" t="s">
        <v>27</v>
      </c>
      <c r="B66" s="5" t="s">
        <v>33</v>
      </c>
      <c r="C66" s="33">
        <f t="shared" si="12"/>
        <v>0</v>
      </c>
      <c r="D66" s="33">
        <f t="shared" si="12"/>
        <v>0</v>
      </c>
      <c r="E66" s="33">
        <f t="shared" si="12"/>
        <v>0</v>
      </c>
      <c r="F66" s="33">
        <f t="shared" si="12"/>
        <v>0</v>
      </c>
      <c r="G66" s="33">
        <f t="shared" si="12"/>
        <v>0</v>
      </c>
      <c r="H66" s="33">
        <f t="shared" si="12"/>
        <v>0</v>
      </c>
    </row>
    <row r="67" spans="1:8">
      <c r="A67" t="s">
        <v>27</v>
      </c>
      <c r="B67" s="5" t="s">
        <v>34</v>
      </c>
      <c r="C67" s="33">
        <f t="shared" si="12"/>
        <v>10</v>
      </c>
      <c r="D67" s="33">
        <f t="shared" si="12"/>
        <v>10</v>
      </c>
      <c r="E67" s="33">
        <f t="shared" si="12"/>
        <v>0</v>
      </c>
      <c r="F67" s="33">
        <f t="shared" si="12"/>
        <v>0</v>
      </c>
      <c r="G67" s="33">
        <f t="shared" si="12"/>
        <v>0</v>
      </c>
      <c r="H67" s="33">
        <f t="shared" si="12"/>
        <v>0</v>
      </c>
    </row>
    <row r="68" spans="1:8">
      <c r="A68" t="s">
        <v>27</v>
      </c>
      <c r="B68" s="5" t="s">
        <v>35</v>
      </c>
      <c r="C68" s="33">
        <f t="shared" si="12"/>
        <v>0</v>
      </c>
      <c r="D68" s="33">
        <f t="shared" si="12"/>
        <v>0</v>
      </c>
      <c r="E68" s="33">
        <f t="shared" si="12"/>
        <v>0</v>
      </c>
      <c r="F68" s="33">
        <f t="shared" si="12"/>
        <v>0</v>
      </c>
      <c r="G68" s="33">
        <f t="shared" si="12"/>
        <v>0</v>
      </c>
      <c r="H68" s="33">
        <f t="shared" si="12"/>
        <v>0</v>
      </c>
    </row>
    <row r="69" spans="1:8">
      <c r="A69" t="s">
        <v>27</v>
      </c>
      <c r="B69" s="5" t="s">
        <v>36</v>
      </c>
      <c r="C69" s="33">
        <f t="shared" si="12"/>
        <v>0</v>
      </c>
      <c r="D69" s="33">
        <f t="shared" si="12"/>
        <v>0</v>
      </c>
      <c r="E69" s="33">
        <f t="shared" si="12"/>
        <v>0</v>
      </c>
      <c r="F69" s="33">
        <f t="shared" si="12"/>
        <v>0</v>
      </c>
      <c r="G69" s="33">
        <f t="shared" si="12"/>
        <v>0</v>
      </c>
      <c r="H69" s="33">
        <f t="shared" si="12"/>
        <v>0</v>
      </c>
    </row>
    <row r="70" spans="1:8">
      <c r="A70" t="s">
        <v>27</v>
      </c>
      <c r="B70" s="5" t="s">
        <v>37</v>
      </c>
      <c r="C70" s="33">
        <f t="shared" si="12"/>
        <v>0</v>
      </c>
      <c r="D70" s="33">
        <f t="shared" si="12"/>
        <v>0</v>
      </c>
      <c r="E70" s="33">
        <f t="shared" si="12"/>
        <v>0</v>
      </c>
      <c r="F70" s="33">
        <f t="shared" si="12"/>
        <v>0</v>
      </c>
      <c r="G70" s="33">
        <f t="shared" si="12"/>
        <v>0</v>
      </c>
      <c r="H70" s="33">
        <f t="shared" si="12"/>
        <v>0</v>
      </c>
    </row>
    <row r="71" spans="1:8">
      <c r="A71" t="s">
        <v>27</v>
      </c>
      <c r="B71" s="5" t="s">
        <v>38</v>
      </c>
      <c r="C71" s="33">
        <f t="shared" ref="C71:H80" si="13">C42</f>
        <v>3</v>
      </c>
      <c r="D71" s="33">
        <f t="shared" si="13"/>
        <v>3</v>
      </c>
      <c r="E71" s="33">
        <f t="shared" si="13"/>
        <v>0</v>
      </c>
      <c r="F71" s="33">
        <f t="shared" si="13"/>
        <v>0</v>
      </c>
      <c r="G71" s="33">
        <f t="shared" si="13"/>
        <v>0</v>
      </c>
      <c r="H71" s="33">
        <f t="shared" si="13"/>
        <v>0</v>
      </c>
    </row>
    <row r="72" spans="1:8">
      <c r="A72" t="s">
        <v>27</v>
      </c>
      <c r="B72" s="5" t="s">
        <v>39</v>
      </c>
      <c r="C72" s="33">
        <f t="shared" si="13"/>
        <v>0</v>
      </c>
      <c r="D72" s="33">
        <f t="shared" si="13"/>
        <v>0</v>
      </c>
      <c r="E72" s="33">
        <f t="shared" si="13"/>
        <v>0</v>
      </c>
      <c r="F72" s="33">
        <f t="shared" si="13"/>
        <v>0</v>
      </c>
      <c r="G72" s="33">
        <f t="shared" si="13"/>
        <v>0</v>
      </c>
      <c r="H72" s="33">
        <f t="shared" si="13"/>
        <v>0</v>
      </c>
    </row>
    <row r="73" spans="1:8">
      <c r="A73" t="s">
        <v>27</v>
      </c>
      <c r="B73" s="5" t="s">
        <v>40</v>
      </c>
      <c r="C73" s="33">
        <f t="shared" si="13"/>
        <v>0</v>
      </c>
      <c r="D73" s="33">
        <f t="shared" si="13"/>
        <v>0</v>
      </c>
      <c r="E73" s="33">
        <f t="shared" si="13"/>
        <v>0</v>
      </c>
      <c r="F73" s="33">
        <f t="shared" si="13"/>
        <v>0</v>
      </c>
      <c r="G73" s="33">
        <f t="shared" si="13"/>
        <v>0</v>
      </c>
      <c r="H73" s="33">
        <f t="shared" si="13"/>
        <v>0</v>
      </c>
    </row>
    <row r="74" spans="1:8">
      <c r="A74" t="s">
        <v>27</v>
      </c>
      <c r="B74" s="5" t="s">
        <v>41</v>
      </c>
      <c r="C74" s="33">
        <f t="shared" si="13"/>
        <v>60</v>
      </c>
      <c r="D74" s="33">
        <f t="shared" si="13"/>
        <v>60</v>
      </c>
      <c r="E74" s="33">
        <f t="shared" si="13"/>
        <v>54</v>
      </c>
      <c r="F74" s="33">
        <f t="shared" si="13"/>
        <v>51</v>
      </c>
      <c r="G74" s="33">
        <f t="shared" si="13"/>
        <v>51</v>
      </c>
      <c r="H74" s="33">
        <f t="shared" si="13"/>
        <v>51</v>
      </c>
    </row>
    <row r="75" spans="1:8">
      <c r="A75" t="s">
        <v>27</v>
      </c>
      <c r="B75" s="5" t="s">
        <v>42</v>
      </c>
      <c r="C75" s="33">
        <f t="shared" si="13"/>
        <v>7</v>
      </c>
      <c r="D75" s="33">
        <f t="shared" si="13"/>
        <v>7</v>
      </c>
      <c r="E75" s="33">
        <f t="shared" si="13"/>
        <v>7</v>
      </c>
      <c r="F75" s="33">
        <f t="shared" si="13"/>
        <v>3</v>
      </c>
      <c r="G75" s="33">
        <f t="shared" si="13"/>
        <v>3</v>
      </c>
      <c r="H75" s="33">
        <f t="shared" si="13"/>
        <v>3</v>
      </c>
    </row>
    <row r="76" spans="1:8">
      <c r="A76" t="s">
        <v>27</v>
      </c>
      <c r="B76" s="5" t="s">
        <v>43</v>
      </c>
      <c r="C76" s="33">
        <f t="shared" si="13"/>
        <v>0</v>
      </c>
      <c r="D76" s="33">
        <f t="shared" si="13"/>
        <v>0</v>
      </c>
      <c r="E76" s="33">
        <f t="shared" si="13"/>
        <v>0</v>
      </c>
      <c r="F76" s="33">
        <f t="shared" si="13"/>
        <v>0</v>
      </c>
      <c r="G76" s="33">
        <f t="shared" si="13"/>
        <v>0</v>
      </c>
      <c r="H76" s="33">
        <f t="shared" si="13"/>
        <v>0</v>
      </c>
    </row>
    <row r="77" spans="1:8">
      <c r="A77" t="s">
        <v>27</v>
      </c>
      <c r="B77" s="5" t="s">
        <v>44</v>
      </c>
      <c r="C77" s="33">
        <f t="shared" si="13"/>
        <v>0</v>
      </c>
      <c r="D77" s="33">
        <f t="shared" si="13"/>
        <v>0</v>
      </c>
      <c r="E77" s="33">
        <f t="shared" si="13"/>
        <v>0</v>
      </c>
      <c r="F77" s="33">
        <f t="shared" si="13"/>
        <v>0</v>
      </c>
      <c r="G77" s="33">
        <f t="shared" si="13"/>
        <v>0</v>
      </c>
      <c r="H77" s="33">
        <f t="shared" si="13"/>
        <v>0</v>
      </c>
    </row>
    <row r="78" spans="1:8">
      <c r="A78" t="s">
        <v>27</v>
      </c>
      <c r="B78" s="5" t="s">
        <v>45</v>
      </c>
      <c r="C78" s="33">
        <f t="shared" si="13"/>
        <v>10</v>
      </c>
      <c r="D78" s="33">
        <f t="shared" si="13"/>
        <v>10</v>
      </c>
      <c r="E78" s="33">
        <f t="shared" si="13"/>
        <v>10</v>
      </c>
      <c r="F78" s="33">
        <f t="shared" si="13"/>
        <v>14</v>
      </c>
      <c r="G78" s="33">
        <f t="shared" si="13"/>
        <v>14</v>
      </c>
      <c r="H78" s="33">
        <f t="shared" si="13"/>
        <v>14</v>
      </c>
    </row>
    <row r="79" spans="1:8">
      <c r="A79" t="s">
        <v>27</v>
      </c>
      <c r="B79" s="5" t="s">
        <v>46</v>
      </c>
      <c r="C79" s="33">
        <f t="shared" si="13"/>
        <v>0</v>
      </c>
      <c r="D79" s="33">
        <f t="shared" si="13"/>
        <v>0</v>
      </c>
      <c r="E79" s="33">
        <f t="shared" si="13"/>
        <v>0</v>
      </c>
      <c r="F79" s="33">
        <f t="shared" si="13"/>
        <v>0</v>
      </c>
      <c r="G79" s="33">
        <f t="shared" si="13"/>
        <v>0</v>
      </c>
      <c r="H79" s="33">
        <f t="shared" si="13"/>
        <v>0</v>
      </c>
    </row>
    <row r="80" spans="1:8">
      <c r="A80" t="s">
        <v>27</v>
      </c>
      <c r="B80" s="5" t="s">
        <v>47</v>
      </c>
      <c r="C80" s="33">
        <f t="shared" si="13"/>
        <v>10</v>
      </c>
      <c r="D80" s="33">
        <f t="shared" si="13"/>
        <v>10</v>
      </c>
      <c r="E80" s="33">
        <f t="shared" si="13"/>
        <v>5</v>
      </c>
      <c r="F80" s="33">
        <f t="shared" si="13"/>
        <v>5</v>
      </c>
      <c r="G80" s="33">
        <f t="shared" si="13"/>
        <v>5</v>
      </c>
      <c r="H80" s="33">
        <f t="shared" si="13"/>
        <v>5</v>
      </c>
    </row>
    <row r="81" spans="1:8">
      <c r="A81" t="s">
        <v>27</v>
      </c>
      <c r="B81" s="5" t="s">
        <v>48</v>
      </c>
      <c r="C81" s="33">
        <f t="shared" ref="C81:H90" si="14">C52</f>
        <v>0</v>
      </c>
      <c r="D81" s="33">
        <f t="shared" si="14"/>
        <v>0</v>
      </c>
      <c r="E81" s="33">
        <f t="shared" si="14"/>
        <v>0</v>
      </c>
      <c r="F81" s="33">
        <f t="shared" si="14"/>
        <v>0</v>
      </c>
      <c r="G81" s="33">
        <f t="shared" si="14"/>
        <v>0</v>
      </c>
      <c r="H81" s="33">
        <f t="shared" si="14"/>
        <v>0</v>
      </c>
    </row>
    <row r="82" spans="1:8">
      <c r="A82" t="s">
        <v>27</v>
      </c>
      <c r="B82" s="5" t="s">
        <v>49</v>
      </c>
      <c r="C82" s="33">
        <f t="shared" si="14"/>
        <v>0</v>
      </c>
      <c r="D82" s="33">
        <f t="shared" si="14"/>
        <v>0</v>
      </c>
      <c r="E82" s="33">
        <f t="shared" si="14"/>
        <v>0</v>
      </c>
      <c r="F82" s="33">
        <f t="shared" si="14"/>
        <v>0</v>
      </c>
      <c r="G82" s="33">
        <f t="shared" si="14"/>
        <v>0</v>
      </c>
      <c r="H82" s="33">
        <f t="shared" si="14"/>
        <v>0</v>
      </c>
    </row>
    <row r="83" spans="1:8">
      <c r="A83" t="s">
        <v>27</v>
      </c>
      <c r="B83" s="5" t="s">
        <v>50</v>
      </c>
      <c r="C83" s="33">
        <f t="shared" si="14"/>
        <v>0</v>
      </c>
      <c r="D83" s="33">
        <f t="shared" si="14"/>
        <v>0</v>
      </c>
      <c r="E83" s="33">
        <f t="shared" si="14"/>
        <v>0</v>
      </c>
      <c r="F83" s="33">
        <f t="shared" si="14"/>
        <v>0</v>
      </c>
      <c r="G83" s="33">
        <f t="shared" si="14"/>
        <v>0</v>
      </c>
      <c r="H83" s="33">
        <f t="shared" si="14"/>
        <v>0</v>
      </c>
    </row>
    <row r="84" spans="1:8">
      <c r="A84" t="s">
        <v>27</v>
      </c>
      <c r="B84" s="5" t="s">
        <v>51</v>
      </c>
      <c r="C84" s="33">
        <f t="shared" si="14"/>
        <v>0</v>
      </c>
      <c r="D84" s="33">
        <f t="shared" si="14"/>
        <v>0</v>
      </c>
      <c r="E84" s="33">
        <f t="shared" si="14"/>
        <v>0</v>
      </c>
      <c r="F84" s="33">
        <f t="shared" si="14"/>
        <v>0</v>
      </c>
      <c r="G84" s="33">
        <f t="shared" si="14"/>
        <v>0</v>
      </c>
      <c r="H84" s="33">
        <f t="shared" si="14"/>
        <v>0</v>
      </c>
    </row>
    <row r="85" spans="1:8">
      <c r="A85" t="s">
        <v>27</v>
      </c>
      <c r="B85" s="5" t="s">
        <v>52</v>
      </c>
      <c r="C85" s="33">
        <f t="shared" si="14"/>
        <v>0</v>
      </c>
      <c r="D85" s="33">
        <f t="shared" si="14"/>
        <v>0</v>
      </c>
      <c r="E85" s="33">
        <f t="shared" si="14"/>
        <v>0</v>
      </c>
      <c r="F85" s="33">
        <f t="shared" si="14"/>
        <v>0</v>
      </c>
      <c r="G85" s="33">
        <f t="shared" si="14"/>
        <v>0</v>
      </c>
      <c r="H85" s="33">
        <f t="shared" si="14"/>
        <v>0</v>
      </c>
    </row>
    <row r="86" spans="1:8">
      <c r="A86" t="s">
        <v>27</v>
      </c>
      <c r="B86" s="5" t="s">
        <v>53</v>
      </c>
      <c r="C86" s="33">
        <f t="shared" si="14"/>
        <v>0</v>
      </c>
      <c r="D86" s="33">
        <f t="shared" si="14"/>
        <v>0</v>
      </c>
      <c r="E86" s="33">
        <f t="shared" si="14"/>
        <v>0</v>
      </c>
      <c r="F86" s="33">
        <f t="shared" si="14"/>
        <v>0</v>
      </c>
      <c r="G86" s="33">
        <f t="shared" si="14"/>
        <v>0</v>
      </c>
      <c r="H86" s="33">
        <f t="shared" si="14"/>
        <v>0</v>
      </c>
    </row>
    <row r="87" spans="1:8">
      <c r="A87" t="s">
        <v>27</v>
      </c>
      <c r="B87" s="3" t="s">
        <v>54</v>
      </c>
      <c r="C87" s="33">
        <f t="shared" si="14"/>
        <v>0</v>
      </c>
      <c r="D87" s="33">
        <f t="shared" si="14"/>
        <v>0</v>
      </c>
      <c r="E87" s="33">
        <f t="shared" si="14"/>
        <v>0</v>
      </c>
      <c r="F87" s="33">
        <f t="shared" si="14"/>
        <v>0</v>
      </c>
      <c r="G87" s="33">
        <f t="shared" si="14"/>
        <v>0</v>
      </c>
      <c r="H87" s="33">
        <f t="shared" si="14"/>
        <v>0</v>
      </c>
    </row>
    <row r="88" spans="1:8">
      <c r="A88" t="s">
        <v>27</v>
      </c>
      <c r="B88" t="s">
        <v>55</v>
      </c>
      <c r="C88" s="33">
        <f t="shared" si="14"/>
        <v>0</v>
      </c>
      <c r="D88" s="33">
        <f t="shared" si="14"/>
        <v>0</v>
      </c>
      <c r="E88" s="33">
        <f t="shared" si="14"/>
        <v>14</v>
      </c>
      <c r="F88" s="33">
        <f t="shared" si="14"/>
        <v>17</v>
      </c>
      <c r="G88" s="33">
        <f t="shared" si="14"/>
        <v>17</v>
      </c>
      <c r="H88" s="33">
        <f t="shared" si="14"/>
        <v>17</v>
      </c>
    </row>
    <row r="89" spans="1:8">
      <c r="A89" t="s">
        <v>27</v>
      </c>
      <c r="B89" t="s">
        <v>56</v>
      </c>
      <c r="C89" s="33">
        <f t="shared" si="14"/>
        <v>0</v>
      </c>
      <c r="D89" s="33">
        <f t="shared" si="14"/>
        <v>0</v>
      </c>
      <c r="E89" s="33">
        <f t="shared" si="14"/>
        <v>0</v>
      </c>
      <c r="F89" s="33">
        <f t="shared" si="14"/>
        <v>0</v>
      </c>
      <c r="G89" s="33">
        <f t="shared" si="14"/>
        <v>0</v>
      </c>
      <c r="H89" s="33">
        <f t="shared" si="14"/>
        <v>0</v>
      </c>
    </row>
  </sheetData>
  <mergeCells count="2">
    <mergeCell ref="C2:F2"/>
    <mergeCell ref="G1:H1"/>
  </mergeCells>
  <conditionalFormatting sqref="N32:O60">
    <cfRule type="colorScale" priority="2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CE456-A787-4D29-B5BE-F29DF4E98BD9}">
  <dimension ref="A1:U89"/>
  <sheetViews>
    <sheetView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24" sqref="K24"/>
    </sheetView>
  </sheetViews>
  <sheetFormatPr defaultColWidth="8.7265625" defaultRowHeight="14.5"/>
  <cols>
    <col min="2" max="2" width="48.26953125" customWidth="1"/>
    <col min="3" max="3" width="14.453125" customWidth="1"/>
    <col min="4" max="4" width="15.1796875" customWidth="1"/>
    <col min="5" max="5" width="18.26953125" customWidth="1"/>
    <col min="6" max="6" width="17.26953125" hidden="1" customWidth="1"/>
    <col min="7" max="8" width="19" customWidth="1"/>
    <col min="9" max="9" width="8.7265625" style="105"/>
    <col min="11" max="11" width="26.6328125" customWidth="1"/>
    <col min="14" max="14" width="10.26953125" bestFit="1" customWidth="1"/>
  </cols>
  <sheetData>
    <row r="1" spans="1:16">
      <c r="C1" s="9" t="s">
        <v>0</v>
      </c>
      <c r="D1" s="9" t="s">
        <v>1</v>
      </c>
      <c r="E1" s="23" t="s">
        <v>57</v>
      </c>
      <c r="F1" s="23" t="s">
        <v>58</v>
      </c>
      <c r="G1" s="172" t="s">
        <v>148</v>
      </c>
      <c r="H1" s="172"/>
    </row>
    <row r="2" spans="1:16">
      <c r="A2" s="6"/>
      <c r="B2" s="6" t="s">
        <v>4</v>
      </c>
      <c r="C2" s="10"/>
      <c r="D2" s="10"/>
      <c r="E2" s="8"/>
      <c r="F2" s="8"/>
      <c r="G2" s="71"/>
      <c r="H2" s="71"/>
    </row>
    <row r="3" spans="1:16">
      <c r="A3" s="6" t="s">
        <v>8</v>
      </c>
      <c r="B3" s="6" t="s">
        <v>9</v>
      </c>
      <c r="C3" s="10">
        <v>2022</v>
      </c>
      <c r="D3" s="10">
        <v>2050</v>
      </c>
      <c r="E3" s="11">
        <v>2050</v>
      </c>
      <c r="F3" s="11">
        <v>2050</v>
      </c>
      <c r="G3" s="34" t="s">
        <v>159</v>
      </c>
      <c r="H3" s="34" t="s">
        <v>160</v>
      </c>
    </row>
    <row r="4" spans="1:16">
      <c r="A4" s="1" t="s">
        <v>10</v>
      </c>
      <c r="B4" s="4" t="s">
        <v>11</v>
      </c>
      <c r="C4" s="131">
        <v>21</v>
      </c>
      <c r="D4" s="18">
        <f>C4</f>
        <v>21</v>
      </c>
      <c r="E4" s="18">
        <v>19</v>
      </c>
      <c r="F4" s="18">
        <v>19</v>
      </c>
      <c r="G4" s="63">
        <f>F4</f>
        <v>19</v>
      </c>
      <c r="H4" s="63">
        <f>G4</f>
        <v>19</v>
      </c>
      <c r="I4" s="106"/>
      <c r="N4" s="47">
        <f>(E4-D4)/D4</f>
        <v>-9.5238095238095233E-2</v>
      </c>
      <c r="O4" s="47">
        <f>(F4-D4)/D4</f>
        <v>-9.5238095238095233E-2</v>
      </c>
      <c r="P4" s="47">
        <f>(G4-D4)/D4</f>
        <v>-9.5238095238095233E-2</v>
      </c>
    </row>
    <row r="5" spans="1:16">
      <c r="A5" s="1" t="s">
        <v>10</v>
      </c>
      <c r="B5" s="4" t="s">
        <v>12</v>
      </c>
      <c r="C5" s="107">
        <v>7</v>
      </c>
      <c r="D5" s="18">
        <f t="shared" ref="D5:F19" si="0">C5</f>
        <v>7</v>
      </c>
      <c r="E5" s="18">
        <v>5.6</v>
      </c>
      <c r="F5" s="18">
        <f>D5*0.75</f>
        <v>5.25</v>
      </c>
      <c r="G5" s="63">
        <f t="shared" ref="G5:G20" si="1">F5</f>
        <v>5.25</v>
      </c>
      <c r="H5" s="63">
        <f>F5*0.75</f>
        <v>3.9375</v>
      </c>
      <c r="I5" s="106"/>
      <c r="N5" s="47">
        <f t="shared" ref="N5:N19" si="2">(E5-D5)/D5</f>
        <v>-0.20000000000000004</v>
      </c>
      <c r="O5" s="47">
        <f t="shared" ref="O5:O20" si="3">(F5-D5)/D5</f>
        <v>-0.25</v>
      </c>
      <c r="P5" s="47">
        <f t="shared" ref="P5:P20" si="4">(G5-D5)/D5</f>
        <v>-0.25</v>
      </c>
    </row>
    <row r="6" spans="1:16">
      <c r="A6" s="1" t="s">
        <v>10</v>
      </c>
      <c r="B6" s="4" t="s">
        <v>59</v>
      </c>
      <c r="C6" s="107">
        <v>9</v>
      </c>
      <c r="D6" s="18">
        <f t="shared" si="0"/>
        <v>9</v>
      </c>
      <c r="E6" s="18">
        <v>7.2</v>
      </c>
      <c r="F6" s="18">
        <f>D6*0.75</f>
        <v>6.75</v>
      </c>
      <c r="G6" s="63">
        <f t="shared" si="1"/>
        <v>6.75</v>
      </c>
      <c r="H6" s="63">
        <f t="shared" ref="H6" si="5">F6*0.75</f>
        <v>5.0625</v>
      </c>
      <c r="I6" s="106"/>
      <c r="N6" s="47">
        <f t="shared" si="2"/>
        <v>-0.19999999999999998</v>
      </c>
      <c r="O6" s="47">
        <f t="shared" si="3"/>
        <v>-0.25</v>
      </c>
      <c r="P6" s="47">
        <f t="shared" si="4"/>
        <v>-0.25</v>
      </c>
    </row>
    <row r="7" spans="1:16">
      <c r="A7" s="1" t="s">
        <v>10</v>
      </c>
      <c r="B7" s="4" t="s">
        <v>15</v>
      </c>
      <c r="C7" s="107">
        <v>80</v>
      </c>
      <c r="D7" s="18">
        <f t="shared" si="0"/>
        <v>80</v>
      </c>
      <c r="E7" s="18">
        <v>80</v>
      </c>
      <c r="F7" s="18">
        <f>E7*1.05</f>
        <v>84</v>
      </c>
      <c r="G7" s="63">
        <f t="shared" si="1"/>
        <v>84</v>
      </c>
      <c r="H7" s="63">
        <f>G7</f>
        <v>84</v>
      </c>
      <c r="I7" s="106"/>
      <c r="N7" s="47">
        <f t="shared" si="2"/>
        <v>0</v>
      </c>
      <c r="O7" s="47">
        <f t="shared" si="3"/>
        <v>0.05</v>
      </c>
      <c r="P7" s="47">
        <f t="shared" si="4"/>
        <v>0.05</v>
      </c>
    </row>
    <row r="8" spans="1:16">
      <c r="A8" s="1" t="s">
        <v>10</v>
      </c>
      <c r="B8" s="4" t="s">
        <v>60</v>
      </c>
      <c r="C8" s="107">
        <v>1.2</v>
      </c>
      <c r="D8" s="18">
        <f t="shared" si="0"/>
        <v>1.2</v>
      </c>
      <c r="E8" s="18">
        <v>1.5</v>
      </c>
      <c r="F8" s="18">
        <f t="shared" si="0"/>
        <v>1.5</v>
      </c>
      <c r="G8" s="63">
        <f t="shared" si="1"/>
        <v>1.5</v>
      </c>
      <c r="H8" s="63">
        <f t="shared" ref="H8:H20" si="6">G8</f>
        <v>1.5</v>
      </c>
      <c r="I8" s="106"/>
      <c r="N8" s="47">
        <f t="shared" si="2"/>
        <v>0.25000000000000006</v>
      </c>
      <c r="O8" s="47">
        <f t="shared" si="3"/>
        <v>0.25000000000000006</v>
      </c>
      <c r="P8" s="47">
        <f t="shared" si="4"/>
        <v>0.25000000000000006</v>
      </c>
    </row>
    <row r="9" spans="1:16">
      <c r="A9" s="1" t="s">
        <v>10</v>
      </c>
      <c r="B9" s="4" t="s">
        <v>16</v>
      </c>
      <c r="C9" s="107">
        <v>55</v>
      </c>
      <c r="D9" s="18">
        <f t="shared" si="0"/>
        <v>55</v>
      </c>
      <c r="E9" s="18">
        <f>D9</f>
        <v>55</v>
      </c>
      <c r="F9" s="18">
        <f>D9*1.15</f>
        <v>63.249999999999993</v>
      </c>
      <c r="G9" s="63">
        <f t="shared" si="1"/>
        <v>63.249999999999993</v>
      </c>
      <c r="H9" s="63">
        <f>F9</f>
        <v>63.249999999999993</v>
      </c>
      <c r="I9" s="106"/>
      <c r="N9" s="47">
        <f t="shared" si="2"/>
        <v>0</v>
      </c>
      <c r="O9" s="47">
        <f t="shared" si="3"/>
        <v>0.14999999999999988</v>
      </c>
      <c r="P9" s="47">
        <f t="shared" si="4"/>
        <v>0.14999999999999988</v>
      </c>
    </row>
    <row r="10" spans="1:16">
      <c r="A10" s="1" t="s">
        <v>10</v>
      </c>
      <c r="B10" s="4" t="s">
        <v>17</v>
      </c>
      <c r="C10" s="131">
        <v>80</v>
      </c>
      <c r="D10" s="18">
        <f t="shared" si="0"/>
        <v>80</v>
      </c>
      <c r="E10" s="18">
        <f t="shared" ref="E10:E12" si="7">D10</f>
        <v>80</v>
      </c>
      <c r="F10" s="18">
        <f>D10*1.15</f>
        <v>92</v>
      </c>
      <c r="G10" s="63">
        <f>F10</f>
        <v>92</v>
      </c>
      <c r="H10" s="63">
        <f>F10</f>
        <v>92</v>
      </c>
      <c r="I10" s="106"/>
      <c r="J10" s="12"/>
      <c r="K10" s="12" t="s">
        <v>142</v>
      </c>
      <c r="N10" s="47">
        <f t="shared" si="2"/>
        <v>0</v>
      </c>
      <c r="O10" s="47">
        <f t="shared" si="3"/>
        <v>0.15</v>
      </c>
      <c r="P10" s="47">
        <f t="shared" si="4"/>
        <v>0.15</v>
      </c>
    </row>
    <row r="11" spans="1:16" ht="15" thickBot="1">
      <c r="A11" s="1" t="s">
        <v>10</v>
      </c>
      <c r="B11" s="4" t="s">
        <v>18</v>
      </c>
      <c r="C11" s="107">
        <v>55</v>
      </c>
      <c r="D11" s="18">
        <f t="shared" si="0"/>
        <v>55</v>
      </c>
      <c r="E11" s="18">
        <f t="shared" si="7"/>
        <v>55</v>
      </c>
      <c r="F11" s="18">
        <f t="shared" ref="F11:F12" si="8">D11*1.15</f>
        <v>63.249999999999993</v>
      </c>
      <c r="G11" s="63">
        <f t="shared" si="1"/>
        <v>63.249999999999993</v>
      </c>
      <c r="H11" s="63">
        <f>F11</f>
        <v>63.249999999999993</v>
      </c>
      <c r="I11" s="106"/>
      <c r="J11" s="12">
        <v>2022</v>
      </c>
      <c r="K11" s="126">
        <f>KYRNIR!H18</f>
        <v>5515593</v>
      </c>
      <c r="N11" s="47">
        <f t="shared" si="2"/>
        <v>0</v>
      </c>
      <c r="O11" s="47">
        <f t="shared" si="3"/>
        <v>0.14999999999999988</v>
      </c>
      <c r="P11" s="47">
        <f t="shared" si="4"/>
        <v>0.14999999999999988</v>
      </c>
    </row>
    <row r="12" spans="1:16" ht="15" thickBot="1">
      <c r="A12" s="1" t="s">
        <v>10</v>
      </c>
      <c r="B12" s="4" t="s">
        <v>19</v>
      </c>
      <c r="C12" s="107">
        <v>75</v>
      </c>
      <c r="D12" s="18">
        <f t="shared" si="0"/>
        <v>75</v>
      </c>
      <c r="E12" s="18">
        <f t="shared" si="7"/>
        <v>75</v>
      </c>
      <c r="F12" s="18">
        <f t="shared" si="8"/>
        <v>86.25</v>
      </c>
      <c r="G12" s="63">
        <f t="shared" si="1"/>
        <v>86.25</v>
      </c>
      <c r="H12" s="63">
        <f>F12</f>
        <v>86.25</v>
      </c>
      <c r="I12" s="106"/>
      <c r="J12" t="s">
        <v>146</v>
      </c>
      <c r="K12" s="73">
        <v>182514.21224183633</v>
      </c>
      <c r="N12" s="47">
        <f t="shared" si="2"/>
        <v>0</v>
      </c>
      <c r="O12" s="47">
        <f t="shared" si="3"/>
        <v>0.15</v>
      </c>
      <c r="P12" s="47">
        <f t="shared" si="4"/>
        <v>0.15</v>
      </c>
    </row>
    <row r="13" spans="1:16">
      <c r="A13" s="12" t="s">
        <v>10</v>
      </c>
      <c r="B13" s="13" t="s">
        <v>20</v>
      </c>
      <c r="C13" s="107"/>
      <c r="D13" s="18">
        <f t="shared" si="0"/>
        <v>0</v>
      </c>
      <c r="E13" s="18">
        <f t="shared" si="0"/>
        <v>0</v>
      </c>
      <c r="F13" s="18">
        <f t="shared" si="0"/>
        <v>0</v>
      </c>
      <c r="G13" s="63">
        <f t="shared" si="1"/>
        <v>0</v>
      </c>
      <c r="H13" s="63">
        <f t="shared" si="6"/>
        <v>0</v>
      </c>
      <c r="I13" s="106"/>
      <c r="J13" t="s">
        <v>161</v>
      </c>
      <c r="K13" s="153">
        <v>492000.44</v>
      </c>
      <c r="L13" s="154"/>
      <c r="N13" s="47" t="e">
        <f t="shared" si="2"/>
        <v>#DIV/0!</v>
      </c>
      <c r="O13" s="47" t="e">
        <f t="shared" si="3"/>
        <v>#DIV/0!</v>
      </c>
      <c r="P13" s="47" t="e">
        <f t="shared" si="4"/>
        <v>#DIV/0!</v>
      </c>
    </row>
    <row r="14" spans="1:16">
      <c r="A14" s="12" t="s">
        <v>10</v>
      </c>
      <c r="B14" s="13" t="s">
        <v>21</v>
      </c>
      <c r="C14" s="107"/>
      <c r="D14" s="18">
        <f t="shared" si="0"/>
        <v>0</v>
      </c>
      <c r="E14" s="18">
        <f t="shared" si="0"/>
        <v>0</v>
      </c>
      <c r="F14" s="18">
        <f t="shared" si="0"/>
        <v>0</v>
      </c>
      <c r="G14" s="63">
        <f t="shared" si="1"/>
        <v>0</v>
      </c>
      <c r="H14" s="63">
        <f t="shared" si="6"/>
        <v>0</v>
      </c>
      <c r="I14" s="106"/>
      <c r="N14" s="47" t="e">
        <f t="shared" si="2"/>
        <v>#DIV/0!</v>
      </c>
      <c r="O14" s="47" t="e">
        <f t="shared" si="3"/>
        <v>#DIV/0!</v>
      </c>
      <c r="P14" s="47" t="e">
        <f t="shared" si="4"/>
        <v>#DIV/0!</v>
      </c>
    </row>
    <row r="15" spans="1:16" ht="15" thickBot="1">
      <c r="A15" s="12" t="s">
        <v>10</v>
      </c>
      <c r="B15" s="13" t="s">
        <v>22</v>
      </c>
      <c r="C15" s="108"/>
      <c r="D15" s="18">
        <f t="shared" si="0"/>
        <v>0</v>
      </c>
      <c r="E15" s="18">
        <f t="shared" si="0"/>
        <v>0</v>
      </c>
      <c r="F15" s="18">
        <f t="shared" si="0"/>
        <v>0</v>
      </c>
      <c r="G15" s="63">
        <f t="shared" si="1"/>
        <v>0</v>
      </c>
      <c r="H15" s="63">
        <f t="shared" si="6"/>
        <v>0</v>
      </c>
      <c r="I15" s="106"/>
      <c r="N15" s="47" t="e">
        <f t="shared" si="2"/>
        <v>#DIV/0!</v>
      </c>
      <c r="O15" s="47" t="e">
        <f t="shared" si="3"/>
        <v>#DIV/0!</v>
      </c>
      <c r="P15" s="47" t="e">
        <f t="shared" si="4"/>
        <v>#DIV/0!</v>
      </c>
    </row>
    <row r="16" spans="1:16" ht="15" thickBot="1">
      <c r="A16" s="1" t="s">
        <v>10</v>
      </c>
      <c r="B16" s="4" t="s">
        <v>23</v>
      </c>
      <c r="C16" s="110">
        <f>K11/K13*K12</f>
        <v>2046083.7625299417</v>
      </c>
      <c r="D16" s="32">
        <f>K17/K19*K18</f>
        <v>3343850.9165878971</v>
      </c>
      <c r="E16" s="32">
        <f>D16</f>
        <v>3343850.9165878971</v>
      </c>
      <c r="F16" s="32">
        <f>E16</f>
        <v>3343850.9165878971</v>
      </c>
      <c r="G16" s="63">
        <f t="shared" si="1"/>
        <v>3343850.9165878971</v>
      </c>
      <c r="H16" s="98">
        <v>0</v>
      </c>
      <c r="I16" s="106"/>
      <c r="J16" s="12"/>
      <c r="K16" s="12" t="s">
        <v>142</v>
      </c>
      <c r="N16" s="47">
        <f t="shared" si="2"/>
        <v>0</v>
      </c>
      <c r="O16" s="47">
        <f t="shared" si="3"/>
        <v>0</v>
      </c>
      <c r="P16" s="47">
        <f t="shared" si="4"/>
        <v>0</v>
      </c>
    </row>
    <row r="17" spans="1:21" ht="15" thickBot="1">
      <c r="A17" s="1" t="s">
        <v>10</v>
      </c>
      <c r="B17" s="4" t="s">
        <v>24</v>
      </c>
      <c r="C17" s="110">
        <f>C16/25</f>
        <v>81843.350501197667</v>
      </c>
      <c r="D17" s="32">
        <f>C17/C16*D16</f>
        <v>133754.0366635159</v>
      </c>
      <c r="E17" s="32">
        <f t="shared" ref="E17:F17" si="9">D17/D16*E16</f>
        <v>133754.0366635159</v>
      </c>
      <c r="F17" s="32">
        <f t="shared" si="9"/>
        <v>133754.0366635159</v>
      </c>
      <c r="G17" s="63">
        <f t="shared" si="1"/>
        <v>133754.0366635159</v>
      </c>
      <c r="H17" s="103">
        <v>0</v>
      </c>
      <c r="I17" s="106"/>
      <c r="J17" s="12" t="s">
        <v>1</v>
      </c>
      <c r="K17" s="126">
        <f>KYRNIR!AA5</f>
        <v>9013958</v>
      </c>
      <c r="N17" s="47">
        <f t="shared" si="2"/>
        <v>0</v>
      </c>
      <c r="O17" s="47">
        <f t="shared" si="3"/>
        <v>0</v>
      </c>
      <c r="P17" s="47">
        <f t="shared" si="4"/>
        <v>0</v>
      </c>
    </row>
    <row r="18" spans="1:21" ht="15" thickBot="1">
      <c r="A18" s="1" t="s">
        <v>10</v>
      </c>
      <c r="B18" s="4" t="s">
        <v>61</v>
      </c>
      <c r="C18" s="107">
        <v>365</v>
      </c>
      <c r="D18" s="18">
        <f t="shared" si="0"/>
        <v>365</v>
      </c>
      <c r="E18" s="18">
        <f t="shared" si="0"/>
        <v>365</v>
      </c>
      <c r="F18" s="18">
        <f t="shared" si="0"/>
        <v>365</v>
      </c>
      <c r="G18" s="63">
        <f t="shared" si="1"/>
        <v>365</v>
      </c>
      <c r="H18" s="63">
        <f t="shared" si="6"/>
        <v>365</v>
      </c>
      <c r="I18" s="106"/>
      <c r="J18" t="s">
        <v>146</v>
      </c>
      <c r="K18" s="73">
        <v>298277.16503937088</v>
      </c>
      <c r="N18" s="47">
        <f t="shared" si="2"/>
        <v>0</v>
      </c>
      <c r="O18" s="47">
        <f t="shared" si="3"/>
        <v>0</v>
      </c>
      <c r="P18" s="47">
        <f t="shared" si="4"/>
        <v>0</v>
      </c>
    </row>
    <row r="19" spans="1:21">
      <c r="A19" s="1" t="s">
        <v>10</v>
      </c>
      <c r="B19" s="4" t="s">
        <v>25</v>
      </c>
      <c r="C19" s="109">
        <v>15</v>
      </c>
      <c r="D19" s="18">
        <f t="shared" si="0"/>
        <v>15</v>
      </c>
      <c r="E19" s="18">
        <v>12</v>
      </c>
      <c r="F19" s="18">
        <f t="shared" si="0"/>
        <v>12</v>
      </c>
      <c r="G19" s="63">
        <f t="shared" si="1"/>
        <v>12</v>
      </c>
      <c r="H19" s="63">
        <f t="shared" si="6"/>
        <v>12</v>
      </c>
      <c r="I19" s="106"/>
      <c r="J19" t="s">
        <v>161</v>
      </c>
      <c r="K19" s="72">
        <v>804060.32</v>
      </c>
      <c r="L19" s="127"/>
      <c r="N19" s="47">
        <f t="shared" si="2"/>
        <v>-0.2</v>
      </c>
      <c r="O19" s="47">
        <f t="shared" si="3"/>
        <v>-0.2</v>
      </c>
      <c r="P19" s="47">
        <f t="shared" si="4"/>
        <v>-0.2</v>
      </c>
    </row>
    <row r="20" spans="1:21">
      <c r="A20" s="1" t="s">
        <v>10</v>
      </c>
      <c r="B20" s="4" t="s">
        <v>26</v>
      </c>
      <c r="C20" s="131">
        <v>4</v>
      </c>
      <c r="D20" s="18">
        <f t="shared" ref="D20:F20" si="10">C20</f>
        <v>4</v>
      </c>
      <c r="E20" s="18">
        <f t="shared" si="10"/>
        <v>4</v>
      </c>
      <c r="F20" s="18">
        <f t="shared" si="10"/>
        <v>4</v>
      </c>
      <c r="G20" s="63">
        <f t="shared" si="1"/>
        <v>4</v>
      </c>
      <c r="H20" s="63">
        <f t="shared" si="6"/>
        <v>4</v>
      </c>
      <c r="I20" s="106"/>
      <c r="N20" s="47">
        <f>(E20-D20)/D20</f>
        <v>0</v>
      </c>
      <c r="O20" s="47">
        <f t="shared" si="3"/>
        <v>0</v>
      </c>
      <c r="P20" s="47">
        <f t="shared" si="4"/>
        <v>0</v>
      </c>
    </row>
    <row r="21" spans="1:21">
      <c r="A21" s="86"/>
      <c r="B21" s="87"/>
      <c r="C21" s="87"/>
      <c r="D21" s="87"/>
      <c r="E21" s="87"/>
      <c r="F21" s="87"/>
      <c r="G21" s="87"/>
      <c r="H21" s="87"/>
      <c r="I21" s="106"/>
      <c r="J21" s="90"/>
      <c r="K21" s="90"/>
      <c r="L21" s="90"/>
      <c r="M21" s="90"/>
      <c r="N21" s="33">
        <f>E21-D21</f>
        <v>0</v>
      </c>
      <c r="O21" s="33">
        <f t="shared" ref="O21" si="11">F21-E21</f>
        <v>0</v>
      </c>
      <c r="P21" s="33">
        <f>G21-F21</f>
        <v>0</v>
      </c>
      <c r="Q21" s="90"/>
      <c r="R21" s="90"/>
      <c r="S21" s="90"/>
      <c r="T21" s="90"/>
      <c r="U21" s="90"/>
    </row>
    <row r="22" spans="1:21">
      <c r="A22" s="88" t="s">
        <v>149</v>
      </c>
      <c r="B22" s="85" t="s">
        <v>150</v>
      </c>
      <c r="C22" s="89"/>
      <c r="D22" s="89"/>
      <c r="E22" s="89"/>
      <c r="F22" s="89"/>
      <c r="G22" s="92">
        <v>10</v>
      </c>
      <c r="H22" s="92">
        <v>10</v>
      </c>
      <c r="I22" s="82"/>
      <c r="J22" s="82"/>
      <c r="K22" s="81"/>
      <c r="L22" s="81"/>
      <c r="M22" s="81"/>
      <c r="N22" s="33"/>
      <c r="O22" s="82"/>
      <c r="P22" s="81"/>
      <c r="Q22" s="81"/>
      <c r="R22" s="81"/>
      <c r="S22" s="81"/>
      <c r="T22" s="82"/>
      <c r="U22" s="82"/>
    </row>
    <row r="23" spans="1:21">
      <c r="A23" s="88" t="s">
        <v>149</v>
      </c>
      <c r="B23" s="85" t="s">
        <v>151</v>
      </c>
      <c r="C23" s="131">
        <v>40</v>
      </c>
      <c r="D23" s="131">
        <v>40</v>
      </c>
      <c r="E23" s="131">
        <v>40</v>
      </c>
      <c r="F23" s="131">
        <v>40</v>
      </c>
      <c r="G23" s="92">
        <v>10</v>
      </c>
      <c r="H23" s="92">
        <v>10</v>
      </c>
      <c r="I23" s="82"/>
      <c r="J23" s="82"/>
      <c r="K23" s="81"/>
      <c r="L23" s="81"/>
      <c r="M23" s="81"/>
      <c r="N23" s="33"/>
      <c r="O23" s="82"/>
      <c r="P23" s="81"/>
      <c r="Q23" s="81"/>
      <c r="R23" s="81"/>
      <c r="S23" s="82">
        <f>G22-D22</f>
        <v>10</v>
      </c>
      <c r="T23" s="82"/>
      <c r="U23" s="82"/>
    </row>
    <row r="24" spans="1:21">
      <c r="A24" s="88" t="s">
        <v>149</v>
      </c>
      <c r="B24" s="85" t="s">
        <v>152</v>
      </c>
      <c r="C24" s="89"/>
      <c r="D24" s="89"/>
      <c r="E24" s="89"/>
      <c r="F24" s="89"/>
      <c r="G24" s="92">
        <v>0</v>
      </c>
      <c r="H24" s="92">
        <v>0</v>
      </c>
      <c r="I24" s="82"/>
      <c r="J24" s="82"/>
      <c r="K24" s="81"/>
      <c r="L24" s="81"/>
      <c r="M24" s="81"/>
      <c r="N24" s="33"/>
      <c r="O24" s="82"/>
      <c r="P24" s="81"/>
      <c r="Q24" s="81"/>
      <c r="R24" s="81"/>
      <c r="S24" s="82">
        <f t="shared" ref="S24:S37" si="12">G23-D23</f>
        <v>-30</v>
      </c>
      <c r="T24" s="82"/>
      <c r="U24" s="82"/>
    </row>
    <row r="25" spans="1:21">
      <c r="A25" s="88" t="s">
        <v>149</v>
      </c>
      <c r="B25" s="85" t="s">
        <v>153</v>
      </c>
      <c r="C25" s="89"/>
      <c r="D25" s="89"/>
      <c r="E25" s="89"/>
      <c r="F25" s="89"/>
      <c r="G25" s="92">
        <v>0</v>
      </c>
      <c r="H25" s="92">
        <v>0</v>
      </c>
      <c r="I25" s="82"/>
      <c r="J25" s="82"/>
      <c r="K25" s="81"/>
      <c r="L25" s="81"/>
      <c r="M25" s="81"/>
      <c r="N25" s="33"/>
      <c r="O25" s="82"/>
      <c r="P25" s="81"/>
      <c r="Q25" s="81"/>
      <c r="R25" s="81"/>
      <c r="S25" s="82">
        <f t="shared" si="12"/>
        <v>0</v>
      </c>
      <c r="T25" s="82"/>
      <c r="U25" s="82"/>
    </row>
    <row r="26" spans="1:21">
      <c r="A26" s="88" t="s">
        <v>149</v>
      </c>
      <c r="B26" s="85" t="s">
        <v>154</v>
      </c>
      <c r="C26" s="132">
        <v>30</v>
      </c>
      <c r="D26" s="132">
        <v>30</v>
      </c>
      <c r="E26" s="132">
        <v>30</v>
      </c>
      <c r="F26" s="132">
        <v>30</v>
      </c>
      <c r="G26" s="92">
        <v>30</v>
      </c>
      <c r="H26" s="92">
        <v>30</v>
      </c>
      <c r="I26" s="82"/>
      <c r="J26" s="82"/>
      <c r="K26" s="81"/>
      <c r="L26" s="81"/>
      <c r="M26" s="81"/>
      <c r="N26" s="33"/>
      <c r="O26" s="82"/>
      <c r="P26" s="81"/>
      <c r="Q26" s="81"/>
      <c r="R26" s="81"/>
      <c r="S26" s="82">
        <f t="shared" si="12"/>
        <v>0</v>
      </c>
      <c r="T26" s="82"/>
      <c r="U26" s="82"/>
    </row>
    <row r="27" spans="1:21">
      <c r="A27" s="88" t="s">
        <v>149</v>
      </c>
      <c r="B27" s="85" t="s">
        <v>155</v>
      </c>
      <c r="C27" s="89"/>
      <c r="D27" s="89"/>
      <c r="E27" s="89"/>
      <c r="F27" s="89"/>
      <c r="G27" s="92">
        <v>0</v>
      </c>
      <c r="H27" s="92">
        <v>0</v>
      </c>
      <c r="I27" s="82"/>
      <c r="J27" s="82"/>
      <c r="K27" s="81"/>
      <c r="L27" s="81"/>
      <c r="M27" s="81"/>
      <c r="N27" s="33"/>
      <c r="O27" s="82"/>
      <c r="P27" s="81"/>
      <c r="Q27" s="81"/>
      <c r="R27" s="81"/>
      <c r="S27" s="82">
        <f t="shared" si="12"/>
        <v>0</v>
      </c>
      <c r="T27" s="82"/>
      <c r="U27" s="82"/>
    </row>
    <row r="28" spans="1:21">
      <c r="A28" s="88" t="s">
        <v>149</v>
      </c>
      <c r="B28" s="85" t="s">
        <v>156</v>
      </c>
      <c r="C28" s="132">
        <v>30</v>
      </c>
      <c r="D28" s="132">
        <v>30</v>
      </c>
      <c r="E28" s="132">
        <v>30</v>
      </c>
      <c r="F28" s="132">
        <v>30</v>
      </c>
      <c r="G28" s="92">
        <v>50</v>
      </c>
      <c r="H28" s="92">
        <v>50</v>
      </c>
      <c r="I28" s="82"/>
      <c r="J28" s="82"/>
      <c r="K28" s="81"/>
      <c r="L28" s="81"/>
      <c r="M28" s="81"/>
      <c r="N28" s="33"/>
      <c r="O28" s="82"/>
      <c r="P28" s="81"/>
      <c r="Q28" s="81"/>
      <c r="R28" s="81"/>
      <c r="S28" s="82">
        <f t="shared" si="12"/>
        <v>0</v>
      </c>
      <c r="T28" s="82"/>
      <c r="U28" s="82"/>
    </row>
    <row r="29" spans="1:21">
      <c r="A29" s="88" t="s">
        <v>149</v>
      </c>
      <c r="B29" s="85" t="s">
        <v>157</v>
      </c>
      <c r="C29" s="89"/>
      <c r="D29" s="89"/>
      <c r="E29" s="89"/>
      <c r="F29" s="89"/>
      <c r="G29" s="92">
        <v>0</v>
      </c>
      <c r="H29" s="92">
        <v>0</v>
      </c>
      <c r="I29" s="82"/>
      <c r="J29" s="82"/>
      <c r="K29" s="81"/>
      <c r="L29" s="81"/>
      <c r="M29" s="81"/>
      <c r="N29" s="33"/>
      <c r="O29" s="82"/>
      <c r="P29" s="81"/>
      <c r="Q29" s="81"/>
      <c r="R29" s="81"/>
      <c r="S29" s="82">
        <f t="shared" si="12"/>
        <v>20</v>
      </c>
      <c r="T29" s="82"/>
      <c r="U29" s="82"/>
    </row>
    <row r="30" spans="1:21">
      <c r="A30" s="88" t="s">
        <v>149</v>
      </c>
      <c r="B30" s="85" t="s">
        <v>158</v>
      </c>
      <c r="C30" s="89"/>
      <c r="D30" s="89"/>
      <c r="E30" s="89"/>
      <c r="F30" s="89"/>
      <c r="G30" s="92">
        <v>0</v>
      </c>
      <c r="H30" s="92">
        <v>0</v>
      </c>
      <c r="I30" s="82"/>
      <c r="J30" s="82"/>
      <c r="K30" s="81"/>
      <c r="L30" s="81"/>
      <c r="M30" s="81"/>
      <c r="N30" s="33"/>
      <c r="O30" s="82"/>
      <c r="P30" s="81"/>
      <c r="Q30" s="81"/>
      <c r="R30" s="81"/>
      <c r="S30" s="82">
        <f t="shared" si="12"/>
        <v>0</v>
      </c>
      <c r="T30" s="82"/>
      <c r="U30" s="82"/>
    </row>
    <row r="31" spans="1:21">
      <c r="A31" s="2"/>
      <c r="B31" s="2"/>
      <c r="C31" s="2"/>
      <c r="D31" s="2"/>
      <c r="E31" s="2"/>
      <c r="F31" s="2"/>
      <c r="G31" s="87"/>
      <c r="H31" s="87"/>
      <c r="N31" s="33"/>
      <c r="S31" s="82">
        <f t="shared" si="12"/>
        <v>0</v>
      </c>
    </row>
    <row r="32" spans="1:21">
      <c r="A32" s="14" t="s">
        <v>27</v>
      </c>
      <c r="B32" s="15" t="s">
        <v>28</v>
      </c>
      <c r="C32" s="112">
        <v>0</v>
      </c>
      <c r="D32" s="107">
        <f t="shared" ref="D32:F60" si="13">C32</f>
        <v>0</v>
      </c>
      <c r="E32" s="18">
        <f t="shared" si="13"/>
        <v>0</v>
      </c>
      <c r="F32" s="31">
        <f t="shared" si="13"/>
        <v>0</v>
      </c>
      <c r="G32" s="63">
        <f>F32</f>
        <v>0</v>
      </c>
      <c r="H32" s="63">
        <v>0</v>
      </c>
      <c r="N32" s="33"/>
      <c r="S32" s="82">
        <f t="shared" si="12"/>
        <v>0</v>
      </c>
    </row>
    <row r="33" spans="1:19">
      <c r="A33" s="16" t="s">
        <v>27</v>
      </c>
      <c r="B33" s="4" t="s">
        <v>29</v>
      </c>
      <c r="C33" s="107">
        <v>0</v>
      </c>
      <c r="D33" s="107">
        <f t="shared" si="13"/>
        <v>0</v>
      </c>
      <c r="E33" s="18">
        <f t="shared" si="13"/>
        <v>0</v>
      </c>
      <c r="F33" s="31">
        <f t="shared" si="13"/>
        <v>0</v>
      </c>
      <c r="G33" s="63">
        <f t="shared" ref="G33:G60" si="14">F33</f>
        <v>0</v>
      </c>
      <c r="H33" s="63">
        <v>0</v>
      </c>
      <c r="N33" s="33">
        <f>E33-D33</f>
        <v>0</v>
      </c>
      <c r="O33" s="33">
        <f>F33-D33</f>
        <v>0</v>
      </c>
      <c r="S33" s="82">
        <f t="shared" si="12"/>
        <v>0</v>
      </c>
    </row>
    <row r="34" spans="1:19">
      <c r="A34" s="16" t="s">
        <v>27</v>
      </c>
      <c r="B34" s="4" t="s">
        <v>30</v>
      </c>
      <c r="C34" s="107">
        <v>0</v>
      </c>
      <c r="D34" s="107">
        <f t="shared" si="13"/>
        <v>0</v>
      </c>
      <c r="E34" s="18">
        <f t="shared" si="13"/>
        <v>0</v>
      </c>
      <c r="F34" s="31">
        <f t="shared" si="13"/>
        <v>0</v>
      </c>
      <c r="G34" s="63">
        <f t="shared" si="14"/>
        <v>0</v>
      </c>
      <c r="H34" s="63">
        <v>0</v>
      </c>
      <c r="N34" s="33">
        <f t="shared" ref="N34:N60" si="15">E34-D34</f>
        <v>0</v>
      </c>
      <c r="O34" s="33">
        <f t="shared" ref="O34:O61" si="16">F34-D34</f>
        <v>0</v>
      </c>
      <c r="S34" s="82">
        <f t="shared" si="12"/>
        <v>0</v>
      </c>
    </row>
    <row r="35" spans="1:19">
      <c r="A35" s="16" t="s">
        <v>27</v>
      </c>
      <c r="B35" s="4" t="s">
        <v>31</v>
      </c>
      <c r="C35" s="107">
        <v>0</v>
      </c>
      <c r="D35" s="107">
        <f t="shared" si="13"/>
        <v>0</v>
      </c>
      <c r="E35" s="18">
        <v>5</v>
      </c>
      <c r="F35" s="31">
        <f t="shared" si="13"/>
        <v>5</v>
      </c>
      <c r="G35" s="63">
        <f t="shared" si="14"/>
        <v>5</v>
      </c>
      <c r="H35" s="63">
        <v>5</v>
      </c>
      <c r="N35" s="33">
        <f t="shared" si="15"/>
        <v>5</v>
      </c>
      <c r="O35" s="33">
        <f t="shared" si="16"/>
        <v>5</v>
      </c>
      <c r="S35" s="82">
        <f t="shared" si="12"/>
        <v>0</v>
      </c>
    </row>
    <row r="36" spans="1:19">
      <c r="A36" s="16" t="s">
        <v>27</v>
      </c>
      <c r="B36" s="4" t="s">
        <v>32</v>
      </c>
      <c r="C36" s="107">
        <v>0</v>
      </c>
      <c r="D36" s="107">
        <f t="shared" si="13"/>
        <v>0</v>
      </c>
      <c r="E36" s="18">
        <v>5</v>
      </c>
      <c r="F36" s="31">
        <v>5</v>
      </c>
      <c r="G36" s="63">
        <f t="shared" si="14"/>
        <v>5</v>
      </c>
      <c r="H36" s="63">
        <v>5</v>
      </c>
      <c r="N36" s="33">
        <f t="shared" si="15"/>
        <v>5</v>
      </c>
      <c r="O36" s="33">
        <f t="shared" si="16"/>
        <v>5</v>
      </c>
      <c r="S36" s="82">
        <f t="shared" si="12"/>
        <v>5</v>
      </c>
    </row>
    <row r="37" spans="1:19">
      <c r="A37" s="16" t="s">
        <v>27</v>
      </c>
      <c r="B37" s="4" t="s">
        <v>33</v>
      </c>
      <c r="C37" s="107">
        <v>0</v>
      </c>
      <c r="D37" s="107">
        <f t="shared" si="13"/>
        <v>0</v>
      </c>
      <c r="E37" s="18">
        <f t="shared" si="13"/>
        <v>0</v>
      </c>
      <c r="F37" s="31">
        <f t="shared" si="13"/>
        <v>0</v>
      </c>
      <c r="G37" s="63">
        <f t="shared" si="14"/>
        <v>0</v>
      </c>
      <c r="H37" s="63">
        <v>0</v>
      </c>
      <c r="N37" s="33">
        <f t="shared" si="15"/>
        <v>0</v>
      </c>
      <c r="O37" s="33">
        <f t="shared" si="16"/>
        <v>0</v>
      </c>
      <c r="S37" s="82">
        <f t="shared" si="12"/>
        <v>5</v>
      </c>
    </row>
    <row r="38" spans="1:19">
      <c r="A38" s="16" t="s">
        <v>27</v>
      </c>
      <c r="B38" s="4" t="s">
        <v>34</v>
      </c>
      <c r="C38" s="107">
        <v>10</v>
      </c>
      <c r="D38" s="107">
        <f t="shared" si="13"/>
        <v>10</v>
      </c>
      <c r="E38" s="18">
        <v>0</v>
      </c>
      <c r="F38" s="31">
        <f t="shared" si="13"/>
        <v>0</v>
      </c>
      <c r="G38" s="63">
        <f t="shared" si="14"/>
        <v>0</v>
      </c>
      <c r="H38" s="63">
        <v>0</v>
      </c>
      <c r="N38" s="33">
        <f t="shared" si="15"/>
        <v>-10</v>
      </c>
      <c r="O38" s="33">
        <f t="shared" si="16"/>
        <v>-10</v>
      </c>
    </row>
    <row r="39" spans="1:19">
      <c r="A39" s="16" t="s">
        <v>27</v>
      </c>
      <c r="B39" s="4" t="s">
        <v>35</v>
      </c>
      <c r="C39" s="107">
        <v>0</v>
      </c>
      <c r="D39" s="107">
        <f t="shared" si="13"/>
        <v>0</v>
      </c>
      <c r="E39" s="18">
        <f t="shared" si="13"/>
        <v>0</v>
      </c>
      <c r="F39" s="31">
        <f t="shared" si="13"/>
        <v>0</v>
      </c>
      <c r="G39" s="63">
        <f t="shared" si="14"/>
        <v>0</v>
      </c>
      <c r="H39" s="63">
        <v>0</v>
      </c>
      <c r="N39" s="33">
        <f t="shared" si="15"/>
        <v>0</v>
      </c>
      <c r="O39" s="33">
        <f t="shared" si="16"/>
        <v>0</v>
      </c>
    </row>
    <row r="40" spans="1:19">
      <c r="A40" s="16" t="s">
        <v>27</v>
      </c>
      <c r="B40" s="4" t="s">
        <v>36</v>
      </c>
      <c r="C40" s="107">
        <v>0</v>
      </c>
      <c r="D40" s="107">
        <f t="shared" si="13"/>
        <v>0</v>
      </c>
      <c r="E40" s="18">
        <f t="shared" si="13"/>
        <v>0</v>
      </c>
      <c r="F40" s="31">
        <f t="shared" si="13"/>
        <v>0</v>
      </c>
      <c r="G40" s="63">
        <f t="shared" si="14"/>
        <v>0</v>
      </c>
      <c r="H40" s="63">
        <v>0</v>
      </c>
      <c r="N40" s="33">
        <f t="shared" si="15"/>
        <v>0</v>
      </c>
      <c r="O40" s="33">
        <f t="shared" si="16"/>
        <v>0</v>
      </c>
    </row>
    <row r="41" spans="1:19">
      <c r="A41" s="16" t="s">
        <v>27</v>
      </c>
      <c r="B41" s="4" t="s">
        <v>37</v>
      </c>
      <c r="C41" s="107">
        <v>0</v>
      </c>
      <c r="D41" s="107">
        <f t="shared" si="13"/>
        <v>0</v>
      </c>
      <c r="E41" s="18">
        <f t="shared" si="13"/>
        <v>0</v>
      </c>
      <c r="F41" s="31">
        <f t="shared" si="13"/>
        <v>0</v>
      </c>
      <c r="G41" s="63">
        <f t="shared" si="14"/>
        <v>0</v>
      </c>
      <c r="H41" s="63">
        <v>0</v>
      </c>
      <c r="N41" s="33">
        <f t="shared" si="15"/>
        <v>0</v>
      </c>
      <c r="O41" s="33">
        <f t="shared" si="16"/>
        <v>0</v>
      </c>
    </row>
    <row r="42" spans="1:19">
      <c r="A42" s="16" t="s">
        <v>27</v>
      </c>
      <c r="B42" s="4" t="s">
        <v>38</v>
      </c>
      <c r="C42" s="107">
        <v>3</v>
      </c>
      <c r="D42" s="107">
        <f t="shared" si="13"/>
        <v>3</v>
      </c>
      <c r="E42" s="18">
        <v>0</v>
      </c>
      <c r="F42" s="31">
        <f t="shared" si="13"/>
        <v>0</v>
      </c>
      <c r="G42" s="63">
        <f t="shared" si="14"/>
        <v>0</v>
      </c>
      <c r="H42" s="63">
        <v>0</v>
      </c>
      <c r="J42" s="48">
        <f>SUM(F32:F60)</f>
        <v>100</v>
      </c>
      <c r="N42" s="33">
        <f t="shared" si="15"/>
        <v>-3</v>
      </c>
      <c r="O42" s="33">
        <f t="shared" si="16"/>
        <v>-3</v>
      </c>
    </row>
    <row r="43" spans="1:19">
      <c r="A43" s="16" t="s">
        <v>27</v>
      </c>
      <c r="B43" s="4" t="s">
        <v>39</v>
      </c>
      <c r="C43" s="107">
        <v>0</v>
      </c>
      <c r="D43" s="107">
        <f t="shared" si="13"/>
        <v>0</v>
      </c>
      <c r="E43" s="18">
        <f t="shared" si="13"/>
        <v>0</v>
      </c>
      <c r="F43" s="31">
        <f t="shared" si="13"/>
        <v>0</v>
      </c>
      <c r="G43" s="63">
        <f t="shared" si="14"/>
        <v>0</v>
      </c>
      <c r="H43" s="63">
        <v>0</v>
      </c>
      <c r="N43" s="33">
        <f t="shared" si="15"/>
        <v>0</v>
      </c>
      <c r="O43" s="33">
        <f t="shared" si="16"/>
        <v>0</v>
      </c>
    </row>
    <row r="44" spans="1:19">
      <c r="A44" s="16" t="s">
        <v>27</v>
      </c>
      <c r="B44" s="4" t="s">
        <v>40</v>
      </c>
      <c r="C44" s="107">
        <v>0</v>
      </c>
      <c r="D44" s="107">
        <f t="shared" si="13"/>
        <v>0</v>
      </c>
      <c r="E44" s="18">
        <f t="shared" si="13"/>
        <v>0</v>
      </c>
      <c r="F44" s="31">
        <f t="shared" si="13"/>
        <v>0</v>
      </c>
      <c r="G44" s="63">
        <f t="shared" si="14"/>
        <v>0</v>
      </c>
      <c r="H44" s="63">
        <v>0</v>
      </c>
      <c r="N44" s="33">
        <f t="shared" si="15"/>
        <v>0</v>
      </c>
      <c r="O44" s="33">
        <f t="shared" si="16"/>
        <v>0</v>
      </c>
    </row>
    <row r="45" spans="1:19">
      <c r="A45" s="16" t="s">
        <v>27</v>
      </c>
      <c r="B45" s="4" t="s">
        <v>41</v>
      </c>
      <c r="C45" s="107">
        <v>60</v>
      </c>
      <c r="D45" s="107">
        <f t="shared" si="13"/>
        <v>60</v>
      </c>
      <c r="E45" s="18">
        <v>54</v>
      </c>
      <c r="F45" s="31">
        <f>E45-3</f>
        <v>51</v>
      </c>
      <c r="G45" s="63">
        <f t="shared" si="14"/>
        <v>51</v>
      </c>
      <c r="H45" s="63">
        <v>51</v>
      </c>
      <c r="N45" s="33">
        <f t="shared" si="15"/>
        <v>-6</v>
      </c>
      <c r="O45" s="33">
        <f t="shared" si="16"/>
        <v>-9</v>
      </c>
    </row>
    <row r="46" spans="1:19">
      <c r="A46" s="16" t="s">
        <v>27</v>
      </c>
      <c r="B46" s="4" t="s">
        <v>42</v>
      </c>
      <c r="C46" s="107">
        <v>7</v>
      </c>
      <c r="D46" s="107">
        <f t="shared" si="13"/>
        <v>7</v>
      </c>
      <c r="E46" s="18">
        <v>7</v>
      </c>
      <c r="F46" s="31">
        <v>3</v>
      </c>
      <c r="G46" s="63">
        <f t="shared" si="14"/>
        <v>3</v>
      </c>
      <c r="H46" s="63">
        <v>3</v>
      </c>
      <c r="N46" s="33">
        <f t="shared" si="15"/>
        <v>0</v>
      </c>
      <c r="O46" s="33">
        <f t="shared" si="16"/>
        <v>-4</v>
      </c>
    </row>
    <row r="47" spans="1:19">
      <c r="A47" s="16" t="s">
        <v>27</v>
      </c>
      <c r="B47" s="4" t="s">
        <v>43</v>
      </c>
      <c r="C47" s="107">
        <v>0</v>
      </c>
      <c r="D47" s="107">
        <f t="shared" si="13"/>
        <v>0</v>
      </c>
      <c r="E47" s="18">
        <f t="shared" si="13"/>
        <v>0</v>
      </c>
      <c r="F47" s="31">
        <f t="shared" si="13"/>
        <v>0</v>
      </c>
      <c r="G47" s="63">
        <f t="shared" si="14"/>
        <v>0</v>
      </c>
      <c r="H47" s="63">
        <v>0</v>
      </c>
      <c r="N47" s="33">
        <f t="shared" si="15"/>
        <v>0</v>
      </c>
      <c r="O47" s="33">
        <f t="shared" si="16"/>
        <v>0</v>
      </c>
    </row>
    <row r="48" spans="1:19">
      <c r="A48" s="16" t="s">
        <v>27</v>
      </c>
      <c r="B48" s="4" t="s">
        <v>44</v>
      </c>
      <c r="C48" s="107">
        <v>0</v>
      </c>
      <c r="D48" s="107">
        <f t="shared" si="13"/>
        <v>0</v>
      </c>
      <c r="E48" s="18">
        <f t="shared" si="13"/>
        <v>0</v>
      </c>
      <c r="F48" s="31">
        <f t="shared" si="13"/>
        <v>0</v>
      </c>
      <c r="G48" s="63">
        <f t="shared" si="14"/>
        <v>0</v>
      </c>
      <c r="H48" s="63">
        <v>0</v>
      </c>
      <c r="N48" s="33">
        <f t="shared" si="15"/>
        <v>0</v>
      </c>
      <c r="O48" s="33">
        <f t="shared" si="16"/>
        <v>0</v>
      </c>
    </row>
    <row r="49" spans="1:15">
      <c r="A49" s="16" t="s">
        <v>27</v>
      </c>
      <c r="B49" s="4" t="s">
        <v>45</v>
      </c>
      <c r="C49" s="107">
        <v>10</v>
      </c>
      <c r="D49" s="107">
        <f t="shared" si="13"/>
        <v>10</v>
      </c>
      <c r="E49" s="18">
        <f t="shared" si="13"/>
        <v>10</v>
      </c>
      <c r="F49" s="31">
        <v>14</v>
      </c>
      <c r="G49" s="63">
        <f t="shared" si="14"/>
        <v>14</v>
      </c>
      <c r="H49" s="63">
        <v>14</v>
      </c>
      <c r="N49" s="33">
        <f t="shared" si="15"/>
        <v>0</v>
      </c>
      <c r="O49" s="33">
        <f t="shared" si="16"/>
        <v>4</v>
      </c>
    </row>
    <row r="50" spans="1:15">
      <c r="A50" s="16" t="s">
        <v>27</v>
      </c>
      <c r="B50" s="4" t="s">
        <v>46</v>
      </c>
      <c r="C50" s="107">
        <v>0</v>
      </c>
      <c r="D50" s="107">
        <f t="shared" si="13"/>
        <v>0</v>
      </c>
      <c r="E50" s="18">
        <f t="shared" si="13"/>
        <v>0</v>
      </c>
      <c r="F50" s="31">
        <f t="shared" si="13"/>
        <v>0</v>
      </c>
      <c r="G50" s="63">
        <f t="shared" si="14"/>
        <v>0</v>
      </c>
      <c r="H50" s="63">
        <v>0</v>
      </c>
      <c r="N50" s="33">
        <f t="shared" si="15"/>
        <v>0</v>
      </c>
      <c r="O50" s="33">
        <f t="shared" si="16"/>
        <v>0</v>
      </c>
    </row>
    <row r="51" spans="1:15">
      <c r="A51" s="16" t="s">
        <v>27</v>
      </c>
      <c r="B51" s="4" t="s">
        <v>47</v>
      </c>
      <c r="C51" s="107">
        <v>10</v>
      </c>
      <c r="D51" s="107">
        <f t="shared" si="13"/>
        <v>10</v>
      </c>
      <c r="E51" s="18">
        <v>5</v>
      </c>
      <c r="F51" s="31">
        <f t="shared" si="13"/>
        <v>5</v>
      </c>
      <c r="G51" s="63">
        <f t="shared" si="14"/>
        <v>5</v>
      </c>
      <c r="H51" s="63">
        <v>5</v>
      </c>
      <c r="N51" s="33">
        <f t="shared" si="15"/>
        <v>-5</v>
      </c>
      <c r="O51" s="33">
        <f t="shared" si="16"/>
        <v>-5</v>
      </c>
    </row>
    <row r="52" spans="1:15">
      <c r="A52" s="16" t="s">
        <v>27</v>
      </c>
      <c r="B52" s="4" t="s">
        <v>48</v>
      </c>
      <c r="C52" s="107">
        <v>0</v>
      </c>
      <c r="D52" s="107">
        <f t="shared" si="13"/>
        <v>0</v>
      </c>
      <c r="E52" s="18">
        <f t="shared" si="13"/>
        <v>0</v>
      </c>
      <c r="F52" s="31">
        <f t="shared" si="13"/>
        <v>0</v>
      </c>
      <c r="G52" s="63">
        <f t="shared" si="14"/>
        <v>0</v>
      </c>
      <c r="H52" s="63">
        <v>0</v>
      </c>
      <c r="N52" s="33">
        <f t="shared" si="15"/>
        <v>0</v>
      </c>
      <c r="O52" s="33">
        <f t="shared" si="16"/>
        <v>0</v>
      </c>
    </row>
    <row r="53" spans="1:15">
      <c r="A53" s="16" t="s">
        <v>27</v>
      </c>
      <c r="B53" s="4" t="s">
        <v>49</v>
      </c>
      <c r="C53" s="107">
        <v>0</v>
      </c>
      <c r="D53" s="107">
        <f t="shared" si="13"/>
        <v>0</v>
      </c>
      <c r="E53" s="18">
        <f t="shared" si="13"/>
        <v>0</v>
      </c>
      <c r="F53" s="31">
        <f t="shared" si="13"/>
        <v>0</v>
      </c>
      <c r="G53" s="63">
        <f t="shared" si="14"/>
        <v>0</v>
      </c>
      <c r="H53" s="63">
        <v>0</v>
      </c>
      <c r="N53" s="33">
        <f t="shared" si="15"/>
        <v>0</v>
      </c>
      <c r="O53" s="33">
        <f t="shared" si="16"/>
        <v>0</v>
      </c>
    </row>
    <row r="54" spans="1:15">
      <c r="A54" s="16" t="s">
        <v>27</v>
      </c>
      <c r="B54" s="4" t="s">
        <v>50</v>
      </c>
      <c r="C54" s="107">
        <v>0</v>
      </c>
      <c r="D54" s="107">
        <f t="shared" si="13"/>
        <v>0</v>
      </c>
      <c r="E54" s="18">
        <f t="shared" si="13"/>
        <v>0</v>
      </c>
      <c r="F54" s="31">
        <f t="shared" si="13"/>
        <v>0</v>
      </c>
      <c r="G54" s="63">
        <f t="shared" si="14"/>
        <v>0</v>
      </c>
      <c r="H54" s="63">
        <v>0</v>
      </c>
      <c r="N54" s="33">
        <f t="shared" si="15"/>
        <v>0</v>
      </c>
      <c r="O54" s="33">
        <f t="shared" si="16"/>
        <v>0</v>
      </c>
    </row>
    <row r="55" spans="1:15">
      <c r="A55" s="16" t="s">
        <v>27</v>
      </c>
      <c r="B55" s="4" t="s">
        <v>51</v>
      </c>
      <c r="C55" s="107">
        <v>0</v>
      </c>
      <c r="D55" s="107">
        <f t="shared" si="13"/>
        <v>0</v>
      </c>
      <c r="E55" s="18">
        <f t="shared" si="13"/>
        <v>0</v>
      </c>
      <c r="F55" s="31">
        <f t="shared" si="13"/>
        <v>0</v>
      </c>
      <c r="G55" s="63">
        <f t="shared" si="14"/>
        <v>0</v>
      </c>
      <c r="H55" s="63">
        <v>0</v>
      </c>
      <c r="N55" s="33">
        <f t="shared" si="15"/>
        <v>0</v>
      </c>
      <c r="O55" s="33">
        <f t="shared" si="16"/>
        <v>0</v>
      </c>
    </row>
    <row r="56" spans="1:15">
      <c r="A56" s="16" t="s">
        <v>27</v>
      </c>
      <c r="B56" s="4" t="s">
        <v>52</v>
      </c>
      <c r="C56" s="107">
        <v>0</v>
      </c>
      <c r="D56" s="107">
        <f t="shared" si="13"/>
        <v>0</v>
      </c>
      <c r="E56" s="18">
        <f t="shared" si="13"/>
        <v>0</v>
      </c>
      <c r="F56" s="31">
        <f t="shared" si="13"/>
        <v>0</v>
      </c>
      <c r="G56" s="63">
        <f t="shared" si="14"/>
        <v>0</v>
      </c>
      <c r="H56" s="63">
        <v>0</v>
      </c>
      <c r="N56" s="33">
        <f t="shared" si="15"/>
        <v>0</v>
      </c>
      <c r="O56" s="33">
        <f t="shared" si="16"/>
        <v>0</v>
      </c>
    </row>
    <row r="57" spans="1:15">
      <c r="A57" s="16" t="s">
        <v>27</v>
      </c>
      <c r="B57" s="4" t="s">
        <v>53</v>
      </c>
      <c r="C57" s="107">
        <v>0</v>
      </c>
      <c r="D57" s="107">
        <f t="shared" si="13"/>
        <v>0</v>
      </c>
      <c r="E57" s="18">
        <f t="shared" si="13"/>
        <v>0</v>
      </c>
      <c r="F57" s="31">
        <f t="shared" si="13"/>
        <v>0</v>
      </c>
      <c r="G57" s="63">
        <f t="shared" si="14"/>
        <v>0</v>
      </c>
      <c r="H57" s="63">
        <v>0</v>
      </c>
      <c r="N57" s="33">
        <f t="shared" si="15"/>
        <v>0</v>
      </c>
      <c r="O57" s="33">
        <f t="shared" si="16"/>
        <v>0</v>
      </c>
    </row>
    <row r="58" spans="1:15">
      <c r="A58" s="16" t="s">
        <v>27</v>
      </c>
      <c r="B58" s="4" t="s">
        <v>54</v>
      </c>
      <c r="C58" s="107">
        <v>0</v>
      </c>
      <c r="D58" s="107">
        <f t="shared" si="13"/>
        <v>0</v>
      </c>
      <c r="E58" s="18">
        <f t="shared" si="13"/>
        <v>0</v>
      </c>
      <c r="F58" s="31">
        <f t="shared" si="13"/>
        <v>0</v>
      </c>
      <c r="G58" s="63">
        <f t="shared" si="14"/>
        <v>0</v>
      </c>
      <c r="H58" s="63">
        <v>0</v>
      </c>
      <c r="N58" s="33">
        <f t="shared" si="15"/>
        <v>0</v>
      </c>
      <c r="O58" s="33">
        <f t="shared" si="16"/>
        <v>0</v>
      </c>
    </row>
    <row r="59" spans="1:15">
      <c r="A59" s="16" t="s">
        <v>27</v>
      </c>
      <c r="B59" s="4" t="s">
        <v>55</v>
      </c>
      <c r="C59" s="107">
        <v>0</v>
      </c>
      <c r="D59" s="107">
        <f t="shared" si="13"/>
        <v>0</v>
      </c>
      <c r="E59" s="18">
        <v>14</v>
      </c>
      <c r="F59" s="31">
        <v>17</v>
      </c>
      <c r="G59" s="63">
        <f t="shared" si="14"/>
        <v>17</v>
      </c>
      <c r="H59" s="63">
        <v>17</v>
      </c>
      <c r="N59" s="33">
        <f>E59-D59</f>
        <v>14</v>
      </c>
      <c r="O59" s="33">
        <f t="shared" si="16"/>
        <v>17</v>
      </c>
    </row>
    <row r="60" spans="1:15">
      <c r="A60" s="16" t="s">
        <v>27</v>
      </c>
      <c r="B60" s="4" t="s">
        <v>56</v>
      </c>
      <c r="C60" s="107">
        <v>0</v>
      </c>
      <c r="D60" s="107">
        <f t="shared" si="13"/>
        <v>0</v>
      </c>
      <c r="E60" s="18">
        <f t="shared" si="13"/>
        <v>0</v>
      </c>
      <c r="F60" s="31">
        <f t="shared" si="13"/>
        <v>0</v>
      </c>
      <c r="G60" s="63">
        <f t="shared" si="14"/>
        <v>0</v>
      </c>
      <c r="H60" s="63">
        <v>0</v>
      </c>
      <c r="N60" s="33">
        <f t="shared" si="15"/>
        <v>0</v>
      </c>
      <c r="O60" s="33">
        <f t="shared" si="16"/>
        <v>0</v>
      </c>
    </row>
    <row r="61" spans="1:15">
      <c r="A61" t="s">
        <v>27</v>
      </c>
      <c r="B61" t="s">
        <v>28</v>
      </c>
      <c r="C61" s="113">
        <f>C32</f>
        <v>0</v>
      </c>
      <c r="D61" s="113">
        <f t="shared" ref="D61:H61" si="17">D32</f>
        <v>0</v>
      </c>
      <c r="E61" s="113">
        <f t="shared" si="17"/>
        <v>0</v>
      </c>
      <c r="F61" s="113">
        <f t="shared" si="17"/>
        <v>0</v>
      </c>
      <c r="G61" s="113">
        <f t="shared" si="17"/>
        <v>0</v>
      </c>
      <c r="H61" s="113">
        <f t="shared" si="17"/>
        <v>0</v>
      </c>
      <c r="N61" s="33">
        <f>E61-D61</f>
        <v>0</v>
      </c>
      <c r="O61" s="33">
        <f t="shared" si="16"/>
        <v>0</v>
      </c>
    </row>
    <row r="62" spans="1:15">
      <c r="A62" t="s">
        <v>27</v>
      </c>
      <c r="B62" s="5" t="s">
        <v>29</v>
      </c>
      <c r="C62" s="113">
        <f t="shared" ref="C62:H62" si="18">C33</f>
        <v>0</v>
      </c>
      <c r="D62" s="113">
        <f t="shared" si="18"/>
        <v>0</v>
      </c>
      <c r="E62" s="113">
        <f t="shared" si="18"/>
        <v>0</v>
      </c>
      <c r="F62" s="113">
        <f t="shared" si="18"/>
        <v>0</v>
      </c>
      <c r="G62" s="113">
        <f t="shared" si="18"/>
        <v>0</v>
      </c>
      <c r="H62" s="113">
        <f t="shared" si="18"/>
        <v>0</v>
      </c>
    </row>
    <row r="63" spans="1:15">
      <c r="A63" t="s">
        <v>27</v>
      </c>
      <c r="B63" s="5" t="s">
        <v>30</v>
      </c>
      <c r="C63" s="113">
        <f t="shared" ref="C63:H63" si="19">C34</f>
        <v>0</v>
      </c>
      <c r="D63" s="113">
        <f t="shared" si="19"/>
        <v>0</v>
      </c>
      <c r="E63" s="113">
        <f t="shared" si="19"/>
        <v>0</v>
      </c>
      <c r="F63" s="113">
        <f t="shared" si="19"/>
        <v>0</v>
      </c>
      <c r="G63" s="113">
        <f t="shared" si="19"/>
        <v>0</v>
      </c>
      <c r="H63" s="113">
        <f t="shared" si="19"/>
        <v>0</v>
      </c>
    </row>
    <row r="64" spans="1:15">
      <c r="A64" t="s">
        <v>27</v>
      </c>
      <c r="B64" s="5" t="s">
        <v>31</v>
      </c>
      <c r="C64" s="113">
        <f t="shared" ref="C64:H64" si="20">C35</f>
        <v>0</v>
      </c>
      <c r="D64" s="113">
        <f t="shared" si="20"/>
        <v>0</v>
      </c>
      <c r="E64" s="113">
        <f t="shared" si="20"/>
        <v>5</v>
      </c>
      <c r="F64" s="113">
        <f t="shared" si="20"/>
        <v>5</v>
      </c>
      <c r="G64" s="113">
        <f t="shared" si="20"/>
        <v>5</v>
      </c>
      <c r="H64" s="113">
        <f t="shared" si="20"/>
        <v>5</v>
      </c>
    </row>
    <row r="65" spans="1:8">
      <c r="A65" t="s">
        <v>27</v>
      </c>
      <c r="B65" s="5" t="s">
        <v>32</v>
      </c>
      <c r="C65" s="113">
        <f t="shared" ref="C65:H65" si="21">C36</f>
        <v>0</v>
      </c>
      <c r="D65" s="113">
        <f t="shared" si="21"/>
        <v>0</v>
      </c>
      <c r="E65" s="113">
        <f t="shared" si="21"/>
        <v>5</v>
      </c>
      <c r="F65" s="113">
        <f t="shared" si="21"/>
        <v>5</v>
      </c>
      <c r="G65" s="113">
        <f t="shared" si="21"/>
        <v>5</v>
      </c>
      <c r="H65" s="113">
        <f t="shared" si="21"/>
        <v>5</v>
      </c>
    </row>
    <row r="66" spans="1:8">
      <c r="A66" t="s">
        <v>27</v>
      </c>
      <c r="B66" s="5" t="s">
        <v>33</v>
      </c>
      <c r="C66" s="113">
        <f t="shared" ref="C66:H66" si="22">C37</f>
        <v>0</v>
      </c>
      <c r="D66" s="113">
        <f t="shared" si="22"/>
        <v>0</v>
      </c>
      <c r="E66" s="113">
        <f t="shared" si="22"/>
        <v>0</v>
      </c>
      <c r="F66" s="113">
        <f t="shared" si="22"/>
        <v>0</v>
      </c>
      <c r="G66" s="113">
        <f t="shared" si="22"/>
        <v>0</v>
      </c>
      <c r="H66" s="113">
        <f t="shared" si="22"/>
        <v>0</v>
      </c>
    </row>
    <row r="67" spans="1:8">
      <c r="A67" t="s">
        <v>27</v>
      </c>
      <c r="B67" s="5" t="s">
        <v>34</v>
      </c>
      <c r="C67" s="113">
        <f t="shared" ref="C67:H67" si="23">C38</f>
        <v>10</v>
      </c>
      <c r="D67" s="113">
        <f t="shared" si="23"/>
        <v>10</v>
      </c>
      <c r="E67" s="113">
        <f t="shared" si="23"/>
        <v>0</v>
      </c>
      <c r="F67" s="113">
        <f t="shared" si="23"/>
        <v>0</v>
      </c>
      <c r="G67" s="113">
        <f t="shared" si="23"/>
        <v>0</v>
      </c>
      <c r="H67" s="113">
        <f t="shared" si="23"/>
        <v>0</v>
      </c>
    </row>
    <row r="68" spans="1:8">
      <c r="A68" t="s">
        <v>27</v>
      </c>
      <c r="B68" s="5" t="s">
        <v>35</v>
      </c>
      <c r="C68" s="113">
        <f t="shared" ref="C68:H68" si="24">C39</f>
        <v>0</v>
      </c>
      <c r="D68" s="113">
        <f t="shared" si="24"/>
        <v>0</v>
      </c>
      <c r="E68" s="113">
        <f t="shared" si="24"/>
        <v>0</v>
      </c>
      <c r="F68" s="113">
        <f t="shared" si="24"/>
        <v>0</v>
      </c>
      <c r="G68" s="113">
        <f t="shared" si="24"/>
        <v>0</v>
      </c>
      <c r="H68" s="113">
        <f t="shared" si="24"/>
        <v>0</v>
      </c>
    </row>
    <row r="69" spans="1:8">
      <c r="A69" t="s">
        <v>27</v>
      </c>
      <c r="B69" s="5" t="s">
        <v>36</v>
      </c>
      <c r="C69" s="113">
        <f t="shared" ref="C69:H69" si="25">C40</f>
        <v>0</v>
      </c>
      <c r="D69" s="113">
        <f t="shared" si="25"/>
        <v>0</v>
      </c>
      <c r="E69" s="113">
        <f t="shared" si="25"/>
        <v>0</v>
      </c>
      <c r="F69" s="113">
        <f t="shared" si="25"/>
        <v>0</v>
      </c>
      <c r="G69" s="113">
        <f t="shared" si="25"/>
        <v>0</v>
      </c>
      <c r="H69" s="113">
        <f t="shared" si="25"/>
        <v>0</v>
      </c>
    </row>
    <row r="70" spans="1:8">
      <c r="A70" t="s">
        <v>27</v>
      </c>
      <c r="B70" s="5" t="s">
        <v>37</v>
      </c>
      <c r="C70" s="113">
        <f t="shared" ref="C70:H70" si="26">C41</f>
        <v>0</v>
      </c>
      <c r="D70" s="113">
        <f t="shared" si="26"/>
        <v>0</v>
      </c>
      <c r="E70" s="113">
        <f t="shared" si="26"/>
        <v>0</v>
      </c>
      <c r="F70" s="113">
        <f t="shared" si="26"/>
        <v>0</v>
      </c>
      <c r="G70" s="113">
        <f t="shared" si="26"/>
        <v>0</v>
      </c>
      <c r="H70" s="113">
        <f t="shared" si="26"/>
        <v>0</v>
      </c>
    </row>
    <row r="71" spans="1:8">
      <c r="A71" t="s">
        <v>27</v>
      </c>
      <c r="B71" s="5" t="s">
        <v>38</v>
      </c>
      <c r="C71" s="113">
        <f t="shared" ref="C71:H71" si="27">C42</f>
        <v>3</v>
      </c>
      <c r="D71" s="113">
        <f t="shared" si="27"/>
        <v>3</v>
      </c>
      <c r="E71" s="113">
        <f t="shared" si="27"/>
        <v>0</v>
      </c>
      <c r="F71" s="113">
        <f t="shared" si="27"/>
        <v>0</v>
      </c>
      <c r="G71" s="113">
        <f t="shared" si="27"/>
        <v>0</v>
      </c>
      <c r="H71" s="113">
        <f t="shared" si="27"/>
        <v>0</v>
      </c>
    </row>
    <row r="72" spans="1:8">
      <c r="A72" t="s">
        <v>27</v>
      </c>
      <c r="B72" s="5" t="s">
        <v>39</v>
      </c>
      <c r="C72" s="113">
        <f t="shared" ref="C72:H72" si="28">C43</f>
        <v>0</v>
      </c>
      <c r="D72" s="113">
        <f t="shared" si="28"/>
        <v>0</v>
      </c>
      <c r="E72" s="113">
        <f t="shared" si="28"/>
        <v>0</v>
      </c>
      <c r="F72" s="113">
        <f t="shared" si="28"/>
        <v>0</v>
      </c>
      <c r="G72" s="113">
        <f t="shared" si="28"/>
        <v>0</v>
      </c>
      <c r="H72" s="113">
        <f t="shared" si="28"/>
        <v>0</v>
      </c>
    </row>
    <row r="73" spans="1:8">
      <c r="A73" t="s">
        <v>27</v>
      </c>
      <c r="B73" s="5" t="s">
        <v>40</v>
      </c>
      <c r="C73" s="113">
        <f t="shared" ref="C73:H73" si="29">C44</f>
        <v>0</v>
      </c>
      <c r="D73" s="113">
        <f t="shared" si="29"/>
        <v>0</v>
      </c>
      <c r="E73" s="113">
        <f t="shared" si="29"/>
        <v>0</v>
      </c>
      <c r="F73" s="113">
        <f t="shared" si="29"/>
        <v>0</v>
      </c>
      <c r="G73" s="113">
        <f t="shared" si="29"/>
        <v>0</v>
      </c>
      <c r="H73" s="113">
        <f t="shared" si="29"/>
        <v>0</v>
      </c>
    </row>
    <row r="74" spans="1:8">
      <c r="A74" t="s">
        <v>27</v>
      </c>
      <c r="B74" s="5" t="s">
        <v>41</v>
      </c>
      <c r="C74" s="113">
        <f t="shared" ref="C74:H74" si="30">C45</f>
        <v>60</v>
      </c>
      <c r="D74" s="113">
        <f t="shared" si="30"/>
        <v>60</v>
      </c>
      <c r="E74" s="113">
        <f t="shared" si="30"/>
        <v>54</v>
      </c>
      <c r="F74" s="113">
        <f t="shared" si="30"/>
        <v>51</v>
      </c>
      <c r="G74" s="113">
        <f t="shared" si="30"/>
        <v>51</v>
      </c>
      <c r="H74" s="113">
        <f t="shared" si="30"/>
        <v>51</v>
      </c>
    </row>
    <row r="75" spans="1:8">
      <c r="A75" t="s">
        <v>27</v>
      </c>
      <c r="B75" s="5" t="s">
        <v>42</v>
      </c>
      <c r="C75" s="113">
        <f t="shared" ref="C75:H75" si="31">C46</f>
        <v>7</v>
      </c>
      <c r="D75" s="113">
        <f t="shared" si="31"/>
        <v>7</v>
      </c>
      <c r="E75" s="113">
        <f t="shared" si="31"/>
        <v>7</v>
      </c>
      <c r="F75" s="113">
        <f t="shared" si="31"/>
        <v>3</v>
      </c>
      <c r="G75" s="113">
        <f t="shared" si="31"/>
        <v>3</v>
      </c>
      <c r="H75" s="113">
        <f t="shared" si="31"/>
        <v>3</v>
      </c>
    </row>
    <row r="76" spans="1:8">
      <c r="A76" t="s">
        <v>27</v>
      </c>
      <c r="B76" s="5" t="s">
        <v>43</v>
      </c>
      <c r="C76" s="113">
        <f t="shared" ref="C76:H76" si="32">C47</f>
        <v>0</v>
      </c>
      <c r="D76" s="113">
        <f t="shared" si="32"/>
        <v>0</v>
      </c>
      <c r="E76" s="113">
        <f t="shared" si="32"/>
        <v>0</v>
      </c>
      <c r="F76" s="113">
        <f t="shared" si="32"/>
        <v>0</v>
      </c>
      <c r="G76" s="113">
        <f t="shared" si="32"/>
        <v>0</v>
      </c>
      <c r="H76" s="113">
        <f t="shared" si="32"/>
        <v>0</v>
      </c>
    </row>
    <row r="77" spans="1:8">
      <c r="A77" t="s">
        <v>27</v>
      </c>
      <c r="B77" s="5" t="s">
        <v>44</v>
      </c>
      <c r="C77" s="113">
        <f t="shared" ref="C77:H77" si="33">C48</f>
        <v>0</v>
      </c>
      <c r="D77" s="113">
        <f t="shared" si="33"/>
        <v>0</v>
      </c>
      <c r="E77" s="113">
        <f t="shared" si="33"/>
        <v>0</v>
      </c>
      <c r="F77" s="113">
        <f t="shared" si="33"/>
        <v>0</v>
      </c>
      <c r="G77" s="113">
        <f t="shared" si="33"/>
        <v>0</v>
      </c>
      <c r="H77" s="113">
        <f t="shared" si="33"/>
        <v>0</v>
      </c>
    </row>
    <row r="78" spans="1:8">
      <c r="A78" t="s">
        <v>27</v>
      </c>
      <c r="B78" s="5" t="s">
        <v>45</v>
      </c>
      <c r="C78" s="113">
        <f t="shared" ref="C78:H78" si="34">C49</f>
        <v>10</v>
      </c>
      <c r="D78" s="113">
        <f t="shared" si="34"/>
        <v>10</v>
      </c>
      <c r="E78" s="113">
        <f t="shared" si="34"/>
        <v>10</v>
      </c>
      <c r="F78" s="113">
        <f t="shared" si="34"/>
        <v>14</v>
      </c>
      <c r="G78" s="113">
        <f t="shared" si="34"/>
        <v>14</v>
      </c>
      <c r="H78" s="113">
        <f t="shared" si="34"/>
        <v>14</v>
      </c>
    </row>
    <row r="79" spans="1:8">
      <c r="A79" t="s">
        <v>27</v>
      </c>
      <c r="B79" s="5" t="s">
        <v>46</v>
      </c>
      <c r="C79" s="113">
        <f t="shared" ref="C79:H79" si="35">C50</f>
        <v>0</v>
      </c>
      <c r="D79" s="113">
        <f t="shared" si="35"/>
        <v>0</v>
      </c>
      <c r="E79" s="113">
        <f t="shared" si="35"/>
        <v>0</v>
      </c>
      <c r="F79" s="113">
        <f t="shared" si="35"/>
        <v>0</v>
      </c>
      <c r="G79" s="113">
        <f t="shared" si="35"/>
        <v>0</v>
      </c>
      <c r="H79" s="113">
        <f t="shared" si="35"/>
        <v>0</v>
      </c>
    </row>
    <row r="80" spans="1:8">
      <c r="A80" t="s">
        <v>27</v>
      </c>
      <c r="B80" s="5" t="s">
        <v>47</v>
      </c>
      <c r="C80" s="113">
        <f t="shared" ref="C80:H80" si="36">C51</f>
        <v>10</v>
      </c>
      <c r="D80" s="113">
        <f t="shared" si="36"/>
        <v>10</v>
      </c>
      <c r="E80" s="113">
        <f t="shared" si="36"/>
        <v>5</v>
      </c>
      <c r="F80" s="113">
        <f t="shared" si="36"/>
        <v>5</v>
      </c>
      <c r="G80" s="113">
        <f t="shared" si="36"/>
        <v>5</v>
      </c>
      <c r="H80" s="113">
        <f t="shared" si="36"/>
        <v>5</v>
      </c>
    </row>
    <row r="81" spans="1:8">
      <c r="A81" t="s">
        <v>27</v>
      </c>
      <c r="B81" s="5" t="s">
        <v>48</v>
      </c>
      <c r="C81" s="113">
        <f t="shared" ref="C81:H81" si="37">C52</f>
        <v>0</v>
      </c>
      <c r="D81" s="113">
        <f t="shared" si="37"/>
        <v>0</v>
      </c>
      <c r="E81" s="113">
        <f t="shared" si="37"/>
        <v>0</v>
      </c>
      <c r="F81" s="113">
        <f t="shared" si="37"/>
        <v>0</v>
      </c>
      <c r="G81" s="113">
        <f t="shared" si="37"/>
        <v>0</v>
      </c>
      <c r="H81" s="113">
        <f t="shared" si="37"/>
        <v>0</v>
      </c>
    </row>
    <row r="82" spans="1:8">
      <c r="A82" t="s">
        <v>27</v>
      </c>
      <c r="B82" s="5" t="s">
        <v>49</v>
      </c>
      <c r="C82" s="113">
        <f t="shared" ref="C82:H82" si="38">C53</f>
        <v>0</v>
      </c>
      <c r="D82" s="113">
        <f t="shared" si="38"/>
        <v>0</v>
      </c>
      <c r="E82" s="113">
        <f t="shared" si="38"/>
        <v>0</v>
      </c>
      <c r="F82" s="113">
        <f t="shared" si="38"/>
        <v>0</v>
      </c>
      <c r="G82" s="113">
        <f t="shared" si="38"/>
        <v>0</v>
      </c>
      <c r="H82" s="113">
        <f t="shared" si="38"/>
        <v>0</v>
      </c>
    </row>
    <row r="83" spans="1:8">
      <c r="A83" t="s">
        <v>27</v>
      </c>
      <c r="B83" s="5" t="s">
        <v>50</v>
      </c>
      <c r="C83" s="113">
        <f t="shared" ref="C83:H83" si="39">C54</f>
        <v>0</v>
      </c>
      <c r="D83" s="113">
        <f t="shared" si="39"/>
        <v>0</v>
      </c>
      <c r="E83" s="113">
        <f t="shared" si="39"/>
        <v>0</v>
      </c>
      <c r="F83" s="113">
        <f t="shared" si="39"/>
        <v>0</v>
      </c>
      <c r="G83" s="113">
        <f t="shared" si="39"/>
        <v>0</v>
      </c>
      <c r="H83" s="113">
        <f t="shared" si="39"/>
        <v>0</v>
      </c>
    </row>
    <row r="84" spans="1:8">
      <c r="A84" t="s">
        <v>27</v>
      </c>
      <c r="B84" s="5" t="s">
        <v>51</v>
      </c>
      <c r="C84" s="113">
        <f t="shared" ref="C84:H84" si="40">C55</f>
        <v>0</v>
      </c>
      <c r="D84" s="113">
        <f t="shared" si="40"/>
        <v>0</v>
      </c>
      <c r="E84" s="113">
        <f t="shared" si="40"/>
        <v>0</v>
      </c>
      <c r="F84" s="113">
        <f t="shared" si="40"/>
        <v>0</v>
      </c>
      <c r="G84" s="113">
        <f t="shared" si="40"/>
        <v>0</v>
      </c>
      <c r="H84" s="113">
        <f t="shared" si="40"/>
        <v>0</v>
      </c>
    </row>
    <row r="85" spans="1:8">
      <c r="A85" t="s">
        <v>27</v>
      </c>
      <c r="B85" s="5" t="s">
        <v>52</v>
      </c>
      <c r="C85" s="113">
        <f t="shared" ref="C85:H85" si="41">C56</f>
        <v>0</v>
      </c>
      <c r="D85" s="113">
        <f t="shared" si="41"/>
        <v>0</v>
      </c>
      <c r="E85" s="113">
        <f t="shared" si="41"/>
        <v>0</v>
      </c>
      <c r="F85" s="113">
        <f t="shared" si="41"/>
        <v>0</v>
      </c>
      <c r="G85" s="113">
        <f t="shared" si="41"/>
        <v>0</v>
      </c>
      <c r="H85" s="113">
        <f t="shared" si="41"/>
        <v>0</v>
      </c>
    </row>
    <row r="86" spans="1:8">
      <c r="A86" t="s">
        <v>27</v>
      </c>
      <c r="B86" s="5" t="s">
        <v>53</v>
      </c>
      <c r="C86" s="113">
        <f t="shared" ref="C86:H86" si="42">C57</f>
        <v>0</v>
      </c>
      <c r="D86" s="113">
        <f t="shared" si="42"/>
        <v>0</v>
      </c>
      <c r="E86" s="113">
        <f t="shared" si="42"/>
        <v>0</v>
      </c>
      <c r="F86" s="113">
        <f t="shared" si="42"/>
        <v>0</v>
      </c>
      <c r="G86" s="113">
        <f t="shared" si="42"/>
        <v>0</v>
      </c>
      <c r="H86" s="113">
        <f t="shared" si="42"/>
        <v>0</v>
      </c>
    </row>
    <row r="87" spans="1:8">
      <c r="A87" t="s">
        <v>27</v>
      </c>
      <c r="B87" s="3" t="s">
        <v>54</v>
      </c>
      <c r="C87" s="113">
        <f t="shared" ref="C87:H87" si="43">C58</f>
        <v>0</v>
      </c>
      <c r="D87" s="113">
        <f t="shared" si="43"/>
        <v>0</v>
      </c>
      <c r="E87" s="113">
        <f t="shared" si="43"/>
        <v>0</v>
      </c>
      <c r="F87" s="113">
        <f t="shared" si="43"/>
        <v>0</v>
      </c>
      <c r="G87" s="113">
        <f t="shared" si="43"/>
        <v>0</v>
      </c>
      <c r="H87" s="113">
        <f t="shared" si="43"/>
        <v>0</v>
      </c>
    </row>
    <row r="88" spans="1:8">
      <c r="A88" t="s">
        <v>27</v>
      </c>
      <c r="B88" t="s">
        <v>55</v>
      </c>
      <c r="C88" s="113">
        <f t="shared" ref="C88:H88" si="44">C59</f>
        <v>0</v>
      </c>
      <c r="D88" s="113">
        <f t="shared" si="44"/>
        <v>0</v>
      </c>
      <c r="E88" s="113">
        <f t="shared" si="44"/>
        <v>14</v>
      </c>
      <c r="F88" s="113">
        <f t="shared" si="44"/>
        <v>17</v>
      </c>
      <c r="G88" s="113">
        <f t="shared" si="44"/>
        <v>17</v>
      </c>
      <c r="H88" s="113">
        <f t="shared" si="44"/>
        <v>17</v>
      </c>
    </row>
    <row r="89" spans="1:8">
      <c r="A89" t="s">
        <v>27</v>
      </c>
      <c r="B89" t="s">
        <v>56</v>
      </c>
      <c r="C89" s="113">
        <f t="shared" ref="C89:H89" si="45">C60</f>
        <v>0</v>
      </c>
      <c r="D89" s="113">
        <f t="shared" si="45"/>
        <v>0</v>
      </c>
      <c r="E89" s="113">
        <f t="shared" si="45"/>
        <v>0</v>
      </c>
      <c r="F89" s="113">
        <f t="shared" si="45"/>
        <v>0</v>
      </c>
      <c r="G89" s="113">
        <f t="shared" si="45"/>
        <v>0</v>
      </c>
      <c r="H89" s="113">
        <f t="shared" si="45"/>
        <v>0</v>
      </c>
    </row>
  </sheetData>
  <mergeCells count="1">
    <mergeCell ref="G1:H1"/>
  </mergeCells>
  <conditionalFormatting sqref="N33:O61 N21:N32 O21:P21">
    <cfRule type="colorScale" priority="1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03667-E3B9-4170-9176-5B197C257FEF}">
  <dimension ref="A1:AC66"/>
  <sheetViews>
    <sheetView zoomScaleNormal="100" workbookViewId="0">
      <selection activeCell="C15" sqref="C15"/>
    </sheetView>
  </sheetViews>
  <sheetFormatPr defaultRowHeight="14.5"/>
  <cols>
    <col min="1" max="2" width="8.90625" customWidth="1"/>
    <col min="3" max="4" width="24.1796875" customWidth="1"/>
    <col min="6" max="6" width="15" customWidth="1"/>
    <col min="7" max="7" width="13" customWidth="1"/>
    <col min="8" max="8" width="14.453125" customWidth="1"/>
    <col min="10" max="10" width="14.90625" customWidth="1"/>
    <col min="27" max="27" width="12.1796875" bestFit="1" customWidth="1"/>
  </cols>
  <sheetData>
    <row r="1" spans="1:29" s="50" customFormat="1" ht="44" thickBot="1">
      <c r="C1" s="50" t="s">
        <v>233</v>
      </c>
      <c r="D1" s="50" t="s">
        <v>67</v>
      </c>
      <c r="E1" s="50" t="s">
        <v>131</v>
      </c>
      <c r="F1" s="50" t="s">
        <v>132</v>
      </c>
      <c r="G1" s="50" t="s">
        <v>206</v>
      </c>
      <c r="H1" s="50" t="s">
        <v>123</v>
      </c>
    </row>
    <row r="2" spans="1:29" ht="15" thickBot="1">
      <c r="A2" s="41"/>
      <c r="B2" s="53">
        <v>2006</v>
      </c>
      <c r="C2" s="42">
        <v>1116733</v>
      </c>
      <c r="D2" s="52">
        <v>1116733</v>
      </c>
      <c r="E2" s="52">
        <v>584941</v>
      </c>
      <c r="F2" s="58">
        <v>4046949</v>
      </c>
      <c r="G2" s="36"/>
      <c r="H2" s="53"/>
    </row>
    <row r="3" spans="1:29" ht="15" thickBot="1">
      <c r="A3" s="41"/>
      <c r="B3" s="53">
        <v>2007</v>
      </c>
      <c r="C3" s="42">
        <v>1168026</v>
      </c>
      <c r="D3" s="52">
        <v>1168026</v>
      </c>
      <c r="E3" s="52">
        <v>607197</v>
      </c>
      <c r="F3" s="58">
        <v>4251813</v>
      </c>
      <c r="G3" s="36"/>
      <c r="H3" s="53"/>
    </row>
    <row r="4" spans="1:29" ht="15" thickBot="1">
      <c r="A4" s="41"/>
      <c r="B4" s="53">
        <v>2008</v>
      </c>
      <c r="C4" s="42">
        <v>1224563</v>
      </c>
      <c r="D4" s="52">
        <v>1224563</v>
      </c>
      <c r="E4" s="52">
        <v>635598</v>
      </c>
      <c r="F4" s="58">
        <v>4502651</v>
      </c>
      <c r="G4" s="36"/>
      <c r="H4" s="53"/>
      <c r="Z4" t="s">
        <v>90</v>
      </c>
      <c r="AA4">
        <f>42849 * A46 + 1000000</f>
        <v>2671111</v>
      </c>
      <c r="AC4">
        <f>42849 * C46 + 1000000</f>
        <v>1000000</v>
      </c>
    </row>
    <row r="5" spans="1:29" ht="15" thickBot="1">
      <c r="A5" s="41"/>
      <c r="B5" s="53">
        <v>2009</v>
      </c>
      <c r="C5" s="42">
        <v>1278070</v>
      </c>
      <c r="D5" s="52">
        <v>1278070</v>
      </c>
      <c r="E5" s="52">
        <v>664294</v>
      </c>
      <c r="F5" s="58">
        <v>4815539</v>
      </c>
      <c r="G5" s="36"/>
      <c r="H5" s="54"/>
      <c r="Z5" t="s">
        <v>123</v>
      </c>
      <c r="AA5">
        <f>102922* A46 +5000000</f>
        <v>9013958</v>
      </c>
      <c r="AC5" t="e">
        <f>475662 * LN(C46) + 4000000</f>
        <v>#NUM!</v>
      </c>
    </row>
    <row r="6" spans="1:29" ht="15" thickBot="1">
      <c r="A6" s="41"/>
      <c r="B6" s="53">
        <v>2010</v>
      </c>
      <c r="C6" s="42">
        <v>1298825</v>
      </c>
      <c r="D6" s="52">
        <v>1298825</v>
      </c>
      <c r="E6" s="52">
        <v>666450</v>
      </c>
      <c r="F6" s="58">
        <v>5037715</v>
      </c>
      <c r="G6" s="36">
        <v>942484</v>
      </c>
      <c r="H6" s="36">
        <v>4095231</v>
      </c>
      <c r="J6" s="36"/>
      <c r="K6" s="48"/>
      <c r="Z6" t="s">
        <v>133</v>
      </c>
      <c r="AA6" s="152">
        <f xml:space="preserve"> -24723 * A46 + 980864</f>
        <v>16667</v>
      </c>
      <c r="AC6" s="152" t="e">
        <f>-100000 * LN(C46) + 995465</f>
        <v>#NUM!</v>
      </c>
    </row>
    <row r="7" spans="1:29" ht="15" thickBot="1">
      <c r="A7" s="41"/>
      <c r="B7" s="53">
        <v>2011</v>
      </c>
      <c r="C7" s="42">
        <v>1338583</v>
      </c>
      <c r="D7" s="52">
        <v>1338583</v>
      </c>
      <c r="E7" s="52">
        <v>684157</v>
      </c>
      <c r="F7" s="58">
        <v>5288115</v>
      </c>
      <c r="G7" s="36">
        <v>973439</v>
      </c>
      <c r="H7" s="36">
        <v>4314676</v>
      </c>
      <c r="J7" s="36"/>
      <c r="K7" s="48"/>
    </row>
    <row r="8" spans="1:29" ht="15" thickBot="1">
      <c r="A8" s="41">
        <v>1</v>
      </c>
      <c r="B8" s="53">
        <v>2012</v>
      </c>
      <c r="C8" s="43">
        <v>1367466</v>
      </c>
      <c r="D8" s="43">
        <v>1367466</v>
      </c>
      <c r="E8" s="52">
        <v>699339</v>
      </c>
      <c r="F8" s="59">
        <v>5423881</v>
      </c>
      <c r="G8" s="36">
        <v>933777</v>
      </c>
      <c r="H8" s="36">
        <v>4490104</v>
      </c>
      <c r="J8" s="36"/>
      <c r="K8" s="48"/>
    </row>
    <row r="9" spans="1:29" ht="15" thickBot="1">
      <c r="A9" s="41">
        <v>2</v>
      </c>
      <c r="B9" s="53">
        <v>2013</v>
      </c>
      <c r="C9" s="42">
        <v>1404168</v>
      </c>
      <c r="D9" s="52">
        <v>1404168</v>
      </c>
      <c r="E9" s="52">
        <v>718516</v>
      </c>
      <c r="F9" s="59">
        <v>5641214</v>
      </c>
      <c r="G9" s="36">
        <v>960391</v>
      </c>
      <c r="H9" s="36">
        <v>4680823</v>
      </c>
      <c r="J9" s="36"/>
      <c r="K9" s="48"/>
    </row>
    <row r="10" spans="1:29" ht="15" thickBot="1">
      <c r="A10" s="41">
        <v>3</v>
      </c>
      <c r="B10" s="53">
        <v>2014</v>
      </c>
      <c r="C10" s="44">
        <v>1458377</v>
      </c>
      <c r="D10" s="55">
        <v>1458377</v>
      </c>
      <c r="E10" s="55">
        <v>744336</v>
      </c>
      <c r="F10" s="59">
        <v>5829024</v>
      </c>
      <c r="G10" s="36">
        <v>910246</v>
      </c>
      <c r="H10" s="36">
        <v>4918778</v>
      </c>
      <c r="J10" s="36"/>
      <c r="K10" s="48"/>
    </row>
    <row r="11" spans="1:29" ht="15" thickBot="1">
      <c r="A11" s="41">
        <v>4</v>
      </c>
      <c r="B11" s="53">
        <v>2015</v>
      </c>
      <c r="C11" s="42">
        <v>1492517</v>
      </c>
      <c r="D11" s="52">
        <v>1492517</v>
      </c>
      <c r="E11" s="56">
        <v>757423</v>
      </c>
      <c r="F11" s="59">
        <v>5929529</v>
      </c>
      <c r="G11" s="36">
        <v>869794</v>
      </c>
      <c r="H11" s="36">
        <v>5059735</v>
      </c>
      <c r="J11" s="36"/>
      <c r="K11" s="48"/>
      <c r="X11">
        <f>G18/H18</f>
        <v>0.12426007502729081</v>
      </c>
    </row>
    <row r="12" spans="1:29" ht="15" thickBot="1">
      <c r="A12" s="41">
        <v>5</v>
      </c>
      <c r="B12" s="53">
        <v>2016</v>
      </c>
      <c r="C12" s="42">
        <v>1527763</v>
      </c>
      <c r="D12" s="52">
        <v>1527763</v>
      </c>
      <c r="E12" s="56">
        <v>769933</v>
      </c>
      <c r="F12" s="59">
        <v>6022554</v>
      </c>
      <c r="G12" s="36">
        <v>856904</v>
      </c>
      <c r="H12" s="36">
        <v>5165650</v>
      </c>
      <c r="J12" s="36"/>
      <c r="K12" s="48"/>
    </row>
    <row r="13" spans="1:29" ht="15" thickBot="1">
      <c r="A13" s="41">
        <v>6</v>
      </c>
      <c r="B13" s="53">
        <v>2017</v>
      </c>
      <c r="C13" s="42">
        <v>1575434</v>
      </c>
      <c r="D13" s="52">
        <v>1575434</v>
      </c>
      <c r="E13" s="56">
        <v>789796</v>
      </c>
      <c r="F13" s="59">
        <v>6077775</v>
      </c>
      <c r="G13" s="36">
        <v>820043</v>
      </c>
      <c r="H13" s="36">
        <v>5257732</v>
      </c>
      <c r="J13" s="36"/>
      <c r="K13" s="48"/>
    </row>
    <row r="14" spans="1:29" ht="15" thickBot="1">
      <c r="A14" s="41">
        <v>7</v>
      </c>
      <c r="B14" s="53">
        <v>2018</v>
      </c>
      <c r="C14" s="42">
        <v>1627296</v>
      </c>
      <c r="D14" s="52">
        <v>1627296</v>
      </c>
      <c r="E14" s="56">
        <v>812596</v>
      </c>
      <c r="F14" s="59">
        <v>6167949</v>
      </c>
      <c r="G14" s="36">
        <v>806949</v>
      </c>
      <c r="H14" s="36">
        <v>5361000</v>
      </c>
      <c r="J14" s="36"/>
      <c r="K14" s="48"/>
    </row>
    <row r="15" spans="1:29" ht="15" thickBot="1">
      <c r="A15" s="41">
        <v>8</v>
      </c>
      <c r="B15" s="53">
        <v>2019</v>
      </c>
      <c r="C15" s="45">
        <v>1680750</v>
      </c>
      <c r="D15" s="45">
        <v>1680750</v>
      </c>
      <c r="E15" s="57">
        <v>835270</v>
      </c>
      <c r="F15" s="60">
        <v>6266739</v>
      </c>
      <c r="G15" s="36">
        <v>801133</v>
      </c>
      <c r="H15" s="36">
        <v>5465606</v>
      </c>
      <c r="J15" s="36"/>
      <c r="K15" s="48"/>
    </row>
    <row r="16" spans="1:29" ht="15" thickBot="1">
      <c r="A16" s="41">
        <v>9</v>
      </c>
      <c r="B16" s="53">
        <v>2020</v>
      </c>
      <c r="C16" s="45">
        <v>1715776</v>
      </c>
      <c r="D16" s="45">
        <v>1715776</v>
      </c>
      <c r="E16" s="57">
        <v>855050</v>
      </c>
      <c r="F16" s="60">
        <v>6278736</v>
      </c>
      <c r="G16" s="36">
        <v>770704</v>
      </c>
      <c r="H16" s="36">
        <v>5508032</v>
      </c>
      <c r="J16" s="36"/>
      <c r="K16" s="48"/>
    </row>
    <row r="17" spans="1:11" ht="15" thickBot="1">
      <c r="A17" s="41">
        <v>10</v>
      </c>
      <c r="B17" s="53">
        <v>2021</v>
      </c>
      <c r="C17" s="46">
        <v>1750467</v>
      </c>
      <c r="D17" s="60">
        <v>1750467</v>
      </c>
      <c r="E17" s="57">
        <v>868820</v>
      </c>
      <c r="F17" s="61">
        <v>6278104</v>
      </c>
      <c r="G17" s="36">
        <v>742507</v>
      </c>
      <c r="H17" s="36">
        <v>5535597</v>
      </c>
      <c r="J17" s="36"/>
      <c r="K17" s="48"/>
    </row>
    <row r="18" spans="1:11" ht="15" thickBot="1">
      <c r="A18" s="41">
        <v>11</v>
      </c>
      <c r="B18" s="53">
        <v>2022</v>
      </c>
      <c r="C18" s="156">
        <v>1783469</v>
      </c>
      <c r="D18" s="156">
        <v>1783469</v>
      </c>
      <c r="E18" s="60">
        <v>885673</v>
      </c>
      <c r="F18" s="124">
        <v>6200961</v>
      </c>
      <c r="G18" s="125">
        <v>685368</v>
      </c>
      <c r="H18" s="125">
        <v>5515593</v>
      </c>
      <c r="J18" s="36"/>
      <c r="K18" s="48"/>
    </row>
    <row r="19" spans="1:11" ht="15" thickBot="1">
      <c r="A19" s="41">
        <v>12</v>
      </c>
      <c r="B19" s="53">
        <v>2023</v>
      </c>
      <c r="C19" s="60"/>
      <c r="D19" s="60"/>
      <c r="E19" s="60"/>
      <c r="F19" s="61"/>
      <c r="G19" s="36"/>
      <c r="H19" s="36"/>
      <c r="J19" s="36"/>
      <c r="K19" s="48"/>
    </row>
    <row r="20" spans="1:11" ht="15" thickBot="1">
      <c r="A20" s="41">
        <v>13</v>
      </c>
      <c r="B20" s="53">
        <v>2024</v>
      </c>
      <c r="C20" s="60"/>
      <c r="D20" s="60"/>
      <c r="E20" s="60"/>
      <c r="F20" s="61"/>
      <c r="G20" s="36"/>
      <c r="H20" s="36"/>
      <c r="J20" s="36"/>
      <c r="K20" s="48"/>
    </row>
    <row r="21" spans="1:11" ht="15" thickBot="1">
      <c r="A21" s="41">
        <v>14</v>
      </c>
      <c r="B21" s="53">
        <v>2025</v>
      </c>
      <c r="C21" s="60"/>
      <c r="D21" s="60"/>
      <c r="E21" s="60"/>
      <c r="F21" s="61"/>
      <c r="G21" s="36"/>
      <c r="H21" s="36"/>
      <c r="J21" s="36"/>
      <c r="K21" s="48"/>
    </row>
    <row r="22" spans="1:11" ht="15" thickBot="1">
      <c r="A22" s="41">
        <v>15</v>
      </c>
      <c r="B22" s="53">
        <v>2026</v>
      </c>
      <c r="C22" s="60"/>
      <c r="D22" s="60"/>
      <c r="E22" s="60"/>
      <c r="F22" s="61"/>
      <c r="G22" s="36"/>
      <c r="H22" s="36"/>
      <c r="J22" s="36"/>
      <c r="K22" s="48"/>
    </row>
    <row r="23" spans="1:11" ht="15" thickBot="1">
      <c r="A23" s="41">
        <v>16</v>
      </c>
      <c r="B23" s="53">
        <v>2027</v>
      </c>
      <c r="C23" s="60"/>
      <c r="D23" s="60"/>
      <c r="E23" s="60"/>
      <c r="F23" s="61"/>
      <c r="G23" s="36"/>
      <c r="H23" s="36"/>
      <c r="J23" s="36"/>
      <c r="K23" s="48"/>
    </row>
    <row r="24" spans="1:11" ht="15" thickBot="1">
      <c r="A24" s="41">
        <v>17</v>
      </c>
      <c r="B24" s="53">
        <v>2028</v>
      </c>
      <c r="C24" s="60"/>
      <c r="D24" s="60"/>
      <c r="E24" s="60"/>
      <c r="F24" s="61"/>
      <c r="G24" s="36"/>
      <c r="H24" s="36"/>
      <c r="J24" s="36"/>
      <c r="K24" s="48"/>
    </row>
    <row r="25" spans="1:11" ht="15" thickBot="1">
      <c r="A25" s="41">
        <v>18</v>
      </c>
      <c r="B25" s="53">
        <v>2029</v>
      </c>
      <c r="C25" s="60"/>
      <c r="D25" s="60"/>
      <c r="E25" s="60"/>
      <c r="F25" s="61"/>
      <c r="G25" s="36"/>
      <c r="H25" s="36"/>
      <c r="J25" s="36"/>
      <c r="K25" s="48"/>
    </row>
    <row r="26" spans="1:11" ht="15" thickBot="1">
      <c r="A26" s="41">
        <v>19</v>
      </c>
      <c r="B26" s="53">
        <v>2030</v>
      </c>
      <c r="C26" s="60"/>
      <c r="D26" s="60"/>
      <c r="E26" s="60"/>
      <c r="F26" s="61"/>
      <c r="G26" s="36"/>
      <c r="H26" s="36"/>
      <c r="J26" s="36"/>
      <c r="K26" s="48"/>
    </row>
    <row r="27" spans="1:11" ht="15" thickBot="1">
      <c r="A27" s="41">
        <v>20</v>
      </c>
      <c r="B27" s="53">
        <v>2031</v>
      </c>
      <c r="C27" s="60"/>
      <c r="D27" s="60"/>
      <c r="E27" s="60"/>
      <c r="F27" s="61"/>
      <c r="G27" s="36"/>
      <c r="H27" s="36"/>
      <c r="J27" s="36"/>
      <c r="K27" s="48"/>
    </row>
    <row r="28" spans="1:11" ht="15" thickBot="1">
      <c r="A28" s="41">
        <v>21</v>
      </c>
      <c r="B28" s="53">
        <v>2032</v>
      </c>
      <c r="C28" s="60"/>
      <c r="D28" s="60"/>
      <c r="E28" s="60"/>
      <c r="F28" s="61"/>
      <c r="G28" s="36"/>
      <c r="H28" s="36"/>
      <c r="J28" s="36"/>
      <c r="K28" s="48"/>
    </row>
    <row r="29" spans="1:11" ht="15" thickBot="1">
      <c r="A29" s="41">
        <v>22</v>
      </c>
      <c r="B29" s="53">
        <v>2033</v>
      </c>
      <c r="C29" s="60"/>
      <c r="D29" s="60"/>
      <c r="E29" s="60"/>
      <c r="F29" s="61"/>
      <c r="G29" s="36"/>
      <c r="H29" s="36"/>
      <c r="J29" s="36"/>
      <c r="K29" s="48"/>
    </row>
    <row r="30" spans="1:11" ht="15" thickBot="1">
      <c r="A30" s="41">
        <v>23</v>
      </c>
      <c r="B30" s="53">
        <v>2034</v>
      </c>
      <c r="C30" s="60"/>
      <c r="D30" s="60"/>
      <c r="E30" s="60"/>
      <c r="F30" s="61"/>
      <c r="G30" s="36"/>
      <c r="H30" s="36"/>
      <c r="J30" s="36"/>
      <c r="K30" s="48"/>
    </row>
    <row r="31" spans="1:11" ht="15" thickBot="1">
      <c r="A31" s="41">
        <v>24</v>
      </c>
      <c r="B31" s="53">
        <v>2035</v>
      </c>
      <c r="C31" s="60"/>
      <c r="D31" s="60"/>
      <c r="E31" s="60"/>
      <c r="F31" s="61"/>
      <c r="G31" s="36"/>
      <c r="H31" s="36"/>
      <c r="J31" s="36"/>
      <c r="K31" s="48"/>
    </row>
    <row r="32" spans="1:11" ht="15" thickBot="1">
      <c r="A32" s="41">
        <v>25</v>
      </c>
      <c r="B32" s="53">
        <v>2036</v>
      </c>
      <c r="C32" s="60"/>
      <c r="D32" s="60"/>
      <c r="E32" s="60"/>
      <c r="F32" s="61"/>
      <c r="G32" s="36"/>
      <c r="H32" s="36"/>
      <c r="J32" s="36"/>
      <c r="K32" s="48"/>
    </row>
    <row r="33" spans="1:11" ht="15" thickBot="1">
      <c r="A33" s="41">
        <v>26</v>
      </c>
      <c r="B33" s="53">
        <v>2037</v>
      </c>
      <c r="C33" s="60"/>
      <c r="D33" s="60"/>
      <c r="E33" s="60"/>
      <c r="F33" s="61"/>
      <c r="G33" s="36"/>
      <c r="H33" s="36"/>
      <c r="J33" s="36"/>
      <c r="K33" s="48"/>
    </row>
    <row r="34" spans="1:11" ht="15" thickBot="1">
      <c r="A34" s="41">
        <v>27</v>
      </c>
      <c r="B34" s="53">
        <v>2038</v>
      </c>
      <c r="C34" s="60"/>
      <c r="D34" s="60"/>
      <c r="E34" s="60"/>
      <c r="F34" s="61"/>
      <c r="G34" s="36"/>
      <c r="H34" s="36"/>
      <c r="J34" s="36"/>
      <c r="K34" s="48"/>
    </row>
    <row r="35" spans="1:11" ht="15" thickBot="1">
      <c r="A35" s="41">
        <v>28</v>
      </c>
      <c r="B35" s="53">
        <v>2039</v>
      </c>
      <c r="C35" s="60"/>
      <c r="D35" s="60"/>
      <c r="E35" s="60"/>
      <c r="F35" s="61"/>
      <c r="G35" s="36"/>
      <c r="H35" s="36"/>
      <c r="J35" s="36"/>
      <c r="K35" s="48"/>
    </row>
    <row r="36" spans="1:11" ht="15" thickBot="1">
      <c r="A36" s="41">
        <v>29</v>
      </c>
      <c r="B36" s="53">
        <v>2040</v>
      </c>
      <c r="C36" s="60"/>
      <c r="D36" s="60"/>
      <c r="E36" s="60"/>
      <c r="F36" s="61"/>
      <c r="G36" s="36"/>
      <c r="H36" s="36"/>
      <c r="J36" s="36"/>
      <c r="K36" s="48"/>
    </row>
    <row r="37" spans="1:11" ht="15" thickBot="1">
      <c r="A37" s="41">
        <v>30</v>
      </c>
      <c r="B37" s="53">
        <v>2041</v>
      </c>
      <c r="C37" s="60"/>
      <c r="D37" s="60"/>
      <c r="E37" s="60"/>
      <c r="F37" s="61"/>
      <c r="G37" s="36"/>
      <c r="H37" s="36"/>
      <c r="J37" s="36"/>
      <c r="K37" s="48"/>
    </row>
    <row r="38" spans="1:11" ht="15" thickBot="1">
      <c r="A38" s="41">
        <v>31</v>
      </c>
      <c r="B38" s="53">
        <v>2042</v>
      </c>
      <c r="C38" s="60"/>
      <c r="D38" s="60"/>
      <c r="E38" s="60"/>
      <c r="F38" s="61"/>
      <c r="G38" s="36"/>
      <c r="H38" s="36"/>
      <c r="J38" s="36"/>
      <c r="K38" s="48"/>
    </row>
    <row r="39" spans="1:11" ht="15" thickBot="1">
      <c r="A39" s="41">
        <v>32</v>
      </c>
      <c r="B39" s="53">
        <v>2043</v>
      </c>
      <c r="C39" s="60"/>
      <c r="D39" s="60"/>
      <c r="E39" s="60"/>
      <c r="F39" s="61"/>
      <c r="G39" s="36"/>
      <c r="H39" s="36"/>
      <c r="J39" s="36"/>
      <c r="K39" s="48"/>
    </row>
    <row r="40" spans="1:11" ht="15" thickBot="1">
      <c r="A40" s="41">
        <v>33</v>
      </c>
      <c r="B40" s="53">
        <v>2044</v>
      </c>
      <c r="C40" s="60"/>
      <c r="D40" s="60"/>
      <c r="E40" s="60"/>
      <c r="F40" s="61"/>
      <c r="G40" s="36"/>
      <c r="H40" s="36"/>
      <c r="J40" s="36"/>
      <c r="K40" s="48"/>
    </row>
    <row r="41" spans="1:11" ht="15" thickBot="1">
      <c r="A41" s="41">
        <v>34</v>
      </c>
      <c r="B41" s="53">
        <v>2045</v>
      </c>
      <c r="C41" s="60"/>
      <c r="D41" s="60"/>
      <c r="E41" s="60"/>
      <c r="F41" s="61"/>
      <c r="G41" s="36"/>
      <c r="H41" s="36"/>
      <c r="J41" s="36"/>
      <c r="K41" s="48"/>
    </row>
    <row r="42" spans="1:11" ht="15" thickBot="1">
      <c r="A42" s="41">
        <v>35</v>
      </c>
      <c r="B42" s="53">
        <v>2046</v>
      </c>
      <c r="C42" s="60"/>
      <c r="D42" s="60"/>
      <c r="E42" s="60"/>
      <c r="F42" s="61"/>
      <c r="G42" s="36"/>
      <c r="H42" s="36"/>
      <c r="J42" s="36"/>
      <c r="K42" s="48"/>
    </row>
    <row r="43" spans="1:11" ht="15" thickBot="1">
      <c r="A43" s="41">
        <v>36</v>
      </c>
      <c r="B43" s="53">
        <v>2047</v>
      </c>
      <c r="C43" s="60"/>
      <c r="D43" s="60"/>
      <c r="E43" s="60"/>
      <c r="F43" s="61"/>
      <c r="G43" s="36"/>
      <c r="H43" s="36"/>
      <c r="J43" s="36"/>
      <c r="K43" s="48"/>
    </row>
    <row r="44" spans="1:11" ht="15" thickBot="1">
      <c r="A44" s="41">
        <v>37</v>
      </c>
      <c r="B44" s="53">
        <v>2048</v>
      </c>
      <c r="C44" s="60"/>
      <c r="D44" s="60"/>
      <c r="E44" s="60"/>
      <c r="F44" s="61"/>
      <c r="G44" s="36"/>
      <c r="H44" s="36"/>
      <c r="J44" s="36"/>
      <c r="K44" s="48"/>
    </row>
    <row r="45" spans="1:11" ht="15" thickBot="1">
      <c r="A45" s="41">
        <v>38</v>
      </c>
      <c r="B45" s="53">
        <v>2049</v>
      </c>
      <c r="C45" s="60"/>
      <c r="D45" s="60"/>
      <c r="E45" s="60"/>
      <c r="F45" s="61"/>
      <c r="G45" s="36"/>
      <c r="H45" s="36"/>
      <c r="J45" s="36"/>
      <c r="K45" s="48"/>
    </row>
    <row r="46" spans="1:11" ht="15" thickBot="1">
      <c r="A46" s="41">
        <v>39</v>
      </c>
      <c r="B46" s="53">
        <v>2050</v>
      </c>
      <c r="C46" s="60"/>
      <c r="D46" s="60"/>
      <c r="E46" s="60"/>
      <c r="F46" s="61"/>
      <c r="G46" s="36"/>
      <c r="H46" s="36"/>
      <c r="J46" s="36"/>
      <c r="K46" s="48"/>
    </row>
    <row r="49" spans="1:16">
      <c r="A49" t="s">
        <v>134</v>
      </c>
    </row>
    <row r="50" spans="1:16" ht="15" thickBot="1">
      <c r="C50" t="s">
        <v>135</v>
      </c>
      <c r="E50" t="s">
        <v>136</v>
      </c>
      <c r="F50" t="s">
        <v>137</v>
      </c>
      <c r="G50" t="s">
        <v>138</v>
      </c>
      <c r="K50" t="s">
        <v>135</v>
      </c>
      <c r="L50" t="s">
        <v>136</v>
      </c>
      <c r="M50" t="s">
        <v>137</v>
      </c>
      <c r="N50" t="s">
        <v>138</v>
      </c>
    </row>
    <row r="51" spans="1:16" ht="15" thickBot="1">
      <c r="A51">
        <v>2019</v>
      </c>
      <c r="C51" s="40">
        <v>661.8</v>
      </c>
      <c r="D51" s="40"/>
      <c r="E51" s="40">
        <v>2511</v>
      </c>
      <c r="F51" s="40">
        <v>2005</v>
      </c>
      <c r="G51" s="39">
        <v>1971</v>
      </c>
      <c r="J51">
        <v>2019</v>
      </c>
      <c r="K51" s="40">
        <v>2.7</v>
      </c>
      <c r="L51" s="39">
        <v>135</v>
      </c>
      <c r="M51" s="51">
        <v>17031.2</v>
      </c>
      <c r="N51" s="51">
        <v>16728.400000000001</v>
      </c>
    </row>
    <row r="52" spans="1:16" ht="15" thickBot="1">
      <c r="A52">
        <v>2020</v>
      </c>
      <c r="C52" s="40">
        <v>868</v>
      </c>
      <c r="D52" s="40"/>
      <c r="E52" s="40">
        <v>2373</v>
      </c>
      <c r="F52" s="40">
        <v>2008</v>
      </c>
      <c r="G52" s="39">
        <v>1972</v>
      </c>
      <c r="J52">
        <v>2020</v>
      </c>
      <c r="K52" s="40">
        <v>3.9</v>
      </c>
      <c r="L52" s="39">
        <v>123.3</v>
      </c>
      <c r="M52" s="51">
        <v>17972.400000000001</v>
      </c>
      <c r="N52" s="51">
        <v>18465.8</v>
      </c>
    </row>
    <row r="53" spans="1:16" ht="15" thickBot="1">
      <c r="A53">
        <v>2021</v>
      </c>
      <c r="C53" s="40">
        <v>715</v>
      </c>
      <c r="D53" s="40"/>
      <c r="E53" s="40">
        <v>2412</v>
      </c>
      <c r="F53" s="40">
        <v>2012</v>
      </c>
      <c r="G53" s="39">
        <v>2006</v>
      </c>
      <c r="J53">
        <v>2021</v>
      </c>
      <c r="K53" s="40">
        <v>4.4000000000000004</v>
      </c>
      <c r="L53" s="39">
        <v>191.8</v>
      </c>
      <c r="M53" s="51">
        <v>20588.5</v>
      </c>
      <c r="N53" s="51">
        <v>21514.1</v>
      </c>
    </row>
    <row r="54" spans="1:16" ht="15" thickBot="1">
      <c r="A54">
        <v>2022</v>
      </c>
      <c r="C54" s="40">
        <v>717</v>
      </c>
      <c r="D54" s="40"/>
      <c r="E54" s="40">
        <v>2419</v>
      </c>
      <c r="F54" s="40">
        <v>1956</v>
      </c>
      <c r="G54" s="39">
        <v>1986</v>
      </c>
      <c r="J54">
        <v>2022</v>
      </c>
      <c r="K54" s="40">
        <v>1.4</v>
      </c>
      <c r="L54" s="39">
        <v>239.8</v>
      </c>
      <c r="M54" s="51">
        <v>27341.7</v>
      </c>
      <c r="N54" s="51">
        <v>27372.1</v>
      </c>
    </row>
    <row r="55" spans="1:16" ht="15" thickBot="1">
      <c r="A55">
        <v>2023</v>
      </c>
      <c r="C55" s="40">
        <v>719</v>
      </c>
      <c r="D55" s="40"/>
      <c r="E55" s="40">
        <v>2421</v>
      </c>
      <c r="F55" s="40">
        <v>1959</v>
      </c>
      <c r="G55" s="39">
        <v>1994</v>
      </c>
      <c r="J55">
        <v>2023</v>
      </c>
      <c r="K55" s="40">
        <v>0.8</v>
      </c>
      <c r="L55" s="39">
        <v>266.7</v>
      </c>
      <c r="M55" s="51">
        <v>29758.3</v>
      </c>
      <c r="N55" s="51">
        <v>29800.6</v>
      </c>
    </row>
    <row r="57" spans="1:16">
      <c r="C57" s="47"/>
      <c r="D57" s="47"/>
    </row>
    <row r="58" spans="1:16">
      <c r="K58" s="47">
        <f>K51/SUM($K51:$N51)</f>
        <v>7.9652361692524187E-5</v>
      </c>
      <c r="L58" s="47">
        <f t="shared" ref="L58:N58" si="0">L51/SUM($K51:$N51)</f>
        <v>3.9826180846262091E-3</v>
      </c>
      <c r="M58" s="47">
        <f t="shared" si="0"/>
        <v>0.5024352972065621</v>
      </c>
      <c r="N58" s="47">
        <f t="shared" si="0"/>
        <v>0.4935024323471191</v>
      </c>
    </row>
    <row r="59" spans="1:16" ht="15" thickBot="1">
      <c r="K59" s="47">
        <f t="shared" ref="K59:N59" si="1">K52/SUM($K52:$N52)</f>
        <v>1.0665820693880006E-4</v>
      </c>
      <c r="L59" s="47">
        <f t="shared" si="1"/>
        <v>3.372040234757448E-3</v>
      </c>
      <c r="M59" s="47">
        <f t="shared" si="1"/>
        <v>0.49151383548381805</v>
      </c>
      <c r="N59" s="47">
        <f t="shared" si="1"/>
        <v>0.50500746607448566</v>
      </c>
    </row>
    <row r="60" spans="1:16" ht="15" thickBot="1">
      <c r="K60" s="47">
        <f t="shared" ref="K60:N60" si="2">K53/SUM($K53:$N53)</f>
        <v>1.0402186350440201E-4</v>
      </c>
      <c r="L60" s="47">
        <f t="shared" si="2"/>
        <v>4.5344075954873424E-3</v>
      </c>
      <c r="M60" s="47">
        <f t="shared" si="2"/>
        <v>0.48673957653645017</v>
      </c>
      <c r="N60" s="47">
        <f t="shared" si="2"/>
        <v>0.50862199400455799</v>
      </c>
      <c r="O60" s="40"/>
      <c r="P60" s="40"/>
    </row>
    <row r="61" spans="1:16">
      <c r="K61" s="47">
        <f t="shared" ref="K61:N61" si="3">K54/SUM($K54:$N54)</f>
        <v>2.5475388954599217E-5</v>
      </c>
      <c r="L61" s="47">
        <f t="shared" si="3"/>
        <v>4.3635701937949235E-3</v>
      </c>
      <c r="M61" s="47">
        <f t="shared" si="3"/>
        <v>0.49752888727140387</v>
      </c>
      <c r="N61" s="47">
        <f t="shared" si="3"/>
        <v>0.49808206714584657</v>
      </c>
    </row>
    <row r="62" spans="1:16">
      <c r="K62" s="47">
        <f t="shared" ref="K62:N62" si="4">K55/SUM($K55:$N55)</f>
        <v>1.3372023053367746E-5</v>
      </c>
      <c r="L62" s="47">
        <f t="shared" si="4"/>
        <v>4.4578981854164722E-3</v>
      </c>
      <c r="M62" s="47">
        <f t="shared" si="4"/>
        <v>0.49741084203629171</v>
      </c>
      <c r="N62" s="47">
        <f t="shared" si="4"/>
        <v>0.49811788775523852</v>
      </c>
    </row>
    <row r="63" spans="1:16">
      <c r="K63" s="47"/>
      <c r="L63" s="47"/>
      <c r="M63" s="47"/>
      <c r="N63" s="47"/>
    </row>
    <row r="65" spans="8:12" ht="15" thickBot="1"/>
    <row r="66" spans="8:12" ht="15" thickBot="1">
      <c r="H66" s="40"/>
      <c r="I66" s="40"/>
      <c r="J66" s="40"/>
      <c r="K66" s="40"/>
      <c r="L66" s="4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CA5B3-BDAC-41BE-8608-91B27AD06B3A}">
  <dimension ref="A1:F34"/>
  <sheetViews>
    <sheetView workbookViewId="0">
      <selection activeCell="C36" sqref="C36"/>
    </sheetView>
  </sheetViews>
  <sheetFormatPr defaultRowHeight="14.5"/>
  <cols>
    <col min="1" max="1" width="17.54296875" customWidth="1"/>
    <col min="2" max="2" width="12.81640625" customWidth="1"/>
    <col min="3" max="3" width="16.36328125" customWidth="1"/>
    <col min="4" max="4" width="15.81640625" customWidth="1"/>
    <col min="5" max="5" width="14.1796875" customWidth="1"/>
    <col min="6" max="6" width="11.1796875" customWidth="1"/>
  </cols>
  <sheetData>
    <row r="1" spans="1:6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</row>
    <row r="2" spans="1:6">
      <c r="A2" t="s">
        <v>69</v>
      </c>
      <c r="B2">
        <v>1990</v>
      </c>
      <c r="C2">
        <v>5933.4946876016802</v>
      </c>
      <c r="E2">
        <v>3051.4743000000003</v>
      </c>
    </row>
    <row r="3" spans="1:6">
      <c r="A3" t="s">
        <v>69</v>
      </c>
      <c r="B3">
        <v>1991</v>
      </c>
      <c r="C3">
        <v>5758.9114882064096</v>
      </c>
      <c r="E3">
        <v>2998.0410999999999</v>
      </c>
    </row>
    <row r="4" spans="1:6">
      <c r="A4" t="s">
        <v>69</v>
      </c>
      <c r="B4">
        <v>1992</v>
      </c>
      <c r="C4">
        <v>5550.3304399191902</v>
      </c>
      <c r="D4">
        <v>3816.5390999999995</v>
      </c>
      <c r="E4">
        <v>2820.2444</v>
      </c>
    </row>
    <row r="5" spans="1:6">
      <c r="A5" t="s">
        <v>69</v>
      </c>
      <c r="B5">
        <v>1993</v>
      </c>
      <c r="C5">
        <v>5167.27026646989</v>
      </c>
      <c r="D5">
        <v>3578.5884000000001</v>
      </c>
      <c r="E5">
        <v>2593.2819999999997</v>
      </c>
    </row>
    <row r="6" spans="1:6">
      <c r="A6" t="s">
        <v>69</v>
      </c>
      <c r="B6">
        <v>1994</v>
      </c>
      <c r="C6">
        <v>4648.3998093051205</v>
      </c>
      <c r="D6">
        <v>3270.1657999999998</v>
      </c>
      <c r="E6">
        <v>2147.9169999999999</v>
      </c>
    </row>
    <row r="7" spans="1:6">
      <c r="A7" t="s">
        <v>69</v>
      </c>
      <c r="B7">
        <v>1995</v>
      </c>
      <c r="C7">
        <v>3739.5263797912698</v>
      </c>
      <c r="D7">
        <v>2682.3634999999995</v>
      </c>
      <c r="E7">
        <v>1986.6959999999999</v>
      </c>
    </row>
    <row r="8" spans="1:6">
      <c r="A8" t="s">
        <v>69</v>
      </c>
      <c r="B8">
        <v>1996</v>
      </c>
      <c r="C8">
        <v>3417.7661529985203</v>
      </c>
      <c r="D8">
        <v>2479.5711000000001</v>
      </c>
      <c r="E8">
        <v>1886.7526</v>
      </c>
    </row>
    <row r="9" spans="1:6">
      <c r="A9" t="s">
        <v>69</v>
      </c>
      <c r="B9">
        <v>1997</v>
      </c>
      <c r="C9">
        <v>3223.1953654522599</v>
      </c>
      <c r="D9">
        <v>2369.0702999999999</v>
      </c>
      <c r="E9">
        <v>1941.3198</v>
      </c>
    </row>
    <row r="10" spans="1:6">
      <c r="A10" t="s">
        <v>69</v>
      </c>
      <c r="B10">
        <v>1998</v>
      </c>
      <c r="C10">
        <v>3314.7506439102499</v>
      </c>
      <c r="D10">
        <v>2452.0320999999999</v>
      </c>
      <c r="E10">
        <v>1985.9118000000001</v>
      </c>
    </row>
    <row r="11" spans="1:6">
      <c r="A11" t="s">
        <v>69</v>
      </c>
      <c r="B11">
        <v>1999</v>
      </c>
      <c r="C11">
        <v>3373.6303816810696</v>
      </c>
      <c r="D11">
        <v>2511.7532000000001</v>
      </c>
      <c r="E11">
        <v>2028.2201</v>
      </c>
    </row>
    <row r="12" spans="1:6">
      <c r="A12" t="s">
        <v>69</v>
      </c>
      <c r="B12">
        <v>2000</v>
      </c>
      <c r="C12">
        <v>3411.5361165303902</v>
      </c>
      <c r="D12">
        <v>2566.0532000000003</v>
      </c>
      <c r="E12">
        <v>2055.6199000000001</v>
      </c>
    </row>
    <row r="13" spans="1:6">
      <c r="A13" t="s">
        <v>69</v>
      </c>
      <c r="B13">
        <v>2001</v>
      </c>
      <c r="C13">
        <v>3437.23753637044</v>
      </c>
      <c r="D13">
        <v>2597.5717</v>
      </c>
      <c r="E13">
        <v>2084.3848000000003</v>
      </c>
    </row>
    <row r="14" spans="1:6">
      <c r="A14" t="s">
        <v>69</v>
      </c>
      <c r="B14">
        <v>2002</v>
      </c>
      <c r="C14">
        <v>3470.2785270262102</v>
      </c>
      <c r="D14">
        <v>2630.7451000000001</v>
      </c>
      <c r="E14">
        <v>2120.6705000000002</v>
      </c>
    </row>
    <row r="15" spans="1:6">
      <c r="A15" t="s">
        <v>69</v>
      </c>
      <c r="B15">
        <v>2003</v>
      </c>
      <c r="C15">
        <v>3514.9639453909999</v>
      </c>
      <c r="D15">
        <v>2673.3849</v>
      </c>
      <c r="E15">
        <v>2115.8281000000002</v>
      </c>
    </row>
    <row r="16" spans="1:6">
      <c r="A16" t="s">
        <v>69</v>
      </c>
      <c r="B16">
        <v>2004</v>
      </c>
      <c r="C16">
        <v>3496.1287701766896</v>
      </c>
      <c r="D16">
        <v>2662.1440999999995</v>
      </c>
      <c r="E16">
        <v>2175.2254000000003</v>
      </c>
    </row>
    <row r="17" spans="1:5">
      <c r="A17" t="s">
        <v>69</v>
      </c>
      <c r="B17">
        <v>2005</v>
      </c>
      <c r="C17">
        <v>3582.5780045211695</v>
      </c>
      <c r="D17">
        <v>2738.7354000000005</v>
      </c>
      <c r="E17">
        <v>2246.1263999999996</v>
      </c>
    </row>
    <row r="18" spans="1:5">
      <c r="A18" t="s">
        <v>69</v>
      </c>
      <c r="B18">
        <v>2006</v>
      </c>
      <c r="C18">
        <v>3704.5813523813504</v>
      </c>
      <c r="D18">
        <v>2831.1171000000004</v>
      </c>
      <c r="E18">
        <v>2332.5744000000004</v>
      </c>
    </row>
    <row r="19" spans="1:5">
      <c r="A19" t="s">
        <v>69</v>
      </c>
      <c r="B19">
        <v>2007</v>
      </c>
      <c r="C19">
        <v>3851.8717812335699</v>
      </c>
      <c r="D19">
        <v>2938.0041999999999</v>
      </c>
      <c r="E19">
        <v>2434.8090999999999</v>
      </c>
    </row>
    <row r="20" spans="1:5">
      <c r="A20" t="s">
        <v>69</v>
      </c>
      <c r="B20">
        <v>2008</v>
      </c>
      <c r="C20">
        <v>4025.1242456926798</v>
      </c>
      <c r="D20">
        <v>3066.2379000000001</v>
      </c>
      <c r="E20">
        <v>2552.0446999999999</v>
      </c>
    </row>
    <row r="21" spans="1:5">
      <c r="A21" t="s">
        <v>69</v>
      </c>
      <c r="B21">
        <v>2009</v>
      </c>
      <c r="C21">
        <v>4415.5299487641705</v>
      </c>
      <c r="D21">
        <v>3344.1806000000001</v>
      </c>
      <c r="E21">
        <v>2674.1329000000001</v>
      </c>
    </row>
    <row r="22" spans="1:5">
      <c r="A22" t="s">
        <v>69</v>
      </c>
      <c r="B22">
        <v>2010</v>
      </c>
      <c r="C22">
        <v>4527.5141487949804</v>
      </c>
      <c r="D22">
        <v>3433.5755999999997</v>
      </c>
      <c r="E22">
        <v>2732.5639000000001</v>
      </c>
    </row>
    <row r="23" spans="1:5">
      <c r="A23" t="s">
        <v>69</v>
      </c>
      <c r="B23">
        <v>2011</v>
      </c>
      <c r="C23">
        <v>4658.99181351066</v>
      </c>
      <c r="D23">
        <v>3537.5354000000002</v>
      </c>
    </row>
    <row r="24" spans="1:5">
      <c r="A24" t="s">
        <v>69</v>
      </c>
      <c r="B24">
        <v>2012</v>
      </c>
      <c r="C24">
        <v>4750.9107986866402</v>
      </c>
      <c r="D24">
        <v>3619.3252000000002</v>
      </c>
    </row>
    <row r="25" spans="1:5">
      <c r="A25" t="s">
        <v>69</v>
      </c>
      <c r="B25">
        <v>2013</v>
      </c>
      <c r="C25">
        <v>4892.7190937280502</v>
      </c>
      <c r="D25">
        <v>3737.6276000000003</v>
      </c>
    </row>
    <row r="26" spans="1:5">
      <c r="A26" t="s">
        <v>69</v>
      </c>
      <c r="B26">
        <v>2014</v>
      </c>
      <c r="C26">
        <v>5069.0970262000001</v>
      </c>
      <c r="D26">
        <v>3876.1244999999999</v>
      </c>
    </row>
    <row r="27" spans="1:5">
      <c r="A27" t="s">
        <v>69</v>
      </c>
      <c r="B27">
        <v>2015</v>
      </c>
      <c r="C27">
        <v>5159.8937676721398</v>
      </c>
      <c r="D27">
        <v>3935.5322999999999</v>
      </c>
    </row>
    <row r="28" spans="1:5">
      <c r="A28" t="s">
        <v>69</v>
      </c>
      <c r="B28">
        <v>2016</v>
      </c>
      <c r="C28">
        <v>5281.6305877754803</v>
      </c>
      <c r="D28">
        <v>4032.1318000000001</v>
      </c>
    </row>
    <row r="29" spans="1:5">
      <c r="A29" t="s">
        <v>69</v>
      </c>
      <c r="B29">
        <v>2017</v>
      </c>
      <c r="C29">
        <v>5412.7580834176297</v>
      </c>
      <c r="D29">
        <v>4126.8081000000002</v>
      </c>
    </row>
    <row r="30" spans="1:5">
      <c r="A30" t="s">
        <v>69</v>
      </c>
      <c r="B30">
        <v>2018</v>
      </c>
      <c r="C30">
        <v>5565.5512921599802</v>
      </c>
      <c r="D30">
        <v>4241.5833000000002</v>
      </c>
    </row>
    <row r="31" spans="1:5">
      <c r="A31" t="s">
        <v>69</v>
      </c>
      <c r="B31">
        <v>2019</v>
      </c>
      <c r="C31">
        <v>5728.2930842803098</v>
      </c>
      <c r="D31">
        <v>4365.2524999999996</v>
      </c>
    </row>
    <row r="32" spans="1:5">
      <c r="A32" t="s">
        <v>69</v>
      </c>
      <c r="B32">
        <v>2020</v>
      </c>
      <c r="C32">
        <v>5836.5107775513397</v>
      </c>
      <c r="D32">
        <v>4459.585500000001</v>
      </c>
    </row>
    <row r="33" spans="1:4">
      <c r="A33" t="s">
        <v>69</v>
      </c>
      <c r="B33">
        <v>2021</v>
      </c>
      <c r="C33">
        <v>5971.8341795271799</v>
      </c>
      <c r="D33">
        <v>4526.3648000000003</v>
      </c>
    </row>
    <row r="34" spans="1:4">
      <c r="A34" t="s">
        <v>69</v>
      </c>
      <c r="B34">
        <v>2022</v>
      </c>
      <c r="C34">
        <v>6111.2296414113398</v>
      </c>
      <c r="D34">
        <v>4570.1013999999996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CA4A4-A6BA-4F05-A06F-233B10C9FF26}">
  <dimension ref="A1:T113"/>
  <sheetViews>
    <sheetView topLeftCell="A82" zoomScaleNormal="100" workbookViewId="0">
      <selection activeCell="E111" sqref="E111"/>
    </sheetView>
  </sheetViews>
  <sheetFormatPr defaultRowHeight="14.5"/>
  <cols>
    <col min="5" max="5" width="22.54296875" customWidth="1"/>
    <col min="7" max="7" width="8.81640625" bestFit="1" customWidth="1"/>
    <col min="8" max="8" width="9.81640625" bestFit="1" customWidth="1"/>
    <col min="9" max="9" width="8.81640625" bestFit="1" customWidth="1"/>
    <col min="10" max="10" width="12.453125" bestFit="1" customWidth="1"/>
    <col min="11" max="11" width="11.81640625" bestFit="1" customWidth="1"/>
    <col min="12" max="12" width="10.453125" bestFit="1" customWidth="1"/>
    <col min="13" max="13" width="18.1796875" customWidth="1"/>
  </cols>
  <sheetData>
    <row r="1" spans="1:16">
      <c r="A1" s="35" t="s">
        <v>70</v>
      </c>
      <c r="B1" s="35" t="s">
        <v>71</v>
      </c>
      <c r="C1" s="35" t="s">
        <v>72</v>
      </c>
      <c r="D1" s="35" t="s">
        <v>73</v>
      </c>
      <c r="E1" s="35" t="s">
        <v>74</v>
      </c>
      <c r="F1" s="35" t="s">
        <v>75</v>
      </c>
      <c r="G1" s="35" t="s">
        <v>76</v>
      </c>
      <c r="H1" s="35" t="s">
        <v>77</v>
      </c>
      <c r="I1" s="35" t="s">
        <v>78</v>
      </c>
      <c r="J1" s="35" t="s">
        <v>64</v>
      </c>
      <c r="K1" s="35" t="s">
        <v>79</v>
      </c>
      <c r="L1" s="35" t="s">
        <v>80</v>
      </c>
      <c r="M1" s="35" t="s">
        <v>80</v>
      </c>
      <c r="N1" s="35" t="s">
        <v>81</v>
      </c>
      <c r="O1" s="35" t="s">
        <v>82</v>
      </c>
      <c r="P1" s="35" t="s">
        <v>83</v>
      </c>
    </row>
    <row r="2" spans="1:16">
      <c r="A2" s="35" t="s">
        <v>84</v>
      </c>
      <c r="B2" s="35" t="s">
        <v>85</v>
      </c>
      <c r="C2" s="35" t="s">
        <v>86</v>
      </c>
      <c r="D2" s="35" t="s">
        <v>69</v>
      </c>
      <c r="E2" s="35" t="s">
        <v>87</v>
      </c>
      <c r="F2" s="35" t="s">
        <v>88</v>
      </c>
      <c r="G2" s="35" t="s">
        <v>89</v>
      </c>
      <c r="H2" s="35" t="s">
        <v>90</v>
      </c>
      <c r="I2" s="35" t="s">
        <v>91</v>
      </c>
      <c r="J2" s="35" t="s">
        <v>91</v>
      </c>
      <c r="K2" s="35" t="s">
        <v>92</v>
      </c>
      <c r="L2" s="36">
        <f>M2/1000000</f>
        <v>1.2988249999999999</v>
      </c>
      <c r="M2" s="36">
        <v>1298825</v>
      </c>
      <c r="N2" s="35" t="s">
        <v>93</v>
      </c>
      <c r="O2" s="35" t="s">
        <v>94</v>
      </c>
    </row>
    <row r="3" spans="1:16">
      <c r="A3" s="35" t="s">
        <v>84</v>
      </c>
      <c r="B3" s="35" t="s">
        <v>85</v>
      </c>
      <c r="C3" s="35" t="s">
        <v>86</v>
      </c>
      <c r="D3" s="35" t="s">
        <v>69</v>
      </c>
      <c r="E3" s="35" t="s">
        <v>87</v>
      </c>
      <c r="F3" s="35" t="s">
        <v>88</v>
      </c>
      <c r="G3" s="35" t="s">
        <v>89</v>
      </c>
      <c r="H3" s="35" t="s">
        <v>90</v>
      </c>
      <c r="I3" s="35" t="s">
        <v>95</v>
      </c>
      <c r="J3" s="35" t="s">
        <v>95</v>
      </c>
      <c r="K3" s="35" t="s">
        <v>92</v>
      </c>
      <c r="L3" s="36">
        <f t="shared" ref="L3:L14" si="0">M3/1000000</f>
        <v>1.3385830000000001</v>
      </c>
      <c r="M3" s="36">
        <v>1338583</v>
      </c>
      <c r="N3" s="35" t="s">
        <v>93</v>
      </c>
      <c r="O3" s="35" t="s">
        <v>94</v>
      </c>
    </row>
    <row r="4" spans="1:16">
      <c r="A4" s="35" t="s">
        <v>84</v>
      </c>
      <c r="B4" s="35" t="s">
        <v>85</v>
      </c>
      <c r="C4" s="35" t="s">
        <v>86</v>
      </c>
      <c r="D4" s="35" t="s">
        <v>69</v>
      </c>
      <c r="E4" s="35" t="s">
        <v>87</v>
      </c>
      <c r="F4" s="35" t="s">
        <v>88</v>
      </c>
      <c r="G4" s="35" t="s">
        <v>89</v>
      </c>
      <c r="H4" s="35" t="s">
        <v>90</v>
      </c>
      <c r="I4" s="35" t="s">
        <v>96</v>
      </c>
      <c r="J4" s="35" t="s">
        <v>96</v>
      </c>
      <c r="K4" s="35" t="s">
        <v>92</v>
      </c>
      <c r="L4" s="36">
        <f t="shared" si="0"/>
        <v>1.3674660000000001</v>
      </c>
      <c r="M4" s="36">
        <v>1367466</v>
      </c>
      <c r="N4" s="35" t="s">
        <v>93</v>
      </c>
      <c r="O4" s="35" t="s">
        <v>94</v>
      </c>
    </row>
    <row r="5" spans="1:16">
      <c r="A5" s="35" t="s">
        <v>84</v>
      </c>
      <c r="B5" s="35" t="s">
        <v>85</v>
      </c>
      <c r="C5" s="35" t="s">
        <v>86</v>
      </c>
      <c r="D5" s="35" t="s">
        <v>69</v>
      </c>
      <c r="E5" s="35" t="s">
        <v>87</v>
      </c>
      <c r="F5" s="35" t="s">
        <v>88</v>
      </c>
      <c r="G5" s="35" t="s">
        <v>89</v>
      </c>
      <c r="H5" s="35" t="s">
        <v>90</v>
      </c>
      <c r="I5" s="35" t="s">
        <v>97</v>
      </c>
      <c r="J5" s="35" t="s">
        <v>97</v>
      </c>
      <c r="K5" s="35" t="s">
        <v>92</v>
      </c>
      <c r="L5" s="36">
        <f t="shared" si="0"/>
        <v>1.4041680000000001</v>
      </c>
      <c r="M5" s="36">
        <v>1404168</v>
      </c>
      <c r="N5" s="35" t="s">
        <v>93</v>
      </c>
      <c r="O5" s="35" t="s">
        <v>94</v>
      </c>
    </row>
    <row r="6" spans="1:16">
      <c r="A6" s="35" t="s">
        <v>84</v>
      </c>
      <c r="B6" s="35" t="s">
        <v>85</v>
      </c>
      <c r="C6" s="35" t="s">
        <v>86</v>
      </c>
      <c r="D6" s="35" t="s">
        <v>69</v>
      </c>
      <c r="E6" s="35" t="s">
        <v>87</v>
      </c>
      <c r="F6" s="35" t="s">
        <v>88</v>
      </c>
      <c r="G6" s="35" t="s">
        <v>89</v>
      </c>
      <c r="H6" s="35" t="s">
        <v>90</v>
      </c>
      <c r="I6" s="35" t="s">
        <v>98</v>
      </c>
      <c r="J6" s="35" t="s">
        <v>98</v>
      </c>
      <c r="K6" s="35" t="s">
        <v>92</v>
      </c>
      <c r="L6" s="36">
        <f t="shared" si="0"/>
        <v>1.458377</v>
      </c>
      <c r="M6" s="36">
        <v>1458377</v>
      </c>
      <c r="N6" s="35" t="s">
        <v>93</v>
      </c>
      <c r="O6" s="35" t="s">
        <v>94</v>
      </c>
    </row>
    <row r="7" spans="1:16">
      <c r="A7" s="35" t="s">
        <v>84</v>
      </c>
      <c r="B7" s="35" t="s">
        <v>85</v>
      </c>
      <c r="C7" s="35" t="s">
        <v>86</v>
      </c>
      <c r="D7" s="35" t="s">
        <v>69</v>
      </c>
      <c r="E7" s="35" t="s">
        <v>87</v>
      </c>
      <c r="F7" s="35" t="s">
        <v>88</v>
      </c>
      <c r="G7" s="35" t="s">
        <v>89</v>
      </c>
      <c r="H7" s="35" t="s">
        <v>90</v>
      </c>
      <c r="I7" s="35" t="s">
        <v>99</v>
      </c>
      <c r="J7" s="35" t="s">
        <v>99</v>
      </c>
      <c r="K7" s="35" t="s">
        <v>92</v>
      </c>
      <c r="L7" s="36">
        <f t="shared" si="0"/>
        <v>1.4925170000000001</v>
      </c>
      <c r="M7" s="36">
        <v>1492517</v>
      </c>
      <c r="N7" s="35" t="s">
        <v>93</v>
      </c>
      <c r="O7" s="35" t="s">
        <v>94</v>
      </c>
    </row>
    <row r="8" spans="1:16">
      <c r="A8" s="35" t="s">
        <v>84</v>
      </c>
      <c r="B8" s="35" t="s">
        <v>85</v>
      </c>
      <c r="C8" s="35" t="s">
        <v>86</v>
      </c>
      <c r="D8" s="35" t="s">
        <v>69</v>
      </c>
      <c r="E8" s="35" t="s">
        <v>87</v>
      </c>
      <c r="F8" s="35" t="s">
        <v>88</v>
      </c>
      <c r="G8" s="35" t="s">
        <v>89</v>
      </c>
      <c r="H8" s="35" t="s">
        <v>90</v>
      </c>
      <c r="I8" s="35" t="s">
        <v>100</v>
      </c>
      <c r="J8" s="35" t="s">
        <v>100</v>
      </c>
      <c r="K8" s="35" t="s">
        <v>92</v>
      </c>
      <c r="L8" s="36">
        <f t="shared" si="0"/>
        <v>1.527763</v>
      </c>
      <c r="M8" s="36">
        <v>1527763</v>
      </c>
      <c r="N8" s="35" t="s">
        <v>93</v>
      </c>
      <c r="O8" s="35" t="s">
        <v>94</v>
      </c>
    </row>
    <row r="9" spans="1:16">
      <c r="A9" s="35" t="s">
        <v>84</v>
      </c>
      <c r="B9" s="35" t="s">
        <v>85</v>
      </c>
      <c r="C9" s="35" t="s">
        <v>86</v>
      </c>
      <c r="D9" s="35" t="s">
        <v>69</v>
      </c>
      <c r="E9" s="35" t="s">
        <v>87</v>
      </c>
      <c r="F9" s="35" t="s">
        <v>88</v>
      </c>
      <c r="G9" s="35" t="s">
        <v>89</v>
      </c>
      <c r="H9" s="35" t="s">
        <v>90</v>
      </c>
      <c r="I9" s="35" t="s">
        <v>101</v>
      </c>
      <c r="J9" s="35" t="s">
        <v>101</v>
      </c>
      <c r="K9" s="35" t="s">
        <v>92</v>
      </c>
      <c r="L9" s="36">
        <f t="shared" si="0"/>
        <v>1.575434</v>
      </c>
      <c r="M9" s="36">
        <v>1575434</v>
      </c>
      <c r="N9" s="35" t="s">
        <v>93</v>
      </c>
      <c r="O9" s="35" t="s">
        <v>94</v>
      </c>
    </row>
    <row r="10" spans="1:16">
      <c r="A10" s="35" t="s">
        <v>84</v>
      </c>
      <c r="B10" s="35" t="s">
        <v>85</v>
      </c>
      <c r="C10" s="35" t="s">
        <v>86</v>
      </c>
      <c r="D10" s="35" t="s">
        <v>69</v>
      </c>
      <c r="E10" s="35" t="s">
        <v>87</v>
      </c>
      <c r="F10" s="35" t="s">
        <v>88</v>
      </c>
      <c r="G10" s="35" t="s">
        <v>89</v>
      </c>
      <c r="H10" s="35" t="s">
        <v>90</v>
      </c>
      <c r="I10" s="35" t="s">
        <v>102</v>
      </c>
      <c r="J10" s="35" t="s">
        <v>102</v>
      </c>
      <c r="K10" s="35" t="s">
        <v>92</v>
      </c>
      <c r="L10" s="36">
        <f t="shared" si="0"/>
        <v>1.6272960000000001</v>
      </c>
      <c r="M10" s="36">
        <v>1627296</v>
      </c>
      <c r="N10" s="35" t="s">
        <v>93</v>
      </c>
      <c r="O10" s="35" t="s">
        <v>94</v>
      </c>
    </row>
    <row r="11" spans="1:16">
      <c r="A11" s="35" t="s">
        <v>84</v>
      </c>
      <c r="B11" s="35" t="s">
        <v>85</v>
      </c>
      <c r="C11" s="35" t="s">
        <v>86</v>
      </c>
      <c r="D11" s="35" t="s">
        <v>69</v>
      </c>
      <c r="E11" s="35" t="s">
        <v>87</v>
      </c>
      <c r="F11" s="35" t="s">
        <v>88</v>
      </c>
      <c r="G11" s="35" t="s">
        <v>89</v>
      </c>
      <c r="H11" s="35" t="s">
        <v>90</v>
      </c>
      <c r="I11" s="35" t="s">
        <v>103</v>
      </c>
      <c r="J11" s="35" t="s">
        <v>103</v>
      </c>
      <c r="K11" s="35" t="s">
        <v>92</v>
      </c>
      <c r="L11" s="36">
        <f t="shared" si="0"/>
        <v>1.68075</v>
      </c>
      <c r="M11" s="36">
        <v>1680750</v>
      </c>
      <c r="N11" s="35" t="s">
        <v>93</v>
      </c>
      <c r="O11" s="35" t="s">
        <v>94</v>
      </c>
    </row>
    <row r="12" spans="1:16">
      <c r="A12" s="35" t="s">
        <v>84</v>
      </c>
      <c r="B12" s="35" t="s">
        <v>85</v>
      </c>
      <c r="C12" s="35" t="s">
        <v>86</v>
      </c>
      <c r="D12" s="35" t="s">
        <v>69</v>
      </c>
      <c r="E12" s="35" t="s">
        <v>87</v>
      </c>
      <c r="F12" s="35" t="s">
        <v>88</v>
      </c>
      <c r="G12" s="35" t="s">
        <v>89</v>
      </c>
      <c r="H12" s="35" t="s">
        <v>90</v>
      </c>
      <c r="I12" s="35" t="s">
        <v>104</v>
      </c>
      <c r="J12" s="35" t="s">
        <v>104</v>
      </c>
      <c r="K12" s="35" t="s">
        <v>92</v>
      </c>
      <c r="L12" s="36">
        <f t="shared" si="0"/>
        <v>1.715776</v>
      </c>
      <c r="M12" s="36">
        <v>1715776</v>
      </c>
      <c r="N12" s="35" t="s">
        <v>93</v>
      </c>
      <c r="O12" s="35" t="s">
        <v>94</v>
      </c>
    </row>
    <row r="13" spans="1:16">
      <c r="A13" s="35" t="s">
        <v>84</v>
      </c>
      <c r="B13" s="35" t="s">
        <v>85</v>
      </c>
      <c r="C13" s="35" t="s">
        <v>86</v>
      </c>
      <c r="D13" s="35" t="s">
        <v>69</v>
      </c>
      <c r="E13" s="35" t="s">
        <v>87</v>
      </c>
      <c r="F13" s="35" t="s">
        <v>88</v>
      </c>
      <c r="G13" s="35" t="s">
        <v>89</v>
      </c>
      <c r="H13" s="35" t="s">
        <v>90</v>
      </c>
      <c r="I13" s="35" t="s">
        <v>105</v>
      </c>
      <c r="J13" s="35" t="s">
        <v>105</v>
      </c>
      <c r="K13" s="35" t="s">
        <v>92</v>
      </c>
      <c r="L13" s="36">
        <f t="shared" si="0"/>
        <v>1.750467</v>
      </c>
      <c r="M13" s="36">
        <v>1750467</v>
      </c>
      <c r="N13" s="35" t="s">
        <v>93</v>
      </c>
      <c r="O13" s="35" t="s">
        <v>94</v>
      </c>
    </row>
    <row r="14" spans="1:16">
      <c r="A14" s="35" t="s">
        <v>84</v>
      </c>
      <c r="B14" s="35" t="s">
        <v>85</v>
      </c>
      <c r="C14" s="35" t="s">
        <v>86</v>
      </c>
      <c r="D14" s="35" t="s">
        <v>69</v>
      </c>
      <c r="E14" s="35" t="s">
        <v>87</v>
      </c>
      <c r="F14" s="35" t="s">
        <v>88</v>
      </c>
      <c r="G14" s="35" t="s">
        <v>89</v>
      </c>
      <c r="H14" s="35" t="s">
        <v>90</v>
      </c>
      <c r="I14" s="35" t="s">
        <v>106</v>
      </c>
      <c r="J14" s="35" t="s">
        <v>106</v>
      </c>
      <c r="K14" s="35" t="s">
        <v>92</v>
      </c>
      <c r="L14" s="36">
        <f t="shared" si="0"/>
        <v>1.783469</v>
      </c>
      <c r="M14" s="36">
        <v>1783469</v>
      </c>
      <c r="N14" s="35" t="s">
        <v>93</v>
      </c>
      <c r="O14" s="35" t="s">
        <v>94</v>
      </c>
    </row>
    <row r="15" spans="1:16">
      <c r="A15" s="35"/>
      <c r="B15" s="35"/>
      <c r="C15" s="35"/>
      <c r="D15" s="35"/>
      <c r="E15" s="35"/>
      <c r="F15" s="35"/>
      <c r="G15" s="35"/>
      <c r="H15" s="35"/>
      <c r="I15" s="35"/>
      <c r="J15" s="35" t="s">
        <v>107</v>
      </c>
      <c r="K15" s="35"/>
      <c r="L15" s="36"/>
      <c r="M15" s="36"/>
      <c r="N15" s="35"/>
      <c r="O15" s="35"/>
    </row>
    <row r="16" spans="1:16">
      <c r="A16" s="35"/>
      <c r="B16" s="35"/>
      <c r="C16" s="35"/>
      <c r="D16" s="35"/>
      <c r="E16" s="35"/>
      <c r="F16" s="35"/>
      <c r="G16" s="35"/>
      <c r="H16" s="35"/>
      <c r="I16" s="35"/>
      <c r="J16" s="35" t="s">
        <v>108</v>
      </c>
      <c r="K16" s="35"/>
      <c r="L16" s="36"/>
      <c r="M16" s="36"/>
      <c r="N16" s="35"/>
      <c r="O16" s="35"/>
    </row>
    <row r="17" spans="1:20">
      <c r="A17" s="35"/>
      <c r="B17" s="35"/>
      <c r="C17" s="35"/>
      <c r="D17" s="35"/>
      <c r="E17" s="35"/>
      <c r="F17" s="35"/>
      <c r="G17" s="35"/>
      <c r="H17" s="35"/>
      <c r="I17" s="35"/>
      <c r="J17" s="35" t="s">
        <v>109</v>
      </c>
      <c r="K17" s="35"/>
      <c r="L17" s="36"/>
      <c r="M17" s="36"/>
      <c r="N17" s="35"/>
      <c r="O17" s="35"/>
    </row>
    <row r="18" spans="1:20">
      <c r="A18" s="35"/>
      <c r="B18" s="35"/>
      <c r="C18" s="35"/>
      <c r="D18" s="35"/>
      <c r="E18" s="35"/>
      <c r="F18" s="35"/>
      <c r="G18" s="35"/>
      <c r="H18" s="35"/>
      <c r="I18" s="35"/>
      <c r="J18" s="35" t="s">
        <v>110</v>
      </c>
      <c r="K18" s="35"/>
      <c r="L18" s="36"/>
      <c r="M18" s="36"/>
      <c r="N18" s="35"/>
      <c r="O18" s="35"/>
    </row>
    <row r="19" spans="1:20">
      <c r="A19" s="35"/>
      <c r="B19" s="35"/>
      <c r="C19" s="35"/>
      <c r="D19" s="35"/>
      <c r="E19" s="35"/>
      <c r="F19" s="35"/>
      <c r="G19" s="35"/>
      <c r="H19" s="35"/>
      <c r="I19" s="35"/>
      <c r="J19" s="35" t="s">
        <v>111</v>
      </c>
      <c r="K19" s="35"/>
      <c r="L19" s="36"/>
      <c r="M19" s="36"/>
      <c r="N19" s="35"/>
      <c r="O19" s="35"/>
    </row>
    <row r="20" spans="1:20">
      <c r="A20" s="35"/>
      <c r="B20" s="35"/>
      <c r="C20" s="35"/>
      <c r="D20" s="35"/>
      <c r="E20" s="35"/>
      <c r="F20" s="35"/>
      <c r="G20" s="35"/>
      <c r="H20" s="35"/>
      <c r="I20" s="35"/>
      <c r="J20" s="35" t="s">
        <v>112</v>
      </c>
      <c r="K20" s="35"/>
      <c r="L20" s="36"/>
      <c r="M20" s="36"/>
      <c r="N20" s="35"/>
      <c r="O20" s="35"/>
    </row>
    <row r="21" spans="1:20">
      <c r="A21" s="35"/>
      <c r="B21" s="35"/>
      <c r="C21" s="35"/>
      <c r="D21" s="35"/>
      <c r="E21" s="35"/>
      <c r="F21" s="35"/>
      <c r="G21" s="35"/>
      <c r="H21" s="35"/>
      <c r="I21" s="35"/>
      <c r="J21" s="35" t="s">
        <v>113</v>
      </c>
      <c r="K21" s="35"/>
      <c r="L21" s="36"/>
      <c r="M21" s="36"/>
      <c r="N21" s="35"/>
      <c r="O21" s="35"/>
    </row>
    <row r="22" spans="1:20">
      <c r="A22" s="35"/>
      <c r="B22" s="35"/>
      <c r="C22" s="35"/>
      <c r="D22" s="35"/>
      <c r="E22" s="35"/>
      <c r="F22" s="35"/>
      <c r="G22" s="35"/>
      <c r="H22" s="35"/>
      <c r="I22" s="35"/>
      <c r="J22" s="35" t="s">
        <v>114</v>
      </c>
      <c r="K22" s="35"/>
      <c r="L22" s="36"/>
      <c r="M22" s="36"/>
      <c r="N22" s="35"/>
      <c r="O22" s="35"/>
    </row>
    <row r="23" spans="1:20">
      <c r="A23" s="35"/>
      <c r="B23" s="35"/>
      <c r="C23" s="35"/>
      <c r="D23" s="35"/>
      <c r="E23" s="35"/>
      <c r="F23" s="35"/>
      <c r="G23" s="35"/>
      <c r="H23" s="35"/>
      <c r="I23" s="35"/>
      <c r="J23" s="35" t="s">
        <v>115</v>
      </c>
      <c r="K23" s="35"/>
      <c r="L23" s="36"/>
      <c r="M23" s="36"/>
      <c r="N23" s="35"/>
      <c r="O23" s="35"/>
    </row>
    <row r="24" spans="1:20">
      <c r="A24" s="35"/>
      <c r="B24" s="35"/>
      <c r="C24" s="35"/>
      <c r="D24" s="35"/>
      <c r="E24" s="35"/>
      <c r="F24" s="35"/>
      <c r="G24" s="35"/>
      <c r="H24" s="35"/>
      <c r="I24" s="35"/>
      <c r="J24" s="35" t="s">
        <v>116</v>
      </c>
      <c r="K24" s="35"/>
      <c r="L24" s="36"/>
      <c r="M24" s="36"/>
      <c r="N24" s="35"/>
      <c r="O24" s="35"/>
    </row>
    <row r="25" spans="1:20">
      <c r="A25" s="35"/>
      <c r="B25" s="35"/>
      <c r="C25" s="35"/>
      <c r="D25" s="35"/>
      <c r="E25" s="35"/>
      <c r="F25" s="35"/>
      <c r="G25" s="35"/>
      <c r="H25" s="35"/>
      <c r="I25" s="35"/>
      <c r="J25" s="35" t="s">
        <v>117</v>
      </c>
      <c r="K25" s="35"/>
      <c r="L25" s="36"/>
      <c r="M25" s="36"/>
      <c r="N25" s="35"/>
      <c r="O25" s="35"/>
    </row>
    <row r="26" spans="1:20">
      <c r="A26" s="35"/>
      <c r="B26" s="35"/>
      <c r="C26" s="35"/>
      <c r="D26" s="35"/>
      <c r="E26" s="35"/>
      <c r="F26" s="35"/>
      <c r="G26" s="35"/>
      <c r="H26" s="35"/>
      <c r="I26" s="35"/>
      <c r="J26" s="35" t="s">
        <v>118</v>
      </c>
      <c r="K26" s="35"/>
      <c r="L26" s="36"/>
      <c r="M26" s="36"/>
      <c r="N26" s="35"/>
      <c r="O26" s="35"/>
    </row>
    <row r="27" spans="1:20">
      <c r="A27" s="35"/>
      <c r="B27" s="35"/>
      <c r="C27" s="35"/>
      <c r="D27" s="35"/>
      <c r="E27" s="35"/>
      <c r="F27" s="35"/>
      <c r="G27" s="35"/>
      <c r="H27" s="35"/>
      <c r="I27" s="35"/>
      <c r="J27" s="35" t="s">
        <v>119</v>
      </c>
      <c r="K27" s="35"/>
      <c r="L27" s="36"/>
      <c r="M27" s="36"/>
      <c r="N27" s="35"/>
      <c r="O27" s="35"/>
    </row>
    <row r="28" spans="1:20">
      <c r="A28" s="35" t="s">
        <v>84</v>
      </c>
      <c r="B28" s="35" t="s">
        <v>85</v>
      </c>
      <c r="C28" s="35" t="s">
        <v>86</v>
      </c>
      <c r="D28" s="35" t="s">
        <v>69</v>
      </c>
      <c r="E28" s="35" t="s">
        <v>87</v>
      </c>
      <c r="F28" s="35" t="s">
        <v>88</v>
      </c>
      <c r="G28" s="35" t="s">
        <v>120</v>
      </c>
      <c r="H28" s="35" t="s">
        <v>121</v>
      </c>
      <c r="I28" s="35" t="s">
        <v>91</v>
      </c>
      <c r="J28" s="35" t="s">
        <v>91</v>
      </c>
      <c r="K28" s="35" t="s">
        <v>92</v>
      </c>
      <c r="L28" s="36">
        <f t="shared" ref="L28:L66" si="1">M28/1000000</f>
        <v>0.94248399999999999</v>
      </c>
      <c r="M28" s="36">
        <v>942484</v>
      </c>
      <c r="N28" s="35" t="s">
        <v>93</v>
      </c>
      <c r="O28" s="35" t="s">
        <v>94</v>
      </c>
      <c r="R28" s="47">
        <f>M28/(M28+M54)</f>
        <v>0.18708561321948541</v>
      </c>
      <c r="T28" s="48"/>
    </row>
    <row r="29" spans="1:20">
      <c r="A29" s="35" t="s">
        <v>84</v>
      </c>
      <c r="B29" s="35" t="s">
        <v>85</v>
      </c>
      <c r="C29" s="35" t="s">
        <v>86</v>
      </c>
      <c r="D29" s="35" t="s">
        <v>69</v>
      </c>
      <c r="E29" s="35" t="s">
        <v>87</v>
      </c>
      <c r="F29" s="35" t="s">
        <v>88</v>
      </c>
      <c r="G29" s="35" t="s">
        <v>120</v>
      </c>
      <c r="H29" s="35" t="s">
        <v>121</v>
      </c>
      <c r="I29" s="35" t="s">
        <v>95</v>
      </c>
      <c r="J29" s="35" t="s">
        <v>95</v>
      </c>
      <c r="K29" s="35" t="s">
        <v>92</v>
      </c>
      <c r="L29" s="36">
        <f t="shared" si="1"/>
        <v>0.97343900000000005</v>
      </c>
      <c r="M29" s="36">
        <v>973439</v>
      </c>
      <c r="N29" s="35" t="s">
        <v>93</v>
      </c>
      <c r="O29" s="35" t="s">
        <v>94</v>
      </c>
      <c r="R29" s="47">
        <f t="shared" ref="R29:R40" si="2">M29/(M29+M55)</f>
        <v>0.18408052774949107</v>
      </c>
      <c r="T29" s="48"/>
    </row>
    <row r="30" spans="1:20">
      <c r="A30" s="35" t="s">
        <v>84</v>
      </c>
      <c r="B30" s="35" t="s">
        <v>85</v>
      </c>
      <c r="C30" s="35" t="s">
        <v>86</v>
      </c>
      <c r="D30" s="35" t="s">
        <v>69</v>
      </c>
      <c r="E30" s="35" t="s">
        <v>87</v>
      </c>
      <c r="F30" s="35" t="s">
        <v>88</v>
      </c>
      <c r="G30" s="35" t="s">
        <v>120</v>
      </c>
      <c r="H30" s="35" t="s">
        <v>121</v>
      </c>
      <c r="I30" s="35" t="s">
        <v>96</v>
      </c>
      <c r="J30" s="35" t="s">
        <v>96</v>
      </c>
      <c r="K30" s="35" t="s">
        <v>92</v>
      </c>
      <c r="L30" s="36">
        <f t="shared" si="1"/>
        <v>0.93377699999999997</v>
      </c>
      <c r="M30" s="36">
        <v>933777</v>
      </c>
      <c r="N30" s="35" t="s">
        <v>93</v>
      </c>
      <c r="O30" s="35" t="s">
        <v>94</v>
      </c>
      <c r="R30" s="47">
        <f t="shared" si="2"/>
        <v>0.17216030366447937</v>
      </c>
      <c r="T30" s="48"/>
    </row>
    <row r="31" spans="1:20">
      <c r="A31" s="35" t="s">
        <v>84</v>
      </c>
      <c r="B31" s="35" t="s">
        <v>85</v>
      </c>
      <c r="C31" s="35" t="s">
        <v>86</v>
      </c>
      <c r="D31" s="35" t="s">
        <v>69</v>
      </c>
      <c r="E31" s="35" t="s">
        <v>87</v>
      </c>
      <c r="F31" s="35" t="s">
        <v>88</v>
      </c>
      <c r="G31" s="35" t="s">
        <v>120</v>
      </c>
      <c r="H31" s="35" t="s">
        <v>121</v>
      </c>
      <c r="I31" s="35" t="s">
        <v>97</v>
      </c>
      <c r="J31" s="35" t="s">
        <v>97</v>
      </c>
      <c r="K31" s="35" t="s">
        <v>92</v>
      </c>
      <c r="L31" s="36">
        <f t="shared" si="1"/>
        <v>0.96039099999999999</v>
      </c>
      <c r="M31" s="36">
        <v>960391</v>
      </c>
      <c r="N31" s="35" t="s">
        <v>93</v>
      </c>
      <c r="O31" s="35" t="s">
        <v>94</v>
      </c>
      <c r="R31" s="47">
        <f t="shared" si="2"/>
        <v>0.1702454471679323</v>
      </c>
      <c r="T31" s="48"/>
    </row>
    <row r="32" spans="1:20">
      <c r="A32" s="35" t="s">
        <v>84</v>
      </c>
      <c r="B32" s="35" t="s">
        <v>85</v>
      </c>
      <c r="C32" s="35" t="s">
        <v>86</v>
      </c>
      <c r="D32" s="35" t="s">
        <v>69</v>
      </c>
      <c r="E32" s="35" t="s">
        <v>87</v>
      </c>
      <c r="F32" s="35" t="s">
        <v>88</v>
      </c>
      <c r="G32" s="35" t="s">
        <v>120</v>
      </c>
      <c r="H32" s="35" t="s">
        <v>121</v>
      </c>
      <c r="I32" s="35" t="s">
        <v>98</v>
      </c>
      <c r="J32" s="35" t="s">
        <v>98</v>
      </c>
      <c r="K32" s="35" t="s">
        <v>92</v>
      </c>
      <c r="L32" s="36">
        <f t="shared" si="1"/>
        <v>0.910246</v>
      </c>
      <c r="M32" s="36">
        <v>910246</v>
      </c>
      <c r="N32" s="35" t="s">
        <v>93</v>
      </c>
      <c r="O32" s="35" t="s">
        <v>94</v>
      </c>
      <c r="R32" s="47">
        <f t="shared" si="2"/>
        <v>0.15615753168969626</v>
      </c>
      <c r="T32" s="48"/>
    </row>
    <row r="33" spans="1:20">
      <c r="A33" s="35" t="s">
        <v>84</v>
      </c>
      <c r="B33" s="35" t="s">
        <v>85</v>
      </c>
      <c r="C33" s="35" t="s">
        <v>86</v>
      </c>
      <c r="D33" s="35" t="s">
        <v>69</v>
      </c>
      <c r="E33" s="35" t="s">
        <v>87</v>
      </c>
      <c r="F33" s="35" t="s">
        <v>88</v>
      </c>
      <c r="G33" s="35" t="s">
        <v>120</v>
      </c>
      <c r="H33" s="35" t="s">
        <v>121</v>
      </c>
      <c r="I33" s="35" t="s">
        <v>99</v>
      </c>
      <c r="J33" s="35" t="s">
        <v>99</v>
      </c>
      <c r="K33" s="35" t="s">
        <v>92</v>
      </c>
      <c r="L33" s="36">
        <f t="shared" si="1"/>
        <v>0.86979399999999996</v>
      </c>
      <c r="M33" s="36">
        <v>869794</v>
      </c>
      <c r="N33" s="35" t="s">
        <v>93</v>
      </c>
      <c r="O33" s="35" t="s">
        <v>94</v>
      </c>
      <c r="R33" s="47">
        <f t="shared" si="2"/>
        <v>0.14668854811233742</v>
      </c>
      <c r="T33" s="48"/>
    </row>
    <row r="34" spans="1:20">
      <c r="A34" s="35" t="s">
        <v>84</v>
      </c>
      <c r="B34" s="35" t="s">
        <v>85</v>
      </c>
      <c r="C34" s="35" t="s">
        <v>86</v>
      </c>
      <c r="D34" s="35" t="s">
        <v>69</v>
      </c>
      <c r="E34" s="35" t="s">
        <v>87</v>
      </c>
      <c r="F34" s="35" t="s">
        <v>88</v>
      </c>
      <c r="G34" s="35" t="s">
        <v>120</v>
      </c>
      <c r="H34" s="35" t="s">
        <v>121</v>
      </c>
      <c r="I34" s="35" t="s">
        <v>100</v>
      </c>
      <c r="J34" s="35" t="s">
        <v>100</v>
      </c>
      <c r="K34" s="35" t="s">
        <v>92</v>
      </c>
      <c r="L34" s="36">
        <f t="shared" si="1"/>
        <v>0.856904</v>
      </c>
      <c r="M34" s="36">
        <v>856904</v>
      </c>
      <c r="N34" s="35" t="s">
        <v>93</v>
      </c>
      <c r="O34" s="35" t="s">
        <v>94</v>
      </c>
      <c r="R34" s="47">
        <f t="shared" si="2"/>
        <v>0.14228249344049054</v>
      </c>
      <c r="T34" s="48"/>
    </row>
    <row r="35" spans="1:20">
      <c r="A35" s="35" t="s">
        <v>84</v>
      </c>
      <c r="B35" s="35" t="s">
        <v>85</v>
      </c>
      <c r="C35" s="35" t="s">
        <v>86</v>
      </c>
      <c r="D35" s="35" t="s">
        <v>69</v>
      </c>
      <c r="E35" s="35" t="s">
        <v>87</v>
      </c>
      <c r="F35" s="35" t="s">
        <v>88</v>
      </c>
      <c r="G35" s="35" t="s">
        <v>120</v>
      </c>
      <c r="H35" s="35" t="s">
        <v>121</v>
      </c>
      <c r="I35" s="35" t="s">
        <v>101</v>
      </c>
      <c r="J35" s="35" t="s">
        <v>101</v>
      </c>
      <c r="K35" s="35" t="s">
        <v>92</v>
      </c>
      <c r="L35" s="36">
        <f t="shared" si="1"/>
        <v>0.82004299999999997</v>
      </c>
      <c r="M35" s="36">
        <v>820043</v>
      </c>
      <c r="N35" s="35" t="s">
        <v>93</v>
      </c>
      <c r="O35" s="35" t="s">
        <v>94</v>
      </c>
      <c r="R35" s="47">
        <f t="shared" si="2"/>
        <v>0.13492486970972106</v>
      </c>
      <c r="T35" s="48"/>
    </row>
    <row r="36" spans="1:20">
      <c r="A36" s="35" t="s">
        <v>84</v>
      </c>
      <c r="B36" s="35" t="s">
        <v>85</v>
      </c>
      <c r="C36" s="35" t="s">
        <v>86</v>
      </c>
      <c r="D36" s="35" t="s">
        <v>69</v>
      </c>
      <c r="E36" s="35" t="s">
        <v>87</v>
      </c>
      <c r="F36" s="35" t="s">
        <v>88</v>
      </c>
      <c r="G36" s="35" t="s">
        <v>120</v>
      </c>
      <c r="H36" s="35" t="s">
        <v>121</v>
      </c>
      <c r="I36" s="35" t="s">
        <v>102</v>
      </c>
      <c r="J36" s="35" t="s">
        <v>102</v>
      </c>
      <c r="K36" s="35" t="s">
        <v>92</v>
      </c>
      <c r="L36" s="36">
        <f t="shared" si="1"/>
        <v>0.80694900000000003</v>
      </c>
      <c r="M36" s="36">
        <v>806949</v>
      </c>
      <c r="N36" s="35" t="s">
        <v>93</v>
      </c>
      <c r="O36" s="35" t="s">
        <v>94</v>
      </c>
      <c r="R36" s="47">
        <f t="shared" si="2"/>
        <v>0.13082938915350953</v>
      </c>
      <c r="T36" s="48"/>
    </row>
    <row r="37" spans="1:20">
      <c r="A37" s="35" t="s">
        <v>84</v>
      </c>
      <c r="B37" s="35" t="s">
        <v>85</v>
      </c>
      <c r="C37" s="35" t="s">
        <v>86</v>
      </c>
      <c r="D37" s="35" t="s">
        <v>69</v>
      </c>
      <c r="E37" s="35" t="s">
        <v>87</v>
      </c>
      <c r="F37" s="35" t="s">
        <v>88</v>
      </c>
      <c r="G37" s="35" t="s">
        <v>120</v>
      </c>
      <c r="H37" s="35" t="s">
        <v>121</v>
      </c>
      <c r="I37" s="35" t="s">
        <v>103</v>
      </c>
      <c r="J37" s="35" t="s">
        <v>103</v>
      </c>
      <c r="K37" s="35" t="s">
        <v>92</v>
      </c>
      <c r="L37" s="36">
        <f t="shared" si="1"/>
        <v>0.80113299999999998</v>
      </c>
      <c r="M37" s="36">
        <v>801133</v>
      </c>
      <c r="N37" s="35" t="s">
        <v>93</v>
      </c>
      <c r="O37" s="35" t="s">
        <v>94</v>
      </c>
      <c r="R37" s="47">
        <f t="shared" si="2"/>
        <v>0.12783889675315982</v>
      </c>
      <c r="T37" s="48"/>
    </row>
    <row r="38" spans="1:20">
      <c r="A38" s="35" t="s">
        <v>84</v>
      </c>
      <c r="B38" s="35" t="s">
        <v>85</v>
      </c>
      <c r="C38" s="35" t="s">
        <v>86</v>
      </c>
      <c r="D38" s="35" t="s">
        <v>69</v>
      </c>
      <c r="E38" s="35" t="s">
        <v>87</v>
      </c>
      <c r="F38" s="35" t="s">
        <v>88</v>
      </c>
      <c r="G38" s="35" t="s">
        <v>120</v>
      </c>
      <c r="H38" s="35" t="s">
        <v>121</v>
      </c>
      <c r="I38" s="35" t="s">
        <v>104</v>
      </c>
      <c r="J38" s="35" t="s">
        <v>104</v>
      </c>
      <c r="K38" s="35" t="s">
        <v>92</v>
      </c>
      <c r="L38" s="36">
        <f t="shared" si="1"/>
        <v>0.77070399999999994</v>
      </c>
      <c r="M38" s="36">
        <v>770704</v>
      </c>
      <c r="N38" s="35" t="s">
        <v>93</v>
      </c>
      <c r="O38" s="35" t="s">
        <v>94</v>
      </c>
      <c r="R38" s="47">
        <f t="shared" si="2"/>
        <v>0.12274827290078767</v>
      </c>
      <c r="T38" s="48"/>
    </row>
    <row r="39" spans="1:20">
      <c r="A39" s="35" t="s">
        <v>84</v>
      </c>
      <c r="B39" s="35" t="s">
        <v>85</v>
      </c>
      <c r="C39" s="35" t="s">
        <v>86</v>
      </c>
      <c r="D39" s="35" t="s">
        <v>69</v>
      </c>
      <c r="E39" s="35" t="s">
        <v>87</v>
      </c>
      <c r="F39" s="35" t="s">
        <v>88</v>
      </c>
      <c r="G39" s="35" t="s">
        <v>120</v>
      </c>
      <c r="H39" s="35" t="s">
        <v>121</v>
      </c>
      <c r="I39" s="35" t="s">
        <v>105</v>
      </c>
      <c r="J39" s="35" t="s">
        <v>105</v>
      </c>
      <c r="K39" s="35" t="s">
        <v>92</v>
      </c>
      <c r="L39" s="36">
        <f t="shared" si="1"/>
        <v>0.74250700000000003</v>
      </c>
      <c r="M39" s="36">
        <v>742507</v>
      </c>
      <c r="N39" s="35" t="s">
        <v>93</v>
      </c>
      <c r="O39" s="35" t="s">
        <v>94</v>
      </c>
      <c r="R39" s="47">
        <f t="shared" si="2"/>
        <v>0.1182693055100712</v>
      </c>
      <c r="T39" s="48"/>
    </row>
    <row r="40" spans="1:20">
      <c r="A40" s="35" t="s">
        <v>84</v>
      </c>
      <c r="B40" s="35" t="s">
        <v>85</v>
      </c>
      <c r="C40" s="35" t="s">
        <v>86</v>
      </c>
      <c r="D40" s="35" t="s">
        <v>69</v>
      </c>
      <c r="E40" s="35" t="s">
        <v>87</v>
      </c>
      <c r="F40" s="35" t="s">
        <v>88</v>
      </c>
      <c r="G40" s="35" t="s">
        <v>120</v>
      </c>
      <c r="H40" s="35" t="s">
        <v>121</v>
      </c>
      <c r="I40" s="35" t="s">
        <v>106</v>
      </c>
      <c r="J40" s="35" t="s">
        <v>106</v>
      </c>
      <c r="K40" s="35" t="s">
        <v>92</v>
      </c>
      <c r="L40" s="36">
        <f t="shared" si="1"/>
        <v>0.68536799999999998</v>
      </c>
      <c r="M40" s="36">
        <v>685368</v>
      </c>
      <c r="N40" s="35" t="s">
        <v>93</v>
      </c>
      <c r="O40" s="35" t="s">
        <v>94</v>
      </c>
      <c r="R40" s="47">
        <f t="shared" si="2"/>
        <v>0.11052609426184103</v>
      </c>
      <c r="T40" s="48"/>
    </row>
    <row r="41" spans="1:20">
      <c r="A41" s="35"/>
      <c r="B41" s="35"/>
      <c r="C41" s="35"/>
      <c r="D41" s="35"/>
      <c r="E41" s="35"/>
      <c r="F41" s="35"/>
      <c r="G41" s="35"/>
      <c r="H41" s="35"/>
      <c r="I41" s="35"/>
      <c r="J41" s="35" t="s">
        <v>107</v>
      </c>
      <c r="K41" s="35"/>
      <c r="L41" s="36"/>
      <c r="M41" s="36"/>
      <c r="N41" s="35"/>
      <c r="O41" s="35"/>
    </row>
    <row r="42" spans="1:20">
      <c r="A42" s="35"/>
      <c r="B42" s="35"/>
      <c r="C42" s="35"/>
      <c r="D42" s="35"/>
      <c r="E42" s="35"/>
      <c r="F42" s="35"/>
      <c r="G42" s="35"/>
      <c r="H42" s="35"/>
      <c r="I42" s="35"/>
      <c r="J42" s="35" t="s">
        <v>108</v>
      </c>
      <c r="K42" s="35"/>
      <c r="L42" s="36"/>
      <c r="M42" s="36"/>
      <c r="N42" s="35"/>
      <c r="O42" s="35"/>
    </row>
    <row r="43" spans="1:20">
      <c r="J43" s="35" t="s">
        <v>109</v>
      </c>
    </row>
    <row r="44" spans="1:20">
      <c r="J44" s="35" t="s">
        <v>110</v>
      </c>
    </row>
    <row r="45" spans="1:20">
      <c r="J45" s="35" t="s">
        <v>111</v>
      </c>
    </row>
    <row r="46" spans="1:20">
      <c r="J46" s="35" t="s">
        <v>112</v>
      </c>
    </row>
    <row r="47" spans="1:20">
      <c r="J47" s="35" t="s">
        <v>113</v>
      </c>
    </row>
    <row r="48" spans="1:20">
      <c r="J48" s="35" t="s">
        <v>114</v>
      </c>
    </row>
    <row r="49" spans="1:15">
      <c r="J49" s="35" t="s">
        <v>115</v>
      </c>
    </row>
    <row r="50" spans="1:15">
      <c r="J50" s="35" t="s">
        <v>116</v>
      </c>
    </row>
    <row r="51" spans="1:15">
      <c r="J51" s="35" t="s">
        <v>117</v>
      </c>
    </row>
    <row r="52" spans="1:15">
      <c r="J52" s="35" t="s">
        <v>118</v>
      </c>
    </row>
    <row r="53" spans="1:15">
      <c r="J53" s="35" t="s">
        <v>119</v>
      </c>
    </row>
    <row r="54" spans="1:15">
      <c r="A54" s="35" t="s">
        <v>84</v>
      </c>
      <c r="B54" s="35" t="s">
        <v>85</v>
      </c>
      <c r="C54" s="35" t="s">
        <v>86</v>
      </c>
      <c r="D54" s="35" t="s">
        <v>69</v>
      </c>
      <c r="E54" s="35" t="s">
        <v>87</v>
      </c>
      <c r="F54" s="35" t="s">
        <v>88</v>
      </c>
      <c r="G54" s="35" t="s">
        <v>122</v>
      </c>
      <c r="H54" s="35" t="s">
        <v>123</v>
      </c>
      <c r="I54" s="35" t="s">
        <v>91</v>
      </c>
      <c r="J54" s="35" t="s">
        <v>91</v>
      </c>
      <c r="K54" s="35" t="s">
        <v>92</v>
      </c>
      <c r="L54" s="36">
        <f t="shared" si="1"/>
        <v>4.0952310000000001</v>
      </c>
      <c r="M54" s="36">
        <v>4095231</v>
      </c>
      <c r="N54" s="35" t="s">
        <v>93</v>
      </c>
      <c r="O54" s="35" t="s">
        <v>94</v>
      </c>
    </row>
    <row r="55" spans="1:15">
      <c r="A55" s="35" t="s">
        <v>84</v>
      </c>
      <c r="B55" s="35" t="s">
        <v>85</v>
      </c>
      <c r="C55" s="35" t="s">
        <v>86</v>
      </c>
      <c r="D55" s="35" t="s">
        <v>69</v>
      </c>
      <c r="E55" s="35" t="s">
        <v>87</v>
      </c>
      <c r="F55" s="35" t="s">
        <v>88</v>
      </c>
      <c r="G55" s="35" t="s">
        <v>122</v>
      </c>
      <c r="H55" s="35" t="s">
        <v>123</v>
      </c>
      <c r="I55" s="35" t="s">
        <v>95</v>
      </c>
      <c r="J55" s="35" t="s">
        <v>95</v>
      </c>
      <c r="K55" s="35" t="s">
        <v>92</v>
      </c>
      <c r="L55" s="36">
        <f t="shared" si="1"/>
        <v>4.3146760000000004</v>
      </c>
      <c r="M55" s="36">
        <v>4314676</v>
      </c>
      <c r="N55" s="35" t="s">
        <v>93</v>
      </c>
      <c r="O55" s="35" t="s">
        <v>94</v>
      </c>
    </row>
    <row r="56" spans="1:15">
      <c r="A56" s="35" t="s">
        <v>84</v>
      </c>
      <c r="B56" s="35" t="s">
        <v>85</v>
      </c>
      <c r="C56" s="35" t="s">
        <v>86</v>
      </c>
      <c r="D56" s="35" t="s">
        <v>69</v>
      </c>
      <c r="E56" s="35" t="s">
        <v>87</v>
      </c>
      <c r="F56" s="35" t="s">
        <v>88</v>
      </c>
      <c r="G56" s="35" t="s">
        <v>122</v>
      </c>
      <c r="H56" s="35" t="s">
        <v>123</v>
      </c>
      <c r="I56" s="35" t="s">
        <v>96</v>
      </c>
      <c r="J56" s="35" t="s">
        <v>96</v>
      </c>
      <c r="K56" s="35" t="s">
        <v>92</v>
      </c>
      <c r="L56" s="36">
        <f t="shared" si="1"/>
        <v>4.4901039999999997</v>
      </c>
      <c r="M56" s="36">
        <v>4490104</v>
      </c>
      <c r="N56" s="35" t="s">
        <v>93</v>
      </c>
      <c r="O56" s="35" t="s">
        <v>94</v>
      </c>
    </row>
    <row r="57" spans="1:15">
      <c r="A57" s="35" t="s">
        <v>84</v>
      </c>
      <c r="B57" s="35" t="s">
        <v>85</v>
      </c>
      <c r="C57" s="35" t="s">
        <v>86</v>
      </c>
      <c r="D57" s="35" t="s">
        <v>69</v>
      </c>
      <c r="E57" s="35" t="s">
        <v>87</v>
      </c>
      <c r="F57" s="35" t="s">
        <v>88</v>
      </c>
      <c r="G57" s="35" t="s">
        <v>122</v>
      </c>
      <c r="H57" s="35" t="s">
        <v>123</v>
      </c>
      <c r="I57" s="35" t="s">
        <v>97</v>
      </c>
      <c r="J57" s="35" t="s">
        <v>97</v>
      </c>
      <c r="K57" s="35" t="s">
        <v>92</v>
      </c>
      <c r="L57" s="36">
        <f t="shared" si="1"/>
        <v>4.6808230000000002</v>
      </c>
      <c r="M57" s="36">
        <v>4680823</v>
      </c>
      <c r="N57" s="35" t="s">
        <v>93</v>
      </c>
      <c r="O57" s="35" t="s">
        <v>94</v>
      </c>
    </row>
    <row r="58" spans="1:15">
      <c r="A58" s="35" t="s">
        <v>84</v>
      </c>
      <c r="B58" s="35" t="s">
        <v>85</v>
      </c>
      <c r="C58" s="35" t="s">
        <v>86</v>
      </c>
      <c r="D58" s="35" t="s">
        <v>69</v>
      </c>
      <c r="E58" s="35" t="s">
        <v>87</v>
      </c>
      <c r="F58" s="35" t="s">
        <v>88</v>
      </c>
      <c r="G58" s="35" t="s">
        <v>122</v>
      </c>
      <c r="H58" s="35" t="s">
        <v>123</v>
      </c>
      <c r="I58" s="35" t="s">
        <v>98</v>
      </c>
      <c r="J58" s="35" t="s">
        <v>98</v>
      </c>
      <c r="K58" s="35" t="s">
        <v>92</v>
      </c>
      <c r="L58" s="36">
        <f t="shared" si="1"/>
        <v>4.9187779999999997</v>
      </c>
      <c r="M58" s="36">
        <v>4918778</v>
      </c>
      <c r="N58" s="35" t="s">
        <v>93</v>
      </c>
      <c r="O58" s="35" t="s">
        <v>94</v>
      </c>
    </row>
    <row r="59" spans="1:15">
      <c r="A59" s="35" t="s">
        <v>84</v>
      </c>
      <c r="B59" s="35" t="s">
        <v>85</v>
      </c>
      <c r="C59" s="35" t="s">
        <v>86</v>
      </c>
      <c r="D59" s="35" t="s">
        <v>69</v>
      </c>
      <c r="E59" s="35" t="s">
        <v>87</v>
      </c>
      <c r="F59" s="35" t="s">
        <v>88</v>
      </c>
      <c r="G59" s="35" t="s">
        <v>122</v>
      </c>
      <c r="H59" s="35" t="s">
        <v>123</v>
      </c>
      <c r="I59" s="35" t="s">
        <v>99</v>
      </c>
      <c r="J59" s="35" t="s">
        <v>99</v>
      </c>
      <c r="K59" s="35" t="s">
        <v>92</v>
      </c>
      <c r="L59" s="36">
        <f t="shared" si="1"/>
        <v>5.0597349999999999</v>
      </c>
      <c r="M59" s="36">
        <v>5059735</v>
      </c>
      <c r="N59" s="35" t="s">
        <v>93</v>
      </c>
      <c r="O59" s="35" t="s">
        <v>94</v>
      </c>
    </row>
    <row r="60" spans="1:15">
      <c r="A60" s="35" t="s">
        <v>84</v>
      </c>
      <c r="B60" s="35" t="s">
        <v>85</v>
      </c>
      <c r="C60" s="35" t="s">
        <v>86</v>
      </c>
      <c r="D60" s="35" t="s">
        <v>69</v>
      </c>
      <c r="E60" s="35" t="s">
        <v>87</v>
      </c>
      <c r="F60" s="35" t="s">
        <v>88</v>
      </c>
      <c r="G60" s="35" t="s">
        <v>122</v>
      </c>
      <c r="H60" s="35" t="s">
        <v>123</v>
      </c>
      <c r="I60" s="35" t="s">
        <v>100</v>
      </c>
      <c r="J60" s="35" t="s">
        <v>100</v>
      </c>
      <c r="K60" s="35" t="s">
        <v>92</v>
      </c>
      <c r="L60" s="36">
        <f t="shared" si="1"/>
        <v>5.1656500000000003</v>
      </c>
      <c r="M60" s="36">
        <v>5165650</v>
      </c>
      <c r="N60" s="35" t="s">
        <v>93</v>
      </c>
      <c r="O60" s="35" t="s">
        <v>94</v>
      </c>
    </row>
    <row r="61" spans="1:15">
      <c r="A61" s="35" t="s">
        <v>84</v>
      </c>
      <c r="B61" s="35" t="s">
        <v>85</v>
      </c>
      <c r="C61" s="35" t="s">
        <v>86</v>
      </c>
      <c r="D61" s="35" t="s">
        <v>69</v>
      </c>
      <c r="E61" s="35" t="s">
        <v>87</v>
      </c>
      <c r="F61" s="35" t="s">
        <v>88</v>
      </c>
      <c r="G61" s="35" t="s">
        <v>122</v>
      </c>
      <c r="H61" s="35" t="s">
        <v>123</v>
      </c>
      <c r="I61" s="35" t="s">
        <v>101</v>
      </c>
      <c r="J61" s="35" t="s">
        <v>101</v>
      </c>
      <c r="K61" s="35" t="s">
        <v>92</v>
      </c>
      <c r="L61" s="36">
        <f t="shared" si="1"/>
        <v>5.2577319999999999</v>
      </c>
      <c r="M61" s="36">
        <v>5257732</v>
      </c>
      <c r="N61" s="35" t="s">
        <v>93</v>
      </c>
      <c r="O61" s="35" t="s">
        <v>94</v>
      </c>
    </row>
    <row r="62" spans="1:15">
      <c r="A62" s="35" t="s">
        <v>84</v>
      </c>
      <c r="B62" s="35" t="s">
        <v>85</v>
      </c>
      <c r="C62" s="35" t="s">
        <v>86</v>
      </c>
      <c r="D62" s="35" t="s">
        <v>69</v>
      </c>
      <c r="E62" s="35" t="s">
        <v>87</v>
      </c>
      <c r="F62" s="35" t="s">
        <v>88</v>
      </c>
      <c r="G62" s="35" t="s">
        <v>122</v>
      </c>
      <c r="H62" s="35" t="s">
        <v>123</v>
      </c>
      <c r="I62" s="35" t="s">
        <v>102</v>
      </c>
      <c r="J62" s="35" t="s">
        <v>102</v>
      </c>
      <c r="K62" s="35" t="s">
        <v>92</v>
      </c>
      <c r="L62" s="36">
        <f t="shared" si="1"/>
        <v>5.3609999999999998</v>
      </c>
      <c r="M62" s="36">
        <v>5361000</v>
      </c>
      <c r="N62" s="35" t="s">
        <v>93</v>
      </c>
      <c r="O62" s="35" t="s">
        <v>94</v>
      </c>
    </row>
    <row r="63" spans="1:15">
      <c r="A63" s="35" t="s">
        <v>84</v>
      </c>
      <c r="B63" s="35" t="s">
        <v>85</v>
      </c>
      <c r="C63" s="35" t="s">
        <v>86</v>
      </c>
      <c r="D63" s="35" t="s">
        <v>69</v>
      </c>
      <c r="E63" s="35" t="s">
        <v>87</v>
      </c>
      <c r="F63" s="35" t="s">
        <v>88</v>
      </c>
      <c r="G63" s="35" t="s">
        <v>122</v>
      </c>
      <c r="H63" s="35" t="s">
        <v>123</v>
      </c>
      <c r="I63" s="35" t="s">
        <v>103</v>
      </c>
      <c r="J63" s="35" t="s">
        <v>103</v>
      </c>
      <c r="K63" s="35" t="s">
        <v>92</v>
      </c>
      <c r="L63" s="36">
        <f t="shared" si="1"/>
        <v>5.4656060000000002</v>
      </c>
      <c r="M63" s="36">
        <v>5465606</v>
      </c>
      <c r="N63" s="35" t="s">
        <v>93</v>
      </c>
      <c r="O63" s="35" t="s">
        <v>94</v>
      </c>
    </row>
    <row r="64" spans="1:15">
      <c r="A64" s="35" t="s">
        <v>84</v>
      </c>
      <c r="B64" s="35" t="s">
        <v>85</v>
      </c>
      <c r="C64" s="35" t="s">
        <v>86</v>
      </c>
      <c r="D64" s="35" t="s">
        <v>69</v>
      </c>
      <c r="E64" s="35" t="s">
        <v>87</v>
      </c>
      <c r="F64" s="35" t="s">
        <v>88</v>
      </c>
      <c r="G64" s="35" t="s">
        <v>122</v>
      </c>
      <c r="H64" s="35" t="s">
        <v>123</v>
      </c>
      <c r="I64" s="35" t="s">
        <v>104</v>
      </c>
      <c r="J64" s="35" t="s">
        <v>104</v>
      </c>
      <c r="K64" s="35" t="s">
        <v>92</v>
      </c>
      <c r="L64" s="36">
        <f t="shared" si="1"/>
        <v>5.508032</v>
      </c>
      <c r="M64" s="36">
        <v>5508032</v>
      </c>
      <c r="N64" s="35" t="s">
        <v>93</v>
      </c>
      <c r="O64" s="35" t="s">
        <v>94</v>
      </c>
    </row>
    <row r="65" spans="1:15">
      <c r="A65" s="35" t="s">
        <v>84</v>
      </c>
      <c r="B65" s="35" t="s">
        <v>85</v>
      </c>
      <c r="C65" s="35" t="s">
        <v>86</v>
      </c>
      <c r="D65" s="35" t="s">
        <v>69</v>
      </c>
      <c r="E65" s="35" t="s">
        <v>87</v>
      </c>
      <c r="F65" s="35" t="s">
        <v>88</v>
      </c>
      <c r="G65" s="35" t="s">
        <v>122</v>
      </c>
      <c r="H65" s="35" t="s">
        <v>123</v>
      </c>
      <c r="I65" s="35" t="s">
        <v>105</v>
      </c>
      <c r="J65" s="35" t="s">
        <v>105</v>
      </c>
      <c r="K65" s="35" t="s">
        <v>92</v>
      </c>
      <c r="L65" s="36">
        <f t="shared" si="1"/>
        <v>5.5355970000000001</v>
      </c>
      <c r="M65" s="36">
        <v>5535597</v>
      </c>
      <c r="N65" s="35" t="s">
        <v>93</v>
      </c>
      <c r="O65" s="35" t="s">
        <v>94</v>
      </c>
    </row>
    <row r="66" spans="1:15">
      <c r="A66" s="35" t="s">
        <v>84</v>
      </c>
      <c r="B66" s="35" t="s">
        <v>85</v>
      </c>
      <c r="C66" s="35" t="s">
        <v>86</v>
      </c>
      <c r="D66" s="35" t="s">
        <v>69</v>
      </c>
      <c r="E66" s="35" t="s">
        <v>87</v>
      </c>
      <c r="F66" s="35" t="s">
        <v>88</v>
      </c>
      <c r="G66" s="35" t="s">
        <v>122</v>
      </c>
      <c r="H66" s="35" t="s">
        <v>123</v>
      </c>
      <c r="I66" s="35" t="s">
        <v>106</v>
      </c>
      <c r="J66" s="35" t="s">
        <v>106</v>
      </c>
      <c r="K66" s="35" t="s">
        <v>92</v>
      </c>
      <c r="L66" s="36">
        <f t="shared" si="1"/>
        <v>5.515593</v>
      </c>
      <c r="M66" s="36">
        <v>5515593</v>
      </c>
      <c r="N66" s="35" t="s">
        <v>93</v>
      </c>
      <c r="O66" s="35" t="s">
        <v>94</v>
      </c>
    </row>
    <row r="67" spans="1:15">
      <c r="J67" s="35" t="s">
        <v>107</v>
      </c>
    </row>
    <row r="68" spans="1:15">
      <c r="J68" s="35" t="s">
        <v>108</v>
      </c>
    </row>
    <row r="69" spans="1:15">
      <c r="J69" s="35" t="s">
        <v>109</v>
      </c>
    </row>
    <row r="70" spans="1:15">
      <c r="J70" s="35" t="s">
        <v>110</v>
      </c>
    </row>
    <row r="71" spans="1:15">
      <c r="J71" s="35" t="s">
        <v>111</v>
      </c>
    </row>
    <row r="72" spans="1:15">
      <c r="J72" s="35" t="s">
        <v>112</v>
      </c>
    </row>
    <row r="73" spans="1:15">
      <c r="J73" s="35" t="s">
        <v>113</v>
      </c>
    </row>
    <row r="74" spans="1:15">
      <c r="J74" s="35" t="s">
        <v>114</v>
      </c>
    </row>
    <row r="75" spans="1:15">
      <c r="J75" s="35" t="s">
        <v>115</v>
      </c>
    </row>
    <row r="76" spans="1:15">
      <c r="J76" s="35" t="s">
        <v>116</v>
      </c>
    </row>
    <row r="77" spans="1:15">
      <c r="J77" s="35" t="s">
        <v>117</v>
      </c>
    </row>
    <row r="78" spans="1:15">
      <c r="J78" s="35" t="s">
        <v>118</v>
      </c>
    </row>
    <row r="79" spans="1:15">
      <c r="J79" s="35" t="s">
        <v>119</v>
      </c>
    </row>
    <row r="85" spans="6:13">
      <c r="F85">
        <f>0.1216*G85+4.177</f>
        <v>4.2985999999999995</v>
      </c>
      <c r="G85">
        <v>1</v>
      </c>
      <c r="I85">
        <f>-0.0224*J85+1.0089</f>
        <v>0.98649999999999993</v>
      </c>
      <c r="J85">
        <v>1</v>
      </c>
      <c r="L85">
        <f>0.0418*M85+1.2473</f>
        <v>1.2891000000000001</v>
      </c>
      <c r="M85">
        <v>1</v>
      </c>
    </row>
    <row r="86" spans="6:13">
      <c r="F86">
        <f>0.1216*G86+4.177</f>
        <v>4.4201999999999995</v>
      </c>
      <c r="G86">
        <v>2</v>
      </c>
      <c r="I86">
        <f>-0.0224*J86+1.0089</f>
        <v>0.96409999999999996</v>
      </c>
      <c r="J86">
        <v>2</v>
      </c>
      <c r="L86">
        <f>0.0418*M86+1.2473</f>
        <v>1.3309</v>
      </c>
      <c r="M86">
        <v>2</v>
      </c>
    </row>
    <row r="103" spans="4:13">
      <c r="G103" t="s">
        <v>127</v>
      </c>
      <c r="H103" t="s">
        <v>128</v>
      </c>
      <c r="I103" t="s">
        <v>144</v>
      </c>
      <c r="J103" t="s">
        <v>145</v>
      </c>
    </row>
    <row r="104" spans="4:13">
      <c r="D104" t="s">
        <v>124</v>
      </c>
      <c r="E104" t="s">
        <v>143</v>
      </c>
      <c r="G104" s="38">
        <v>53014.91</v>
      </c>
      <c r="H104" s="38">
        <v>5255041.13</v>
      </c>
      <c r="I104" s="38">
        <f>G104/((G104*(2022-2017)+H104))</f>
        <v>9.6039490969508107E-3</v>
      </c>
      <c r="J104" s="69">
        <f>1+I104*(2050-2022)</f>
        <v>1.2689105747146228</v>
      </c>
    </row>
    <row r="105" spans="4:13">
      <c r="D105" t="s">
        <v>126</v>
      </c>
      <c r="E105" t="s">
        <v>129</v>
      </c>
      <c r="G105" s="38">
        <v>42849.15</v>
      </c>
      <c r="H105" s="38">
        <v>1323221.71</v>
      </c>
      <c r="I105" s="38">
        <f>G105/((G105*(2022-2012)+H105))</f>
        <v>2.4461281535919914E-2</v>
      </c>
      <c r="J105" s="69">
        <f>1+I105*(2050-2022)</f>
        <v>1.6849158830057576</v>
      </c>
    </row>
    <row r="106" spans="4:13">
      <c r="D106" t="s">
        <v>125</v>
      </c>
      <c r="E106" t="s">
        <v>130</v>
      </c>
      <c r="G106" s="38">
        <v>-24722.58</v>
      </c>
      <c r="H106" s="38">
        <v>980864.22</v>
      </c>
      <c r="I106" s="38">
        <f>G106/((G106*(2022-2012)+H106))</f>
        <v>-3.3698589558600278E-2</v>
      </c>
      <c r="J106" s="69">
        <f>1+I106*(2050-2022)</f>
        <v>5.6439492359192212E-2</v>
      </c>
      <c r="L106">
        <f>H106*(I106*(2050-2012))</f>
        <v>-1256042.148974871</v>
      </c>
      <c r="M106">
        <f>-24722.58*(2050-2012)+980864.22</f>
        <v>41406.179999999935</v>
      </c>
    </row>
    <row r="107" spans="4:13">
      <c r="E107" s="37"/>
    </row>
    <row r="111" spans="4:13" ht="15" thickBot="1">
      <c r="G111" s="29" t="s">
        <v>62</v>
      </c>
      <c r="H111" s="30">
        <v>-606046150</v>
      </c>
      <c r="I111" s="30">
        <v>303884.27</v>
      </c>
      <c r="J111" s="30">
        <v>5.7000000000000002E-2</v>
      </c>
      <c r="K111">
        <f>I111/(303884.273*(2012)-606046150.273)</f>
        <v>5.6599715707243384E-2</v>
      </c>
      <c r="L111">
        <f t="shared" ref="L111" si="3">(F111-D111)*J111</f>
        <v>0</v>
      </c>
    </row>
    <row r="113" spans="10:10">
      <c r="J113">
        <f>((H111+I111*(2021))-(H111+I111*(2012)))/H111</f>
        <v>-4.5127890508009447E-3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662FD-771A-4B19-B8D7-25D9EF8C92E2}">
  <dimension ref="A1:W45"/>
  <sheetViews>
    <sheetView topLeftCell="A7" workbookViewId="0">
      <selection activeCell="B39" sqref="B39"/>
    </sheetView>
  </sheetViews>
  <sheetFormatPr defaultRowHeight="14.5"/>
  <cols>
    <col min="3" max="3" width="9.81640625" customWidth="1"/>
    <col min="5" max="5" width="23.36328125" customWidth="1"/>
  </cols>
  <sheetData>
    <row r="1" spans="1:17">
      <c r="A1" t="s">
        <v>180</v>
      </c>
      <c r="D1">
        <f>SUM(N15:N18)/1000</f>
        <v>5.3585178000000004</v>
      </c>
      <c r="F1" t="s">
        <v>181</v>
      </c>
    </row>
    <row r="2" spans="1:17">
      <c r="A2" t="s">
        <v>162</v>
      </c>
      <c r="D2">
        <v>5.72</v>
      </c>
      <c r="E2">
        <f>$D$1/D2*100</f>
        <v>93.68038111888113</v>
      </c>
      <c r="F2" t="s">
        <v>182</v>
      </c>
    </row>
    <row r="3" spans="1:17">
      <c r="A3" t="s">
        <v>163</v>
      </c>
      <c r="D3">
        <v>14.2</v>
      </c>
      <c r="E3">
        <f t="shared" ref="E3" si="0">$D$1/D3*100</f>
        <v>37.736040845070427</v>
      </c>
      <c r="F3" t="s">
        <v>182</v>
      </c>
    </row>
    <row r="4" spans="1:17">
      <c r="A4" t="s">
        <v>164</v>
      </c>
      <c r="D4">
        <v>4.9000000000000004</v>
      </c>
      <c r="E4">
        <f>(SUM(N15:N16)/1000)/D4*100</f>
        <v>86.936342857142847</v>
      </c>
      <c r="F4" t="s">
        <v>182</v>
      </c>
    </row>
    <row r="6" spans="1:17">
      <c r="A6" t="s">
        <v>165</v>
      </c>
    </row>
    <row r="7" spans="1:17">
      <c r="A7" t="s">
        <v>124</v>
      </c>
      <c r="E7">
        <v>4013.7719999999999</v>
      </c>
    </row>
    <row r="8" spans="1:17">
      <c r="A8" t="s">
        <v>166</v>
      </c>
      <c r="N8">
        <f>K9/K10</f>
        <v>0.91756349254455083</v>
      </c>
    </row>
    <row r="9" spans="1:17" ht="16.5">
      <c r="A9" t="s">
        <v>167</v>
      </c>
      <c r="J9" t="s">
        <v>234</v>
      </c>
      <c r="K9" s="160">
        <v>4.8441479999999997</v>
      </c>
      <c r="N9">
        <f>K10/(K11/1000)</f>
        <v>0.87283357894948976</v>
      </c>
    </row>
    <row r="10" spans="1:17" ht="16">
      <c r="J10" t="s">
        <v>235</v>
      </c>
      <c r="K10" s="161">
        <v>5.2793599999999996</v>
      </c>
    </row>
    <row r="11" spans="1:17" ht="18.5">
      <c r="J11" t="s">
        <v>236</v>
      </c>
      <c r="K11" s="162">
        <v>6048.5299000000005</v>
      </c>
    </row>
    <row r="14" spans="1:17">
      <c r="A14" t="s">
        <v>179</v>
      </c>
    </row>
    <row r="15" spans="1:17" ht="72.5">
      <c r="A15" s="115" t="s">
        <v>175</v>
      </c>
      <c r="B15" s="115" t="s">
        <v>168</v>
      </c>
      <c r="C15" s="115">
        <v>417</v>
      </c>
      <c r="D15" s="115" t="s">
        <v>69</v>
      </c>
      <c r="E15" s="115">
        <v>724413</v>
      </c>
      <c r="F15" s="115" t="s">
        <v>169</v>
      </c>
      <c r="G15" s="115">
        <v>5058</v>
      </c>
      <c r="H15" s="115" t="s">
        <v>170</v>
      </c>
      <c r="I15" s="115">
        <v>2021</v>
      </c>
      <c r="J15" s="115">
        <v>2021</v>
      </c>
      <c r="K15" s="115">
        <v>3050</v>
      </c>
      <c r="L15" s="115" t="s">
        <v>171</v>
      </c>
      <c r="M15" s="115" t="s">
        <v>172</v>
      </c>
      <c r="N15" s="116">
        <v>3978.2651999999998</v>
      </c>
      <c r="O15" s="115" t="s">
        <v>173</v>
      </c>
      <c r="P15" s="115" t="s">
        <v>174</v>
      </c>
      <c r="Q15" s="115"/>
    </row>
    <row r="16" spans="1:17" ht="72.5">
      <c r="A16" s="115" t="s">
        <v>175</v>
      </c>
      <c r="B16" s="115" t="s">
        <v>168</v>
      </c>
      <c r="C16" s="115">
        <v>417</v>
      </c>
      <c r="D16" s="115" t="s">
        <v>69</v>
      </c>
      <c r="E16" s="115">
        <v>724413</v>
      </c>
      <c r="F16" s="115" t="s">
        <v>169</v>
      </c>
      <c r="G16" s="115">
        <v>5059</v>
      </c>
      <c r="H16" s="115" t="s">
        <v>176</v>
      </c>
      <c r="I16" s="115">
        <v>2021</v>
      </c>
      <c r="J16" s="115">
        <v>2021</v>
      </c>
      <c r="K16" s="115">
        <v>3050</v>
      </c>
      <c r="L16" s="115" t="s">
        <v>171</v>
      </c>
      <c r="M16" s="115" t="s">
        <v>172</v>
      </c>
      <c r="N16" s="116">
        <v>281.61559999999997</v>
      </c>
      <c r="O16" s="115" t="s">
        <v>173</v>
      </c>
      <c r="P16" s="115" t="s">
        <v>174</v>
      </c>
      <c r="Q16" s="115"/>
    </row>
    <row r="17" spans="1:17" ht="87">
      <c r="A17" s="115" t="s">
        <v>175</v>
      </c>
      <c r="B17" s="115" t="s">
        <v>168</v>
      </c>
      <c r="C17" s="115">
        <v>417</v>
      </c>
      <c r="D17" s="115" t="s">
        <v>69</v>
      </c>
      <c r="E17" s="115">
        <v>724313</v>
      </c>
      <c r="F17" s="115" t="s">
        <v>177</v>
      </c>
      <c r="G17" s="115">
        <v>5059</v>
      </c>
      <c r="H17" s="115" t="s">
        <v>176</v>
      </c>
      <c r="I17" s="115">
        <v>2021</v>
      </c>
      <c r="J17" s="115">
        <v>2021</v>
      </c>
      <c r="K17" s="115">
        <v>3050</v>
      </c>
      <c r="L17" s="115" t="s">
        <v>171</v>
      </c>
      <c r="M17" s="115" t="s">
        <v>172</v>
      </c>
      <c r="N17" s="116">
        <v>266.48399999999998</v>
      </c>
      <c r="O17" s="115" t="s">
        <v>173</v>
      </c>
      <c r="P17" s="115" t="s">
        <v>174</v>
      </c>
      <c r="Q17" s="115"/>
    </row>
    <row r="18" spans="1:17" ht="87">
      <c r="A18" s="115" t="s">
        <v>175</v>
      </c>
      <c r="B18" s="115" t="s">
        <v>168</v>
      </c>
      <c r="C18" s="115">
        <v>417</v>
      </c>
      <c r="D18" s="115" t="s">
        <v>69</v>
      </c>
      <c r="E18" s="115">
        <v>724313</v>
      </c>
      <c r="F18" s="115" t="s">
        <v>177</v>
      </c>
      <c r="G18" s="115">
        <v>5063</v>
      </c>
      <c r="H18" s="115" t="s">
        <v>178</v>
      </c>
      <c r="I18" s="115">
        <v>2021</v>
      </c>
      <c r="J18" s="115">
        <v>2021</v>
      </c>
      <c r="K18" s="115">
        <v>3050</v>
      </c>
      <c r="L18" s="115" t="s">
        <v>171</v>
      </c>
      <c r="M18" s="115" t="s">
        <v>172</v>
      </c>
      <c r="N18" s="116">
        <v>832.15300000000002</v>
      </c>
      <c r="O18" s="115" t="s">
        <v>173</v>
      </c>
      <c r="P18" s="115" t="s">
        <v>174</v>
      </c>
      <c r="Q18" s="115"/>
    </row>
    <row r="38" spans="4:23" ht="58">
      <c r="D38" s="115" t="s">
        <v>238</v>
      </c>
      <c r="E38" s="115" t="s">
        <v>239</v>
      </c>
      <c r="F38" s="115">
        <v>417</v>
      </c>
      <c r="G38" s="115" t="s">
        <v>69</v>
      </c>
      <c r="H38" s="115">
        <v>72431</v>
      </c>
      <c r="I38" s="115" t="s">
        <v>240</v>
      </c>
      <c r="J38" s="115" t="s">
        <v>241</v>
      </c>
      <c r="K38" s="115" t="s">
        <v>242</v>
      </c>
      <c r="L38" s="115">
        <v>2000</v>
      </c>
      <c r="M38" s="115">
        <v>2000</v>
      </c>
      <c r="N38" s="115">
        <v>3050</v>
      </c>
      <c r="O38" s="115" t="s">
        <v>171</v>
      </c>
      <c r="P38" s="115" t="s">
        <v>172</v>
      </c>
      <c r="Q38" s="116">
        <v>3.0358999999999998</v>
      </c>
      <c r="R38" s="115" t="s">
        <v>173</v>
      </c>
      <c r="S38" s="115" t="s">
        <v>174</v>
      </c>
      <c r="T38" s="115"/>
      <c r="V38">
        <v>273</v>
      </c>
      <c r="W38">
        <f>Q38*V38</f>
        <v>828.80070000000001</v>
      </c>
    </row>
    <row r="39" spans="4:23" ht="58">
      <c r="D39" s="115" t="s">
        <v>238</v>
      </c>
      <c r="E39" s="115" t="s">
        <v>239</v>
      </c>
      <c r="F39" s="115">
        <v>417</v>
      </c>
      <c r="G39" s="115" t="s">
        <v>69</v>
      </c>
      <c r="H39" s="115">
        <v>72441</v>
      </c>
      <c r="I39" s="115" t="s">
        <v>243</v>
      </c>
      <c r="J39" s="115" t="s">
        <v>241</v>
      </c>
      <c r="K39" s="115" t="s">
        <v>242</v>
      </c>
      <c r="L39" s="115">
        <v>2000</v>
      </c>
      <c r="M39" s="115">
        <v>2000</v>
      </c>
      <c r="N39" s="115">
        <v>3050</v>
      </c>
      <c r="O39" s="115" t="s">
        <v>171</v>
      </c>
      <c r="P39" s="115" t="s">
        <v>172</v>
      </c>
      <c r="Q39" s="116">
        <v>86.545400000000001</v>
      </c>
      <c r="R39" s="115" t="s">
        <v>173</v>
      </c>
      <c r="S39" s="115" t="s">
        <v>174</v>
      </c>
      <c r="T39" s="115"/>
      <c r="V39">
        <v>27</v>
      </c>
      <c r="W39">
        <f t="shared" ref="W39:W41" si="1">Q39*V39</f>
        <v>2336.7258000000002</v>
      </c>
    </row>
    <row r="40" spans="4:23" ht="58">
      <c r="D40" s="115" t="s">
        <v>238</v>
      </c>
      <c r="E40" s="115" t="s">
        <v>239</v>
      </c>
      <c r="F40" s="115">
        <v>417</v>
      </c>
      <c r="G40" s="115" t="s">
        <v>69</v>
      </c>
      <c r="H40" s="115">
        <v>72431</v>
      </c>
      <c r="I40" s="115" t="s">
        <v>240</v>
      </c>
      <c r="J40" s="115" t="s">
        <v>241</v>
      </c>
      <c r="K40" s="115" t="s">
        <v>242</v>
      </c>
      <c r="L40" s="115">
        <v>2022</v>
      </c>
      <c r="M40" s="115">
        <v>2022</v>
      </c>
      <c r="N40" s="115">
        <v>3050</v>
      </c>
      <c r="O40" s="115" t="s">
        <v>171</v>
      </c>
      <c r="P40" s="115" t="s">
        <v>172</v>
      </c>
      <c r="Q40" s="116">
        <v>5.2901999999999996</v>
      </c>
      <c r="R40" s="115" t="s">
        <v>173</v>
      </c>
      <c r="S40" s="115" t="s">
        <v>174</v>
      </c>
      <c r="T40" s="115"/>
      <c r="V40">
        <v>273</v>
      </c>
      <c r="W40">
        <f t="shared" si="1"/>
        <v>1444.2245999999998</v>
      </c>
    </row>
    <row r="41" spans="4:23" ht="58">
      <c r="D41" s="115" t="s">
        <v>238</v>
      </c>
      <c r="E41" s="115" t="s">
        <v>239</v>
      </c>
      <c r="F41" s="115">
        <v>417</v>
      </c>
      <c r="G41" s="115" t="s">
        <v>69</v>
      </c>
      <c r="H41" s="115">
        <v>72441</v>
      </c>
      <c r="I41" s="115" t="s">
        <v>243</v>
      </c>
      <c r="J41" s="115" t="s">
        <v>241</v>
      </c>
      <c r="K41" s="115" t="s">
        <v>242</v>
      </c>
      <c r="L41" s="115">
        <v>2022</v>
      </c>
      <c r="M41" s="115">
        <v>2022</v>
      </c>
      <c r="N41" s="115">
        <v>3050</v>
      </c>
      <c r="O41" s="115" t="s">
        <v>171</v>
      </c>
      <c r="P41" s="115" t="s">
        <v>172</v>
      </c>
      <c r="Q41" s="116">
        <v>153.54740000000001</v>
      </c>
      <c r="R41" s="115" t="s">
        <v>173</v>
      </c>
      <c r="S41" s="115" t="s">
        <v>174</v>
      </c>
      <c r="V41">
        <v>27</v>
      </c>
      <c r="W41">
        <f t="shared" si="1"/>
        <v>4145.7798000000003</v>
      </c>
    </row>
    <row r="43" spans="4:23">
      <c r="V43">
        <f>W38+W39</f>
        <v>3165.5264999999999</v>
      </c>
    </row>
    <row r="45" spans="4:23">
      <c r="V45">
        <f>W40+W41</f>
        <v>5590.0043999999998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ABA6-6F8B-4274-9194-35CB7AB3B71A}">
  <dimension ref="A1:AB41"/>
  <sheetViews>
    <sheetView tabSelected="1" workbookViewId="0">
      <selection activeCell="P12" sqref="P12"/>
    </sheetView>
  </sheetViews>
  <sheetFormatPr defaultRowHeight="14.5"/>
  <cols>
    <col min="1" max="1" width="12.36328125" customWidth="1"/>
    <col min="10" max="10" width="15.7265625" bestFit="1" customWidth="1"/>
    <col min="12" max="12" width="10.81640625" bestFit="1" customWidth="1"/>
    <col min="14" max="14" width="10.81640625" bestFit="1" customWidth="1"/>
  </cols>
  <sheetData>
    <row r="1" spans="1:28">
      <c r="A1" s="117"/>
      <c r="C1" s="173" t="s">
        <v>184</v>
      </c>
      <c r="D1" s="121" t="s">
        <v>185</v>
      </c>
      <c r="E1" s="121" t="s">
        <v>186</v>
      </c>
      <c r="F1" s="121" t="s">
        <v>187</v>
      </c>
      <c r="G1" s="121" t="s">
        <v>64</v>
      </c>
      <c r="H1" s="121" t="s">
        <v>63</v>
      </c>
      <c r="I1" s="121" t="s">
        <v>188</v>
      </c>
      <c r="J1" s="121" t="s">
        <v>189</v>
      </c>
      <c r="K1" s="121" t="s">
        <v>190</v>
      </c>
    </row>
    <row r="2" spans="1:28" ht="15" thickBot="1">
      <c r="A2" s="118" t="s">
        <v>183</v>
      </c>
      <c r="C2" s="174"/>
      <c r="D2" s="122"/>
      <c r="E2" s="122"/>
      <c r="F2" s="122"/>
      <c r="G2" s="122"/>
      <c r="H2" s="122"/>
      <c r="I2" s="122"/>
      <c r="J2" s="122"/>
      <c r="K2" s="122"/>
    </row>
    <row r="3" spans="1:28">
      <c r="A3" s="119"/>
      <c r="B3" s="119"/>
      <c r="C3" s="119"/>
      <c r="D3" s="119"/>
      <c r="E3" s="119"/>
      <c r="F3" s="119"/>
      <c r="G3" s="119"/>
      <c r="H3" s="119"/>
      <c r="I3" s="119"/>
      <c r="J3" s="119"/>
      <c r="K3" s="119"/>
    </row>
    <row r="4" spans="1:28" ht="15" thickBot="1">
      <c r="A4" s="120">
        <v>1</v>
      </c>
      <c r="B4" s="29" t="s">
        <v>191</v>
      </c>
      <c r="C4" s="30">
        <v>5291422649</v>
      </c>
      <c r="D4" s="30">
        <v>96160693</v>
      </c>
      <c r="E4" s="30">
        <v>38759788</v>
      </c>
      <c r="F4" s="30">
        <v>57400905</v>
      </c>
      <c r="G4" s="30">
        <v>2050</v>
      </c>
      <c r="H4" s="29" t="s">
        <v>192</v>
      </c>
      <c r="I4" s="30">
        <v>9642953</v>
      </c>
      <c r="J4" s="30">
        <v>55.026879999999998</v>
      </c>
      <c r="K4" s="30">
        <v>27.320879999999999</v>
      </c>
      <c r="N4" s="47">
        <f>(C4-$C$5)/$C$5</f>
        <v>-0.23997028189945493</v>
      </c>
    </row>
    <row r="5" spans="1:28" ht="15" thickBot="1">
      <c r="A5" s="120">
        <v>2</v>
      </c>
      <c r="B5" s="29" t="s">
        <v>193</v>
      </c>
      <c r="C5" s="30">
        <v>6962125984</v>
      </c>
      <c r="D5" s="30">
        <v>106723545</v>
      </c>
      <c r="E5" s="30">
        <v>33430906</v>
      </c>
      <c r="F5" s="30">
        <v>73292639</v>
      </c>
      <c r="G5" s="30">
        <v>2050</v>
      </c>
      <c r="H5" s="29" t="s">
        <v>192</v>
      </c>
      <c r="I5" s="30">
        <v>9642953</v>
      </c>
      <c r="J5" s="30">
        <v>65.235150000000004</v>
      </c>
      <c r="K5" s="30">
        <v>30.32197</v>
      </c>
      <c r="N5" s="47">
        <f t="shared" ref="N5:N9" si="0">(C5-$C$5)/$C$5</f>
        <v>0</v>
      </c>
    </row>
    <row r="6" spans="1:28" ht="15" thickBot="1">
      <c r="A6" s="120">
        <v>3</v>
      </c>
      <c r="B6" s="29" t="s">
        <v>194</v>
      </c>
      <c r="C6" s="30">
        <v>5854937517</v>
      </c>
      <c r="D6" s="30">
        <v>106723545</v>
      </c>
      <c r="E6" s="30">
        <v>39193068</v>
      </c>
      <c r="F6" s="30">
        <v>67530477</v>
      </c>
      <c r="G6" s="30">
        <v>2050</v>
      </c>
      <c r="H6" s="29" t="s">
        <v>192</v>
      </c>
      <c r="I6" s="30">
        <v>9642953</v>
      </c>
      <c r="J6" s="30">
        <v>54.860790000000001</v>
      </c>
      <c r="K6" s="30">
        <v>30.32197</v>
      </c>
      <c r="N6" s="47">
        <f t="shared" si="0"/>
        <v>-0.15903022575927003</v>
      </c>
    </row>
    <row r="7" spans="1:28" ht="15" thickBot="1">
      <c r="A7" s="120">
        <v>4</v>
      </c>
      <c r="B7" s="29" t="s">
        <v>195</v>
      </c>
      <c r="C7" s="30">
        <v>7276424391</v>
      </c>
      <c r="D7" s="30">
        <v>139345908</v>
      </c>
      <c r="E7" s="30">
        <v>46431517</v>
      </c>
      <c r="F7" s="30">
        <v>92914392</v>
      </c>
      <c r="G7" s="30">
        <v>2050</v>
      </c>
      <c r="H7" s="29" t="s">
        <v>192</v>
      </c>
      <c r="I7" s="30">
        <v>9642953</v>
      </c>
      <c r="J7" s="30">
        <v>52.218429999999998</v>
      </c>
      <c r="K7" s="30">
        <v>39.590530000000001</v>
      </c>
      <c r="N7" s="47">
        <f t="shared" si="0"/>
        <v>4.5144027517213053E-2</v>
      </c>
    </row>
    <row r="8" spans="1:28" ht="15" thickBot="1">
      <c r="A8" s="120">
        <v>5</v>
      </c>
      <c r="B8" s="29" t="s">
        <v>0</v>
      </c>
      <c r="C8" s="30">
        <v>4700057802</v>
      </c>
      <c r="D8" s="30">
        <v>71038629</v>
      </c>
      <c r="E8" s="30">
        <v>22470263</v>
      </c>
      <c r="F8" s="30">
        <v>48568365</v>
      </c>
      <c r="G8" s="30">
        <v>2022</v>
      </c>
      <c r="H8" s="29" t="s">
        <v>192</v>
      </c>
      <c r="I8" s="30">
        <v>6955788</v>
      </c>
      <c r="J8" s="30">
        <v>66.162000000000006</v>
      </c>
      <c r="K8" s="30">
        <v>27.98049</v>
      </c>
      <c r="M8" s="47">
        <f>(C5-C8)/C8</f>
        <v>0.48128518356464245</v>
      </c>
      <c r="N8" s="47">
        <f t="shared" si="0"/>
        <v>-0.32491054990940538</v>
      </c>
    </row>
    <row r="9" spans="1:28" ht="15" thickBot="1">
      <c r="A9" s="120">
        <v>6</v>
      </c>
      <c r="B9" s="29" t="s">
        <v>196</v>
      </c>
      <c r="C9" s="30">
        <v>7466786009</v>
      </c>
      <c r="D9" s="30">
        <v>135705089</v>
      </c>
      <c r="E9" s="30">
        <v>41829963</v>
      </c>
      <c r="F9" s="30">
        <v>93875126</v>
      </c>
      <c r="G9" s="30">
        <v>2050</v>
      </c>
      <c r="H9" s="29" t="s">
        <v>192</v>
      </c>
      <c r="I9" s="30">
        <v>9642953</v>
      </c>
      <c r="J9" s="30">
        <v>55.022150000000003</v>
      </c>
      <c r="K9" s="30">
        <v>38.556109999999997</v>
      </c>
      <c r="N9" s="47">
        <f t="shared" si="0"/>
        <v>7.2486482743889399E-2</v>
      </c>
    </row>
    <row r="10" spans="1:28" ht="15" thickBot="1">
      <c r="A10" s="120">
        <v>7</v>
      </c>
      <c r="B10" s="29" t="s">
        <v>197</v>
      </c>
      <c r="C10" s="30">
        <v>7500335349</v>
      </c>
      <c r="D10" s="30">
        <v>136763452</v>
      </c>
      <c r="E10" s="30">
        <v>42877440</v>
      </c>
      <c r="F10" s="30">
        <v>93886011</v>
      </c>
      <c r="G10" s="30">
        <v>2050</v>
      </c>
      <c r="H10" s="29" t="s">
        <v>192</v>
      </c>
      <c r="I10" s="30">
        <v>9642953</v>
      </c>
      <c r="J10" s="30">
        <v>54.841659999999997</v>
      </c>
      <c r="K10" s="30">
        <v>38.856810000000003</v>
      </c>
      <c r="N10" s="47">
        <f>(C10-$C$5)/$C$5</f>
        <v>7.7305318265840792E-2</v>
      </c>
      <c r="R10" s="117"/>
      <c r="S10" s="173" t="s">
        <v>184</v>
      </c>
      <c r="T10" s="173" t="s">
        <v>185</v>
      </c>
      <c r="U10" s="173" t="s">
        <v>186</v>
      </c>
      <c r="V10" s="173" t="s">
        <v>187</v>
      </c>
      <c r="W10" s="173" t="s">
        <v>64</v>
      </c>
      <c r="X10" s="173" t="s">
        <v>63</v>
      </c>
      <c r="Y10" s="173" t="s">
        <v>188</v>
      </c>
      <c r="Z10" s="173" t="s">
        <v>189</v>
      </c>
      <c r="AA10" s="173" t="s">
        <v>190</v>
      </c>
    </row>
    <row r="11" spans="1:28" ht="15" thickBot="1">
      <c r="R11" s="118" t="s">
        <v>183</v>
      </c>
      <c r="S11" s="174"/>
      <c r="T11" s="174"/>
      <c r="U11" s="174"/>
      <c r="V11" s="174"/>
      <c r="W11" s="174"/>
      <c r="X11" s="174"/>
      <c r="Y11" s="174"/>
      <c r="Z11" s="174"/>
      <c r="AA11" s="174"/>
    </row>
    <row r="12" spans="1:28"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</row>
    <row r="13" spans="1:28" ht="15" thickBot="1">
      <c r="L13">
        <f>(C5-C4)/1000000000</f>
        <v>1.670703335</v>
      </c>
      <c r="R13" s="120">
        <v>1</v>
      </c>
      <c r="S13" s="29" t="s">
        <v>191</v>
      </c>
      <c r="T13" s="30">
        <v>5291422649</v>
      </c>
      <c r="U13" s="30">
        <v>96160693</v>
      </c>
      <c r="V13" s="30">
        <v>38759788</v>
      </c>
      <c r="W13" s="30">
        <v>57400905</v>
      </c>
      <c r="X13" s="30">
        <v>2050</v>
      </c>
      <c r="Y13" s="29" t="s">
        <v>192</v>
      </c>
      <c r="Z13" s="30">
        <v>9642953</v>
      </c>
      <c r="AA13" s="30">
        <v>55.026879999999998</v>
      </c>
      <c r="AB13" s="30">
        <v>27.320879999999999</v>
      </c>
    </row>
    <row r="14" spans="1:28" ht="29.5" thickBot="1">
      <c r="A14" s="123"/>
      <c r="B14" s="8" t="s">
        <v>64</v>
      </c>
      <c r="C14" s="123" t="s">
        <v>198</v>
      </c>
      <c r="D14" s="123" t="s">
        <v>189</v>
      </c>
      <c r="E14" s="123" t="s">
        <v>199</v>
      </c>
      <c r="F14" s="123" t="s">
        <v>200</v>
      </c>
      <c r="J14" s="156">
        <f>C5-C4</f>
        <v>1670703335</v>
      </c>
      <c r="R14" s="120">
        <v>2</v>
      </c>
      <c r="S14" s="29" t="s">
        <v>193</v>
      </c>
      <c r="T14" s="30">
        <v>6962125984</v>
      </c>
      <c r="U14" s="30">
        <v>106723545</v>
      </c>
      <c r="V14" s="30">
        <v>33430906</v>
      </c>
      <c r="W14" s="30">
        <v>73292639</v>
      </c>
      <c r="X14" s="30">
        <v>2050</v>
      </c>
      <c r="Y14" s="29" t="s">
        <v>192</v>
      </c>
      <c r="Z14" s="30">
        <v>9642953</v>
      </c>
      <c r="AA14" s="30">
        <v>65.235150000000004</v>
      </c>
      <c r="AB14" s="30">
        <v>30.32197</v>
      </c>
    </row>
    <row r="15" spans="1:28" ht="15" thickBot="1">
      <c r="A15" t="s">
        <v>204</v>
      </c>
      <c r="B15">
        <v>2022</v>
      </c>
      <c r="C15" s="48">
        <f>C8/1000000000</f>
        <v>4.7000578019999999</v>
      </c>
      <c r="D15" s="48">
        <f>J8</f>
        <v>66.162000000000006</v>
      </c>
      <c r="E15" s="48">
        <f>D8/1000000</f>
        <v>71.038629</v>
      </c>
      <c r="F15" s="48">
        <f>K8</f>
        <v>27.98049</v>
      </c>
      <c r="R15" s="120">
        <v>3</v>
      </c>
      <c r="S15" s="29" t="s">
        <v>194</v>
      </c>
      <c r="T15" s="30">
        <v>5854937517</v>
      </c>
      <c r="U15" s="30">
        <v>106723545</v>
      </c>
      <c r="V15" s="30">
        <v>39193068</v>
      </c>
      <c r="W15" s="30">
        <v>67530477</v>
      </c>
      <c r="X15" s="30">
        <v>2050</v>
      </c>
      <c r="Y15" s="29" t="s">
        <v>192</v>
      </c>
      <c r="Z15" s="30">
        <v>9642953</v>
      </c>
      <c r="AA15" s="30">
        <v>54.860790000000001</v>
      </c>
      <c r="AB15" s="30">
        <v>30.32197</v>
      </c>
    </row>
    <row r="16" spans="1:28" ht="15" thickBot="1">
      <c r="A16" t="s">
        <v>205</v>
      </c>
      <c r="B16">
        <v>2050</v>
      </c>
      <c r="C16" s="48">
        <f>C5/1000000000</f>
        <v>6.962125984</v>
      </c>
      <c r="D16" s="48">
        <f>J5</f>
        <v>65.235150000000004</v>
      </c>
      <c r="E16" s="48">
        <f>D5/1000000</f>
        <v>106.723545</v>
      </c>
      <c r="F16" s="48">
        <f>K5</f>
        <v>30.32197</v>
      </c>
      <c r="R16" s="120">
        <v>4</v>
      </c>
      <c r="S16" s="29" t="s">
        <v>195</v>
      </c>
      <c r="T16" s="30">
        <v>7276424391</v>
      </c>
      <c r="U16" s="30">
        <v>139345908</v>
      </c>
      <c r="V16" s="30">
        <v>46431517</v>
      </c>
      <c r="W16" s="30">
        <v>92914392</v>
      </c>
      <c r="X16" s="30">
        <v>2050</v>
      </c>
      <c r="Y16" s="29" t="s">
        <v>192</v>
      </c>
      <c r="Z16" s="30">
        <v>9642953</v>
      </c>
      <c r="AA16" s="30">
        <v>52.218429999999998</v>
      </c>
      <c r="AB16" s="30">
        <v>39.590530000000001</v>
      </c>
    </row>
    <row r="17" spans="1:28" ht="15" thickBot="1">
      <c r="A17" s="171" t="s">
        <v>201</v>
      </c>
      <c r="B17" s="171"/>
      <c r="C17" s="171"/>
      <c r="D17" s="171"/>
      <c r="E17" s="171"/>
      <c r="F17" s="171"/>
      <c r="R17" s="120">
        <v>5</v>
      </c>
      <c r="S17" s="29" t="s">
        <v>0</v>
      </c>
      <c r="T17" s="30">
        <v>4700057802</v>
      </c>
      <c r="U17" s="30">
        <v>71038629</v>
      </c>
      <c r="V17" s="30">
        <v>22470263</v>
      </c>
      <c r="W17" s="30">
        <v>48568365</v>
      </c>
      <c r="X17" s="30">
        <v>2022</v>
      </c>
      <c r="Y17" s="29" t="s">
        <v>192</v>
      </c>
      <c r="Z17" s="30">
        <v>6955788</v>
      </c>
      <c r="AA17" s="30">
        <v>66.162000000000006</v>
      </c>
      <c r="AB17" s="30">
        <v>27.98049</v>
      </c>
    </row>
    <row r="18" spans="1:28" ht="15" thickBot="1">
      <c r="A18" t="s">
        <v>202</v>
      </c>
      <c r="B18">
        <v>2050</v>
      </c>
      <c r="C18" s="47">
        <f>((C10/1000000000)-C16)/C16</f>
        <v>7.7305318265840819E-2</v>
      </c>
      <c r="D18" s="47">
        <f>((J10)-D16)/D16</f>
        <v>-0.15932346288772245</v>
      </c>
      <c r="E18" s="47">
        <f>((D10/1000000)-E16)/E16</f>
        <v>0.2814740364930719</v>
      </c>
      <c r="F18" s="47">
        <f>(K10-F16)/F16</f>
        <v>0.28147379606272294</v>
      </c>
      <c r="R18" s="120">
        <v>7</v>
      </c>
      <c r="S18" s="29" t="s">
        <v>197</v>
      </c>
      <c r="T18" s="30">
        <v>7500335349</v>
      </c>
      <c r="U18" s="30">
        <v>136763452</v>
      </c>
      <c r="V18" s="30">
        <v>42877440</v>
      </c>
      <c r="W18" s="30">
        <v>93886011</v>
      </c>
      <c r="X18" s="30">
        <v>2050</v>
      </c>
      <c r="Y18" s="29" t="s">
        <v>192</v>
      </c>
      <c r="Z18" s="30">
        <v>9642953</v>
      </c>
      <c r="AA18" s="30">
        <v>54.841659999999997</v>
      </c>
      <c r="AB18" s="30">
        <v>38.856810000000003</v>
      </c>
    </row>
    <row r="19" spans="1:28">
      <c r="A19" t="s">
        <v>203</v>
      </c>
      <c r="B19">
        <v>2050</v>
      </c>
      <c r="C19" s="47">
        <f>((C4/1000000000)-C16)/C16</f>
        <v>-0.23997028189945488</v>
      </c>
      <c r="D19" s="47">
        <f>((J4)-D16)/D16</f>
        <v>-0.15648419602009048</v>
      </c>
      <c r="E19" s="47">
        <f>((D4/1000000)-E16)/E16</f>
        <v>-9.8973961181668083E-2</v>
      </c>
      <c r="F19" s="47">
        <f>(K4-F16)/F16</f>
        <v>-9.8974110191389325E-2</v>
      </c>
    </row>
    <row r="22" spans="1:28">
      <c r="A22" s="117"/>
      <c r="C22" s="173" t="s">
        <v>184</v>
      </c>
      <c r="D22" s="129" t="s">
        <v>185</v>
      </c>
      <c r="E22" s="129" t="s">
        <v>186</v>
      </c>
      <c r="F22" s="129" t="s">
        <v>187</v>
      </c>
      <c r="G22" s="129" t="s">
        <v>64</v>
      </c>
      <c r="H22" s="129" t="s">
        <v>63</v>
      </c>
      <c r="I22" s="129" t="s">
        <v>188</v>
      </c>
      <c r="J22" s="129" t="s">
        <v>189</v>
      </c>
      <c r="K22" s="129" t="s">
        <v>190</v>
      </c>
    </row>
    <row r="23" spans="1:28" ht="15" thickBot="1">
      <c r="A23" s="118" t="s">
        <v>183</v>
      </c>
      <c r="C23" s="174"/>
      <c r="D23" s="130"/>
      <c r="E23" s="130"/>
      <c r="F23" s="130"/>
      <c r="G23" s="130"/>
      <c r="H23" s="130"/>
      <c r="I23" s="130"/>
      <c r="J23" s="130"/>
      <c r="K23" s="130"/>
    </row>
    <row r="24" spans="1:28">
      <c r="A24" s="119"/>
      <c r="B24" s="119"/>
      <c r="C24" s="119"/>
      <c r="D24" s="119"/>
      <c r="E24" s="119"/>
      <c r="F24" s="119"/>
      <c r="G24" s="119"/>
      <c r="H24" s="119"/>
      <c r="I24" s="119"/>
      <c r="J24" s="119"/>
      <c r="K24" s="119"/>
    </row>
    <row r="25" spans="1:28" ht="15" thickBot="1">
      <c r="A25" s="120">
        <v>1</v>
      </c>
      <c r="B25" s="29" t="s">
        <v>191</v>
      </c>
      <c r="C25" s="30">
        <v>5291422649</v>
      </c>
      <c r="D25" s="30">
        <v>96160693</v>
      </c>
      <c r="E25" s="30">
        <v>38759788</v>
      </c>
      <c r="F25" s="30">
        <v>57400905</v>
      </c>
      <c r="G25" s="30">
        <v>2050</v>
      </c>
      <c r="H25" s="29" t="s">
        <v>192</v>
      </c>
      <c r="I25" s="30">
        <v>9642953</v>
      </c>
      <c r="J25" s="30">
        <v>55.026879999999998</v>
      </c>
      <c r="K25" s="30">
        <v>27.320879999999999</v>
      </c>
      <c r="N25" s="47">
        <f>(C25-$C$5)/$C$5</f>
        <v>-0.23997028189945493</v>
      </c>
    </row>
    <row r="26" spans="1:28" ht="15" thickBot="1">
      <c r="A26" s="120">
        <v>2</v>
      </c>
      <c r="B26" s="29" t="s">
        <v>193</v>
      </c>
      <c r="C26" s="30">
        <v>6962125984</v>
      </c>
      <c r="D26" s="30">
        <v>106723545</v>
      </c>
      <c r="E26" s="30">
        <v>33430906</v>
      </c>
      <c r="F26" s="30">
        <v>73292639</v>
      </c>
      <c r="G26" s="30">
        <v>2050</v>
      </c>
      <c r="H26" s="29" t="s">
        <v>192</v>
      </c>
      <c r="I26" s="30">
        <v>9642953</v>
      </c>
      <c r="J26" s="30">
        <v>65.235150000000004</v>
      </c>
      <c r="K26" s="30">
        <v>30.32197</v>
      </c>
      <c r="N26" s="47">
        <f t="shared" ref="N26:N30" si="1">(C26-$C$5)/$C$5</f>
        <v>0</v>
      </c>
    </row>
    <row r="27" spans="1:28" ht="15" thickBot="1">
      <c r="A27" s="120">
        <v>3</v>
      </c>
      <c r="B27" s="29" t="s">
        <v>194</v>
      </c>
      <c r="C27" s="30">
        <v>5854937517</v>
      </c>
      <c r="D27" s="30">
        <v>106723545</v>
      </c>
      <c r="E27" s="30">
        <v>39193068</v>
      </c>
      <c r="F27" s="30">
        <v>67530477</v>
      </c>
      <c r="G27" s="30">
        <v>2050</v>
      </c>
      <c r="H27" s="29" t="s">
        <v>192</v>
      </c>
      <c r="I27" s="30">
        <v>9642953</v>
      </c>
      <c r="J27" s="30">
        <v>54.860790000000001</v>
      </c>
      <c r="K27" s="30">
        <v>30.32197</v>
      </c>
      <c r="N27" s="47">
        <f t="shared" si="1"/>
        <v>-0.15903022575927003</v>
      </c>
    </row>
    <row r="28" spans="1:28" ht="15" thickBot="1">
      <c r="A28" s="120">
        <v>4</v>
      </c>
      <c r="B28" s="29" t="s">
        <v>195</v>
      </c>
      <c r="C28" s="30">
        <v>7276424391</v>
      </c>
      <c r="D28" s="30">
        <v>139345908</v>
      </c>
      <c r="E28" s="30">
        <v>46431517</v>
      </c>
      <c r="F28" s="30">
        <v>92914392</v>
      </c>
      <c r="G28" s="30">
        <v>2050</v>
      </c>
      <c r="H28" s="29" t="s">
        <v>192</v>
      </c>
      <c r="I28" s="30">
        <v>9642953</v>
      </c>
      <c r="J28" s="30">
        <v>52.218429999999998</v>
      </c>
      <c r="K28" s="30">
        <v>39.590530000000001</v>
      </c>
      <c r="N28" s="47">
        <f t="shared" si="1"/>
        <v>4.5144027517213053E-2</v>
      </c>
    </row>
    <row r="29" spans="1:28" ht="15" thickBot="1">
      <c r="A29" s="120">
        <v>5</v>
      </c>
      <c r="B29" s="29" t="s">
        <v>0</v>
      </c>
      <c r="C29" s="30">
        <v>4700057802</v>
      </c>
      <c r="D29" s="30">
        <v>71038629</v>
      </c>
      <c r="E29" s="30">
        <v>22470263</v>
      </c>
      <c r="F29" s="30">
        <v>48568365</v>
      </c>
      <c r="G29" s="30">
        <v>2022</v>
      </c>
      <c r="H29" s="29" t="s">
        <v>192</v>
      </c>
      <c r="I29" s="30">
        <v>6955788</v>
      </c>
      <c r="J29" s="30">
        <v>66.162000000000006</v>
      </c>
      <c r="K29" s="30">
        <v>27.98049</v>
      </c>
      <c r="M29" s="47">
        <f>(C26-C29)/C29</f>
        <v>0.48128518356464245</v>
      </c>
      <c r="N29" s="47">
        <f t="shared" si="1"/>
        <v>-0.32491054990940538</v>
      </c>
    </row>
    <row r="30" spans="1:28" ht="15" thickBot="1">
      <c r="A30" s="120">
        <v>6</v>
      </c>
      <c r="B30" s="29" t="s">
        <v>196</v>
      </c>
      <c r="C30" s="30">
        <v>7466786009</v>
      </c>
      <c r="D30" s="30">
        <v>135705089</v>
      </c>
      <c r="E30" s="30">
        <v>41829963</v>
      </c>
      <c r="F30" s="30">
        <v>93875126</v>
      </c>
      <c r="G30" s="30">
        <v>2050</v>
      </c>
      <c r="H30" s="29" t="s">
        <v>192</v>
      </c>
      <c r="I30" s="30">
        <v>9642953</v>
      </c>
      <c r="J30" s="30">
        <v>55.022150000000003</v>
      </c>
      <c r="K30" s="30">
        <v>38.556109999999997</v>
      </c>
      <c r="N30" s="47">
        <f t="shared" si="1"/>
        <v>7.2486482743889399E-2</v>
      </c>
    </row>
    <row r="31" spans="1:28" ht="15" thickBot="1">
      <c r="A31" s="120">
        <v>7</v>
      </c>
      <c r="B31" s="29" t="s">
        <v>197</v>
      </c>
      <c r="C31" s="30">
        <v>7500335349</v>
      </c>
      <c r="D31" s="30">
        <v>136763452</v>
      </c>
      <c r="E31" s="30">
        <v>42877440</v>
      </c>
      <c r="F31" s="30">
        <v>93886011</v>
      </c>
      <c r="G31" s="30">
        <v>2050</v>
      </c>
      <c r="H31" s="29" t="s">
        <v>192</v>
      </c>
      <c r="I31" s="30">
        <v>9642953</v>
      </c>
      <c r="J31" s="30">
        <v>54.841659999999997</v>
      </c>
      <c r="K31" s="30">
        <v>38.856810000000003</v>
      </c>
      <c r="N31" s="47">
        <f>(C31-$C$5)/$C$5</f>
        <v>7.7305318265840792E-2</v>
      </c>
    </row>
    <row r="34" spans="1:12">
      <c r="L34">
        <f>(C26-C25)/1000000000</f>
        <v>1.670703335</v>
      </c>
    </row>
    <row r="35" spans="1:12" ht="29">
      <c r="A35" s="123"/>
      <c r="B35" s="8" t="s">
        <v>64</v>
      </c>
      <c r="C35" s="123" t="s">
        <v>198</v>
      </c>
      <c r="D35" s="123" t="s">
        <v>189</v>
      </c>
      <c r="E35" s="123" t="s">
        <v>199</v>
      </c>
      <c r="F35" s="123" t="s">
        <v>200</v>
      </c>
    </row>
    <row r="36" spans="1:12">
      <c r="A36" t="s">
        <v>204</v>
      </c>
      <c r="B36">
        <v>2022</v>
      </c>
      <c r="C36" s="48">
        <f>C29/1000000000</f>
        <v>4.7000578019999999</v>
      </c>
      <c r="D36" s="48">
        <f>J29</f>
        <v>66.162000000000006</v>
      </c>
      <c r="E36" s="48">
        <f>D29/1000000</f>
        <v>71.038629</v>
      </c>
      <c r="F36" s="48">
        <f>K29</f>
        <v>27.98049</v>
      </c>
    </row>
    <row r="37" spans="1:12">
      <c r="A37" t="s">
        <v>205</v>
      </c>
      <c r="B37">
        <v>2050</v>
      </c>
      <c r="C37" s="48">
        <f>C26/1000000000</f>
        <v>6.962125984</v>
      </c>
      <c r="D37" s="48">
        <f>J26</f>
        <v>65.235150000000004</v>
      </c>
      <c r="E37" s="48">
        <f>D26/1000000</f>
        <v>106.723545</v>
      </c>
      <c r="F37" s="48">
        <f>K26</f>
        <v>30.32197</v>
      </c>
    </row>
    <row r="38" spans="1:12">
      <c r="A38" s="171" t="s">
        <v>201</v>
      </c>
      <c r="B38" s="171"/>
      <c r="C38" s="171"/>
      <c r="D38" s="171"/>
      <c r="E38" s="171"/>
      <c r="F38" s="171"/>
    </row>
    <row r="39" spans="1:12">
      <c r="A39" t="s">
        <v>2</v>
      </c>
      <c r="B39">
        <v>2050</v>
      </c>
      <c r="C39" s="47">
        <f>((C30/1000000000)-C37)/C37</f>
        <v>7.2486482743889358E-2</v>
      </c>
      <c r="D39" s="47">
        <f>((J30)-D37)/D37</f>
        <v>-0.15655670294312193</v>
      </c>
      <c r="E39" s="47">
        <f>((D30/1000000)-E37)/E37</f>
        <v>0.27155717138144153</v>
      </c>
      <c r="F39" s="47">
        <f>(K30-F37)/F37</f>
        <v>0.27155689422553997</v>
      </c>
    </row>
    <row r="40" spans="1:12">
      <c r="A40" t="s">
        <v>237</v>
      </c>
      <c r="B40">
        <v>2050</v>
      </c>
      <c r="C40" s="47">
        <f>((C27/1000000000)-C37)/C37</f>
        <v>-0.15903022575927006</v>
      </c>
      <c r="D40" s="47">
        <f>((J27)-D37)/D37</f>
        <v>-0.15903021607216358</v>
      </c>
      <c r="E40" s="47">
        <f>((D27/1000000)-E37)/E37</f>
        <v>0</v>
      </c>
      <c r="F40" s="47">
        <f>(K27-F37)/F37</f>
        <v>0</v>
      </c>
    </row>
    <row r="41" spans="1:12">
      <c r="A41" t="s">
        <v>191</v>
      </c>
      <c r="B41">
        <v>2050</v>
      </c>
      <c r="C41" s="47">
        <f>((C25/1000000000)-C37)/C37</f>
        <v>-0.23997028189945488</v>
      </c>
      <c r="D41" s="47">
        <f>((J25)-D37)/D37</f>
        <v>-0.15648419602009048</v>
      </c>
      <c r="E41" s="47">
        <f>((D25/1000000)-E37)/E37</f>
        <v>-9.8973961181668083E-2</v>
      </c>
      <c r="F41" s="47">
        <f>(K25-F37)/F37</f>
        <v>-9.8974110191389325E-2</v>
      </c>
    </row>
  </sheetData>
  <mergeCells count="13">
    <mergeCell ref="A17:F17"/>
    <mergeCell ref="C1:C2"/>
    <mergeCell ref="C22:C23"/>
    <mergeCell ref="A38:F38"/>
    <mergeCell ref="S10:S11"/>
    <mergeCell ref="Y10:Y11"/>
    <mergeCell ref="Z10:Z11"/>
    <mergeCell ref="AA10:AA11"/>
    <mergeCell ref="T10:T11"/>
    <mergeCell ref="U10:U11"/>
    <mergeCell ref="V10:V11"/>
    <mergeCell ref="W10:W11"/>
    <mergeCell ref="X10:X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Cattle</vt:lpstr>
      <vt:lpstr>Assumptions</vt:lpstr>
      <vt:lpstr>Goat</vt:lpstr>
      <vt:lpstr>Sheep</vt:lpstr>
      <vt:lpstr>KYRNIR</vt:lpstr>
      <vt:lpstr>KYRemmisionsTIER1</vt:lpstr>
      <vt:lpstr>KYRpop</vt:lpstr>
      <vt:lpstr>Other source data</vt:lpstr>
      <vt:lpstr>Copy paste sheet</vt:lpstr>
    </vt:vector>
  </TitlesOfParts>
  <Manager/>
  <Company>Wageningen University and Research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Moleman, Merel</dc:creator>
  <cp:keywords/>
  <dc:description/>
  <cp:lastModifiedBy>Moleman, Merel</cp:lastModifiedBy>
  <cp:revision/>
  <dcterms:created xsi:type="dcterms:W3CDTF">2024-10-30T08:40:01Z</dcterms:created>
  <dcterms:modified xsi:type="dcterms:W3CDTF">2025-04-08T14:31:20Z</dcterms:modified>
  <cp:category/>
  <cp:contentStatus/>
</cp:coreProperties>
</file>