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8_{78439EE9-042F-4761-941E-95FD404619BF}" xr6:coauthVersionLast="47" xr6:coauthVersionMax="47" xr10:uidLastSave="{00000000-0000-0000-0000-000000000000}"/>
  <bookViews>
    <workbookView xWindow="-110" yWindow="-110" windowWidth="19420" windowHeight="11500" xr2:uid="{63328CD9-E449-4C14-9E2F-A495AF94E7A3}"/>
  </bookViews>
  <sheets>
    <sheet name="Baseline_data_cattle1" sheetId="15" r:id="rId1"/>
    <sheet name="Sheet1" sheetId="12" r:id="rId2"/>
    <sheet name="Baseline_data_Goat" sheetId="14" r:id="rId3"/>
    <sheet name="Baseline_data_Sheep" sheetId="10" r:id="rId4"/>
    <sheet name="Results" sheetId="20" r:id="rId5"/>
    <sheet name="Baseline_broiler" sheetId="16" r:id="rId6"/>
    <sheet name="Assumptions IFAD" sheetId="18" r:id="rId7"/>
    <sheet name="Population-trend" sheetId="6" r:id="rId8"/>
    <sheet name="Population" sheetId="8" r:id="rId9"/>
    <sheet name="comparison" sheetId="17" r:id="rId10"/>
    <sheet name="Sheet4" sheetId="19" r:id="rId11"/>
  </sheets>
  <definedNames>
    <definedName name="_xlnm._FilterDatabase" localSheetId="0" hidden="1">Baseline_data_cattle1!$A$2:$F$17</definedName>
    <definedName name="_xlnm._FilterDatabase" localSheetId="2" hidden="1">Baseline_data_Goat!$A$2:$D$19</definedName>
    <definedName name="_xlnm._FilterDatabase" localSheetId="3" hidden="1">Baseline_data_Sheep!$A$2:$D$19</definedName>
    <definedName name="_xlnm._FilterDatabase" localSheetId="7" hidden="1">'Population-trend'!$A$1:$N$70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5" l="1"/>
  <c r="J15" i="15"/>
  <c r="J4" i="15"/>
  <c r="M4" i="15" s="1"/>
  <c r="I4" i="15"/>
  <c r="L4" i="15" s="1"/>
  <c r="G19" i="15"/>
  <c r="G21" i="15"/>
  <c r="G51" i="15" s="1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18" i="15"/>
  <c r="G5" i="15"/>
  <c r="G6" i="15"/>
  <c r="G7" i="15"/>
  <c r="G8" i="15"/>
  <c r="G9" i="15"/>
  <c r="G10" i="15"/>
  <c r="G11" i="15"/>
  <c r="G12" i="15"/>
  <c r="G13" i="15"/>
  <c r="G14" i="15"/>
  <c r="G15" i="15"/>
  <c r="G4" i="15"/>
  <c r="F4" i="15"/>
  <c r="F16" i="15"/>
  <c r="I16" i="15" s="1"/>
  <c r="C16" i="15"/>
  <c r="C17" i="15" s="1"/>
  <c r="Z11" i="6" l="1"/>
  <c r="Z8" i="6"/>
  <c r="Z9" i="6"/>
  <c r="Z10" i="6"/>
  <c r="E56" i="15"/>
  <c r="E27" i="20"/>
  <c r="C28" i="20"/>
  <c r="D27" i="20"/>
  <c r="E18" i="20"/>
  <c r="D28" i="20"/>
  <c r="E24" i="14"/>
  <c r="F24" i="14"/>
  <c r="E25" i="14"/>
  <c r="F25" i="14" s="1"/>
  <c r="E26" i="14"/>
  <c r="F26" i="14"/>
  <c r="E27" i="14"/>
  <c r="F27" i="14"/>
  <c r="E28" i="14"/>
  <c r="F28" i="14"/>
  <c r="E29" i="14"/>
  <c r="F29" i="14"/>
  <c r="E30" i="14"/>
  <c r="F30" i="14"/>
  <c r="E31" i="14"/>
  <c r="F31" i="14" s="1"/>
  <c r="E32" i="14"/>
  <c r="F32" i="14"/>
  <c r="E33" i="14"/>
  <c r="F33" i="14"/>
  <c r="E34" i="14"/>
  <c r="F34" i="14"/>
  <c r="E35" i="14"/>
  <c r="F35" i="14"/>
  <c r="E36" i="14"/>
  <c r="F36" i="14"/>
  <c r="E37" i="14"/>
  <c r="F37" i="14" s="1"/>
  <c r="E38" i="14"/>
  <c r="F38" i="14"/>
  <c r="E39" i="14"/>
  <c r="F39" i="14"/>
  <c r="E40" i="14"/>
  <c r="F40" i="14"/>
  <c r="E41" i="14"/>
  <c r="F41" i="14"/>
  <c r="E42" i="14"/>
  <c r="F42" i="14"/>
  <c r="E43" i="14"/>
  <c r="F43" i="14" s="1"/>
  <c r="E44" i="14"/>
  <c r="F44" i="14"/>
  <c r="E45" i="14"/>
  <c r="F45" i="14"/>
  <c r="E46" i="14"/>
  <c r="F46" i="14"/>
  <c r="E47" i="14"/>
  <c r="F47" i="14"/>
  <c r="E48" i="14"/>
  <c r="F48" i="14"/>
  <c r="E49" i="14"/>
  <c r="F49" i="14" s="1"/>
  <c r="E50" i="14"/>
  <c r="F50" i="14"/>
  <c r="E51" i="14"/>
  <c r="F51" i="14"/>
  <c r="E52" i="14"/>
  <c r="F52" i="14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I21" i="15"/>
  <c r="G67" i="12"/>
  <c r="H67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36" i="12"/>
  <c r="F21" i="15"/>
  <c r="E11" i="10"/>
  <c r="J9" i="15"/>
  <c r="M9" i="15" s="1"/>
  <c r="B30" i="19"/>
  <c r="F17" i="10"/>
  <c r="F14" i="10"/>
  <c r="F15" i="10"/>
  <c r="F16" i="10"/>
  <c r="E14" i="10"/>
  <c r="E15" i="10"/>
  <c r="E16" i="10"/>
  <c r="E17" i="10"/>
  <c r="E17" i="14"/>
  <c r="C30" i="19"/>
  <c r="C2" i="19"/>
  <c r="C3" i="19" s="1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H3" i="19"/>
  <c r="G16" i="15"/>
  <c r="F18" i="10"/>
  <c r="L14" i="10"/>
  <c r="L13" i="10"/>
  <c r="J15" i="14"/>
  <c r="J14" i="14"/>
  <c r="J16" i="14"/>
  <c r="P17" i="15"/>
  <c r="Q15" i="15"/>
  <c r="J18" i="15"/>
  <c r="M18" i="15" s="1"/>
  <c r="J19" i="15"/>
  <c r="M19" i="15" s="1"/>
  <c r="J5" i="15"/>
  <c r="M5" i="15" s="1"/>
  <c r="J6" i="15"/>
  <c r="M6" i="15" s="1"/>
  <c r="J7" i="15"/>
  <c r="M7" i="15" s="1"/>
  <c r="J8" i="15"/>
  <c r="M8" i="15" s="1"/>
  <c r="J10" i="15"/>
  <c r="M10" i="15" s="1"/>
  <c r="J11" i="15"/>
  <c r="M11" i="15" s="1"/>
  <c r="J12" i="15"/>
  <c r="M12" i="15" s="1"/>
  <c r="J13" i="15"/>
  <c r="M13" i="15" s="1"/>
  <c r="J14" i="15"/>
  <c r="M14" i="15" s="1"/>
  <c r="M15" i="15"/>
  <c r="R16" i="15"/>
  <c r="C17" i="10"/>
  <c r="D18" i="10"/>
  <c r="C18" i="10"/>
  <c r="D18" i="14"/>
  <c r="C18" i="14"/>
  <c r="C17" i="14"/>
  <c r="E4" i="14"/>
  <c r="D4" i="14"/>
  <c r="F5" i="14"/>
  <c r="F6" i="14"/>
  <c r="F7" i="14"/>
  <c r="F8" i="14"/>
  <c r="F9" i="14"/>
  <c r="F19" i="14"/>
  <c r="F20" i="14"/>
  <c r="F21" i="14"/>
  <c r="E5" i="14"/>
  <c r="E6" i="14"/>
  <c r="E7" i="14"/>
  <c r="E8" i="14"/>
  <c r="E9" i="14"/>
  <c r="E10" i="14"/>
  <c r="F10" i="14" s="1"/>
  <c r="E11" i="14"/>
  <c r="F11" i="14" s="1"/>
  <c r="E12" i="14"/>
  <c r="F12" i="14" s="1"/>
  <c r="E13" i="14"/>
  <c r="F13" i="14" s="1"/>
  <c r="E18" i="14"/>
  <c r="E19" i="14"/>
  <c r="E20" i="14"/>
  <c r="E21" i="14"/>
  <c r="J18" i="12"/>
  <c r="J19" i="12"/>
  <c r="J20" i="12"/>
  <c r="J17" i="12"/>
  <c r="I18" i="12"/>
  <c r="I19" i="12"/>
  <c r="I20" i="12"/>
  <c r="I17" i="12"/>
  <c r="H21" i="12"/>
  <c r="G21" i="12"/>
  <c r="H20" i="12"/>
  <c r="H18" i="12"/>
  <c r="H19" i="12"/>
  <c r="H17" i="12"/>
  <c r="G18" i="12"/>
  <c r="G19" i="12"/>
  <c r="G20" i="12"/>
  <c r="G17" i="12"/>
  <c r="J22" i="12"/>
  <c r="J33" i="12"/>
  <c r="I22" i="12"/>
  <c r="I33" i="12"/>
  <c r="H23" i="12"/>
  <c r="H24" i="12"/>
  <c r="H25" i="12"/>
  <c r="H26" i="12"/>
  <c r="H27" i="12"/>
  <c r="H29" i="12"/>
  <c r="H33" i="12"/>
  <c r="H34" i="12"/>
  <c r="D19" i="18"/>
  <c r="C19" i="18"/>
  <c r="D8" i="18"/>
  <c r="C8" i="18"/>
  <c r="D6" i="18"/>
  <c r="C6" i="18"/>
  <c r="D5" i="18"/>
  <c r="C5" i="18"/>
  <c r="D4" i="18"/>
  <c r="C4" i="18"/>
  <c r="D3" i="18"/>
  <c r="C3" i="18"/>
  <c r="B3" i="18"/>
  <c r="B4" i="18"/>
  <c r="B5" i="18"/>
  <c r="B6" i="18"/>
  <c r="B7" i="18"/>
  <c r="B9" i="18"/>
  <c r="B10" i="18"/>
  <c r="B11" i="18"/>
  <c r="B12" i="18"/>
  <c r="G26" i="12" s="1"/>
  <c r="B13" i="18"/>
  <c r="G27" i="12" s="1"/>
  <c r="B15" i="18"/>
  <c r="G29" i="12" s="1"/>
  <c r="B19" i="18"/>
  <c r="B20" i="18"/>
  <c r="G23" i="12"/>
  <c r="G25" i="12"/>
  <c r="W10" i="6"/>
  <c r="Y10" i="6" s="1"/>
  <c r="W9" i="6"/>
  <c r="G34" i="12"/>
  <c r="D16" i="15"/>
  <c r="E37" i="15" s="1"/>
  <c r="J40" i="17"/>
  <c r="J41" i="17"/>
  <c r="J42" i="17"/>
  <c r="N43" i="17"/>
  <c r="L43" i="17"/>
  <c r="I43" i="17"/>
  <c r="H43" i="17"/>
  <c r="M42" i="17"/>
  <c r="M41" i="17"/>
  <c r="M40" i="17"/>
  <c r="M43" i="17" s="1"/>
  <c r="I36" i="17"/>
  <c r="H36" i="17"/>
  <c r="L36" i="17"/>
  <c r="N36" i="17"/>
  <c r="M34" i="17"/>
  <c r="M35" i="17"/>
  <c r="M33" i="17"/>
  <c r="M36" i="17" s="1"/>
  <c r="J34" i="17"/>
  <c r="J35" i="17"/>
  <c r="J33" i="17"/>
  <c r="K15" i="17"/>
  <c r="K13" i="17"/>
  <c r="K14" i="17"/>
  <c r="K12" i="17"/>
  <c r="K5" i="17"/>
  <c r="K6" i="17"/>
  <c r="K7" i="17"/>
  <c r="E8" i="17"/>
  <c r="I8" i="17"/>
  <c r="K19" i="17"/>
  <c r="K21" i="17"/>
  <c r="K20" i="17"/>
  <c r="I19" i="17"/>
  <c r="I15" i="17"/>
  <c r="J8" i="17"/>
  <c r="J22" i="17"/>
  <c r="I22" i="17"/>
  <c r="H22" i="17"/>
  <c r="H15" i="17"/>
  <c r="H8" i="17"/>
  <c r="E20" i="17"/>
  <c r="E21" i="17"/>
  <c r="E19" i="17"/>
  <c r="E22" i="17" s="1"/>
  <c r="C8" i="17"/>
  <c r="B8" i="17"/>
  <c r="D15" i="17"/>
  <c r="C19" i="17"/>
  <c r="C22" i="17" s="1"/>
  <c r="B22" i="17"/>
  <c r="D22" i="17"/>
  <c r="C15" i="17"/>
  <c r="B15" i="17"/>
  <c r="D8" i="17"/>
  <c r="B3" i="8"/>
  <c r="G9" i="8"/>
  <c r="G3" i="8" s="1"/>
  <c r="E47" i="15" l="1"/>
  <c r="E45" i="15"/>
  <c r="E24" i="15"/>
  <c r="E48" i="15"/>
  <c r="E22" i="15"/>
  <c r="E46" i="15"/>
  <c r="E35" i="15"/>
  <c r="E36" i="15"/>
  <c r="E30" i="15"/>
  <c r="E4" i="15"/>
  <c r="E28" i="15"/>
  <c r="E40" i="15"/>
  <c r="E29" i="15"/>
  <c r="E41" i="15"/>
  <c r="E27" i="15"/>
  <c r="E21" i="15"/>
  <c r="E38" i="15"/>
  <c r="E39" i="15"/>
  <c r="E43" i="15"/>
  <c r="E26" i="15"/>
  <c r="L21" i="15"/>
  <c r="H21" i="15"/>
  <c r="E42" i="15"/>
  <c r="E49" i="15"/>
  <c r="E34" i="15"/>
  <c r="E23" i="15"/>
  <c r="E25" i="15"/>
  <c r="E32" i="15"/>
  <c r="E31" i="15"/>
  <c r="E44" i="15"/>
  <c r="E33" i="15"/>
  <c r="M38" i="15"/>
  <c r="M49" i="15"/>
  <c r="M25" i="15"/>
  <c r="M24" i="15"/>
  <c r="M23" i="15"/>
  <c r="M34" i="15"/>
  <c r="M33" i="15"/>
  <c r="M44" i="15"/>
  <c r="M37" i="15"/>
  <c r="M36" i="15"/>
  <c r="M42" i="15"/>
  <c r="M30" i="15"/>
  <c r="M27" i="15"/>
  <c r="M35" i="15"/>
  <c r="M46" i="15"/>
  <c r="M45" i="15"/>
  <c r="M43" i="15"/>
  <c r="M41" i="15"/>
  <c r="M29" i="15"/>
  <c r="M39" i="15"/>
  <c r="M26" i="15"/>
  <c r="M48" i="15"/>
  <c r="M47" i="15"/>
  <c r="M22" i="15"/>
  <c r="M21" i="15"/>
  <c r="J51" i="15"/>
  <c r="K21" i="15"/>
  <c r="M32" i="15"/>
  <c r="M31" i="15"/>
  <c r="M40" i="15"/>
  <c r="M28" i="15"/>
  <c r="G17" i="15"/>
  <c r="J17" i="15" s="1"/>
  <c r="M17" i="15" s="1"/>
  <c r="J16" i="15"/>
  <c r="M16" i="15" s="1"/>
  <c r="K16" i="15"/>
  <c r="H4" i="15"/>
  <c r="D17" i="15"/>
  <c r="S16" i="15"/>
  <c r="S15" i="15"/>
  <c r="R15" i="15"/>
  <c r="E15" i="15"/>
  <c r="S17" i="15"/>
  <c r="R17" i="15"/>
  <c r="F17" i="14"/>
  <c r="F18" i="14" s="1"/>
  <c r="H16" i="15"/>
  <c r="Q17" i="15" s="1"/>
  <c r="E12" i="15"/>
  <c r="E13" i="15"/>
  <c r="E10" i="15"/>
  <c r="E11" i="15"/>
  <c r="E14" i="15"/>
  <c r="E16" i="15"/>
  <c r="Q16" i="15" s="1"/>
  <c r="F17" i="15"/>
  <c r="G33" i="12"/>
  <c r="G24" i="12"/>
  <c r="J15" i="17"/>
  <c r="K22" i="17"/>
  <c r="M51" i="15" l="1"/>
  <c r="L16" i="15"/>
  <c r="E17" i="15"/>
  <c r="K4" i="15"/>
  <c r="H17" i="15"/>
  <c r="I17" i="15"/>
  <c r="L17" i="15" s="1"/>
  <c r="N17" i="15" s="1"/>
  <c r="E9" i="15"/>
  <c r="E8" i="15"/>
  <c r="E5" i="15"/>
  <c r="E19" i="15"/>
  <c r="E18" i="15"/>
  <c r="E7" i="15"/>
  <c r="E6" i="15"/>
  <c r="N4" i="15" l="1"/>
  <c r="N16" i="15"/>
  <c r="K17" i="15"/>
  <c r="E51" i="15"/>
  <c r="B10" i="8"/>
  <c r="B11" i="8"/>
  <c r="I11" i="8"/>
  <c r="J11" i="8" s="1"/>
  <c r="E5" i="8"/>
  <c r="G5" i="8" s="1"/>
  <c r="H5" i="8" s="1"/>
  <c r="E4" i="8"/>
  <c r="G10" i="8"/>
  <c r="G11" i="8"/>
  <c r="E10" i="8"/>
  <c r="E11" i="8"/>
  <c r="E9" i="8"/>
  <c r="J3" i="8"/>
  <c r="C51" i="15"/>
  <c r="C53" i="14"/>
  <c r="C53" i="10"/>
  <c r="F13" i="15"/>
  <c r="F14" i="15"/>
  <c r="F15" i="15"/>
  <c r="F49" i="15"/>
  <c r="F48" i="15"/>
  <c r="F47" i="15"/>
  <c r="H47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19" i="15"/>
  <c r="F18" i="15"/>
  <c r="F12" i="15"/>
  <c r="F11" i="15"/>
  <c r="F10" i="15"/>
  <c r="F9" i="15"/>
  <c r="F8" i="15"/>
  <c r="F7" i="15"/>
  <c r="F6" i="15"/>
  <c r="F5" i="15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E23" i="14" s="1"/>
  <c r="F23" i="14" s="1"/>
  <c r="D21" i="14"/>
  <c r="D20" i="14"/>
  <c r="D19" i="14"/>
  <c r="D13" i="14"/>
  <c r="D12" i="14"/>
  <c r="D11" i="14"/>
  <c r="D10" i="14"/>
  <c r="D9" i="14"/>
  <c r="D8" i="14"/>
  <c r="D7" i="14"/>
  <c r="D6" i="14"/>
  <c r="D5" i="14"/>
  <c r="F4" i="14"/>
  <c r="E26" i="10"/>
  <c r="F26" i="10" s="1"/>
  <c r="D52" i="10"/>
  <c r="E52" i="10" s="1"/>
  <c r="F52" i="10" s="1"/>
  <c r="D5" i="10"/>
  <c r="E5" i="10" s="1"/>
  <c r="F5" i="10" s="1"/>
  <c r="D6" i="10"/>
  <c r="E6" i="10" s="1"/>
  <c r="F6" i="10" s="1"/>
  <c r="D7" i="10"/>
  <c r="E7" i="10" s="1"/>
  <c r="F7" i="10" s="1"/>
  <c r="D8" i="10"/>
  <c r="E8" i="10" s="1"/>
  <c r="F8" i="10" s="1"/>
  <c r="D9" i="10"/>
  <c r="D10" i="10"/>
  <c r="E10" i="10" s="1"/>
  <c r="F10" i="10" s="1"/>
  <c r="D11" i="10"/>
  <c r="D12" i="10"/>
  <c r="E12" i="10" s="1"/>
  <c r="F12" i="10" s="1"/>
  <c r="D13" i="10"/>
  <c r="E13" i="10" s="1"/>
  <c r="F13" i="10" s="1"/>
  <c r="D19" i="10"/>
  <c r="D20" i="10"/>
  <c r="E20" i="10" s="1"/>
  <c r="F20" i="10" s="1"/>
  <c r="D21" i="10"/>
  <c r="E21" i="10" s="1"/>
  <c r="F21" i="10" s="1"/>
  <c r="D23" i="10"/>
  <c r="E23" i="10" s="1"/>
  <c r="F23" i="10" s="1"/>
  <c r="D24" i="10"/>
  <c r="E24" i="10" s="1"/>
  <c r="F24" i="10" s="1"/>
  <c r="D25" i="10"/>
  <c r="E25" i="10" s="1"/>
  <c r="F25" i="10" s="1"/>
  <c r="D26" i="10"/>
  <c r="D27" i="10"/>
  <c r="E27" i="10" s="1"/>
  <c r="F27" i="10" s="1"/>
  <c r="D28" i="10"/>
  <c r="E28" i="10" s="1"/>
  <c r="F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E34" i="10" s="1"/>
  <c r="F34" i="10" s="1"/>
  <c r="D35" i="10"/>
  <c r="E35" i="10" s="1"/>
  <c r="F35" i="10" s="1"/>
  <c r="D36" i="10"/>
  <c r="E36" i="10" s="1"/>
  <c r="F36" i="10" s="1"/>
  <c r="D37" i="10"/>
  <c r="E37" i="10" s="1"/>
  <c r="F37" i="10" s="1"/>
  <c r="D38" i="10"/>
  <c r="E38" i="10" s="1"/>
  <c r="F38" i="10" s="1"/>
  <c r="D39" i="10"/>
  <c r="E39" i="10" s="1"/>
  <c r="F39" i="10" s="1"/>
  <c r="D40" i="10"/>
  <c r="E40" i="10" s="1"/>
  <c r="F40" i="10" s="1"/>
  <c r="D41" i="10"/>
  <c r="E41" i="10" s="1"/>
  <c r="F41" i="10" s="1"/>
  <c r="D42" i="10"/>
  <c r="E42" i="10" s="1"/>
  <c r="F42" i="10" s="1"/>
  <c r="D43" i="10"/>
  <c r="E43" i="10" s="1"/>
  <c r="F43" i="10" s="1"/>
  <c r="D44" i="10"/>
  <c r="E44" i="10" s="1"/>
  <c r="F44" i="10" s="1"/>
  <c r="D45" i="10"/>
  <c r="E45" i="10" s="1"/>
  <c r="F45" i="10" s="1"/>
  <c r="D46" i="10"/>
  <c r="E46" i="10" s="1"/>
  <c r="F46" i="10" s="1"/>
  <c r="D47" i="10"/>
  <c r="E47" i="10" s="1"/>
  <c r="F47" i="10" s="1"/>
  <c r="D48" i="10"/>
  <c r="E48" i="10" s="1"/>
  <c r="F48" i="10" s="1"/>
  <c r="D49" i="10"/>
  <c r="E49" i="10" s="1"/>
  <c r="F49" i="10" s="1"/>
  <c r="D50" i="10"/>
  <c r="D51" i="10"/>
  <c r="E51" i="10" s="1"/>
  <c r="F51" i="10" s="1"/>
  <c r="D4" i="10"/>
  <c r="E4" i="10" s="1"/>
  <c r="F4" i="10" s="1"/>
  <c r="E9" i="10"/>
  <c r="F9" i="10" s="1"/>
  <c r="I29" i="15" l="1"/>
  <c r="H29" i="15"/>
  <c r="I42" i="15"/>
  <c r="H42" i="15"/>
  <c r="I31" i="15"/>
  <c r="H31" i="15"/>
  <c r="I48" i="15"/>
  <c r="H48" i="15"/>
  <c r="I40" i="15"/>
  <c r="H40" i="15"/>
  <c r="I32" i="15"/>
  <c r="H32" i="15"/>
  <c r="I22" i="15"/>
  <c r="H22" i="15"/>
  <c r="I36" i="15"/>
  <c r="H36" i="15"/>
  <c r="I25" i="15"/>
  <c r="H25" i="15"/>
  <c r="I37" i="15"/>
  <c r="H37" i="15"/>
  <c r="I49" i="15"/>
  <c r="H49" i="15"/>
  <c r="I41" i="15"/>
  <c r="H41" i="15"/>
  <c r="I30" i="15"/>
  <c r="H30" i="15"/>
  <c r="I43" i="15"/>
  <c r="H43" i="15"/>
  <c r="I45" i="15"/>
  <c r="H45" i="15"/>
  <c r="I46" i="15"/>
  <c r="H46" i="15"/>
  <c r="I28" i="15"/>
  <c r="H28" i="15"/>
  <c r="I44" i="15"/>
  <c r="H44" i="15"/>
  <c r="I33" i="15"/>
  <c r="H33" i="15"/>
  <c r="I34" i="15"/>
  <c r="H34" i="15"/>
  <c r="I23" i="15"/>
  <c r="H23" i="15"/>
  <c r="I35" i="15"/>
  <c r="H35" i="15"/>
  <c r="I24" i="15"/>
  <c r="H24" i="15"/>
  <c r="I26" i="15"/>
  <c r="H26" i="15"/>
  <c r="I38" i="15"/>
  <c r="H38" i="15"/>
  <c r="I27" i="15"/>
  <c r="H27" i="15"/>
  <c r="I39" i="15"/>
  <c r="H39" i="15"/>
  <c r="L22" i="15"/>
  <c r="I47" i="15"/>
  <c r="I19" i="15"/>
  <c r="L19" i="15" s="1"/>
  <c r="N19" i="15" s="1"/>
  <c r="H19" i="15"/>
  <c r="F51" i="15"/>
  <c r="I9" i="15"/>
  <c r="L9" i="15" s="1"/>
  <c r="H9" i="15"/>
  <c r="I15" i="15"/>
  <c r="H15" i="15"/>
  <c r="I14" i="15"/>
  <c r="H14" i="15"/>
  <c r="I5" i="15"/>
  <c r="L5" i="15" s="1"/>
  <c r="H5" i="15"/>
  <c r="I6" i="15"/>
  <c r="L6" i="15" s="1"/>
  <c r="N6" i="15" s="1"/>
  <c r="H6" i="15"/>
  <c r="I18" i="15"/>
  <c r="L18" i="15" s="1"/>
  <c r="N18" i="15" s="1"/>
  <c r="H18" i="15"/>
  <c r="I7" i="15"/>
  <c r="L7" i="15" s="1"/>
  <c r="H7" i="15"/>
  <c r="I8" i="15"/>
  <c r="L8" i="15" s="1"/>
  <c r="H8" i="15"/>
  <c r="I10" i="15"/>
  <c r="H10" i="15"/>
  <c r="I11" i="15"/>
  <c r="H11" i="15"/>
  <c r="I13" i="15"/>
  <c r="H13" i="15"/>
  <c r="I12" i="15"/>
  <c r="H12" i="15"/>
  <c r="D53" i="10"/>
  <c r="E50" i="10"/>
  <c r="E53" i="10" s="1"/>
  <c r="F53" i="14"/>
  <c r="E53" i="14"/>
  <c r="D53" i="14"/>
  <c r="I10" i="8"/>
  <c r="J10" i="8" s="1"/>
  <c r="G4" i="8"/>
  <c r="B9" i="8"/>
  <c r="I9" i="8" s="1"/>
  <c r="J9" i="8" s="1"/>
  <c r="H3" i="8"/>
  <c r="H4" i="8"/>
  <c r="E19" i="10"/>
  <c r="L46" i="15" l="1"/>
  <c r="N46" i="15" s="1"/>
  <c r="K46" i="15"/>
  <c r="L31" i="15"/>
  <c r="N31" i="15" s="1"/>
  <c r="K31" i="15"/>
  <c r="L27" i="15"/>
  <c r="N27" i="15" s="1"/>
  <c r="K27" i="15"/>
  <c r="L38" i="15"/>
  <c r="K38" i="15"/>
  <c r="L29" i="15"/>
  <c r="K29" i="15"/>
  <c r="L26" i="15"/>
  <c r="K26" i="15"/>
  <c r="L41" i="15"/>
  <c r="K41" i="15"/>
  <c r="L32" i="15"/>
  <c r="N32" i="15" s="1"/>
  <c r="K32" i="15"/>
  <c r="L35" i="15"/>
  <c r="K35" i="15"/>
  <c r="L23" i="15"/>
  <c r="K23" i="15"/>
  <c r="L43" i="15"/>
  <c r="K43" i="15"/>
  <c r="L36" i="15"/>
  <c r="K36" i="15"/>
  <c r="L30" i="15"/>
  <c r="K30" i="15"/>
  <c r="L44" i="15"/>
  <c r="N44" i="15" s="1"/>
  <c r="K44" i="15"/>
  <c r="L48" i="15"/>
  <c r="N48" i="15" s="1"/>
  <c r="K48" i="15"/>
  <c r="L39" i="15"/>
  <c r="K39" i="15"/>
  <c r="L45" i="15"/>
  <c r="K45" i="15"/>
  <c r="H51" i="15"/>
  <c r="L33" i="15"/>
  <c r="K33" i="15"/>
  <c r="K22" i="15"/>
  <c r="I51" i="15"/>
  <c r="L40" i="15"/>
  <c r="N40" i="15" s="1"/>
  <c r="K40" i="15"/>
  <c r="L37" i="15"/>
  <c r="N37" i="15" s="1"/>
  <c r="K37" i="15"/>
  <c r="L25" i="15"/>
  <c r="K25" i="15"/>
  <c r="L34" i="15"/>
  <c r="N34" i="15" s="1"/>
  <c r="K34" i="15"/>
  <c r="L42" i="15"/>
  <c r="K42" i="15"/>
  <c r="L24" i="15"/>
  <c r="L51" i="15" s="1"/>
  <c r="K24" i="15"/>
  <c r="L28" i="15"/>
  <c r="N28" i="15" s="1"/>
  <c r="K28" i="15"/>
  <c r="L49" i="15"/>
  <c r="N49" i="15" s="1"/>
  <c r="K49" i="15"/>
  <c r="L47" i="15"/>
  <c r="K47" i="15"/>
  <c r="L13" i="15"/>
  <c r="N13" i="15" s="1"/>
  <c r="K13" i="15"/>
  <c r="L14" i="15"/>
  <c r="N14" i="15" s="1"/>
  <c r="K14" i="15"/>
  <c r="L15" i="15"/>
  <c r="N15" i="15" s="1"/>
  <c r="K15" i="15"/>
  <c r="L11" i="15"/>
  <c r="N11" i="15" s="1"/>
  <c r="K11" i="15"/>
  <c r="L10" i="15"/>
  <c r="N10" i="15" s="1"/>
  <c r="K10" i="15"/>
  <c r="L12" i="15"/>
  <c r="N12" i="15" s="1"/>
  <c r="K12" i="15"/>
  <c r="N45" i="15"/>
  <c r="N26" i="15"/>
  <c r="N36" i="15"/>
  <c r="N42" i="15"/>
  <c r="N33" i="15"/>
  <c r="N24" i="15"/>
  <c r="N29" i="15"/>
  <c r="N9" i="15"/>
  <c r="N38" i="15"/>
  <c r="N43" i="15"/>
  <c r="K18" i="15"/>
  <c r="N41" i="15"/>
  <c r="K7" i="15"/>
  <c r="N7" i="15"/>
  <c r="N35" i="15"/>
  <c r="N25" i="15"/>
  <c r="F50" i="10"/>
  <c r="F53" i="10" s="1"/>
  <c r="N23" i="15"/>
  <c r="N39" i="15"/>
  <c r="N30" i="15"/>
  <c r="N8" i="15"/>
  <c r="N22" i="15"/>
  <c r="N5" i="15"/>
  <c r="K19" i="15"/>
  <c r="K8" i="15"/>
  <c r="K5" i="15"/>
  <c r="F11" i="10"/>
  <c r="F19" i="10"/>
  <c r="K9" i="15"/>
  <c r="K6" i="15"/>
  <c r="K51" i="15" l="1"/>
  <c r="N21" i="15"/>
  <c r="N47" i="15"/>
  <c r="N51" i="15" l="1"/>
  <c r="Y9" i="6"/>
  <c r="Y11" i="6"/>
  <c r="Y8" i="6"/>
  <c r="W11" i="6"/>
  <c r="W8" i="6"/>
  <c r="L93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71" i="6"/>
  <c r="D17" i="14" l="1"/>
  <c r="J5" i="8"/>
  <c r="D17" i="10"/>
  <c r="J4" i="8"/>
  <c r="E18" i="10" l="1"/>
</calcChain>
</file>

<file path=xl/sharedStrings.xml><?xml version="1.0" encoding="utf-8"?>
<sst xmlns="http://schemas.openxmlformats.org/spreadsheetml/2006/main" count="1966" uniqueCount="233">
  <si>
    <t>category</t>
  </si>
  <si>
    <t>parameter</t>
  </si>
  <si>
    <t>herd</t>
  </si>
  <si>
    <t>Age at the first parturition</t>
  </si>
  <si>
    <t>Death rate of adult animals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</si>
  <si>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</si>
  <si>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</si>
  <si>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</si>
  <si>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</si>
  <si>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</si>
  <si>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</si>
  <si>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</si>
  <si>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</si>
  <si>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</si>
  <si>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</si>
  <si>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</si>
  <si>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</si>
  <si>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</si>
  <si>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</si>
  <si>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</si>
  <si>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</si>
  <si>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</si>
  <si>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</si>
  <si>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</si>
  <si>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</si>
  <si>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</si>
  <si>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</si>
  <si>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</si>
  <si>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</si>
  <si>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</si>
  <si>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</si>
  <si>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</si>
  <si>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</si>
  <si>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</si>
  <si>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</si>
  <si>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</si>
  <si>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</si>
  <si>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</si>
  <si>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</si>
  <si>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</si>
  <si>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</si>
  <si>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</si>
  <si>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</si>
  <si>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</si>
  <si>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</si>
  <si>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</si>
  <si>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</si>
  <si>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Source</t>
  </si>
  <si>
    <t>GF</t>
  </si>
  <si>
    <t>Death rate of young females</t>
  </si>
  <si>
    <t>Death rate of young males</t>
  </si>
  <si>
    <t>Kyrgyzstan</t>
  </si>
  <si>
    <t>Unique analyzes NDC (2022): https://www.landuse-ca.org/wp-content/uploads/2023/08/livestock-kyrgyzstan-report_compressed-compressed.pdf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</si>
  <si>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</si>
  <si>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</si>
  <si>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</si>
  <si>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</si>
  <si>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</si>
  <si>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</si>
  <si>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</si>
  <si>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</si>
  <si>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</si>
  <si>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</si>
  <si>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</si>
  <si>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</si>
  <si>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</si>
  <si>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</si>
  <si>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</si>
  <si>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</si>
  <si>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5111</t>
  </si>
  <si>
    <t>Stocks</t>
  </si>
  <si>
    <t>02111</t>
  </si>
  <si>
    <t>Cattle</t>
  </si>
  <si>
    <t>2000</t>
  </si>
  <si>
    <t>An</t>
  </si>
  <si>
    <t>A</t>
  </si>
  <si>
    <t>Official figure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</si>
  <si>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</si>
  <si>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</si>
  <si>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</si>
  <si>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</si>
  <si>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</si>
  <si>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</si>
  <si>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</si>
  <si>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</si>
  <si>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</si>
  <si>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</si>
  <si>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</si>
  <si>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</si>
  <si>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</si>
  <si>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</si>
  <si>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</si>
  <si>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</si>
  <si>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</si>
  <si>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</si>
  <si>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</si>
  <si>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</si>
  <si>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</si>
  <si>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</si>
  <si>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417</t>
  </si>
  <si>
    <t>BAU</t>
  </si>
  <si>
    <t>02123</t>
  </si>
  <si>
    <t>Goats</t>
  </si>
  <si>
    <t>02122</t>
  </si>
  <si>
    <t>Sheep</t>
  </si>
  <si>
    <t>Small ruminants</t>
  </si>
  <si>
    <t>Formula</t>
  </si>
  <si>
    <t>Yearly_Percentage_Increase</t>
  </si>
  <si>
    <t>y = 41818.82x + -82766669.92</t>
  </si>
  <si>
    <t>y = -22438.28x + 46087399</t>
  </si>
  <si>
    <t>Small ruminants</t>
  </si>
  <si>
    <t>y = 99184.13x + -194075033.2</t>
  </si>
  <si>
    <t>Slope</t>
  </si>
  <si>
    <t>Starting value</t>
  </si>
  <si>
    <t>Percentage increase</t>
  </si>
  <si>
    <t>climate-resilient growth</t>
  </si>
  <si>
    <t>reform growth</t>
  </si>
  <si>
    <t>- Maintain livestock herd and product mix, as well as farming practices through 2050.</t>
  </si>
  <si>
    <t>- - Historical trends in pasture condition continue, due to open grazing and poor management of pasture lands. In areas that have shown a greening trend, conditions will improve (based on NCI analysis of vegetation health 2000-2020). [see also Landscape-Pastures below]</t>
  </si>
  <si>
    <t>- Reduction of pastoral cattle herding and intensification of production proportional to total grazing pasture reduction of 600,000 ha, reducing dependence on local pastures (see irrigation assumption).</t>
  </si>
  <si>
    <t>- Restoration activities on rangelands from NCI scenario. [see Landscape-Pastures below]</t>
  </si>
  <si>
    <t>- Heat abatement measures on cattle</t>
  </si>
  <si>
    <t>- Changes in animal and herd mixes, favoring more resilient products</t>
  </si>
  <si>
    <t>- Hay imports to compensate for pasture losses</t>
  </si>
  <si>
    <t>- Climate resilient interventions on rangelands from NCI scenario. [see Landscape-Pastures below]</t>
  </si>
  <si>
    <t>As in the table</t>
  </si>
  <si>
    <t>Addoption to gleam</t>
  </si>
  <si>
    <t>#Historical growth trend in herd (using FAOSTAT data)</t>
  </si>
  <si>
    <t>#Increase in productivity (will be getting this from diego?)</t>
  </si>
  <si>
    <t>Data assumptions</t>
  </si>
  <si>
    <t>Overall assumptions:</t>
  </si>
  <si>
    <t>Grazing</t>
  </si>
  <si>
    <t>Litter size</t>
  </si>
  <si>
    <t>Parturition interval</t>
  </si>
  <si>
    <t>System</t>
  </si>
  <si>
    <t>Broiler</t>
  </si>
  <si>
    <t>Goat</t>
  </si>
  <si>
    <t>(Percentage decrease/increase)</t>
  </si>
  <si>
    <t>#Climate resilient interventions on rangelands from NCI scenario?</t>
  </si>
  <si>
    <t>REF</t>
  </si>
  <si>
    <t>Reformed growth</t>
  </si>
  <si>
    <t>With package</t>
  </si>
  <si>
    <t>Average</t>
  </si>
  <si>
    <t>Default</t>
  </si>
  <si>
    <t>Meat</t>
  </si>
  <si>
    <t>Age at the first parturition (parent)</t>
  </si>
  <si>
    <t>weeks</t>
  </si>
  <si>
    <t>Annual average number of eggs laid (parents)</t>
  </si>
  <si>
    <t>#/year</t>
  </si>
  <si>
    <t>Average duration of laying cycle (parents)</t>
  </si>
  <si>
    <t>Average share of eggs that successfully hatch a pullet</t>
  </si>
  <si>
    <t>%</t>
  </si>
  <si>
    <t>Average weight of whole eggs</t>
  </si>
  <si>
    <t>g</t>
  </si>
  <si>
    <t>Death rate during the laying period</t>
  </si>
  <si>
    <t>Death rate of adult broilers</t>
  </si>
  <si>
    <t>Laying parent hen final weight (end of the laying period)</t>
  </si>
  <si>
    <t>kg</t>
  </si>
  <si>
    <t>Laying parent hen initial weight (beginning of the laying period)</t>
  </si>
  <si>
    <t>Live weight of animal at slaughter (Fattening animals for meat production)</t>
  </si>
  <si>
    <t>#</t>
  </si>
  <si>
    <t>Gleam data</t>
  </si>
  <si>
    <t>Cattle population</t>
  </si>
  <si>
    <t>FAOstat</t>
  </si>
  <si>
    <t>Gleam</t>
  </si>
  <si>
    <t>adult female population</t>
  </si>
  <si>
    <t>Bull to cow ratio</t>
  </si>
  <si>
    <t>Sheep population</t>
  </si>
  <si>
    <t>Goat population</t>
  </si>
  <si>
    <t>Percentage growth per year</t>
  </si>
  <si>
    <t>National stat</t>
  </si>
  <si>
    <t>Adult female pop</t>
  </si>
  <si>
    <t>Adult male pop</t>
  </si>
  <si>
    <t>Adult cattle</t>
  </si>
  <si>
    <t>Ratio</t>
  </si>
  <si>
    <t>Death rate of young animals</t>
  </si>
  <si>
    <t>Bull</t>
  </si>
  <si>
    <t>Unique 2022</t>
  </si>
  <si>
    <t>project polation (2022)</t>
  </si>
  <si>
    <t>Adult female population…</t>
  </si>
  <si>
    <t>gleam population</t>
  </si>
  <si>
    <t>Coverage package IFAD(%)</t>
  </si>
  <si>
    <t>Coverage package resilient growht</t>
  </si>
  <si>
    <t>maintained growth</t>
  </si>
  <si>
    <t>#protein stability compared to the BAU</t>
  </si>
  <si>
    <t>National inventory</t>
  </si>
  <si>
    <t xml:space="preserve">Sheep </t>
  </si>
  <si>
    <t xml:space="preserve">Gleam </t>
  </si>
  <si>
    <t>Total</t>
  </si>
  <si>
    <t>CH4 kg/year</t>
  </si>
  <si>
    <t>Total GHG emissions kg CO2-eq</t>
  </si>
  <si>
    <t>Milk production (kg)</t>
  </si>
  <si>
    <t>Meat production (kg)</t>
  </si>
  <si>
    <t>Gleam (only CH4/N2O)</t>
  </si>
  <si>
    <t>direct emissions</t>
  </si>
  <si>
    <t>EI</t>
  </si>
  <si>
    <t>Pop total herd</t>
  </si>
  <si>
    <t>EF kg CH4</t>
  </si>
  <si>
    <t>Meat EI</t>
  </si>
  <si>
    <t>Milk EI</t>
  </si>
  <si>
    <t>Unique report EI</t>
  </si>
  <si>
    <t>FAOstat population</t>
  </si>
  <si>
    <t>Tier 1 CH4</t>
  </si>
  <si>
    <t>FAOstat EF</t>
  </si>
  <si>
    <t>#increase in broiler production (25% of tbeef consumption)?</t>
  </si>
  <si>
    <t>#IFAD RRPCP (targeting 100% of the herd)</t>
  </si>
  <si>
    <t>climate</t>
  </si>
  <si>
    <t>Individual farms</t>
  </si>
  <si>
    <t>households</t>
  </si>
  <si>
    <t>Cattle (individual)</t>
  </si>
  <si>
    <t>Cattle (household)</t>
  </si>
  <si>
    <t>y =53015x + 5E+06</t>
  </si>
  <si>
    <t>reformed</t>
  </si>
  <si>
    <t>climate resilience</t>
  </si>
  <si>
    <t>Household</t>
  </si>
  <si>
    <t>individual</t>
  </si>
  <si>
    <t>CH4 emissoins (mil tCH4)</t>
  </si>
  <si>
    <t>ref (2022)</t>
  </si>
  <si>
    <t>maintained growth (2050)</t>
  </si>
  <si>
    <t>reform growth (2050)</t>
  </si>
  <si>
    <t>climate-resilient growth (2050)</t>
  </si>
  <si>
    <t xml:space="preserve"> cattle</t>
  </si>
  <si>
    <t>sheep</t>
  </si>
  <si>
    <t>goat</t>
  </si>
  <si>
    <t>173.8 million</t>
  </si>
  <si>
    <t>241.0 </t>
  </si>
  <si>
    <t xml:space="preserve">Herd size </t>
  </si>
  <si>
    <t>total GHG emissions (mil tCO2-eq/year)</t>
  </si>
  <si>
    <t>Meat production in carcass weight (mil kg/year)</t>
  </si>
  <si>
    <t>number of cattle</t>
  </si>
  <si>
    <t>number of small ruminants</t>
  </si>
  <si>
    <t>number of broiler</t>
  </si>
  <si>
    <t>Total milk production(mil t/year)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</si>
</sst>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_ ;_ * \-#,##0_ ;_ * &quot;-&quot;??_ ;_ @_ "/>
    <numFmt numFmtId="165" formatCode="########0.0"/>
    <numFmt numFmtId="166" formatCode="0.000000"/>
    <numFmt numFmtId="167" formatCode="0.00000"/>
    <numFmt numFmtId="168" formatCode="0.0000000000"/>
    <numFmt numFmtId="169" formatCode="0.0"/>
    <numFmt numFmtId="170" formatCode="#,##0.0"/>
    <numFmt numFmtId="171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0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  <font>
      <sz val="11"/>
      <name val="Calibri"/>
      <family val="2"/>
      <scheme val="minor"/>
    </font>
    <font>
      <sz val="6"/>
      <name val="Segoe UI"/>
      <family val="2"/>
    </font>
    <font>
      <sz val="12"/>
      <color indexed="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top"/>
      <protection locked="0"/>
    </xf>
    <xf numFmtId="0" fontId="14" fillId="0" borderId="0">
      <alignment vertical="top"/>
      <protection locked="0"/>
    </xf>
  </cellStyleXfs>
  <cellXfs count="299">
    <xf numFmtId="0" fontId="0" fillId="0" borderId="0" xfId="0"/>
    <xf numFmtId="0" fontId="0" fillId="0" borderId="0" xfId="0" applyFont="1" applyBorder="1"/>
    <xf numFmtId="0" fontId="0" fillId="4" borderId="0" xfId="0" applyFont="1" applyFill="1" applyBorder="1"/>
    <xf numFmtId="0" fontId="0" fillId="5" borderId="0" xfId="0" applyFont="1" applyFill="1" applyBorder="1"/>
    <xf numFmtId="0" fontId="4" fillId="0" borderId="0" xfId="0" applyFont="1" applyBorder="1"/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7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7" borderId="3" xfId="0" applyFill="1" applyBorder="1"/>
    <xf numFmtId="0" fontId="0" fillId="7" borderId="0" xfId="0" applyFill="1" applyBorder="1"/>
    <xf numFmtId="0" fontId="0" fillId="0" borderId="0" xfId="0" applyFill="1" applyBorder="1"/>
    <xf numFmtId="0" fontId="0" fillId="0" borderId="0" xfId="0"/>
    <xf numFmtId="0" fontId="8" fillId="0" borderId="0" xfId="4">
      <alignment vertical="top"/>
      <protection locked="0"/>
    </xf>
    <xf numFmtId="165" fontId="8" fillId="0" borderId="0" xfId="4" applyNumberFormat="1">
      <alignment vertical="top"/>
      <protection locked="0"/>
    </xf>
    <xf numFmtId="0" fontId="0" fillId="5" borderId="1" xfId="0" applyFill="1" applyBorder="1"/>
    <xf numFmtId="0" fontId="12" fillId="0" borderId="0" xfId="0" applyFont="1"/>
    <xf numFmtId="0" fontId="13" fillId="0" borderId="0" xfId="0" applyFont="1"/>
    <xf numFmtId="4" fontId="3" fillId="0" borderId="0" xfId="0" applyNumberFormat="1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7" borderId="0" xfId="0" applyNumberFormat="1" applyFill="1" applyBorder="1"/>
    <xf numFmtId="0" fontId="0" fillId="7" borderId="2" xfId="0" applyNumberFormat="1" applyFill="1" applyBorder="1"/>
    <xf numFmtId="0" fontId="14" fillId="0" borderId="0" xfId="5">
      <alignment vertical="top"/>
      <protection locked="0"/>
    </xf>
    <xf numFmtId="165" fontId="14" fillId="0" borderId="0" xfId="5" applyNumberFormat="1">
      <alignment vertical="top"/>
      <protection locked="0"/>
    </xf>
    <xf numFmtId="0" fontId="0" fillId="0" borderId="0" xfId="0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7" fillId="0" borderId="0" xfId="3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0" fillId="0" borderId="1" xfId="0" applyFont="1" applyFill="1" applyBorder="1"/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2" fillId="0" borderId="1" xfId="0" applyFont="1" applyBorder="1"/>
    <xf numFmtId="49" fontId="20" fillId="9" borderId="4" xfId="0" applyNumberFormat="1" applyFont="1" applyFill="1" applyBorder="1" applyAlignment="1">
      <alignment horizontal="left"/>
    </xf>
    <xf numFmtId="49" fontId="18" fillId="12" borderId="5" xfId="0" applyNumberFormat="1" applyFont="1" applyFill="1" applyBorder="1" applyAlignment="1">
      <alignment horizontal="left" vertical="top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9" borderId="0" xfId="0" applyFill="1"/>
    <xf numFmtId="49" fontId="20" fillId="9" borderId="6" xfId="0" applyNumberFormat="1" applyFont="1" applyFill="1" applyBorder="1" applyAlignment="1">
      <alignment horizontal="left"/>
    </xf>
    <xf numFmtId="169" fontId="0" fillId="0" borderId="0" xfId="0" applyNumberFormat="1"/>
    <xf numFmtId="0" fontId="0" fillId="0" borderId="0" xfId="0" applyBorder="1"/>
    <xf numFmtId="3" fontId="0" fillId="2" borderId="0" xfId="0" applyNumberFormat="1" applyFill="1" applyBorder="1"/>
    <xf numFmtId="0" fontId="0" fillId="0" borderId="8" xfId="0" applyBorder="1"/>
    <xf numFmtId="0" fontId="0" fillId="7" borderId="9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5" borderId="3" xfId="0" applyFont="1" applyFill="1" applyBorder="1"/>
    <xf numFmtId="3" fontId="0" fillId="14" borderId="9" xfId="0" applyNumberFormat="1" applyFill="1" applyBorder="1"/>
    <xf numFmtId="0" fontId="0" fillId="14" borderId="3" xfId="0" applyFill="1" applyBorder="1"/>
    <xf numFmtId="3" fontId="0" fillId="14" borderId="10" xfId="0" applyNumberFormat="1" applyFill="1" applyBorder="1"/>
    <xf numFmtId="3" fontId="0" fillId="2" borderId="2" xfId="0" applyNumberFormat="1" applyFill="1" applyBorder="1"/>
    <xf numFmtId="0" fontId="0" fillId="15" borderId="0" xfId="0" applyFont="1" applyFill="1" applyBorder="1"/>
    <xf numFmtId="0" fontId="5" fillId="15" borderId="0" xfId="0" applyFont="1" applyFill="1" applyBorder="1" applyAlignment="1">
      <alignment vertical="center" wrapText="1"/>
    </xf>
    <xf numFmtId="0" fontId="0" fillId="15" borderId="9" xfId="0" applyFill="1" applyBorder="1"/>
    <xf numFmtId="0" fontId="0" fillId="15" borderId="3" xfId="0" applyFill="1" applyBorder="1"/>
    <xf numFmtId="0" fontId="0" fillId="8" borderId="11" xfId="0" applyFont="1" applyFill="1" applyBorder="1"/>
    <xf numFmtId="0" fontId="5" fillId="2" borderId="13" xfId="0" applyFont="1" applyFill="1" applyBorder="1" applyAlignment="1">
      <alignment vertical="center" wrapText="1"/>
    </xf>
    <xf numFmtId="3" fontId="0" fillId="14" borderId="8" xfId="0" applyNumberFormat="1" applyFill="1" applyBorder="1"/>
    <xf numFmtId="0" fontId="0" fillId="8" borderId="2" xfId="0" applyFont="1" applyFill="1" applyBorder="1"/>
    <xf numFmtId="0" fontId="0" fillId="6" borderId="4" xfId="0" applyFont="1" applyFill="1" applyBorder="1"/>
    <xf numFmtId="0" fontId="6" fillId="0" borderId="6" xfId="0" applyFont="1" applyBorder="1"/>
    <xf numFmtId="164" fontId="0" fillId="15" borderId="9" xfId="1" applyNumberFormat="1" applyFont="1" applyFill="1" applyBorder="1"/>
    <xf numFmtId="3" fontId="0" fillId="0" borderId="0" xfId="0" applyNumberFormat="1"/>
    <xf numFmtId="0" fontId="0" fillId="7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0" borderId="2" xfId="0" applyBorder="1"/>
    <xf numFmtId="0" fontId="0" fillId="0" borderId="3" xfId="0" applyBorder="1"/>
    <xf numFmtId="0" fontId="0" fillId="15" borderId="2" xfId="0" applyFill="1" applyBorder="1"/>
    <xf numFmtId="0" fontId="0" fillId="15" borderId="0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169" fontId="0" fillId="0" borderId="2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9" fontId="0" fillId="15" borderId="2" xfId="0" applyNumberFormat="1" applyFill="1" applyBorder="1"/>
    <xf numFmtId="169" fontId="0" fillId="15" borderId="0" xfId="0" applyNumberFormat="1" applyFill="1" applyBorder="1"/>
    <xf numFmtId="169" fontId="0" fillId="15" borderId="3" xfId="0" applyNumberFormat="1" applyFill="1" applyBorder="1"/>
    <xf numFmtId="0" fontId="0" fillId="5" borderId="3" xfId="0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16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0" fillId="13" borderId="1" xfId="0" applyFill="1" applyBorder="1" applyAlignment="1">
      <alignment wrapText="1"/>
    </xf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NumberFormat="1" applyFill="1" applyBorder="1"/>
    <xf numFmtId="0" fontId="0" fillId="8" borderId="11" xfId="0" applyFill="1" applyBorder="1"/>
    <xf numFmtId="0" fontId="0" fillId="8" borderId="13" xfId="0" applyFont="1" applyFill="1" applyBorder="1"/>
    <xf numFmtId="0" fontId="5" fillId="2" borderId="12" xfId="0" applyFont="1" applyFill="1" applyBorder="1" applyAlignment="1">
      <alignment vertical="center" wrapText="1"/>
    </xf>
    <xf numFmtId="0" fontId="0" fillId="8" borderId="2" xfId="0" applyFill="1" applyBorder="1"/>
    <xf numFmtId="0" fontId="5" fillId="2" borderId="3" xfId="0" applyFont="1" applyFill="1" applyBorder="1" applyAlignment="1">
      <alignment vertical="center" wrapText="1"/>
    </xf>
    <xf numFmtId="0" fontId="0" fillId="8" borderId="4" xfId="0" applyFill="1" applyBorder="1"/>
    <xf numFmtId="0" fontId="0" fillId="6" borderId="6" xfId="0" applyFont="1" applyFill="1" applyBorder="1"/>
    <xf numFmtId="0" fontId="6" fillId="0" borderId="5" xfId="0" applyFont="1" applyBorder="1"/>
    <xf numFmtId="0" fontId="0" fillId="9" borderId="11" xfId="0" applyFill="1" applyBorder="1"/>
    <xf numFmtId="0" fontId="0" fillId="4" borderId="13" xfId="0" applyFont="1" applyFill="1" applyBorder="1"/>
    <xf numFmtId="0" fontId="0" fillId="9" borderId="2" xfId="0" applyFill="1" applyBorder="1"/>
    <xf numFmtId="0" fontId="0" fillId="9" borderId="4" xfId="0" applyFill="1" applyBorder="1"/>
    <xf numFmtId="0" fontId="0" fillId="4" borderId="6" xfId="0" applyFont="1" applyFill="1" applyBorder="1"/>
    <xf numFmtId="0" fontId="5" fillId="2" borderId="5" xfId="0" applyFont="1" applyFill="1" applyBorder="1" applyAlignment="1">
      <alignment vertical="center" wrapText="1"/>
    </xf>
    <xf numFmtId="0" fontId="0" fillId="13" borderId="15" xfId="0" applyFill="1" applyBorder="1"/>
    <xf numFmtId="3" fontId="0" fillId="0" borderId="1" xfId="0" applyNumberFormat="1" applyFill="1" applyBorder="1"/>
    <xf numFmtId="4" fontId="3" fillId="11" borderId="7" xfId="0" applyNumberFormat="1" applyFont="1" applyFill="1" applyBorder="1" applyAlignment="1">
      <alignment horizontal="right" vertical="top" wrapText="1"/>
    </xf>
    <xf numFmtId="4" fontId="3" fillId="10" borderId="7" xfId="0" applyNumberFormat="1" applyFont="1" applyFill="1" applyBorder="1" applyAlignment="1">
      <alignment horizontal="right" vertical="top" wrapText="1"/>
    </xf>
    <xf numFmtId="2" fontId="0" fillId="0" borderId="1" xfId="0" applyNumberFormat="1" applyFill="1" applyBorder="1"/>
    <xf numFmtId="1" fontId="0" fillId="0" borderId="1" xfId="0" applyNumberFormat="1" applyFill="1" applyBorder="1"/>
    <xf numFmtId="3" fontId="0" fillId="5" borderId="1" xfId="0" applyNumberFormat="1" applyFill="1" applyBorder="1"/>
    <xf numFmtId="1" fontId="0" fillId="5" borderId="1" xfId="0" applyNumberFormat="1" applyFill="1" applyBorder="1"/>
    <xf numFmtId="0" fontId="2" fillId="0" borderId="1" xfId="2" applyNumberFormat="1" applyFont="1" applyFill="1" applyBorder="1" applyAlignment="1">
      <alignment vertical="center"/>
    </xf>
    <xf numFmtId="169" fontId="0" fillId="14" borderId="3" xfId="0" applyNumberFormat="1" applyFill="1" applyBorder="1"/>
    <xf numFmtId="1" fontId="0" fillId="14" borderId="3" xfId="0" applyNumberFormat="1" applyFill="1" applyBorder="1"/>
    <xf numFmtId="0" fontId="0" fillId="14" borderId="9" xfId="0" applyNumberFormat="1" applyFill="1" applyBorder="1"/>
    <xf numFmtId="0" fontId="0" fillId="2" borderId="9" xfId="0" applyNumberFormat="1" applyFill="1" applyBorder="1"/>
    <xf numFmtId="0" fontId="0" fillId="15" borderId="9" xfId="0" applyNumberFormat="1" applyFill="1" applyBorder="1"/>
    <xf numFmtId="1" fontId="0" fillId="2" borderId="9" xfId="1" applyNumberFormat="1" applyFont="1" applyFill="1" applyBorder="1"/>
    <xf numFmtId="1" fontId="0" fillId="14" borderId="9" xfId="1" applyNumberFormat="1" applyFont="1" applyFill="1" applyBorder="1"/>
    <xf numFmtId="1" fontId="0" fillId="2" borderId="9" xfId="0" applyNumberFormat="1" applyFill="1" applyBorder="1"/>
    <xf numFmtId="1" fontId="0" fillId="14" borderId="9" xfId="0" applyNumberFormat="1" applyFill="1" applyBorder="1"/>
    <xf numFmtId="169" fontId="0" fillId="14" borderId="0" xfId="0" applyNumberFormat="1" applyFill="1" applyBorder="1"/>
    <xf numFmtId="0" fontId="0" fillId="0" borderId="8" xfId="0" applyNumberFormat="1" applyBorder="1"/>
    <xf numFmtId="0" fontId="0" fillId="0" borderId="11" xfId="0" applyNumberFormat="1" applyBorder="1"/>
    <xf numFmtId="0" fontId="0" fillId="7" borderId="9" xfId="0" applyNumberFormat="1" applyFill="1" applyBorder="1"/>
    <xf numFmtId="0" fontId="0" fillId="15" borderId="2" xfId="0" applyNumberFormat="1" applyFill="1" applyBorder="1"/>
    <xf numFmtId="0" fontId="0" fillId="15" borderId="9" xfId="1" applyNumberFormat="1" applyFont="1" applyFill="1" applyBorder="1"/>
    <xf numFmtId="0" fontId="0" fillId="2" borderId="10" xfId="0" applyNumberFormat="1" applyFill="1" applyBorder="1"/>
    <xf numFmtId="43" fontId="0" fillId="0" borderId="0" xfId="1" applyFont="1"/>
    <xf numFmtId="3" fontId="3" fillId="0" borderId="1" xfId="0" applyNumberFormat="1" applyFont="1" applyFill="1" applyBorder="1"/>
    <xf numFmtId="4" fontId="3" fillId="0" borderId="1" xfId="0" applyNumberFormat="1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7" borderId="1" xfId="0" applyFont="1" applyFill="1" applyBorder="1"/>
    <xf numFmtId="0" fontId="0" fillId="7" borderId="1" xfId="0" applyFont="1" applyFill="1" applyBorder="1" applyAlignment="1">
      <alignment wrapText="1"/>
    </xf>
    <xf numFmtId="4" fontId="6" fillId="7" borderId="1" xfId="0" applyNumberFormat="1" applyFont="1" applyFill="1" applyBorder="1" applyAlignment="1">
      <alignment horizontal="right" vertical="top" wrapText="1"/>
    </xf>
    <xf numFmtId="4" fontId="6" fillId="7" borderId="1" xfId="0" applyNumberFormat="1" applyFont="1" applyFill="1" applyBorder="1"/>
    <xf numFmtId="43" fontId="0" fillId="7" borderId="1" xfId="1" applyFont="1" applyFill="1" applyBorder="1"/>
    <xf numFmtId="0" fontId="0" fillId="7" borderId="0" xfId="0" applyFont="1" applyFill="1"/>
    <xf numFmtId="0" fontId="0" fillId="9" borderId="1" xfId="0" applyFont="1" applyFill="1" applyBorder="1"/>
    <xf numFmtId="0" fontId="0" fillId="9" borderId="14" xfId="0" applyFont="1" applyFill="1" applyBorder="1" applyAlignment="1"/>
    <xf numFmtId="0" fontId="0" fillId="9" borderId="16" xfId="0" applyFont="1" applyFill="1" applyBorder="1" applyAlignment="1"/>
    <xf numFmtId="0" fontId="0" fillId="9" borderId="15" xfId="0" applyFont="1" applyFill="1" applyBorder="1" applyAlignment="1"/>
    <xf numFmtId="0" fontId="0" fillId="9" borderId="1" xfId="0" applyFont="1" applyFill="1" applyBorder="1" applyAlignment="1">
      <alignment wrapText="1"/>
    </xf>
    <xf numFmtId="4" fontId="6" fillId="9" borderId="1" xfId="0" applyNumberFormat="1" applyFont="1" applyFill="1" applyBorder="1" applyAlignment="1">
      <alignment horizontal="right" vertical="top" wrapText="1"/>
    </xf>
    <xf numFmtId="4" fontId="6" fillId="9" borderId="1" xfId="0" applyNumberFormat="1" applyFont="1" applyFill="1" applyBorder="1"/>
    <xf numFmtId="43" fontId="0" fillId="9" borderId="1" xfId="1" applyFont="1" applyFill="1" applyBorder="1"/>
    <xf numFmtId="0" fontId="0" fillId="9" borderId="0" xfId="0" applyFont="1" applyFill="1"/>
    <xf numFmtId="0" fontId="0" fillId="9" borderId="0" xfId="0" applyFont="1" applyFill="1" applyBorder="1"/>
    <xf numFmtId="4" fontId="3" fillId="9" borderId="1" xfId="0" applyNumberFormat="1" applyFont="1" applyFill="1" applyBorder="1" applyAlignment="1">
      <alignment horizontal="right" vertical="top" wrapText="1"/>
    </xf>
    <xf numFmtId="4" fontId="3" fillId="9" borderId="1" xfId="0" applyNumberFormat="1" applyFont="1" applyFill="1" applyBorder="1"/>
    <xf numFmtId="0" fontId="0" fillId="9" borderId="1" xfId="0" applyFont="1" applyFill="1" applyBorder="1" applyAlignment="1"/>
    <xf numFmtId="169" fontId="0" fillId="9" borderId="0" xfId="0" applyNumberFormat="1" applyFill="1"/>
    <xf numFmtId="43" fontId="0" fillId="9" borderId="0" xfId="0" applyNumberFormat="1" applyFont="1" applyFill="1"/>
    <xf numFmtId="43" fontId="0" fillId="7" borderId="1" xfId="1" applyFont="1" applyFill="1" applyBorder="1" applyAlignment="1">
      <alignment horizontal="right" vertical="center" wrapText="1"/>
    </xf>
    <xf numFmtId="43" fontId="3" fillId="9" borderId="1" xfId="1" applyFont="1" applyFill="1" applyBorder="1" applyAlignment="1">
      <alignment horizontal="right" vertical="top" wrapText="1"/>
    </xf>
    <xf numFmtId="43" fontId="0" fillId="9" borderId="1" xfId="1" applyFont="1" applyFill="1" applyBorder="1" applyAlignment="1">
      <alignment horizontal="right" vertical="center" wrapText="1"/>
    </xf>
    <xf numFmtId="43" fontId="3" fillId="9" borderId="1" xfId="1" applyFont="1" applyFill="1" applyBorder="1"/>
    <xf numFmtId="43" fontId="0" fillId="5" borderId="0" xfId="1" applyFont="1" applyFill="1"/>
    <xf numFmtId="169" fontId="0" fillId="5" borderId="2" xfId="0" applyNumberForma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  <xf numFmtId="0" fontId="2" fillId="5" borderId="1" xfId="2" applyNumberFormat="1" applyFont="1" applyFill="1" applyBorder="1" applyAlignment="1">
      <alignment vertical="center"/>
    </xf>
    <xf numFmtId="0" fontId="0" fillId="14" borderId="2" xfId="0" applyNumberFormat="1" applyFill="1" applyBorder="1"/>
    <xf numFmtId="1" fontId="0" fillId="14" borderId="2" xfId="1" applyNumberFormat="1" applyFont="1" applyFill="1" applyBorder="1"/>
    <xf numFmtId="3" fontId="0" fillId="14" borderId="2" xfId="0" applyNumberFormat="1" applyFill="1" applyBorder="1"/>
    <xf numFmtId="1" fontId="0" fillId="14" borderId="3" xfId="1" applyNumberFormat="1" applyFont="1" applyFill="1" applyBorder="1"/>
    <xf numFmtId="1" fontId="0" fillId="2" borderId="0" xfId="1" applyNumberFormat="1" applyFont="1" applyFill="1" applyBorder="1"/>
    <xf numFmtId="1" fontId="0" fillId="2" borderId="2" xfId="1" applyNumberFormat="1" applyFont="1" applyFill="1" applyBorder="1"/>
    <xf numFmtId="0" fontId="0" fillId="2" borderId="0" xfId="0" applyFill="1" applyBorder="1"/>
    <xf numFmtId="0" fontId="0" fillId="2" borderId="2" xfId="0" applyFill="1" applyBorder="1"/>
    <xf numFmtId="1" fontId="0" fillId="14" borderId="0" xfId="1" applyNumberFormat="1" applyFont="1" applyFill="1" applyBorder="1"/>
    <xf numFmtId="0" fontId="0" fillId="14" borderId="0" xfId="0" applyFill="1" applyBorder="1"/>
    <xf numFmtId="3" fontId="0" fillId="14" borderId="13" xfId="0" applyNumberFormat="1" applyFill="1" applyBorder="1"/>
    <xf numFmtId="3" fontId="0" fillId="14" borderId="0" xfId="0" applyNumberFormat="1" applyFill="1" applyBorder="1"/>
    <xf numFmtId="3" fontId="0" fillId="14" borderId="6" xfId="0" applyNumberFormat="1" applyFill="1" applyBorder="1"/>
    <xf numFmtId="0" fontId="21" fillId="17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0" fontId="0" fillId="5" borderId="3" xfId="0" applyFont="1" applyFill="1" applyBorder="1" applyAlignment="1"/>
    <xf numFmtId="0" fontId="0" fillId="0" borderId="13" xfId="0" applyNumberFormat="1" applyBorder="1" applyAlignment="1">
      <alignment horizontal="center"/>
    </xf>
    <xf numFmtId="0" fontId="0" fillId="15" borderId="2" xfId="1" applyNumberFormat="1" applyFont="1" applyFill="1" applyBorder="1"/>
    <xf numFmtId="0" fontId="0" fillId="14" borderId="4" xfId="0" applyNumberFormat="1" applyFill="1" applyBorder="1"/>
    <xf numFmtId="0" fontId="0" fillId="0" borderId="8" xfId="0" applyNumberFormat="1" applyBorder="1" applyAlignment="1">
      <alignment horizontal="center"/>
    </xf>
    <xf numFmtId="0" fontId="0" fillId="5" borderId="14" xfId="0" applyFont="1" applyFill="1" applyBorder="1"/>
    <xf numFmtId="0" fontId="0" fillId="5" borderId="16" xfId="0" applyFont="1" applyFill="1" applyBorder="1"/>
    <xf numFmtId="0" fontId="0" fillId="5" borderId="16" xfId="0" applyNumberFormat="1" applyFont="1" applyFill="1" applyBorder="1"/>
    <xf numFmtId="0" fontId="0" fillId="5" borderId="1" xfId="0" applyNumberFormat="1" applyFont="1" applyFill="1" applyBorder="1"/>
    <xf numFmtId="170" fontId="0" fillId="14" borderId="0" xfId="0" applyNumberFormat="1" applyFill="1" applyBorder="1"/>
    <xf numFmtId="170" fontId="0" fillId="14" borderId="2" xfId="0" applyNumberFormat="1" applyFill="1" applyBorder="1"/>
    <xf numFmtId="170" fontId="0" fillId="14" borderId="9" xfId="0" applyNumberFormat="1" applyFill="1" applyBorder="1"/>
    <xf numFmtId="169" fontId="0" fillId="2" borderId="9" xfId="1" applyNumberFormat="1" applyFont="1" applyFill="1" applyBorder="1"/>
    <xf numFmtId="169" fontId="0" fillId="2" borderId="9" xfId="0" applyNumberFormat="1" applyFill="1" applyBorder="1"/>
    <xf numFmtId="169" fontId="5" fillId="2" borderId="9" xfId="0" applyNumberFormat="1" applyFont="1" applyFill="1" applyBorder="1" applyAlignment="1">
      <alignment vertical="center" wrapText="1"/>
    </xf>
    <xf numFmtId="169" fontId="0" fillId="14" borderId="2" xfId="0" applyNumberFormat="1" applyFill="1" applyBorder="1"/>
    <xf numFmtId="169" fontId="0" fillId="14" borderId="9" xfId="0" applyNumberFormat="1" applyFill="1" applyBorder="1"/>
    <xf numFmtId="169" fontId="0" fillId="14" borderId="8" xfId="0" applyNumberFormat="1" applyFill="1" applyBorder="1"/>
    <xf numFmtId="169" fontId="0" fillId="5" borderId="1" xfId="0" applyNumberFormat="1" applyFont="1" applyFill="1" applyBorder="1"/>
    <xf numFmtId="169" fontId="0" fillId="14" borderId="12" xfId="0" applyNumberFormat="1" applyFill="1" applyBorder="1"/>
    <xf numFmtId="43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0" fontId="0" fillId="13" borderId="0" xfId="0" applyFill="1" applyBorder="1"/>
    <xf numFmtId="1" fontId="0" fillId="13" borderId="0" xfId="0" applyNumberFormat="1" applyFill="1" applyBorder="1"/>
    <xf numFmtId="164" fontId="0" fillId="13" borderId="0" xfId="1" applyNumberFormat="1" applyFont="1" applyFill="1" applyBorder="1"/>
    <xf numFmtId="0" fontId="0" fillId="13" borderId="0" xfId="0" applyNumberFormat="1" applyFill="1" applyBorder="1"/>
    <xf numFmtId="0" fontId="0" fillId="13" borderId="0" xfId="1" applyNumberFormat="1" applyFont="1" applyFill="1" applyBorder="1"/>
    <xf numFmtId="1" fontId="0" fillId="13" borderId="0" xfId="1" applyNumberFormat="1" applyFont="1" applyFill="1" applyBorder="1"/>
    <xf numFmtId="169" fontId="0" fillId="2" borderId="2" xfId="1" applyNumberFormat="1" applyFont="1" applyFill="1" applyBorder="1"/>
    <xf numFmtId="169" fontId="0" fillId="2" borderId="0" xfId="1" applyNumberFormat="1" applyFont="1" applyFill="1" applyBorder="1"/>
    <xf numFmtId="169" fontId="0" fillId="2" borderId="2" xfId="0" applyNumberFormat="1" applyFill="1" applyBorder="1"/>
    <xf numFmtId="169" fontId="0" fillId="2" borderId="0" xfId="0" applyNumberFormat="1" applyFill="1" applyBorder="1"/>
    <xf numFmtId="169" fontId="0" fillId="2" borderId="11" xfId="0" applyNumberFormat="1" applyFill="1" applyBorder="1"/>
    <xf numFmtId="169" fontId="0" fillId="2" borderId="13" xfId="0" applyNumberFormat="1" applyFill="1" applyBorder="1"/>
    <xf numFmtId="169" fontId="5" fillId="2" borderId="2" xfId="0" applyNumberFormat="1" applyFont="1" applyFill="1" applyBorder="1" applyAlignment="1">
      <alignment vertical="center" wrapText="1"/>
    </xf>
    <xf numFmtId="169" fontId="5" fillId="2" borderId="0" xfId="0" applyNumberFormat="1" applyFont="1" applyFill="1" applyBorder="1" applyAlignment="1">
      <alignment vertical="center" wrapText="1"/>
    </xf>
    <xf numFmtId="170" fontId="0" fillId="15" borderId="0" xfId="0" applyNumberFormat="1" applyFill="1" applyBorder="1"/>
    <xf numFmtId="170" fontId="0" fillId="15" borderId="2" xfId="0" applyNumberFormat="1" applyFill="1" applyBorder="1"/>
    <xf numFmtId="0" fontId="0" fillId="2" borderId="0" xfId="0" applyFill="1" applyBorder="1" applyAlignment="1"/>
    <xf numFmtId="0" fontId="0" fillId="2" borderId="0" xfId="0" applyFill="1"/>
    <xf numFmtId="0" fontId="0" fillId="6" borderId="0" xfId="0" applyFont="1" applyFill="1" applyBorder="1"/>
    <xf numFmtId="0" fontId="6" fillId="0" borderId="0" xfId="0" applyFont="1" applyBorder="1"/>
    <xf numFmtId="0" fontId="3" fillId="0" borderId="0" xfId="0" applyFont="1"/>
    <xf numFmtId="43" fontId="0" fillId="0" borderId="0" xfId="1" applyFont="1" applyAlignment="1">
      <alignment wrapText="1"/>
    </xf>
    <xf numFmtId="1" fontId="0" fillId="0" borderId="0" xfId="0" applyNumberFormat="1" applyAlignment="1">
      <alignment wrapText="1"/>
    </xf>
    <xf numFmtId="4" fontId="0" fillId="18" borderId="0" xfId="0" applyNumberFormat="1" applyFill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23" fillId="0" borderId="1" xfId="0" applyFont="1" applyFill="1" applyBorder="1" applyAlignment="1">
      <alignment wrapText="1"/>
    </xf>
    <xf numFmtId="0" fontId="22" fillId="0" borderId="1" xfId="0" applyFont="1" applyFill="1" applyBorder="1"/>
    <xf numFmtId="4" fontId="0" fillId="0" borderId="1" xfId="0" applyNumberFormat="1" applyFill="1" applyBorder="1"/>
    <xf numFmtId="0" fontId="22" fillId="0" borderId="1" xfId="0" applyFont="1" applyFill="1" applyBorder="1" applyAlignment="1">
      <alignment vertical="top" wrapText="1"/>
    </xf>
    <xf numFmtId="171" fontId="0" fillId="0" borderId="0" xfId="2" applyNumberFormat="1" applyFont="1" applyAlignment="1">
      <alignment wrapText="1"/>
    </xf>
    <xf numFmtId="0" fontId="0" fillId="7" borderId="2" xfId="0" applyFill="1" applyBorder="1" applyAlignment="1"/>
    <xf numFmtId="0" fontId="0" fillId="7" borderId="0" xfId="0" applyFill="1" applyBorder="1" applyAlignment="1"/>
    <xf numFmtId="0" fontId="0" fillId="7" borderId="3" xfId="0" applyFill="1" applyBorder="1" applyAlignme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49" fontId="20" fillId="3" borderId="4" xfId="0" applyNumberFormat="1" applyFont="1" applyFill="1" applyBorder="1" applyAlignment="1">
      <alignment horizontal="left"/>
    </xf>
    <xf numFmtId="49" fontId="20" fillId="3" borderId="6" xfId="0" applyNumberFormat="1" applyFont="1" applyFill="1" applyBorder="1" applyAlignment="1">
      <alignment horizontal="left"/>
    </xf>
    <xf numFmtId="49" fontId="20" fillId="3" borderId="5" xfId="0" applyNumberFormat="1" applyFont="1" applyFill="1" applyBorder="1" applyAlignment="1">
      <alignment horizontal="left"/>
    </xf>
    <xf numFmtId="49" fontId="17" fillId="12" borderId="2" xfId="0" applyNumberFormat="1" applyFont="1" applyFill="1" applyBorder="1" applyAlignment="1">
      <alignment horizontal="left" vertical="top" wrapText="1"/>
    </xf>
    <xf numFmtId="49" fontId="17" fillId="12" borderId="0" xfId="0" applyNumberFormat="1" applyFont="1" applyFill="1" applyBorder="1" applyAlignment="1">
      <alignment horizontal="left" vertical="top" wrapText="1"/>
    </xf>
    <xf numFmtId="49" fontId="17" fillId="12" borderId="3" xfId="0" applyNumberFormat="1" applyFont="1" applyFill="1" applyBorder="1" applyAlignment="1">
      <alignment horizontal="left" vertical="top" wrapText="1"/>
    </xf>
    <xf numFmtId="49" fontId="18" fillId="12" borderId="2" xfId="0" applyNumberFormat="1" applyFont="1" applyFill="1" applyBorder="1" applyAlignment="1">
      <alignment horizontal="left" vertical="top" wrapText="1"/>
    </xf>
    <xf numFmtId="49" fontId="18" fillId="12" borderId="0" xfId="0" applyNumberFormat="1" applyFont="1" applyFill="1" applyBorder="1" applyAlignment="1">
      <alignment horizontal="left" vertical="top" wrapText="1"/>
    </xf>
    <xf numFmtId="49" fontId="18" fillId="12" borderId="3" xfId="0" applyNumberFormat="1" applyFont="1" applyFill="1" applyBorder="1" applyAlignment="1">
      <alignment horizontal="left" vertical="top" wrapText="1"/>
    </xf>
    <xf numFmtId="49" fontId="20" fillId="9" borderId="2" xfId="0" applyNumberFormat="1" applyFont="1" applyFill="1" applyBorder="1" applyAlignment="1">
      <alignment horizontal="left"/>
    </xf>
    <xf numFmtId="49" fontId="20" fillId="9" borderId="0" xfId="0" applyNumberFormat="1" applyFont="1" applyFill="1" applyBorder="1" applyAlignment="1">
      <alignment horizontal="left"/>
    </xf>
    <xf numFmtId="49" fontId="20" fillId="9" borderId="3" xfId="0" applyNumberFormat="1" applyFont="1" applyFill="1" applyBorder="1" applyAlignment="1">
      <alignment horizontal="left"/>
    </xf>
    <xf numFmtId="49" fontId="19" fillId="12" borderId="13" xfId="0" applyNumberFormat="1" applyFont="1" applyFill="1" applyBorder="1" applyAlignment="1">
      <alignment horizontal="left" vertical="top" wrapText="1"/>
    </xf>
    <xf numFmtId="49" fontId="19" fillId="12" borderId="12" xfId="0" applyNumberFormat="1" applyFont="1" applyFill="1" applyBorder="1" applyAlignment="1">
      <alignment horizontal="left" vertical="top" wrapText="1"/>
    </xf>
    <xf numFmtId="49" fontId="19" fillId="12" borderId="0" xfId="0" applyNumberFormat="1" applyFont="1" applyFill="1" applyBorder="1" applyAlignment="1">
      <alignment horizontal="left" vertical="top" wrapText="1"/>
    </xf>
    <xf numFmtId="49" fontId="19" fillId="12" borderId="3" xfId="0" applyNumberFormat="1" applyFont="1" applyFill="1" applyBorder="1" applyAlignment="1">
      <alignment horizontal="left" vertical="top" wrapText="1"/>
    </xf>
    <xf numFmtId="49" fontId="18" fillId="12" borderId="6" xfId="0" applyNumberFormat="1" applyFont="1" applyFill="1" applyBorder="1" applyAlignment="1">
      <alignment horizontal="left" vertical="top" wrapText="1"/>
    </xf>
    <xf numFmtId="49" fontId="18" fillId="12" borderId="5" xfId="0" applyNumberFormat="1" applyFont="1" applyFill="1" applyBorder="1" applyAlignment="1">
      <alignment horizontal="left" vertical="top" wrapText="1"/>
    </xf>
    <xf numFmtId="49" fontId="20" fillId="3" borderId="11" xfId="0" applyNumberFormat="1" applyFont="1" applyFill="1" applyBorder="1" applyAlignment="1">
      <alignment horizontal="left"/>
    </xf>
    <xf numFmtId="49" fontId="20" fillId="3" borderId="13" xfId="0" applyNumberFormat="1" applyFont="1" applyFill="1" applyBorder="1" applyAlignment="1">
      <alignment horizontal="left"/>
    </xf>
    <xf numFmtId="49" fontId="20" fillId="3" borderId="12" xfId="0" applyNumberFormat="1" applyFont="1" applyFill="1" applyBorder="1" applyAlignment="1">
      <alignment horizontal="left"/>
    </xf>
    <xf numFmtId="49" fontId="20" fillId="3" borderId="2" xfId="0" applyNumberFormat="1" applyFont="1" applyFill="1" applyBorder="1" applyAlignment="1">
      <alignment horizontal="left"/>
    </xf>
    <xf numFmtId="49" fontId="20" fillId="3" borderId="0" xfId="0" applyNumberFormat="1" applyFont="1" applyFill="1" applyBorder="1" applyAlignment="1">
      <alignment horizontal="left"/>
    </xf>
    <xf numFmtId="49" fontId="20" fillId="3" borderId="3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49" fontId="20" fillId="3" borderId="4" xfId="0" applyNumberFormat="1" applyFont="1" applyFill="1" applyBorder="1" applyAlignment="1">
      <alignment horizontal="left" vertical="top"/>
    </xf>
    <xf numFmtId="49" fontId="20" fillId="3" borderId="6" xfId="0" applyNumberFormat="1" applyFont="1" applyFill="1" applyBorder="1" applyAlignment="1">
      <alignment horizontal="left" vertical="top"/>
    </xf>
    <xf numFmtId="49" fontId="20" fillId="3" borderId="5" xfId="0" applyNumberFormat="1" applyFont="1" applyFill="1" applyBorder="1" applyAlignment="1">
      <alignment horizontal="left" vertical="top"/>
    </xf>
    <xf numFmtId="0" fontId="0" fillId="7" borderId="2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6" borderId="1" xfId="0" applyNumberFormat="1" applyFill="1" applyBorder="1"/>
  </cellXfs>
  <cellStyles count="6">
    <cellStyle name="Comma" xfId="1" builtinId="3"/>
    <cellStyle name="Hyperlink" xfId="3" builtinId="8"/>
    <cellStyle name="Normal" xfId="0" builtinId="0"/>
    <cellStyle name="Normal 2" xfId="4" xr:uid="{3B6A2C1F-FA2F-4421-B0F9-D1C4BA22306E}"/>
    <cellStyle name="Normal 3" xfId="5" xr:uid="{187626F1-9F93-433D-A078-86B21B663C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growth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Baseline_data_cattle1!$P$15:$P$17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Baseline_data_cattle1!$Q$15:$Q$17</c:f>
              <c:numCache>
                <c:formatCode>0</c:formatCode>
                <c:ptCount val="3"/>
                <c:pt idx="0">
                  <c:v>588529.83967967448</c:v>
                </c:pt>
                <c:pt idx="1">
                  <c:v>645803.54410841176</c:v>
                </c:pt>
                <c:pt idx="2">
                  <c:v>1180358.1187766269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3CC-B18F-B5F70F04B90D}"/>
            </c:ext>
          </c:extLst>
        </c:ser>
        <c:ser>
          <c:idx val="1"/>
          <c:order val="1"/>
          <c:tx>
            <c:strRef>
              <c:f>Baseline_data_cattle1!$R$14</c:f>
              <c:strCache>
                <c:ptCount val="1"/>
                <c:pt idx="0">
                  <c:v>Household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Baseline_data_cattle1!$P$15:$P$17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Baseline_data_cattle1!$R$15:$R$17</c:f>
              <c:numCache>
                <c:formatCode>0</c:formatCode>
                <c:ptCount val="3"/>
                <c:pt idx="0" formatCode="General">
                  <c:v>294264.91983983724</c:v>
                </c:pt>
                <c:pt idx="1">
                  <c:v>322901.77205420588</c:v>
                </c:pt>
                <c:pt idx="2">
                  <c:v>472143.24751065078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1-43CC-B18F-B5F70F04B90D}"/>
            </c:ext>
          </c:extLst>
        </c:ser>
        <c:ser>
          <c:idx val="2"/>
          <c:order val="2"/>
          <c:tx>
            <c:strRef>
              <c:f>Baseline_data_cattle1!$S$14</c:f>
              <c:strCache>
                <c:ptCount val="1"/>
                <c:pt idx="0">
                  <c:v>individual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Baseline_data_cattle1!$P$15:$P$17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Baseline_data_cattle1!$S$15:$S$17</c:f>
              <c:numCache>
                <c:formatCode>0</c:formatCode>
                <c:ptCount val="3"/>
                <c:pt idx="0" formatCode="General">
                  <c:v>294264.91983983724</c:v>
                </c:pt>
                <c:pt idx="1">
                  <c:v>322901.77205420588</c:v>
                </c:pt>
                <c:pt idx="2">
                  <c:v>708214.87126597611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1-43CC-B18F-B5F70F04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38472"/>
        <c:axId val="704338112"/>
      </c:scatterChart>
      <c:valAx>
        <c:axId val="7043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338112"/>
        <c:crosses val="autoZero"/>
        <c:crossBetween val="midCat"/>
      </c:valAx>
      <c:valAx>
        <c:axId val="704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3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growth</a:t>
            </a:r>
            <a:r>
              <a:rPr lang="nl-NL" baseline="0"/>
              <a:t>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Baseline_data_Goat!$I$14:$I$16</c:f>
              <c:numCache>
                <c:formatCode>_ * #,##0_ ;_ * \-#,##0_ ;_ * "-"??_ ;_ @_ </c:formatCode>
                <c:ptCount val="3"/>
                <c:pt idx="0" formatCode="General">
                  <c:v>2019</c:v>
                </c:pt>
                <c:pt idx="1">
                  <c:v>2022</c:v>
                </c:pt>
                <c:pt idx="2" formatCode="General">
                  <c:v>2050</c:v>
                </c:pt>
              </c:numCache>
            </c:numRef>
          </c:xVal>
          <c:yVal>
            <c:numRef>
              <c:f>Baseline_data_Goat!$J$14:$J$16</c:f>
              <c:numCache>
                <c:formatCode>0</c:formatCode>
                <c:ptCount val="3"/>
                <c:pt idx="0">
                  <c:v>442259.76133068785</c:v>
                </c:pt>
                <c:pt idx="1">
                  <c:v>412080.37265391398</c:v>
                </c:pt>
                <c:pt idx="2">
                  <c:v>130406.07833735822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9-475E-B54F-ED154FD8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20080"/>
        <c:axId val="869216480"/>
      </c:scatterChart>
      <c:valAx>
        <c:axId val="86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16480"/>
        <c:crosses val="autoZero"/>
        <c:crossBetween val="midCat"/>
      </c:valAx>
      <c:valAx>
        <c:axId val="86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growth</a:t>
            </a:r>
            <a:r>
              <a:rPr lang="nl-NL" baseline="0"/>
              <a:t>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Baseline_data_Sheep!$K$12:$K$14</c:f>
              <c:numCache>
                <c:formatCode>General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Baseline_data_Sheep!$L$12:$L$14</c:f>
              <c:numCache>
                <c:formatCode>0</c:formatCode>
                <c:ptCount val="3"/>
                <c:pt idx="0">
                  <c:v>1971774.0137081286</c:v>
                </c:pt>
                <c:pt idx="1">
                  <c:v>1974585.0604664041</c:v>
                </c:pt>
                <c:pt idx="2">
                  <c:v>2000821.4968769737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5-4055-BBFB-777DDAAD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20080"/>
        <c:axId val="869216480"/>
      </c:scatterChart>
      <c:valAx>
        <c:axId val="86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16480"/>
        <c:crosses val="autoZero"/>
        <c:crossBetween val="midCat"/>
      </c:valAx>
      <c:valAx>
        <c:axId val="86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f>'Population-trend'!$J$65:$J$70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'Population-trend'!$L$65:$L$70</c:f>
              <c:numCache>
                <c:formatCode>########0.0</c:formatCode>
                <c:ptCount val="6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6F4-8D21-D04E3CE5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46280"/>
        <c:axId val="705244840"/>
      </c:lineChart>
      <c:catAx>
        <c:axId val="70524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244840"/>
        <c:crosses val="autoZero"/>
        <c:auto val="1"/>
        <c:lblAlgn val="ctr"/>
        <c:lblOffset val="100"/>
        <c:noMultiLvlLbl val="0"/>
      </c:catAx>
      <c:valAx>
        <c:axId val="705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2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f>'Population-trend'!$J$63:$J$70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'Population-trend'!$L$63:$L$70</c:f>
              <c:numCache>
                <c:formatCode>########0.0</c:formatCode>
                <c:ptCount val="8"/>
                <c:pt idx="0">
                  <c:v>5059735</c:v>
                </c:pt>
                <c:pt idx="1">
                  <c:v>5165650</c:v>
                </c:pt>
                <c:pt idx="2">
                  <c:v>5257732</c:v>
                </c:pt>
                <c:pt idx="3">
                  <c:v>5361000</c:v>
                </c:pt>
                <c:pt idx="4">
                  <c:v>5465606</c:v>
                </c:pt>
                <c:pt idx="5">
                  <c:v>5508032</c:v>
                </c:pt>
                <c:pt idx="6">
                  <c:v>5535597</c:v>
                </c:pt>
                <c:pt idx="7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4-4C2E-88AD-7350585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32112"/>
        <c:axId val="862432472"/>
      </c:lineChart>
      <c:catAx>
        <c:axId val="8624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432472"/>
        <c:crosses val="autoZero"/>
        <c:auto val="1"/>
        <c:lblAlgn val="ctr"/>
        <c:lblOffset val="100"/>
        <c:noMultiLvlLbl val="0"/>
      </c:catAx>
      <c:valAx>
        <c:axId val="8624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4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javascript:window.listViewerCallback(3,%202)" TargetMode="External"/><Relationship Id="rId7" Type="http://schemas.openxmlformats.org/officeDocument/2006/relationships/chart" Target="../charts/chart4.xml"/><Relationship Id="rId2" Type="http://schemas.openxmlformats.org/officeDocument/2006/relationships/hyperlink" Target="javascript:window.listViewerCallback(2,%202)" TargetMode="External"/><Relationship Id="rId1" Type="http://schemas.openxmlformats.org/officeDocument/2006/relationships/hyperlink" Target="javascript:window.listViewerCallback(1,%202)" TargetMode="External"/><Relationship Id="rId6" Type="http://schemas.openxmlformats.org/officeDocument/2006/relationships/image" Target="../media/image4.png"/><Relationship Id="rId5" Type="http://schemas.openxmlformats.org/officeDocument/2006/relationships/hyperlink" Target="javascript:window.listViewerCallback(5,%202)" TargetMode="External"/><Relationship Id="rId4" Type="http://schemas.openxmlformats.org/officeDocument/2006/relationships/hyperlink" Target="javascript:window.listViewerCallback(4,%202)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417285</xdr:colOff>
      <xdr:row>17</xdr:row>
      <xdr:rowOff>145142</xdr:rowOff>
    </xdr:from>
    <xdr:to>
      <xdr:col>21</xdr:col>
      <xdr:colOff>589642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AF2E8-F5DB-3F29-3C3D-A2B4210C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489858</xdr:colOff>
      <xdr:row>17</xdr:row>
      <xdr:rowOff>43544</xdr:rowOff>
    </xdr:from>
    <xdr:to>
      <xdr:col>14</xdr:col>
      <xdr:colOff>199572</xdr:colOff>
      <xdr:row>32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64040-5A80-4B38-1231-9444F0AAA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553358</xdr:colOff>
      <xdr:row>14</xdr:row>
      <xdr:rowOff>161473</xdr:rowOff>
    </xdr:from>
    <xdr:to>
      <xdr:col>15</xdr:col>
      <xdr:colOff>263073</xdr:colOff>
      <xdr:row>30</xdr:row>
      <xdr:rowOff>1815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51C54-C953-4E0B-9621-BA5970B46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13</xdr:row>
      <xdr:rowOff>177800</xdr:rowOff>
    </xdr:from>
    <xdr:to>
      <xdr:col>0</xdr:col>
      <xdr:colOff>1517722</xdr:colOff>
      <xdr:row>18</xdr:row>
      <xdr:rowOff>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9BFD7-1070-2928-5823-EA1AF78D6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2698750"/>
          <a:ext cx="1409772" cy="7493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336623</xdr:colOff>
      <xdr:row>16</xdr:row>
      <xdr:rowOff>63522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1C4180-4C02-509F-CD92-B82C035FA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200" y="2705100"/>
          <a:ext cx="1428823" cy="4318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1047804</xdr:colOff>
      <xdr:row>20</xdr:row>
      <xdr:rowOff>31771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FA4481-2621-71B9-1D4D-4B2CC03E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3441700"/>
          <a:ext cx="1047804" cy="400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614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340E6-5ADB-4236-97D7-4928237363FC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107949</xdr:rowOff>
    </xdr:to>
    <xdr:sp macro="" textlink="">
      <xdr:nvSpPr>
        <xdr:cNvPr id="614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FE6935-6E29-AE03-6730-6FFBFD07E40D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101601</xdr:rowOff>
    </xdr:to>
    <xdr:sp macro="" textlink="">
      <xdr:nvSpPr>
        <xdr:cNvPr id="614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3FAB57-9A6E-F031-9E1D-D6FB353C4ABD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101601</xdr:rowOff>
    </xdr:to>
    <xdr:sp macro="" textlink="">
      <xdr:nvSpPr>
        <xdr:cNvPr id="614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C7333A-EE14-1E56-7B48-F2711D12F17E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107949</xdr:rowOff>
    </xdr:to>
    <xdr:sp macro="" textlink="">
      <xdr:nvSpPr>
        <xdr:cNvPr id="614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F70A01-7E26-6BB9-B0DA-B9CF7B85BA38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9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101601</xdr:rowOff>
    </xdr:to>
    <xdr:sp macro="" textlink="">
      <xdr:nvSpPr>
        <xdr:cNvPr id="6150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6DFD4-1FA8-1E66-DC0E-5515F56770B0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1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101600</xdr:rowOff>
    </xdr:to>
    <xdr:sp macro="" textlink="">
      <xdr:nvSpPr>
        <xdr:cNvPr id="6151" name="AutoShap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9B66E-A76C-0B05-2BF1-070DD813D70D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13</xdr:row>
      <xdr:rowOff>101600</xdr:rowOff>
    </xdr:to>
    <xdr:sp macro="" textlink="">
      <xdr:nvSpPr>
        <xdr:cNvPr id="6152" name="Auto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1F56CF-F8B9-7E61-389A-1D51A47D2163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9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15</xdr:row>
      <xdr:rowOff>107949</xdr:rowOff>
    </xdr:to>
    <xdr:sp macro="" textlink="">
      <xdr:nvSpPr>
        <xdr:cNvPr id="6153" name="AutoShap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A87EEF-316C-0E15-751D-AC95DF176177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73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17</xdr:row>
      <xdr:rowOff>101600</xdr:rowOff>
    </xdr:to>
    <xdr:sp macro="" textlink="">
      <xdr:nvSpPr>
        <xdr:cNvPr id="6154" name="AutoShap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BF4DF7-80C5-960F-73DC-292E1572A36A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77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623454</xdr:colOff>
      <xdr:row>21</xdr:row>
      <xdr:rowOff>17318</xdr:rowOff>
    </xdr:from>
    <xdr:to>
      <xdr:col>27</xdr:col>
      <xdr:colOff>647711</xdr:colOff>
      <xdr:row>50</xdr:row>
      <xdr:rowOff>47748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A4CADA-2853-54D7-3CB9-E37E38720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544"/>
        <a:stretch/>
      </xdr:blipFill>
      <xdr:spPr>
        <a:xfrm>
          <a:off x="12145818" y="4312227"/>
          <a:ext cx="9514620" cy="5722339"/>
        </a:xfrm>
        <a:prstGeom prst="rect">
          <a:avLst/>
        </a:prstGeom>
      </xdr:spPr>
    </xdr:pic>
    <xdr:clientData/>
  </xdr:twoCellAnchor>
  <xdr:twoCellAnchor>
    <xdr:from>
      <xdr:col>18</xdr:col>
      <xdr:colOff>585106</xdr:colOff>
      <xdr:row>55</xdr:row>
      <xdr:rowOff>143328</xdr:rowOff>
    </xdr:from>
    <xdr:to>
      <xdr:col>24</xdr:col>
      <xdr:colOff>326570</xdr:colOff>
      <xdr:row>69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28230-6472-F5D4-5C4C-07090BE0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439964</xdr:colOff>
      <xdr:row>70</xdr:row>
      <xdr:rowOff>16328</xdr:rowOff>
    </xdr:from>
    <xdr:to>
      <xdr:col>23</xdr:col>
      <xdr:colOff>122464</xdr:colOff>
      <xdr:row>83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73A98-8E14-29AC-101D-D830007C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23</xdr:row>
      <xdr:rowOff>139700</xdr:rowOff>
    </xdr:from>
    <xdr:to>
      <xdr:col>5</xdr:col>
      <xdr:colOff>127000</xdr:colOff>
      <xdr:row>36</xdr:row>
      <xdr:rowOff>68469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C7FFE-F37A-F913-25D1-0D07C931B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4559300"/>
          <a:ext cx="5187950" cy="238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S77"/>
  <sheetViews>
    <sheetView tabSelected="1" zoomScale="70" zoomScaleNormal="7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5" x14ac:dyDescent="0.35"/>
  <cols>
    <col min="1" max="1" width="8.7265625" style="1"/>
    <col min="2" max="2" width="48.26953125" style="1" customWidth="1"/>
    <col min="3" max="14" width="12.453125" style="13" customWidth="1"/>
    <col min="15" max="16" width="8.7265625" style="13"/>
    <col min="17" max="17" width="10.7265625" style="13" bestFit="1" customWidth="1"/>
    <col min="18" max="19" width="10.1796875" style="13" customWidth="1"/>
    <col min="20" max="16384" width="8.7265625" style="13"/>
  </cols>
  <sheetData>
    <row r="1" spans="1:19" x14ac:dyDescent="0.35">
      <c r="C1" s="244" t="s">
        <v>139</v>
      </c>
      <c r="D1" s="245"/>
      <c r="E1" s="246"/>
      <c r="F1" s="244" t="s">
        <v>100</v>
      </c>
      <c r="G1" s="245"/>
      <c r="H1" s="246"/>
      <c r="I1" s="244" t="s">
        <v>140</v>
      </c>
      <c r="J1" s="245"/>
      <c r="K1" s="246"/>
      <c r="L1" s="244" t="s">
        <v>206</v>
      </c>
      <c r="M1" s="245"/>
      <c r="N1" s="246"/>
    </row>
    <row r="2" spans="1:19" x14ac:dyDescent="0.35">
      <c r="A2" s="7"/>
      <c r="B2" s="7" t="s">
        <v>47</v>
      </c>
      <c r="C2" s="52" t="s">
        <v>208</v>
      </c>
      <c r="D2" s="11" t="s">
        <v>207</v>
      </c>
      <c r="E2" s="10" t="s">
        <v>142</v>
      </c>
      <c r="F2" s="52" t="s">
        <v>208</v>
      </c>
      <c r="G2" s="11" t="s">
        <v>207</v>
      </c>
      <c r="H2" s="10" t="s">
        <v>142</v>
      </c>
      <c r="I2" s="52" t="s">
        <v>208</v>
      </c>
      <c r="J2" s="11" t="s">
        <v>207</v>
      </c>
      <c r="K2" s="10" t="s">
        <v>142</v>
      </c>
      <c r="L2" s="52" t="s">
        <v>208</v>
      </c>
      <c r="M2" s="11" t="s">
        <v>207</v>
      </c>
      <c r="N2" s="10" t="s">
        <v>142</v>
      </c>
    </row>
    <row r="3" spans="1:19" x14ac:dyDescent="0.35">
      <c r="A3" s="7" t="s">
        <v>0</v>
      </c>
      <c r="B3" s="7" t="s">
        <v>1</v>
      </c>
      <c r="C3" s="52">
        <v>2022</v>
      </c>
      <c r="D3" s="11">
        <v>2022</v>
      </c>
      <c r="E3" s="10">
        <v>2050</v>
      </c>
      <c r="F3" s="52">
        <v>2050</v>
      </c>
      <c r="G3" s="11">
        <v>2050</v>
      </c>
      <c r="H3" s="10">
        <v>2050</v>
      </c>
      <c r="I3" s="52">
        <v>2050</v>
      </c>
      <c r="J3" s="11">
        <v>2050</v>
      </c>
      <c r="K3" s="10">
        <v>2050</v>
      </c>
      <c r="L3" s="52">
        <v>2050</v>
      </c>
      <c r="M3" s="11">
        <v>2050</v>
      </c>
      <c r="N3" s="10">
        <v>2050</v>
      </c>
    </row>
    <row r="4" spans="1:19" x14ac:dyDescent="0.35">
      <c r="A4" s="2" t="s">
        <v>2</v>
      </c>
      <c r="B4" s="5" t="s">
        <v>3</v>
      </c>
      <c r="C4" s="218">
        <v>29</v>
      </c>
      <c r="D4" s="298">
        <v>27.1550430125072</v>
      </c>
      <c r="E4" s="121">
        <f>(C4*C$16+D4*D$16)/(C$16+D$16)</f>
        <v>28.0775215062536</v>
      </c>
      <c r="F4" s="218">
        <f>C4</f>
        <v>29</v>
      </c>
      <c r="G4" s="219">
        <f>D4</f>
        <v>27.1550430125072</v>
      </c>
      <c r="H4" s="130">
        <f>(F4*F$16+G4*G$16)/(F$16+G$16)</f>
        <v>27.893025807504323</v>
      </c>
      <c r="I4" s="220">
        <f>F4*(1+Sheet1!G17/100)</f>
        <v>25</v>
      </c>
      <c r="J4" s="221">
        <f>G4*(1+Sheet1!H17/100)</f>
        <v>23.409519838368276</v>
      </c>
      <c r="K4" s="206">
        <f>(I4*I$16+J4*J$16)/(I$16+J$16)</f>
        <v>24.045711903020969</v>
      </c>
      <c r="L4" s="219">
        <f>I4+(I4*Sheet1!$K17/100)</f>
        <v>25</v>
      </c>
      <c r="M4" s="219">
        <f>J4+(J4*Sheet1!$K17/100)</f>
        <v>23.409519838368276</v>
      </c>
      <c r="N4" s="121">
        <f>(L4*L$16+M4*M$16)/(L$16+M$16)</f>
        <v>24.045711903020969</v>
      </c>
    </row>
    <row r="5" spans="1:19" x14ac:dyDescent="0.35">
      <c r="A5" s="2" t="s">
        <v>2</v>
      </c>
      <c r="B5" s="5" t="s">
        <v>4</v>
      </c>
      <c r="C5" s="218">
        <v>6</v>
      </c>
      <c r="D5" s="298">
        <v>6.1650995167843554</v>
      </c>
      <c r="E5" s="121">
        <f>(C5*$I$16+D5*$J$16)/($I$16+$J$16)</f>
        <v>6.0990597100706134</v>
      </c>
      <c r="F5" s="218">
        <f>C5</f>
        <v>6</v>
      </c>
      <c r="G5" s="219">
        <f t="shared" ref="G5:G15" si="0">D5</f>
        <v>6.1650995167843554</v>
      </c>
      <c r="H5" s="130">
        <f>(F5*$I$16+G5*$J$16)/($I$16+$J$16)</f>
        <v>6.0990597100706134</v>
      </c>
      <c r="I5" s="218">
        <f>F5*(1+Sheet1!G18/100)</f>
        <v>4.8</v>
      </c>
      <c r="J5" s="219">
        <f>G5*(1+Sheet1!H18/100)</f>
        <v>4.9320796134274838</v>
      </c>
      <c r="K5" s="121">
        <f>(I5*$I$16+J5*$J$16)/($I$16+$J$16)</f>
        <v>4.8792477680564907</v>
      </c>
      <c r="L5" s="219">
        <f>I5+(I5*Sheet1!$K18/100)</f>
        <v>4.8</v>
      </c>
      <c r="M5" s="219">
        <f>J5+(J5*Sheet1!$K18/100)</f>
        <v>4.9320796134274838</v>
      </c>
      <c r="N5" s="121">
        <f>(L5*L$16+M5*M$16)/(L$16+M$16)</f>
        <v>4.8792477680564907</v>
      </c>
    </row>
    <row r="6" spans="1:19" x14ac:dyDescent="0.35">
      <c r="A6" s="2" t="s">
        <v>2</v>
      </c>
      <c r="B6" s="5" t="s">
        <v>49</v>
      </c>
      <c r="C6" s="218">
        <v>8</v>
      </c>
      <c r="D6" s="298">
        <v>4.6136395689617267</v>
      </c>
      <c r="E6" s="121">
        <f>(C6*$I$16+D6*$J$16)/($I$16+$J$16)</f>
        <v>5.9681837413770369</v>
      </c>
      <c r="F6" s="218">
        <f>C6</f>
        <v>8</v>
      </c>
      <c r="G6" s="219">
        <f t="shared" si="0"/>
        <v>4.6136395689617267</v>
      </c>
      <c r="H6" s="130">
        <f>(F6*$I$16+G6*$J$16)/($I$16+$J$16)</f>
        <v>5.9681837413770369</v>
      </c>
      <c r="I6" s="218">
        <f>F6*(1+Sheet1!G19/100)</f>
        <v>6.4</v>
      </c>
      <c r="J6" s="219">
        <f>G6*(1+Sheet1!H19/100)</f>
        <v>3.6909116551693817</v>
      </c>
      <c r="K6" s="121">
        <f>(I6*$I$16+J6*$J$16)/($I$16+$J$16)</f>
        <v>4.7745469931016302</v>
      </c>
      <c r="L6" s="219">
        <f>I6+(I6*Sheet1!$K19/100)</f>
        <v>6.4</v>
      </c>
      <c r="M6" s="219">
        <f>J6+(J6*Sheet1!$K19/100)</f>
        <v>3.6909116551693817</v>
      </c>
      <c r="N6" s="130">
        <f>(L6*L$16+M6*M$16)/(L$16+M$16)</f>
        <v>4.7745469931016302</v>
      </c>
      <c r="O6" s="12"/>
      <c r="P6" s="12"/>
      <c r="Q6" s="12"/>
      <c r="R6" s="12"/>
    </row>
    <row r="7" spans="1:19" x14ac:dyDescent="0.35">
      <c r="A7" s="2" t="s">
        <v>2</v>
      </c>
      <c r="B7" s="5" t="s">
        <v>50</v>
      </c>
      <c r="C7" s="218">
        <v>8</v>
      </c>
      <c r="D7" s="298">
        <v>5.6136395689617267</v>
      </c>
      <c r="E7" s="121">
        <f>(C7*$I$16+D7*$J$16)/($I$16+$J$16)</f>
        <v>6.5681837413770365</v>
      </c>
      <c r="F7" s="218">
        <f>C7</f>
        <v>8</v>
      </c>
      <c r="G7" s="219">
        <f t="shared" si="0"/>
        <v>5.6136395689617267</v>
      </c>
      <c r="H7" s="130">
        <f>(F7*$I$16+G7*$J$16)/($I$16+$J$16)</f>
        <v>6.5681837413770365</v>
      </c>
      <c r="I7" s="218">
        <f>F7*(1+Sheet1!G20/100)</f>
        <v>6.3999999999999995</v>
      </c>
      <c r="J7" s="219">
        <f>G7*(1+Sheet1!H20/100)</f>
        <v>4.4909116551693806</v>
      </c>
      <c r="K7" s="121">
        <f>(I7*$I$16+J7*$J$16)/($I$16+$J$16)</f>
        <v>5.254546993101628</v>
      </c>
      <c r="L7" s="219">
        <f>I7+(I7*Sheet1!$K20/100)</f>
        <v>6.3999999999999995</v>
      </c>
      <c r="M7" s="219">
        <f>J7+(J7*Sheet1!$K20/100)</f>
        <v>4.4909116551693806</v>
      </c>
      <c r="N7" s="130">
        <f>(L7*L$16+M7*M$16)/(L$16+M$16)</f>
        <v>5.254546993101628</v>
      </c>
      <c r="O7" s="12"/>
      <c r="P7" s="12"/>
      <c r="Q7" s="207"/>
      <c r="R7" s="12"/>
    </row>
    <row r="8" spans="1:19" x14ac:dyDescent="0.35">
      <c r="A8" s="2" t="s">
        <v>2</v>
      </c>
      <c r="B8" s="5" t="s">
        <v>5</v>
      </c>
      <c r="C8" s="218">
        <v>80</v>
      </c>
      <c r="D8" s="298">
        <v>70.096496448367702</v>
      </c>
      <c r="E8" s="121">
        <f>(C8*$I$16+D8*$J$16)/($I$16+$J$16)</f>
        <v>74.057897869020621</v>
      </c>
      <c r="F8" s="218">
        <f>C8</f>
        <v>80</v>
      </c>
      <c r="G8" s="219">
        <f t="shared" si="0"/>
        <v>70.096496448367702</v>
      </c>
      <c r="H8" s="130">
        <f>(F8*$I$16+G8*$J$16)/($I$16+$J$16)</f>
        <v>74.057897869020621</v>
      </c>
      <c r="I8" s="218">
        <f>F8*(1+Sheet1!G21/100)</f>
        <v>84.660194174757294</v>
      </c>
      <c r="J8" s="219">
        <f>G8*(1+Sheet1!H21/100)</f>
        <v>75.200610267423613</v>
      </c>
      <c r="K8" s="121">
        <f>(I8*$I$16+J8*$J$16)/($I$16+$J$16)</f>
        <v>78.984443830357094</v>
      </c>
      <c r="L8" s="219">
        <f>I8+(I8*Sheet1!$K21/100)</f>
        <v>84.660194174757294</v>
      </c>
      <c r="M8" s="219">
        <f>J8+(J8*Sheet1!$K21/100)</f>
        <v>75.200610267423613</v>
      </c>
      <c r="N8" s="130">
        <f>(L8*L$16+M8*M$16)/(L$16+M$16)</f>
        <v>78.984443830357094</v>
      </c>
      <c r="O8" s="12"/>
      <c r="P8" s="12"/>
      <c r="Q8" s="12"/>
      <c r="R8" s="12"/>
    </row>
    <row r="9" spans="1:19" x14ac:dyDescent="0.35">
      <c r="A9" s="2" t="s">
        <v>2</v>
      </c>
      <c r="B9" s="5" t="s">
        <v>6</v>
      </c>
      <c r="C9" s="218">
        <v>370</v>
      </c>
      <c r="D9" s="298">
        <v>377.57213124039129</v>
      </c>
      <c r="E9" s="121">
        <f>(C9*$I$16+D9*$J$16)/($I$16+$J$16)</f>
        <v>374.54327874423478</v>
      </c>
      <c r="F9" s="218">
        <f t="shared" ref="F9:F15" si="1">C9</f>
        <v>370</v>
      </c>
      <c r="G9" s="219">
        <f t="shared" si="0"/>
        <v>377.57213124039129</v>
      </c>
      <c r="H9" s="130">
        <f>(F9*$I$16+G9*$J$16)/($I$16+$J$16)</f>
        <v>374.54327874423478</v>
      </c>
      <c r="I9" s="218">
        <f>F9*(1+Sheet1!G23/100)</f>
        <v>518</v>
      </c>
      <c r="J9" s="219">
        <f>G9*(1+Sheet1!H23/100)</f>
        <v>566.35819686058699</v>
      </c>
      <c r="K9" s="121">
        <f>(I9*$I$16+J9*$J$16)/($I$16+$J$16)</f>
        <v>547.01491811635219</v>
      </c>
      <c r="L9" s="219">
        <f>I9+(I9*Sheet1!$K23/100)</f>
        <v>518</v>
      </c>
      <c r="M9" s="219">
        <f>J9+(J9*Sheet1!$K23/100)</f>
        <v>566.35819686058699</v>
      </c>
      <c r="N9" s="130">
        <f>(L9*L$16+M9*M$16)/(L$16+M$16)</f>
        <v>547.01491811635219</v>
      </c>
      <c r="O9" s="12"/>
      <c r="P9" s="12"/>
      <c r="Q9" s="12"/>
      <c r="R9" s="12"/>
    </row>
    <row r="10" spans="1:19" x14ac:dyDescent="0.35">
      <c r="A10" s="2" t="s">
        <v>2</v>
      </c>
      <c r="B10" s="5" t="s">
        <v>7</v>
      </c>
      <c r="C10" s="218">
        <v>520</v>
      </c>
      <c r="D10" s="298">
        <v>492.21666137861968</v>
      </c>
      <c r="E10" s="121">
        <f t="shared" ref="E10:E13" si="2">(C10*C$16+D10*D$16)/(C$16+D$16)</f>
        <v>506.10833068930981</v>
      </c>
      <c r="F10" s="218">
        <f t="shared" si="1"/>
        <v>520</v>
      </c>
      <c r="G10" s="219">
        <f t="shared" si="0"/>
        <v>492.21666137861968</v>
      </c>
      <c r="H10" s="130">
        <f t="shared" ref="H10:H13" si="3">(F10*F$16+G10*G$16)/(F$16+G$16)</f>
        <v>503.32999682717173</v>
      </c>
      <c r="I10" s="218">
        <f>F10*(1+Sheet1!G24/100)</f>
        <v>728</v>
      </c>
      <c r="J10" s="219">
        <f>G10*(1+Sheet1!H24/100)</f>
        <v>738.32499206792954</v>
      </c>
      <c r="K10" s="121">
        <f t="shared" ref="K10:K13" si="4">(I10*I$16+J10*J$16)/(I$16+J$16)</f>
        <v>734.19499524075775</v>
      </c>
      <c r="L10" s="219">
        <f>I10+(I10*Sheet1!$K24/100)</f>
        <v>728</v>
      </c>
      <c r="M10" s="219">
        <f>J10+(J10*Sheet1!$K24/100)</f>
        <v>738.32499206792954</v>
      </c>
      <c r="N10" s="130">
        <f>(L10*L$16+M10*M$16)/(L$16+M$16)</f>
        <v>734.19499524075775</v>
      </c>
      <c r="O10" s="12"/>
      <c r="P10" s="12"/>
      <c r="Q10" s="12"/>
      <c r="R10" s="12"/>
    </row>
    <row r="11" spans="1:19" x14ac:dyDescent="0.35">
      <c r="A11" s="2" t="s">
        <v>2</v>
      </c>
      <c r="B11" s="5" t="s">
        <v>8</v>
      </c>
      <c r="C11" s="218">
        <v>400</v>
      </c>
      <c r="D11" s="298">
        <v>380.00000000000006</v>
      </c>
      <c r="E11" s="121">
        <f>(C11*C$16+D11*D$16)/(C$16+D$16)</f>
        <v>390</v>
      </c>
      <c r="F11" s="218">
        <f t="shared" si="1"/>
        <v>400</v>
      </c>
      <c r="G11" s="219">
        <f t="shared" si="0"/>
        <v>380.00000000000006</v>
      </c>
      <c r="H11" s="130">
        <f>(F11*F$16+G11*G$16)/(F$16+G$16)</f>
        <v>388</v>
      </c>
      <c r="I11" s="218">
        <f>F11*(1+Sheet1!G25/100)</f>
        <v>560</v>
      </c>
      <c r="J11" s="219">
        <f>G11*(1+Sheet1!H25/100)</f>
        <v>570.00000000000011</v>
      </c>
      <c r="K11" s="121">
        <f>(I11*I$16+J11*J$16)/(I$16+J$16)</f>
        <v>566.00000000000011</v>
      </c>
      <c r="L11" s="219">
        <f>I11+(I11*Sheet1!$K25/100)</f>
        <v>560</v>
      </c>
      <c r="M11" s="219">
        <f>J11+(J11*Sheet1!$K25/100)</f>
        <v>570.00000000000011</v>
      </c>
      <c r="N11" s="130">
        <f>(L11*L$16+M11*M$16)/(L$16+M$16)</f>
        <v>566.00000000000011</v>
      </c>
      <c r="O11" s="12"/>
      <c r="P11" s="12"/>
      <c r="Q11" s="12"/>
      <c r="R11" s="12"/>
    </row>
    <row r="12" spans="1:19" x14ac:dyDescent="0.35">
      <c r="A12" s="2" t="s">
        <v>2</v>
      </c>
      <c r="B12" s="5" t="s">
        <v>9</v>
      </c>
      <c r="C12" s="218">
        <v>470</v>
      </c>
      <c r="D12" s="298">
        <v>449.72137206089496</v>
      </c>
      <c r="E12" s="121">
        <f t="shared" si="2"/>
        <v>459.86068603044748</v>
      </c>
      <c r="F12" s="218">
        <f t="shared" si="1"/>
        <v>470</v>
      </c>
      <c r="G12" s="219">
        <f t="shared" si="0"/>
        <v>449.72137206089496</v>
      </c>
      <c r="H12" s="130">
        <f t="shared" si="3"/>
        <v>457.83282323653691</v>
      </c>
      <c r="I12" s="218">
        <f>F12*(1+Sheet1!G26/100)</f>
        <v>658</v>
      </c>
      <c r="J12" s="219">
        <f>G12*(1+Sheet1!H26/100)</f>
        <v>674.58205809134245</v>
      </c>
      <c r="K12" s="121">
        <f t="shared" si="4"/>
        <v>667.94923485480558</v>
      </c>
      <c r="L12" s="219">
        <f>I12+(I12*Sheet1!$K26/100)</f>
        <v>658</v>
      </c>
      <c r="M12" s="219">
        <f>J12+(J12*Sheet1!$K26/100)</f>
        <v>674.58205809134245</v>
      </c>
      <c r="N12" s="130">
        <f>(L12*L$16+M12*M$16)/(L$16+M$16)</f>
        <v>667.94923485480558</v>
      </c>
      <c r="O12" s="12"/>
      <c r="P12" s="12"/>
      <c r="Q12" s="12"/>
      <c r="R12" s="12"/>
    </row>
    <row r="13" spans="1:19" x14ac:dyDescent="0.35">
      <c r="A13" s="2" t="s">
        <v>2</v>
      </c>
      <c r="B13" s="5" t="s">
        <v>10</v>
      </c>
      <c r="C13" s="218">
        <v>3.4</v>
      </c>
      <c r="D13" s="298">
        <v>4.2000000000000011</v>
      </c>
      <c r="E13" s="121">
        <f t="shared" si="2"/>
        <v>3.8000000000000003</v>
      </c>
      <c r="F13" s="218">
        <f t="shared" si="1"/>
        <v>3.4</v>
      </c>
      <c r="G13" s="219">
        <f t="shared" si="0"/>
        <v>4.2000000000000011</v>
      </c>
      <c r="H13" s="130">
        <f t="shared" si="3"/>
        <v>3.8800000000000008</v>
      </c>
      <c r="I13" s="218">
        <f>F13*(1+Sheet1!G27/100)</f>
        <v>3.8</v>
      </c>
      <c r="J13" s="219">
        <f>G13*(1+Sheet1!H27/100)</f>
        <v>4.8176470588235309</v>
      </c>
      <c r="K13" s="121">
        <f t="shared" si="4"/>
        <v>4.410588235294119</v>
      </c>
      <c r="L13" s="219">
        <f>I13+(I13*Sheet1!$K27/100)</f>
        <v>3.8</v>
      </c>
      <c r="M13" s="219">
        <f>J13+(J13*Sheet1!$K27/100)</f>
        <v>4.8176470588235309</v>
      </c>
      <c r="N13" s="130">
        <f>(L13*L$16+M13*M$16)/(L$16+M$16)</f>
        <v>4.410588235294119</v>
      </c>
      <c r="O13" s="12"/>
      <c r="Q13" s="208"/>
      <c r="R13" s="12"/>
    </row>
    <row r="14" spans="1:19" x14ac:dyDescent="0.35">
      <c r="A14" s="2" t="s">
        <v>2</v>
      </c>
      <c r="B14" s="5" t="s">
        <v>11</v>
      </c>
      <c r="C14" s="218">
        <v>3.5</v>
      </c>
      <c r="D14" s="298">
        <v>3.600000000000001</v>
      </c>
      <c r="E14" s="121">
        <f>(C14*C$16+D14*D$16)/(C$16+D$16)</f>
        <v>3.5500000000000012</v>
      </c>
      <c r="F14" s="218">
        <f t="shared" si="1"/>
        <v>3.5</v>
      </c>
      <c r="G14" s="219">
        <f t="shared" si="0"/>
        <v>3.600000000000001</v>
      </c>
      <c r="H14" s="130">
        <f>(F14*F$16+G14*G$16)/(F$16+G$16)</f>
        <v>3.5600000000000005</v>
      </c>
      <c r="I14" s="218">
        <f>F14*(1+Sheet1!G28/100)</f>
        <v>3.5</v>
      </c>
      <c r="J14" s="219">
        <f>G14*(1+Sheet1!H28/100)</f>
        <v>3.600000000000001</v>
      </c>
      <c r="K14" s="121">
        <f>(I14*I$16+J14*J$16)/(I$16+J$16)</f>
        <v>3.5600000000000005</v>
      </c>
      <c r="L14" s="219">
        <f>I14+(I14*Sheet1!$K28/100)</f>
        <v>3.5</v>
      </c>
      <c r="M14" s="219">
        <f>J14+(J14*Sheet1!$K28/100)</f>
        <v>3.600000000000001</v>
      </c>
      <c r="N14" s="130">
        <f>(L14*L$16+M14*M$16)/(L$16+M$16)</f>
        <v>3.5600000000000005</v>
      </c>
      <c r="O14" s="12"/>
      <c r="P14" s="12" t="s">
        <v>62</v>
      </c>
      <c r="Q14" s="13" t="s">
        <v>188</v>
      </c>
      <c r="R14" s="12" t="s">
        <v>214</v>
      </c>
      <c r="S14" s="13" t="s">
        <v>215</v>
      </c>
    </row>
    <row r="15" spans="1:19" x14ac:dyDescent="0.35">
      <c r="A15" s="2" t="s">
        <v>2</v>
      </c>
      <c r="B15" s="5" t="s">
        <v>12</v>
      </c>
      <c r="C15" s="216">
        <v>2000</v>
      </c>
      <c r="D15" s="217">
        <v>3024.6406462792484</v>
      </c>
      <c r="E15" s="121">
        <f>(C15*C$16+D15*D$16)/(C$16+D$16)</f>
        <v>2512.3203231396242</v>
      </c>
      <c r="F15" s="218">
        <f t="shared" si="1"/>
        <v>2000</v>
      </c>
      <c r="G15" s="219">
        <f t="shared" si="0"/>
        <v>3024.6406462792484</v>
      </c>
      <c r="H15" s="130">
        <f>(F15*F$16+G15*G$16)/(F$16+G$16)</f>
        <v>2614.7843877675491</v>
      </c>
      <c r="I15" s="218">
        <f>F15*(1+Sheet1!G29/100)</f>
        <v>2800</v>
      </c>
      <c r="J15" s="219">
        <f>G15*(1+Sheet1!H29/100)</f>
        <v>4536.960969418873</v>
      </c>
      <c r="K15" s="121">
        <f>(I15*I$16+J15*J$16)/(I$16+J$16)</f>
        <v>3842.1765816513234</v>
      </c>
      <c r="L15" s="219">
        <f>I15+(I15*Sheet1!$K29/100)</f>
        <v>2800</v>
      </c>
      <c r="M15" s="219">
        <f>J15+(J15*Sheet1!$K29/100)</f>
        <v>4536.960969418873</v>
      </c>
      <c r="N15" s="130">
        <f>(L15*L$16+M15*M$16)/(L$16+M$16)</f>
        <v>3842.1765816513234</v>
      </c>
      <c r="O15" s="12"/>
      <c r="P15" s="211">
        <v>2019</v>
      </c>
      <c r="Q15" s="211">
        <f>Population!G3</f>
        <v>588529.83967967448</v>
      </c>
      <c r="R15" s="13">
        <f>Q15*0.5</f>
        <v>294264.91983983724</v>
      </c>
      <c r="S15" s="13">
        <f>Q15*0.5</f>
        <v>294264.91983983724</v>
      </c>
    </row>
    <row r="16" spans="1:19" x14ac:dyDescent="0.35">
      <c r="A16" s="2" t="s">
        <v>2</v>
      </c>
      <c r="B16" s="5" t="s">
        <v>13</v>
      </c>
      <c r="C16" s="177">
        <f>((Population!$G$3)*(1+(('Population-trend'!$Y$8)*(Baseline_data_cattle1!C3-2019))))*0.5</f>
        <v>322901.77205420588</v>
      </c>
      <c r="D16" s="176">
        <f>((Population!$G$3)*(1+(('Population-trend'!$Y$8)*(Baseline_data_cattle1!D3-2019))))*0.5</f>
        <v>322901.77205420588</v>
      </c>
      <c r="E16" s="175">
        <f>C16+D16</f>
        <v>645803.54410841176</v>
      </c>
      <c r="F16" s="177">
        <f>(((Population!$G$3)*(1+(('Population-trend'!$Y$8)*(Baseline_data_cattle1!F3-2019))))*0.4)</f>
        <v>472143.24751065078</v>
      </c>
      <c r="G16" s="176">
        <f>(((Population!$G$3)*(1+(('Population-trend'!$Y$8)*(Baseline_data_cattle1!G3-2019)))*0.6))</f>
        <v>708214.87126597611</v>
      </c>
      <c r="H16" s="180">
        <f>F16+G16</f>
        <v>1180358.1187766269</v>
      </c>
      <c r="I16" s="177">
        <f>F16*(1+Sheet1!G30/100)</f>
        <v>410764.62533426617</v>
      </c>
      <c r="J16" s="176">
        <f>G16*(1+Sheet1!H30/100)</f>
        <v>616146.93800139916</v>
      </c>
      <c r="K16" s="175">
        <f>I16+J16</f>
        <v>1026911.5633356653</v>
      </c>
      <c r="L16" s="176">
        <f>I16+(I16*Sheet1!$K30/100)</f>
        <v>410764.62533426617</v>
      </c>
      <c r="M16" s="176">
        <f>J16+(J16*Sheet1!$K30/100)</f>
        <v>616146.93800139916</v>
      </c>
      <c r="N16" s="180">
        <f>L16+M16</f>
        <v>1026911.5633356653</v>
      </c>
      <c r="P16" s="215">
        <v>2022</v>
      </c>
      <c r="Q16" s="211">
        <f>E16</f>
        <v>645803.54410841176</v>
      </c>
      <c r="R16" s="209">
        <f>C16</f>
        <v>322901.77205420588</v>
      </c>
      <c r="S16" s="209">
        <f>D16</f>
        <v>322901.77205420588</v>
      </c>
    </row>
    <row r="17" spans="1:19" x14ac:dyDescent="0.35">
      <c r="A17" s="2" t="s">
        <v>2</v>
      </c>
      <c r="B17" s="5" t="s">
        <v>14</v>
      </c>
      <c r="C17" s="177">
        <f>C16/25</f>
        <v>12916.070882168235</v>
      </c>
      <c r="D17" s="176">
        <f t="shared" ref="D17:G17" si="5">D16/25</f>
        <v>12916.070882168235</v>
      </c>
      <c r="E17" s="175">
        <f t="shared" ref="E17" si="6">C17+D17</f>
        <v>25832.141764336469</v>
      </c>
      <c r="F17" s="177">
        <f t="shared" si="5"/>
        <v>18885.729900426031</v>
      </c>
      <c r="G17" s="176">
        <f t="shared" si="5"/>
        <v>28328.594850639045</v>
      </c>
      <c r="H17" s="180">
        <f t="shared" ref="H17" si="7">F17+G17</f>
        <v>47214.324751065076</v>
      </c>
      <c r="I17" s="177">
        <f>F17*(1+Sheet1!G31/100)</f>
        <v>18885.729900426031</v>
      </c>
      <c r="J17" s="176">
        <f>G17*(1+Sheet1!H31/100)</f>
        <v>28328.594850639045</v>
      </c>
      <c r="K17" s="175">
        <f t="shared" ref="K17" si="8">I17+J17</f>
        <v>47214.324751065076</v>
      </c>
      <c r="L17" s="176">
        <f>I17+(I17*Sheet1!$K31/100)</f>
        <v>18885.729900426031</v>
      </c>
      <c r="M17" s="176">
        <f>J17+(J17*Sheet1!$K31/100)</f>
        <v>28328.594850639045</v>
      </c>
      <c r="N17" s="175">
        <f>L17+M17</f>
        <v>47214.324751065076</v>
      </c>
      <c r="P17" s="211">
        <f>K3</f>
        <v>2050</v>
      </c>
      <c r="Q17" s="211">
        <f>H16</f>
        <v>1180358.1187766269</v>
      </c>
      <c r="R17" s="209">
        <f>F16</f>
        <v>472143.24751065078</v>
      </c>
      <c r="S17" s="209">
        <f>G16</f>
        <v>708214.87126597611</v>
      </c>
    </row>
    <row r="18" spans="1:19" x14ac:dyDescent="0.35">
      <c r="A18" s="2" t="s">
        <v>2</v>
      </c>
      <c r="B18" s="5" t="s">
        <v>15</v>
      </c>
      <c r="C18" s="222">
        <v>15</v>
      </c>
      <c r="D18" s="223">
        <v>8.0030388130817105</v>
      </c>
      <c r="E18" s="121">
        <f>(C18*$I$16+D18*$J$16)/($I$16+$J$16)</f>
        <v>10.801823287849027</v>
      </c>
      <c r="F18" s="218">
        <f>C18</f>
        <v>15</v>
      </c>
      <c r="G18" s="223">
        <f>D18</f>
        <v>8.0030388130817105</v>
      </c>
      <c r="H18" s="130">
        <f>(F18*$I$16+G18*$J$16)/($I$16+$J$16)</f>
        <v>10.801823287849027</v>
      </c>
      <c r="I18" s="218">
        <f>F18*(1+Sheet1!G33/100)</f>
        <v>9</v>
      </c>
      <c r="J18" s="218">
        <f>G18*(1+Sheet1!H33/100)</f>
        <v>4.0015194065408553</v>
      </c>
      <c r="K18" s="121">
        <f>(I18*$I$16+J18*$J$16)/($I$16+$J$16)</f>
        <v>6.000911643924514</v>
      </c>
      <c r="L18" s="219">
        <f>I18+(I18*Sheet1!$K33/100)</f>
        <v>9</v>
      </c>
      <c r="M18" s="219">
        <f>J18+(J18*Sheet1!$K33/100)</f>
        <v>4.0015194065408553</v>
      </c>
      <c r="N18" s="121">
        <f>(L18*L$16+M18*M$16)/(L$16+M$16)</f>
        <v>6.000911643924514</v>
      </c>
    </row>
    <row r="19" spans="1:19" x14ac:dyDescent="0.35">
      <c r="A19" s="2" t="s">
        <v>2</v>
      </c>
      <c r="B19" s="5" t="s">
        <v>16</v>
      </c>
      <c r="C19" s="218">
        <v>40</v>
      </c>
      <c r="D19" s="219">
        <v>27.183055067242243</v>
      </c>
      <c r="E19" s="121">
        <f>(C19*$I$16+D19*$J$16)/($I$16+$J$16)</f>
        <v>32.309833040345346</v>
      </c>
      <c r="F19" s="218">
        <f>C19</f>
        <v>40</v>
      </c>
      <c r="G19" s="223">
        <f t="shared" ref="G19:G49" si="9">D19</f>
        <v>27.183055067242243</v>
      </c>
      <c r="H19" s="130">
        <f>(F19*$I$16+G19*$J$16)/($I$16+$J$16)</f>
        <v>32.309833040345346</v>
      </c>
      <c r="I19" s="218">
        <f>F19*(1+Sheet1!G34/100)</f>
        <v>48</v>
      </c>
      <c r="J19" s="218">
        <f>G19*(1+Sheet1!H34/100)</f>
        <v>33.978818834052802</v>
      </c>
      <c r="K19" s="121">
        <f>(I19*$I$16+J19*$J$16)/($I$16+$J$16)</f>
        <v>39.587291300431687</v>
      </c>
      <c r="L19" s="219">
        <f>I19+(I19*Sheet1!$K34/100)</f>
        <v>48</v>
      </c>
      <c r="M19" s="219">
        <f>J19+(J19*Sheet1!$K34/100)</f>
        <v>33.978818834052802</v>
      </c>
      <c r="N19" s="121">
        <f>(L19*L$16+M19*M$16)/(L$16+M$16)</f>
        <v>39.587291300431687</v>
      </c>
    </row>
    <row r="20" spans="1:1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9" x14ac:dyDescent="0.35">
      <c r="A21" s="63" t="s">
        <v>17</v>
      </c>
      <c r="B21" s="64" t="s">
        <v>18</v>
      </c>
      <c r="C21" s="179"/>
      <c r="D21" s="185">
        <v>5.0514599478226305</v>
      </c>
      <c r="E21" s="122">
        <f>(C21*$C$16+D21*$D$16)/($C$16+$D$16)</f>
        <v>2.5257299739113153</v>
      </c>
      <c r="F21" s="58">
        <f t="shared" ref="F21:F49" si="10">C21</f>
        <v>0</v>
      </c>
      <c r="G21" s="223">
        <f t="shared" si="9"/>
        <v>5.0514599478226305</v>
      </c>
      <c r="H21" s="122">
        <f>(F21*$F$16+G21*$G$16)/($F$16+$G$16)</f>
        <v>3.0308759686935782</v>
      </c>
      <c r="I21" s="58">
        <f>F21+Sheet1!G36</f>
        <v>0</v>
      </c>
      <c r="J21" s="58">
        <f>G21+Sheet1!H36</f>
        <v>5.0514599478226305</v>
      </c>
      <c r="K21" s="122">
        <f>(I21*$I$16+J21*$J$16)/($I$16+$J$16)</f>
        <v>3.0308759686935782</v>
      </c>
      <c r="L21" s="49">
        <f>I21+Sheet1!K36</f>
        <v>0</v>
      </c>
      <c r="M21" s="49">
        <f>J21+Sheet1!L36</f>
        <v>5.0514599478226305</v>
      </c>
      <c r="N21" s="56">
        <f>(L21*L$16+M21*M$16)/(L$16+M$16)</f>
        <v>3.0308759686935782</v>
      </c>
    </row>
    <row r="22" spans="1:19" x14ac:dyDescent="0.35">
      <c r="A22" s="66" t="s">
        <v>17</v>
      </c>
      <c r="B22" s="5" t="s">
        <v>19</v>
      </c>
      <c r="C22" s="179"/>
      <c r="D22" s="185">
        <v>0</v>
      </c>
      <c r="E22" s="122">
        <f t="shared" ref="E22:E49" si="11">(C22*$C$16+D22*$D$16)/($C$16+$D$16)</f>
        <v>0</v>
      </c>
      <c r="F22" s="58">
        <f t="shared" si="10"/>
        <v>0</v>
      </c>
      <c r="G22" s="223">
        <f t="shared" si="9"/>
        <v>0</v>
      </c>
      <c r="H22" s="122">
        <f t="shared" ref="H22:H49" si="12">(F22*$F$16+G22*$G$16)/($F$16+$G$16)</f>
        <v>0</v>
      </c>
      <c r="I22" s="58">
        <f>F22+Sheet1!G37</f>
        <v>0</v>
      </c>
      <c r="J22" s="58">
        <f>G22+Sheet1!H37</f>
        <v>0</v>
      </c>
      <c r="K22" s="122">
        <f t="shared" ref="K22:K49" si="13">(I22*$I$16+J22*$J$16)/($I$16+$J$16)</f>
        <v>0</v>
      </c>
      <c r="L22" s="49">
        <f>I22+Sheet1!K37</f>
        <v>0</v>
      </c>
      <c r="M22" s="49">
        <f>J22+Sheet1!L37</f>
        <v>0</v>
      </c>
      <c r="N22" s="56">
        <f>(L22*L$16+M22*M$16)/(L$16+M$16)</f>
        <v>0</v>
      </c>
    </row>
    <row r="23" spans="1:19" x14ac:dyDescent="0.35">
      <c r="A23" s="66" t="s">
        <v>17</v>
      </c>
      <c r="B23" s="5" t="s">
        <v>20</v>
      </c>
      <c r="C23" s="179"/>
      <c r="D23" s="185">
        <v>0</v>
      </c>
      <c r="E23" s="122">
        <f t="shared" si="11"/>
        <v>0</v>
      </c>
      <c r="F23" s="58">
        <f t="shared" si="10"/>
        <v>0</v>
      </c>
      <c r="G23" s="223">
        <f t="shared" si="9"/>
        <v>0</v>
      </c>
      <c r="H23" s="122">
        <f t="shared" si="12"/>
        <v>0</v>
      </c>
      <c r="I23" s="58">
        <f>F23+Sheet1!G38</f>
        <v>0</v>
      </c>
      <c r="J23" s="58">
        <f>G23+Sheet1!H38</f>
        <v>0</v>
      </c>
      <c r="K23" s="122">
        <f t="shared" si="13"/>
        <v>0</v>
      </c>
      <c r="L23" s="49">
        <f>I23+Sheet1!K38</f>
        <v>0</v>
      </c>
      <c r="M23" s="49">
        <f>J23+Sheet1!L38</f>
        <v>0</v>
      </c>
      <c r="N23" s="56">
        <f>(L23*L$16+M23*M$16)/(L$16+M$16)</f>
        <v>0</v>
      </c>
    </row>
    <row r="24" spans="1:19" x14ac:dyDescent="0.35">
      <c r="A24" s="66" t="s">
        <v>17</v>
      </c>
      <c r="B24" s="5" t="s">
        <v>21</v>
      </c>
      <c r="C24" s="179">
        <v>0</v>
      </c>
      <c r="D24" s="185">
        <v>0</v>
      </c>
      <c r="E24" s="122">
        <f t="shared" si="11"/>
        <v>0</v>
      </c>
      <c r="F24" s="58">
        <f t="shared" si="10"/>
        <v>0</v>
      </c>
      <c r="G24" s="223">
        <f t="shared" si="9"/>
        <v>0</v>
      </c>
      <c r="H24" s="122">
        <f t="shared" si="12"/>
        <v>0</v>
      </c>
      <c r="I24" s="58">
        <f>F24+Sheet1!G39</f>
        <v>5</v>
      </c>
      <c r="J24" s="58">
        <f>G24+Sheet1!H39</f>
        <v>5</v>
      </c>
      <c r="K24" s="122">
        <f t="shared" si="13"/>
        <v>5</v>
      </c>
      <c r="L24" s="49">
        <f>I24+Sheet1!K39</f>
        <v>5</v>
      </c>
      <c r="M24" s="49">
        <f>J24+Sheet1!L39</f>
        <v>5</v>
      </c>
      <c r="N24" s="56">
        <f>(L24*L$16+M24*M$16)/(L$16+M$16)</f>
        <v>5</v>
      </c>
    </row>
    <row r="25" spans="1:19" x14ac:dyDescent="0.35">
      <c r="A25" s="66" t="s">
        <v>17</v>
      </c>
      <c r="B25" s="5" t="s">
        <v>22</v>
      </c>
      <c r="C25" s="179">
        <v>0</v>
      </c>
      <c r="D25" s="185">
        <v>9.8413239304932247</v>
      </c>
      <c r="E25" s="122">
        <f t="shared" si="11"/>
        <v>4.9206619652466124</v>
      </c>
      <c r="F25" s="58">
        <f t="shared" si="10"/>
        <v>0</v>
      </c>
      <c r="G25" s="223">
        <f t="shared" si="9"/>
        <v>9.8413239304932247</v>
      </c>
      <c r="H25" s="122">
        <f t="shared" si="12"/>
        <v>5.904794358295935</v>
      </c>
      <c r="I25" s="58">
        <f>F25+Sheet1!G40</f>
        <v>5</v>
      </c>
      <c r="J25" s="58">
        <f>G25+Sheet1!H40</f>
        <v>14.841323930493225</v>
      </c>
      <c r="K25" s="122">
        <f t="shared" si="13"/>
        <v>10.904794358295936</v>
      </c>
      <c r="L25" s="49">
        <f>I25+Sheet1!K40</f>
        <v>5</v>
      </c>
      <c r="M25" s="49">
        <f>J25+Sheet1!L40</f>
        <v>14.841323930493225</v>
      </c>
      <c r="N25" s="56">
        <f>(L25*L$16+M25*M$16)/(L$16+M$16)</f>
        <v>10.904794358295936</v>
      </c>
    </row>
    <row r="26" spans="1:19" x14ac:dyDescent="0.35">
      <c r="A26" s="66" t="s">
        <v>17</v>
      </c>
      <c r="B26" s="5" t="s">
        <v>23</v>
      </c>
      <c r="C26" s="179"/>
      <c r="D26" s="185">
        <v>0</v>
      </c>
      <c r="E26" s="122">
        <f t="shared" si="11"/>
        <v>0</v>
      </c>
      <c r="F26" s="58">
        <f t="shared" si="10"/>
        <v>0</v>
      </c>
      <c r="G26" s="223">
        <f t="shared" si="9"/>
        <v>0</v>
      </c>
      <c r="H26" s="122">
        <f t="shared" si="12"/>
        <v>0</v>
      </c>
      <c r="I26" s="58">
        <f>F26+Sheet1!G41</f>
        <v>0</v>
      </c>
      <c r="J26" s="58">
        <f>G26+Sheet1!H41</f>
        <v>0</v>
      </c>
      <c r="K26" s="122">
        <f t="shared" si="13"/>
        <v>0</v>
      </c>
      <c r="L26" s="49">
        <f>I26+Sheet1!K41</f>
        <v>0</v>
      </c>
      <c r="M26" s="49">
        <f>J26+Sheet1!L41</f>
        <v>0</v>
      </c>
      <c r="N26" s="56">
        <f>(L26*L$16+M26*M$16)/(L$16+M$16)</f>
        <v>0</v>
      </c>
    </row>
    <row r="27" spans="1:19" x14ac:dyDescent="0.35">
      <c r="A27" s="66" t="s">
        <v>17</v>
      </c>
      <c r="B27" s="5" t="s">
        <v>24</v>
      </c>
      <c r="C27" s="179">
        <v>10</v>
      </c>
      <c r="D27" s="185">
        <v>0</v>
      </c>
      <c r="E27" s="122">
        <f t="shared" si="11"/>
        <v>5</v>
      </c>
      <c r="F27" s="58">
        <f t="shared" si="10"/>
        <v>10</v>
      </c>
      <c r="G27" s="223">
        <f t="shared" si="9"/>
        <v>0</v>
      </c>
      <c r="H27" s="122">
        <f t="shared" si="12"/>
        <v>4</v>
      </c>
      <c r="I27" s="58">
        <f>F27+Sheet1!G42</f>
        <v>0</v>
      </c>
      <c r="J27" s="58">
        <f>G27+Sheet1!H42</f>
        <v>-10</v>
      </c>
      <c r="K27" s="122">
        <f t="shared" si="13"/>
        <v>-5.9999999999999991</v>
      </c>
      <c r="L27" s="49">
        <f>I27+Sheet1!K42</f>
        <v>0</v>
      </c>
      <c r="M27" s="49">
        <f>J27+Sheet1!L42</f>
        <v>-10</v>
      </c>
      <c r="N27" s="56">
        <f>(L27*L$16+M27*M$16)/(L$16+M$16)</f>
        <v>-5.9999999999999991</v>
      </c>
    </row>
    <row r="28" spans="1:19" x14ac:dyDescent="0.35">
      <c r="A28" s="66" t="s">
        <v>17</v>
      </c>
      <c r="B28" s="5" t="s">
        <v>25</v>
      </c>
      <c r="C28" s="179"/>
      <c r="D28" s="185">
        <v>0</v>
      </c>
      <c r="E28" s="122">
        <f t="shared" si="11"/>
        <v>0</v>
      </c>
      <c r="F28" s="58">
        <f t="shared" si="10"/>
        <v>0</v>
      </c>
      <c r="G28" s="223">
        <f t="shared" si="9"/>
        <v>0</v>
      </c>
      <c r="H28" s="122">
        <f t="shared" si="12"/>
        <v>0</v>
      </c>
      <c r="I28" s="58">
        <f>F28+Sheet1!G43</f>
        <v>0</v>
      </c>
      <c r="J28" s="58">
        <f>G28+Sheet1!H43</f>
        <v>0</v>
      </c>
      <c r="K28" s="122">
        <f t="shared" si="13"/>
        <v>0</v>
      </c>
      <c r="L28" s="49">
        <f>I28+Sheet1!K43</f>
        <v>0</v>
      </c>
      <c r="M28" s="49">
        <f>J28+Sheet1!L43</f>
        <v>0</v>
      </c>
      <c r="N28" s="56">
        <f>(L28*L$16+M28*M$16)/(L$16+M$16)</f>
        <v>0</v>
      </c>
    </row>
    <row r="29" spans="1:19" x14ac:dyDescent="0.35">
      <c r="A29" s="66" t="s">
        <v>17</v>
      </c>
      <c r="B29" s="5" t="s">
        <v>26</v>
      </c>
      <c r="C29" s="179"/>
      <c r="D29" s="185">
        <v>0</v>
      </c>
      <c r="E29" s="122">
        <f t="shared" si="11"/>
        <v>0</v>
      </c>
      <c r="F29" s="58">
        <f t="shared" si="10"/>
        <v>0</v>
      </c>
      <c r="G29" s="223">
        <f t="shared" si="9"/>
        <v>0</v>
      </c>
      <c r="H29" s="122">
        <f t="shared" si="12"/>
        <v>0</v>
      </c>
      <c r="I29" s="58">
        <f>F29+Sheet1!G44</f>
        <v>0</v>
      </c>
      <c r="J29" s="58">
        <f>G29+Sheet1!H44</f>
        <v>0</v>
      </c>
      <c r="K29" s="122">
        <f t="shared" si="13"/>
        <v>0</v>
      </c>
      <c r="L29" s="49">
        <f>I29+Sheet1!K44</f>
        <v>0</v>
      </c>
      <c r="M29" s="49">
        <f>J29+Sheet1!L44</f>
        <v>0</v>
      </c>
      <c r="N29" s="56">
        <f>(L29*L$16+M29*M$16)/(L$16+M$16)</f>
        <v>0</v>
      </c>
    </row>
    <row r="30" spans="1:19" x14ac:dyDescent="0.35">
      <c r="A30" s="66" t="s">
        <v>17</v>
      </c>
      <c r="B30" s="5" t="s">
        <v>27</v>
      </c>
      <c r="C30" s="179"/>
      <c r="D30" s="185">
        <v>0</v>
      </c>
      <c r="E30" s="122">
        <f t="shared" si="11"/>
        <v>0</v>
      </c>
      <c r="F30" s="58">
        <f t="shared" si="10"/>
        <v>0</v>
      </c>
      <c r="G30" s="223">
        <f t="shared" si="9"/>
        <v>0</v>
      </c>
      <c r="H30" s="122">
        <f t="shared" si="12"/>
        <v>0</v>
      </c>
      <c r="I30" s="58">
        <f>F30+Sheet1!G45</f>
        <v>0</v>
      </c>
      <c r="J30" s="58">
        <f>G30+Sheet1!H45</f>
        <v>0</v>
      </c>
      <c r="K30" s="122">
        <f t="shared" si="13"/>
        <v>0</v>
      </c>
      <c r="L30" s="49">
        <f>I30+Sheet1!K45</f>
        <v>0</v>
      </c>
      <c r="M30" s="49">
        <f>J30+Sheet1!L45</f>
        <v>0</v>
      </c>
      <c r="N30" s="56">
        <f>(L30*L$16+M30*M$16)/(L$16+M$16)</f>
        <v>0</v>
      </c>
    </row>
    <row r="31" spans="1:19" x14ac:dyDescent="0.35">
      <c r="A31" s="66" t="s">
        <v>17</v>
      </c>
      <c r="B31" s="5" t="s">
        <v>28</v>
      </c>
      <c r="C31" s="179">
        <v>10</v>
      </c>
      <c r="D31" s="185">
        <v>10.000000000000004</v>
      </c>
      <c r="E31" s="122">
        <f t="shared" si="11"/>
        <v>10.000000000000002</v>
      </c>
      <c r="F31" s="58">
        <f t="shared" si="10"/>
        <v>10</v>
      </c>
      <c r="G31" s="223">
        <f t="shared" si="9"/>
        <v>10.000000000000004</v>
      </c>
      <c r="H31" s="122">
        <f t="shared" si="12"/>
        <v>10.000000000000002</v>
      </c>
      <c r="I31" s="58">
        <f>F31+Sheet1!G46</f>
        <v>4</v>
      </c>
      <c r="J31" s="58">
        <f>G31+Sheet1!H46</f>
        <v>4.0000000000000036</v>
      </c>
      <c r="K31" s="122">
        <f t="shared" si="13"/>
        <v>4.0000000000000027</v>
      </c>
      <c r="L31" s="49">
        <f>I31+Sheet1!K46</f>
        <v>4</v>
      </c>
      <c r="M31" s="49">
        <f>J31+Sheet1!L46</f>
        <v>4.0000000000000036</v>
      </c>
      <c r="N31" s="56">
        <f>(L31*L$16+M31*M$16)/(L$16+M$16)</f>
        <v>4.0000000000000027</v>
      </c>
    </row>
    <row r="32" spans="1:19" x14ac:dyDescent="0.35">
      <c r="A32" s="66" t="s">
        <v>17</v>
      </c>
      <c r="B32" s="5" t="s">
        <v>29</v>
      </c>
      <c r="C32" s="179"/>
      <c r="D32" s="185">
        <v>1</v>
      </c>
      <c r="E32" s="122">
        <f t="shared" si="11"/>
        <v>0.5</v>
      </c>
      <c r="F32" s="58">
        <f t="shared" si="10"/>
        <v>0</v>
      </c>
      <c r="G32" s="223">
        <f t="shared" si="9"/>
        <v>1</v>
      </c>
      <c r="H32" s="122">
        <f t="shared" si="12"/>
        <v>0.6</v>
      </c>
      <c r="I32" s="58">
        <f>F32+Sheet1!G47</f>
        <v>0</v>
      </c>
      <c r="J32" s="58">
        <f>G32+Sheet1!H47</f>
        <v>1</v>
      </c>
      <c r="K32" s="122">
        <f t="shared" si="13"/>
        <v>0.6</v>
      </c>
      <c r="L32" s="49">
        <f>I32+Sheet1!K47</f>
        <v>0</v>
      </c>
      <c r="M32" s="49">
        <f>J32+Sheet1!L47</f>
        <v>1</v>
      </c>
      <c r="N32" s="56">
        <f>(L32*L$16+M32*M$16)/(L$16+M$16)</f>
        <v>0.6</v>
      </c>
    </row>
    <row r="33" spans="1:14" x14ac:dyDescent="0.35">
      <c r="A33" s="66" t="s">
        <v>17</v>
      </c>
      <c r="B33" s="5" t="s">
        <v>30</v>
      </c>
      <c r="C33" s="179"/>
      <c r="D33" s="185">
        <v>1</v>
      </c>
      <c r="E33" s="122">
        <f t="shared" si="11"/>
        <v>0.5</v>
      </c>
      <c r="F33" s="58">
        <f t="shared" si="10"/>
        <v>0</v>
      </c>
      <c r="G33" s="223">
        <f t="shared" si="9"/>
        <v>1</v>
      </c>
      <c r="H33" s="122">
        <f t="shared" si="12"/>
        <v>0.6</v>
      </c>
      <c r="I33" s="58">
        <f>F33+Sheet1!G48</f>
        <v>0</v>
      </c>
      <c r="J33" s="58">
        <f>G33+Sheet1!H48</f>
        <v>1</v>
      </c>
      <c r="K33" s="122">
        <f t="shared" si="13"/>
        <v>0.6</v>
      </c>
      <c r="L33" s="49">
        <f>I33+Sheet1!K48</f>
        <v>0</v>
      </c>
      <c r="M33" s="49">
        <f>J33+Sheet1!L48</f>
        <v>1</v>
      </c>
      <c r="N33" s="56">
        <f>(L33*L$16+M33*M$16)/(L$16+M$16)</f>
        <v>0.6</v>
      </c>
    </row>
    <row r="34" spans="1:14" x14ac:dyDescent="0.35">
      <c r="A34" s="66" t="s">
        <v>17</v>
      </c>
      <c r="B34" s="5" t="s">
        <v>31</v>
      </c>
      <c r="C34" s="179">
        <v>40</v>
      </c>
      <c r="D34" s="185">
        <v>13.122831692085693</v>
      </c>
      <c r="E34" s="122">
        <f t="shared" si="11"/>
        <v>26.561415846042845</v>
      </c>
      <c r="F34" s="58">
        <f t="shared" si="10"/>
        <v>40</v>
      </c>
      <c r="G34" s="223">
        <f t="shared" si="9"/>
        <v>13.122831692085693</v>
      </c>
      <c r="H34" s="122">
        <f t="shared" si="12"/>
        <v>23.873699015251415</v>
      </c>
      <c r="I34" s="58">
        <f>F34+Sheet1!G49</f>
        <v>36</v>
      </c>
      <c r="J34" s="58">
        <f>G34+Sheet1!H49</f>
        <v>9.1228316920856933</v>
      </c>
      <c r="K34" s="122">
        <f t="shared" si="13"/>
        <v>19.873699015251418</v>
      </c>
      <c r="L34" s="49">
        <f>I34+Sheet1!K49</f>
        <v>36</v>
      </c>
      <c r="M34" s="49">
        <f>J34+Sheet1!L49</f>
        <v>9.1228316920856933</v>
      </c>
      <c r="N34" s="56">
        <f>(L34*L$16+M34*M$16)/(L$16+M$16)</f>
        <v>19.873699015251418</v>
      </c>
    </row>
    <row r="35" spans="1:14" x14ac:dyDescent="0.35">
      <c r="A35" s="66" t="s">
        <v>17</v>
      </c>
      <c r="B35" s="5" t="s">
        <v>32</v>
      </c>
      <c r="C35" s="179">
        <v>10</v>
      </c>
      <c r="D35" s="185">
        <v>0</v>
      </c>
      <c r="E35" s="122">
        <f t="shared" si="11"/>
        <v>5</v>
      </c>
      <c r="F35" s="58">
        <f t="shared" si="10"/>
        <v>10</v>
      </c>
      <c r="G35" s="223">
        <f t="shared" si="9"/>
        <v>0</v>
      </c>
      <c r="H35" s="122">
        <f t="shared" si="12"/>
        <v>4</v>
      </c>
      <c r="I35" s="58">
        <f>F35+Sheet1!G50</f>
        <v>10</v>
      </c>
      <c r="J35" s="58">
        <f>G35+Sheet1!H50</f>
        <v>0</v>
      </c>
      <c r="K35" s="122">
        <f t="shared" si="13"/>
        <v>4.0000000000000009</v>
      </c>
      <c r="L35" s="49">
        <f>I35+Sheet1!K50</f>
        <v>10</v>
      </c>
      <c r="M35" s="49">
        <f>J35+Sheet1!L50</f>
        <v>0</v>
      </c>
      <c r="N35" s="56">
        <f>(L35*L$16+M35*M$16)/(L$16+M$16)</f>
        <v>4.0000000000000009</v>
      </c>
    </row>
    <row r="36" spans="1:14" x14ac:dyDescent="0.35">
      <c r="A36" s="66" t="s">
        <v>17</v>
      </c>
      <c r="B36" s="5" t="s">
        <v>33</v>
      </c>
      <c r="C36" s="179">
        <v>0</v>
      </c>
      <c r="D36" s="185">
        <v>20.845620156532114</v>
      </c>
      <c r="E36" s="122">
        <f t="shared" si="11"/>
        <v>10.422810078266057</v>
      </c>
      <c r="F36" s="58">
        <f t="shared" si="10"/>
        <v>0</v>
      </c>
      <c r="G36" s="223">
        <f t="shared" si="9"/>
        <v>20.845620156532114</v>
      </c>
      <c r="H36" s="122">
        <f t="shared" si="12"/>
        <v>12.507372093919269</v>
      </c>
      <c r="I36" s="58">
        <f>F36+Sheet1!G51</f>
        <v>5</v>
      </c>
      <c r="J36" s="58">
        <f>G36+Sheet1!H51</f>
        <v>25.845620156532114</v>
      </c>
      <c r="K36" s="122">
        <f t="shared" si="13"/>
        <v>17.507372093919269</v>
      </c>
      <c r="L36" s="49">
        <f>I36+Sheet1!K51</f>
        <v>5</v>
      </c>
      <c r="M36" s="49">
        <f>J36+Sheet1!L51</f>
        <v>25.845620156532114</v>
      </c>
      <c r="N36" s="56">
        <f>(L36*L$16+M36*M$16)/(L$16+M$16)</f>
        <v>17.507372093919269</v>
      </c>
    </row>
    <row r="37" spans="1:14" x14ac:dyDescent="0.35">
      <c r="A37" s="66" t="s">
        <v>17</v>
      </c>
      <c r="B37" s="5" t="s">
        <v>34</v>
      </c>
      <c r="C37" s="179"/>
      <c r="D37" s="185">
        <v>0</v>
      </c>
      <c r="E37" s="122">
        <f t="shared" si="11"/>
        <v>0</v>
      </c>
      <c r="F37" s="58">
        <f t="shared" si="10"/>
        <v>0</v>
      </c>
      <c r="G37" s="223">
        <f t="shared" si="9"/>
        <v>0</v>
      </c>
      <c r="H37" s="122">
        <f t="shared" si="12"/>
        <v>0</v>
      </c>
      <c r="I37" s="58">
        <f>F37+Sheet1!G52</f>
        <v>0</v>
      </c>
      <c r="J37" s="58">
        <f>G37+Sheet1!H52</f>
        <v>0</v>
      </c>
      <c r="K37" s="122">
        <f t="shared" si="13"/>
        <v>0</v>
      </c>
      <c r="L37" s="49">
        <f>I37+Sheet1!K52</f>
        <v>0</v>
      </c>
      <c r="M37" s="49">
        <f>J37+Sheet1!L52</f>
        <v>0</v>
      </c>
      <c r="N37" s="56">
        <f>(L37*L$16+M37*M$16)/(L$16+M$16)</f>
        <v>0</v>
      </c>
    </row>
    <row r="38" spans="1:14" x14ac:dyDescent="0.35">
      <c r="A38" s="66" t="s">
        <v>17</v>
      </c>
      <c r="B38" s="5" t="s">
        <v>35</v>
      </c>
      <c r="C38" s="179">
        <v>10</v>
      </c>
      <c r="D38" s="185">
        <v>8</v>
      </c>
      <c r="E38" s="122">
        <f t="shared" si="11"/>
        <v>9</v>
      </c>
      <c r="F38" s="58">
        <f t="shared" si="10"/>
        <v>10</v>
      </c>
      <c r="G38" s="223">
        <f t="shared" si="9"/>
        <v>8</v>
      </c>
      <c r="H38" s="122">
        <f t="shared" si="12"/>
        <v>8.8000000000000007</v>
      </c>
      <c r="I38" s="58">
        <f>F38+Sheet1!G53</f>
        <v>8</v>
      </c>
      <c r="J38" s="58">
        <f>G38+Sheet1!H53</f>
        <v>6</v>
      </c>
      <c r="K38" s="122">
        <f t="shared" si="13"/>
        <v>6.8000000000000007</v>
      </c>
      <c r="L38" s="49">
        <f>I38+Sheet1!K53</f>
        <v>8</v>
      </c>
      <c r="M38" s="49">
        <f>J38+Sheet1!L53</f>
        <v>6</v>
      </c>
      <c r="N38" s="56">
        <f>(L38*L$16+M38*M$16)/(L$16+M$16)</f>
        <v>6.8000000000000007</v>
      </c>
    </row>
    <row r="39" spans="1:14" x14ac:dyDescent="0.35">
      <c r="A39" s="66" t="s">
        <v>17</v>
      </c>
      <c r="B39" s="5" t="s">
        <v>36</v>
      </c>
      <c r="C39" s="179"/>
      <c r="D39" s="185">
        <v>0</v>
      </c>
      <c r="E39" s="122">
        <f t="shared" si="11"/>
        <v>0</v>
      </c>
      <c r="F39" s="58">
        <f t="shared" si="10"/>
        <v>0</v>
      </c>
      <c r="G39" s="223">
        <f t="shared" si="9"/>
        <v>0</v>
      </c>
      <c r="H39" s="122">
        <f t="shared" si="12"/>
        <v>0</v>
      </c>
      <c r="I39" s="58">
        <f>F39+Sheet1!G54</f>
        <v>0</v>
      </c>
      <c r="J39" s="58">
        <f>G39+Sheet1!H54</f>
        <v>0</v>
      </c>
      <c r="K39" s="122">
        <f t="shared" si="13"/>
        <v>0</v>
      </c>
      <c r="L39" s="49">
        <f>I39+Sheet1!K54</f>
        <v>0</v>
      </c>
      <c r="M39" s="49">
        <f>J39+Sheet1!L54</f>
        <v>0</v>
      </c>
      <c r="N39" s="56">
        <f>(L39*L$16+M39*M$16)/(L$16+M$16)</f>
        <v>0</v>
      </c>
    </row>
    <row r="40" spans="1:14" x14ac:dyDescent="0.35">
      <c r="A40" s="66" t="s">
        <v>17</v>
      </c>
      <c r="B40" s="5" t="s">
        <v>37</v>
      </c>
      <c r="C40" s="179">
        <v>10</v>
      </c>
      <c r="D40" s="185">
        <v>0</v>
      </c>
      <c r="E40" s="122">
        <f t="shared" si="11"/>
        <v>5</v>
      </c>
      <c r="F40" s="58">
        <f t="shared" si="10"/>
        <v>10</v>
      </c>
      <c r="G40" s="223">
        <f t="shared" si="9"/>
        <v>0</v>
      </c>
      <c r="H40" s="122">
        <f t="shared" si="12"/>
        <v>4</v>
      </c>
      <c r="I40" s="58">
        <f>F40+Sheet1!G55</f>
        <v>7</v>
      </c>
      <c r="J40" s="58">
        <f>G40+Sheet1!H55</f>
        <v>-3</v>
      </c>
      <c r="K40" s="122">
        <f t="shared" si="13"/>
        <v>1.0000000000000004</v>
      </c>
      <c r="L40" s="49">
        <f>I40+Sheet1!K55</f>
        <v>7</v>
      </c>
      <c r="M40" s="49">
        <f>J40+Sheet1!L55</f>
        <v>-3</v>
      </c>
      <c r="N40" s="56">
        <f>(L40*L$16+M40*M$16)/(L$16+M$16)</f>
        <v>1.0000000000000004</v>
      </c>
    </row>
    <row r="41" spans="1:14" x14ac:dyDescent="0.35">
      <c r="A41" s="66" t="s">
        <v>17</v>
      </c>
      <c r="B41" s="5" t="s">
        <v>38</v>
      </c>
      <c r="C41" s="179"/>
      <c r="D41" s="185">
        <v>0</v>
      </c>
      <c r="E41" s="122">
        <f t="shared" si="11"/>
        <v>0</v>
      </c>
      <c r="F41" s="58">
        <f t="shared" si="10"/>
        <v>0</v>
      </c>
      <c r="G41" s="223">
        <f t="shared" si="9"/>
        <v>0</v>
      </c>
      <c r="H41" s="122">
        <f t="shared" si="12"/>
        <v>0</v>
      </c>
      <c r="I41" s="58">
        <f>F41+Sheet1!G56</f>
        <v>0</v>
      </c>
      <c r="J41" s="58">
        <f>G41+Sheet1!H56</f>
        <v>0</v>
      </c>
      <c r="K41" s="122">
        <f t="shared" si="13"/>
        <v>0</v>
      </c>
      <c r="L41" s="49">
        <f>I41+Sheet1!K56</f>
        <v>0</v>
      </c>
      <c r="M41" s="49">
        <f>J41+Sheet1!L56</f>
        <v>0</v>
      </c>
      <c r="N41" s="56">
        <f>(L41*L$16+M41*M$16)/(L$16+M$16)</f>
        <v>0</v>
      </c>
    </row>
    <row r="42" spans="1:14" x14ac:dyDescent="0.35">
      <c r="A42" s="66" t="s">
        <v>17</v>
      </c>
      <c r="B42" s="5" t="s">
        <v>39</v>
      </c>
      <c r="C42" s="179"/>
      <c r="D42" s="185">
        <v>0</v>
      </c>
      <c r="E42" s="122">
        <f t="shared" si="11"/>
        <v>0</v>
      </c>
      <c r="F42" s="58">
        <f t="shared" si="10"/>
        <v>0</v>
      </c>
      <c r="G42" s="223">
        <f t="shared" si="9"/>
        <v>0</v>
      </c>
      <c r="H42" s="122">
        <f t="shared" si="12"/>
        <v>0</v>
      </c>
      <c r="I42" s="58">
        <f>F42+Sheet1!G57</f>
        <v>0</v>
      </c>
      <c r="J42" s="58">
        <f>G42+Sheet1!H57</f>
        <v>0</v>
      </c>
      <c r="K42" s="122">
        <f t="shared" si="13"/>
        <v>0</v>
      </c>
      <c r="L42" s="49">
        <f>I42+Sheet1!K57</f>
        <v>0</v>
      </c>
      <c r="M42" s="49">
        <f>J42+Sheet1!L57</f>
        <v>0</v>
      </c>
      <c r="N42" s="56">
        <f>(L42*L$16+M42*M$16)/(L$16+M$16)</f>
        <v>0</v>
      </c>
    </row>
    <row r="43" spans="1:14" x14ac:dyDescent="0.35">
      <c r="A43" s="66" t="s">
        <v>17</v>
      </c>
      <c r="B43" s="5" t="s">
        <v>40</v>
      </c>
      <c r="C43" s="179"/>
      <c r="D43" s="185">
        <v>0</v>
      </c>
      <c r="E43" s="122">
        <f t="shared" si="11"/>
        <v>0</v>
      </c>
      <c r="F43" s="58">
        <f t="shared" si="10"/>
        <v>0</v>
      </c>
      <c r="G43" s="223">
        <f t="shared" si="9"/>
        <v>0</v>
      </c>
      <c r="H43" s="122">
        <f t="shared" si="12"/>
        <v>0</v>
      </c>
      <c r="I43" s="58">
        <f>F43+Sheet1!G58</f>
        <v>0</v>
      </c>
      <c r="J43" s="58">
        <f>G43+Sheet1!H58</f>
        <v>0</v>
      </c>
      <c r="K43" s="122">
        <f t="shared" si="13"/>
        <v>0</v>
      </c>
      <c r="L43" s="49">
        <f>I43+Sheet1!K58</f>
        <v>0</v>
      </c>
      <c r="M43" s="49">
        <f>J43+Sheet1!L58</f>
        <v>0</v>
      </c>
      <c r="N43" s="56">
        <f>(L43*L$16+M43*M$16)/(L$16+M$16)</f>
        <v>0</v>
      </c>
    </row>
    <row r="44" spans="1:14" x14ac:dyDescent="0.35">
      <c r="A44" s="66" t="s">
        <v>17</v>
      </c>
      <c r="B44" s="5" t="s">
        <v>41</v>
      </c>
      <c r="C44" s="179"/>
      <c r="D44" s="185">
        <v>0</v>
      </c>
      <c r="E44" s="122">
        <f t="shared" si="11"/>
        <v>0</v>
      </c>
      <c r="F44" s="58">
        <f t="shared" si="10"/>
        <v>0</v>
      </c>
      <c r="G44" s="223">
        <f t="shared" si="9"/>
        <v>0</v>
      </c>
      <c r="H44" s="122">
        <f t="shared" si="12"/>
        <v>0</v>
      </c>
      <c r="I44" s="58">
        <f>F44+Sheet1!G59</f>
        <v>0</v>
      </c>
      <c r="J44" s="58">
        <f>G44+Sheet1!H59</f>
        <v>0</v>
      </c>
      <c r="K44" s="122">
        <f t="shared" si="13"/>
        <v>0</v>
      </c>
      <c r="L44" s="49">
        <f>I44+Sheet1!K59</f>
        <v>0</v>
      </c>
      <c r="M44" s="49">
        <f>J44+Sheet1!L59</f>
        <v>0</v>
      </c>
      <c r="N44" s="56">
        <f>(L44*L$16+M44*M$16)/(L$16+M$16)</f>
        <v>0</v>
      </c>
    </row>
    <row r="45" spans="1:14" x14ac:dyDescent="0.35">
      <c r="A45" s="66" t="s">
        <v>17</v>
      </c>
      <c r="B45" s="5" t="s">
        <v>42</v>
      </c>
      <c r="C45" s="179">
        <v>0</v>
      </c>
      <c r="D45" s="185">
        <v>0</v>
      </c>
      <c r="E45" s="122">
        <f t="shared" si="11"/>
        <v>0</v>
      </c>
      <c r="F45" s="58">
        <f t="shared" si="10"/>
        <v>0</v>
      </c>
      <c r="G45" s="223">
        <f t="shared" si="9"/>
        <v>0</v>
      </c>
      <c r="H45" s="122">
        <f t="shared" si="12"/>
        <v>0</v>
      </c>
      <c r="I45" s="58">
        <f>F45+Sheet1!G60</f>
        <v>2</v>
      </c>
      <c r="J45" s="58">
        <f>G45+Sheet1!H60</f>
        <v>2</v>
      </c>
      <c r="K45" s="122">
        <f t="shared" si="13"/>
        <v>2</v>
      </c>
      <c r="L45" s="49">
        <f>I45+Sheet1!K60</f>
        <v>2</v>
      </c>
      <c r="M45" s="49">
        <f>J45+Sheet1!L60</f>
        <v>2</v>
      </c>
      <c r="N45" s="56">
        <f>(L45*L$16+M45*M$16)/(L$16+M$16)</f>
        <v>2</v>
      </c>
    </row>
    <row r="46" spans="1:14" x14ac:dyDescent="0.35">
      <c r="A46" s="66" t="s">
        <v>17</v>
      </c>
      <c r="B46" s="5" t="s">
        <v>43</v>
      </c>
      <c r="C46" s="179"/>
      <c r="D46" s="185">
        <v>0</v>
      </c>
      <c r="E46" s="122">
        <f t="shared" si="11"/>
        <v>0</v>
      </c>
      <c r="F46" s="58">
        <f t="shared" si="10"/>
        <v>0</v>
      </c>
      <c r="G46" s="223">
        <f t="shared" si="9"/>
        <v>0</v>
      </c>
      <c r="H46" s="122">
        <f t="shared" si="12"/>
        <v>0</v>
      </c>
      <c r="I46" s="58">
        <f>F46+Sheet1!G61</f>
        <v>0</v>
      </c>
      <c r="J46" s="58">
        <f>G46+Sheet1!H61</f>
        <v>0</v>
      </c>
      <c r="K46" s="122">
        <f t="shared" si="13"/>
        <v>0</v>
      </c>
      <c r="L46" s="49">
        <f>I46+Sheet1!K61</f>
        <v>0</v>
      </c>
      <c r="M46" s="49">
        <f>J46+Sheet1!L61</f>
        <v>0</v>
      </c>
      <c r="N46" s="56">
        <f>(L46*L$16+M46*M$16)/(L$16+M$16)</f>
        <v>0</v>
      </c>
    </row>
    <row r="47" spans="1:14" x14ac:dyDescent="0.35">
      <c r="A47" s="66" t="s">
        <v>17</v>
      </c>
      <c r="B47" s="5" t="s">
        <v>44</v>
      </c>
      <c r="C47" s="179">
        <v>10</v>
      </c>
      <c r="D47" s="185">
        <v>5.0462547576887831</v>
      </c>
      <c r="E47" s="122">
        <f t="shared" si="11"/>
        <v>7.523127378844392</v>
      </c>
      <c r="F47" s="58">
        <f t="shared" si="10"/>
        <v>10</v>
      </c>
      <c r="G47" s="223">
        <f t="shared" si="9"/>
        <v>5.0462547576887831</v>
      </c>
      <c r="H47" s="122">
        <f t="shared" si="12"/>
        <v>7.0277528546132695</v>
      </c>
      <c r="I47" s="58">
        <f>F47+Sheet1!G62</f>
        <v>4</v>
      </c>
      <c r="J47" s="58">
        <f>G47+Sheet1!H62</f>
        <v>-0.95374524231121693</v>
      </c>
      <c r="K47" s="122">
        <f t="shared" si="13"/>
        <v>1.0277528546132702</v>
      </c>
      <c r="L47" s="49">
        <f>I47+Sheet1!K62</f>
        <v>4</v>
      </c>
      <c r="M47" s="49">
        <f>J47+Sheet1!L62</f>
        <v>-0.95374524231121693</v>
      </c>
      <c r="N47" s="56">
        <f>(L47*L$16+M47*M$16)/(L$16+M$16)</f>
        <v>1.0277528546132702</v>
      </c>
    </row>
    <row r="48" spans="1:14" x14ac:dyDescent="0.35">
      <c r="A48" s="66" t="s">
        <v>17</v>
      </c>
      <c r="B48" s="5" t="s">
        <v>45</v>
      </c>
      <c r="C48" s="179">
        <v>0</v>
      </c>
      <c r="D48" s="185">
        <v>25.092509515377568</v>
      </c>
      <c r="E48" s="122">
        <f t="shared" si="11"/>
        <v>12.546254757688784</v>
      </c>
      <c r="F48" s="58">
        <f t="shared" si="10"/>
        <v>0</v>
      </c>
      <c r="G48" s="223">
        <f t="shared" si="9"/>
        <v>25.092509515377568</v>
      </c>
      <c r="H48" s="122">
        <f t="shared" si="12"/>
        <v>15.055505709226541</v>
      </c>
      <c r="I48" s="58">
        <f>F48+Sheet1!G63</f>
        <v>14</v>
      </c>
      <c r="J48" s="58">
        <f>G48+Sheet1!H63</f>
        <v>39.092509515377571</v>
      </c>
      <c r="K48" s="122">
        <f t="shared" si="13"/>
        <v>29.055505709226541</v>
      </c>
      <c r="L48" s="49">
        <f>I48+Sheet1!K63</f>
        <v>14</v>
      </c>
      <c r="M48" s="49">
        <f>J48+Sheet1!L63</f>
        <v>39.092509515377571</v>
      </c>
      <c r="N48" s="56">
        <f>(L48*L$16+M48*M$16)/(L$16+M$16)</f>
        <v>29.055505709226541</v>
      </c>
    </row>
    <row r="49" spans="1:14" x14ac:dyDescent="0.35">
      <c r="A49" s="66" t="s">
        <v>17</v>
      </c>
      <c r="B49" s="5" t="s">
        <v>46</v>
      </c>
      <c r="C49" s="179"/>
      <c r="D49" s="185">
        <v>1</v>
      </c>
      <c r="E49" s="122">
        <f t="shared" si="11"/>
        <v>0.5</v>
      </c>
      <c r="F49" s="58">
        <f t="shared" si="10"/>
        <v>0</v>
      </c>
      <c r="G49" s="223">
        <f t="shared" si="9"/>
        <v>1</v>
      </c>
      <c r="H49" s="122">
        <f t="shared" si="12"/>
        <v>0.6</v>
      </c>
      <c r="I49" s="58">
        <f>F49+Sheet1!G64</f>
        <v>0</v>
      </c>
      <c r="J49" s="58">
        <f>G49+Sheet1!H64</f>
        <v>1</v>
      </c>
      <c r="K49" s="122">
        <f t="shared" si="13"/>
        <v>0.6</v>
      </c>
      <c r="L49" s="49">
        <f>I49+Sheet1!K64</f>
        <v>0</v>
      </c>
      <c r="M49" s="49">
        <f>J49+Sheet1!L64</f>
        <v>1</v>
      </c>
      <c r="N49" s="56">
        <f>(L49*L$16+M49*M$16)/(L$16+M$16)</f>
        <v>0.6</v>
      </c>
    </row>
    <row r="50" spans="1:14" x14ac:dyDescent="0.35">
      <c r="A50" s="228"/>
      <c r="B50" s="229"/>
      <c r="C50" s="178"/>
      <c r="D50" s="178"/>
      <c r="E50" s="130"/>
      <c r="F50" s="49"/>
      <c r="G50" s="49"/>
      <c r="H50" s="130"/>
      <c r="I50" s="49"/>
      <c r="J50" s="49"/>
      <c r="K50" s="130"/>
      <c r="L50" s="49"/>
      <c r="M50" s="49"/>
      <c r="N50" s="181"/>
    </row>
    <row r="51" spans="1:14" x14ac:dyDescent="0.35">
      <c r="A51" s="13"/>
      <c r="B51" s="13"/>
      <c r="C51" s="13">
        <f>SUM(C21:C49)</f>
        <v>100</v>
      </c>
      <c r="D51" s="13">
        <f>SUM(D21:D49)</f>
        <v>100.00000000000003</v>
      </c>
      <c r="E51" s="13">
        <f>SUM(E21:E49)</f>
        <v>100</v>
      </c>
      <c r="F51" s="13">
        <f>SUM(F21:F49)</f>
        <v>100</v>
      </c>
      <c r="G51" s="13">
        <f>SUM(G21:G49)</f>
        <v>100.00000000000003</v>
      </c>
      <c r="H51" s="13">
        <f>SUM(H21:H49)</f>
        <v>100</v>
      </c>
      <c r="I51" s="13">
        <f>SUM(I21:I49)</f>
        <v>100</v>
      </c>
      <c r="J51" s="13">
        <f>SUM(J21:J49)</f>
        <v>100.00000000000003</v>
      </c>
      <c r="K51" s="13">
        <f>SUM(K21:K49)</f>
        <v>100.00000000000001</v>
      </c>
      <c r="L51" s="13">
        <f>SUM(L21:L49)</f>
        <v>100</v>
      </c>
      <c r="M51" s="13">
        <f>SUM(M21:M49)</f>
        <v>100.00000000000003</v>
      </c>
      <c r="N51" s="13">
        <f>SUM(N21:N49)</f>
        <v>100.00000000000001</v>
      </c>
    </row>
    <row r="52" spans="1:14" x14ac:dyDescent="0.35">
      <c r="B52" s="6"/>
    </row>
    <row r="53" spans="1:14" x14ac:dyDescent="0.35">
      <c r="B53" s="6"/>
    </row>
    <row r="54" spans="1:14" x14ac:dyDescent="0.35">
      <c r="B54" s="6"/>
    </row>
    <row r="55" spans="1:14" x14ac:dyDescent="0.35">
      <c r="B55" s="6"/>
    </row>
    <row r="56" spans="1:14" x14ac:dyDescent="0.35">
      <c r="B56" s="6"/>
      <c r="E56" s="13">
        <f>D34+D35+D38+D40</f>
        <v>21.122831692085693</v>
      </c>
    </row>
    <row r="57" spans="1:14" x14ac:dyDescent="0.35">
      <c r="B57" s="6"/>
    </row>
    <row r="58" spans="1:14" x14ac:dyDescent="0.35">
      <c r="B58" s="6"/>
    </row>
    <row r="59" spans="1:14" x14ac:dyDescent="0.35">
      <c r="B59" s="6"/>
    </row>
    <row r="60" spans="1:14" x14ac:dyDescent="0.35">
      <c r="B60" s="6"/>
    </row>
    <row r="61" spans="1:14" x14ac:dyDescent="0.35">
      <c r="B61" s="6"/>
    </row>
    <row r="62" spans="1:14" x14ac:dyDescent="0.35">
      <c r="B62" s="6"/>
    </row>
    <row r="63" spans="1:14" x14ac:dyDescent="0.35">
      <c r="B63" s="6"/>
    </row>
    <row r="64" spans="1:14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4"/>
    </row>
  </sheetData>
  <mergeCells count="4"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7007-461B-4220-ADC2-0E1131711988}">
  <dimension ref="A1:N43"/>
  <sheetViews>
    <sheetView workbookViewId="0">
      <selection activeCell="J8" sqref="J8"/>
    </sheetView>
  </sheetViews>
  <sheetFormatPr defaultRowHeight="14.5" x14ac:dyDescent="0.35"/>
  <cols>
    <col min="1" max="1" width="8.7265625" style="13"/>
    <col min="2" max="2" width="15.90625" style="13" customWidth="1"/>
    <col min="3" max="3" width="17.453125" style="13" customWidth="1"/>
    <col min="4" max="4" width="15.90625" style="13" customWidth="1"/>
    <col min="5" max="5" width="16" style="13" customWidth="1"/>
    <col min="6" max="6" width="16.7265625" customWidth="1"/>
    <col min="7" max="7" width="17.1796875" style="13" customWidth="1"/>
    <col min="8" max="8" width="15.90625" style="13" customWidth="1"/>
    <col min="9" max="9" width="17.453125" style="13" customWidth="1"/>
    <col min="10" max="10" width="15.90625" style="13" customWidth="1"/>
    <col min="11" max="11" width="16" style="13" customWidth="1"/>
    <col min="12" max="12" width="15.1796875" customWidth="1"/>
    <col min="13" max="14" width="14.26953125" bestFit="1" customWidth="1"/>
  </cols>
  <sheetData>
    <row r="1" spans="1:11" s="13" customFormat="1" x14ac:dyDescent="0.35">
      <c r="A1" s="295">
        <v>2018</v>
      </c>
      <c r="B1" s="295"/>
      <c r="C1" s="295"/>
      <c r="D1" s="295"/>
      <c r="E1" s="295"/>
      <c r="G1" s="296">
        <v>2022</v>
      </c>
      <c r="H1" s="296"/>
      <c r="I1" s="296"/>
      <c r="J1" s="296"/>
      <c r="K1" s="296"/>
    </row>
    <row r="2" spans="1:11" s="13" customFormat="1" x14ac:dyDescent="0.35">
      <c r="A2" s="142"/>
      <c r="B2" s="292" t="s">
        <v>190</v>
      </c>
      <c r="C2" s="293"/>
      <c r="D2" s="293"/>
      <c r="E2" s="294"/>
      <c r="G2" s="148"/>
      <c r="H2" s="149" t="s">
        <v>190</v>
      </c>
      <c r="I2" s="150"/>
      <c r="J2" s="151"/>
      <c r="K2" s="45"/>
    </row>
    <row r="3" spans="1:11" s="13" customFormat="1" x14ac:dyDescent="0.35">
      <c r="A3" s="142"/>
      <c r="B3" s="142"/>
      <c r="C3" s="292" t="s">
        <v>194</v>
      </c>
      <c r="D3" s="293"/>
      <c r="E3" s="294"/>
      <c r="G3" s="148"/>
      <c r="H3" s="148"/>
      <c r="I3" s="149" t="s">
        <v>194</v>
      </c>
      <c r="J3" s="151"/>
      <c r="K3" s="45"/>
    </row>
    <row r="4" spans="1:11" s="92" customFormat="1" ht="29" x14ac:dyDescent="0.35">
      <c r="A4" s="143"/>
      <c r="B4" s="143" t="s">
        <v>187</v>
      </c>
      <c r="C4" s="143" t="s">
        <v>193</v>
      </c>
      <c r="D4" s="143" t="s">
        <v>185</v>
      </c>
      <c r="E4" s="143" t="s">
        <v>163</v>
      </c>
      <c r="G4" s="152"/>
      <c r="H4" s="152" t="s">
        <v>187</v>
      </c>
      <c r="I4" s="152" t="s">
        <v>193</v>
      </c>
      <c r="J4" s="152" t="s">
        <v>163</v>
      </c>
      <c r="K4" s="93"/>
    </row>
    <row r="5" spans="1:11" s="13" customFormat="1" x14ac:dyDescent="0.35">
      <c r="A5" s="142" t="s">
        <v>72</v>
      </c>
      <c r="B5" s="144">
        <v>3595140267.9899998</v>
      </c>
      <c r="C5" s="144"/>
      <c r="D5" s="144"/>
      <c r="E5" s="144"/>
      <c r="G5" s="148" t="s">
        <v>72</v>
      </c>
      <c r="H5" s="158">
        <v>4077267084.4000001</v>
      </c>
      <c r="I5" s="153"/>
      <c r="J5" s="153"/>
      <c r="K5" s="161">
        <f>H5/Population!F3</f>
        <v>2425.8616902470721</v>
      </c>
    </row>
    <row r="6" spans="1:11" s="13" customFormat="1" x14ac:dyDescent="0.35">
      <c r="A6" s="142" t="s">
        <v>186</v>
      </c>
      <c r="B6" s="145">
        <v>1236967271.0799999</v>
      </c>
      <c r="C6" s="145"/>
      <c r="D6" s="145"/>
      <c r="E6" s="145"/>
      <c r="G6" s="148" t="s">
        <v>186</v>
      </c>
      <c r="H6" s="158">
        <v>1381036068.55</v>
      </c>
      <c r="I6" s="154"/>
      <c r="J6" s="154"/>
      <c r="K6" s="161">
        <f>H6/Population!F4</f>
        <v>275.46940417101166</v>
      </c>
    </row>
    <row r="7" spans="1:11" s="13" customFormat="1" x14ac:dyDescent="0.35">
      <c r="A7" s="142" t="s">
        <v>136</v>
      </c>
      <c r="B7" s="145">
        <v>337725256.10000002</v>
      </c>
      <c r="C7" s="145"/>
      <c r="D7" s="145"/>
      <c r="E7" s="145"/>
      <c r="G7" s="148" t="s">
        <v>136</v>
      </c>
      <c r="H7" s="158">
        <v>307679847.63</v>
      </c>
      <c r="I7" s="154"/>
      <c r="J7" s="154"/>
      <c r="K7" s="161">
        <f>H7/Population!F5</f>
        <v>245.48632628597284</v>
      </c>
    </row>
    <row r="8" spans="1:11" s="13" customFormat="1" x14ac:dyDescent="0.35">
      <c r="A8" s="142" t="s">
        <v>188</v>
      </c>
      <c r="B8" s="146">
        <f>SUM(B5:B7)</f>
        <v>5169832795.1700001</v>
      </c>
      <c r="C8" s="146">
        <f>4105171649+304852561</f>
        <v>4410024210</v>
      </c>
      <c r="D8" s="146">
        <f>(2684.639+241.505+74.639)*1000000</f>
        <v>3000783000.0000005</v>
      </c>
      <c r="E8" s="146">
        <f>(3730.664+510.9193)*1000</f>
        <v>4241583.3</v>
      </c>
      <c r="G8" s="148" t="s">
        <v>188</v>
      </c>
      <c r="H8" s="155">
        <f>SUM(H5:H7)</f>
        <v>5765983000.5799999</v>
      </c>
      <c r="I8" s="155">
        <f>4582914871+335576656</f>
        <v>4918491527</v>
      </c>
      <c r="J8" s="155">
        <f>(4013.772+556.3294+829.609+301.517)*1000</f>
        <v>5701227.3999999994</v>
      </c>
      <c r="K8" s="45"/>
    </row>
    <row r="9" spans="1:11" x14ac:dyDescent="0.35">
      <c r="A9" s="147"/>
      <c r="B9" s="147"/>
      <c r="C9" s="147"/>
      <c r="D9" s="147"/>
      <c r="E9" s="8"/>
      <c r="G9" s="156"/>
      <c r="H9" s="156"/>
      <c r="I9" s="156"/>
      <c r="J9" s="156"/>
      <c r="K9" s="157"/>
    </row>
    <row r="10" spans="1:11" x14ac:dyDescent="0.35">
      <c r="A10" s="142"/>
      <c r="B10" s="292" t="s">
        <v>189</v>
      </c>
      <c r="C10" s="293"/>
      <c r="D10" s="294"/>
      <c r="E10" s="147"/>
      <c r="G10" s="148"/>
      <c r="H10" s="160" t="s">
        <v>189</v>
      </c>
      <c r="I10" s="160"/>
      <c r="J10" s="156"/>
      <c r="K10" s="45"/>
    </row>
    <row r="11" spans="1:11" x14ac:dyDescent="0.35">
      <c r="A11" s="142" t="s">
        <v>47</v>
      </c>
      <c r="B11" s="142" t="s">
        <v>164</v>
      </c>
      <c r="C11" s="142" t="s">
        <v>185</v>
      </c>
      <c r="D11" s="142" t="s">
        <v>163</v>
      </c>
      <c r="E11" s="147"/>
      <c r="G11" s="148" t="s">
        <v>47</v>
      </c>
      <c r="H11" s="148" t="s">
        <v>164</v>
      </c>
      <c r="I11" s="148" t="s">
        <v>163</v>
      </c>
      <c r="J11" s="156"/>
      <c r="K11" s="45"/>
    </row>
    <row r="12" spans="1:11" x14ac:dyDescent="0.35">
      <c r="A12" s="142" t="s">
        <v>72</v>
      </c>
      <c r="B12" s="145">
        <v>108452110.23</v>
      </c>
      <c r="C12" s="144">
        <v>99352879.530000001</v>
      </c>
      <c r="D12" s="144"/>
      <c r="E12" s="147"/>
      <c r="G12" s="148" t="s">
        <v>72</v>
      </c>
      <c r="H12" s="159">
        <v>122996097.29000001</v>
      </c>
      <c r="I12" s="153"/>
      <c r="J12" s="156"/>
      <c r="K12" s="161">
        <f>H12/Population!F3</f>
        <v>73.179292474439478</v>
      </c>
    </row>
    <row r="13" spans="1:11" x14ac:dyDescent="0.35">
      <c r="A13" s="142" t="s">
        <v>186</v>
      </c>
      <c r="B13" s="145">
        <v>34211879.640000001</v>
      </c>
      <c r="C13" s="145">
        <v>57556571.460000001</v>
      </c>
      <c r="D13" s="145"/>
      <c r="E13" s="147"/>
      <c r="G13" s="148" t="s">
        <v>186</v>
      </c>
      <c r="H13" s="159">
        <v>38196515.969999999</v>
      </c>
      <c r="I13" s="154"/>
      <c r="J13" s="156"/>
      <c r="K13" s="161">
        <f>H13/Population!F4</f>
        <v>7.6188969537282478</v>
      </c>
    </row>
    <row r="14" spans="1:11" x14ac:dyDescent="0.35">
      <c r="A14" s="142" t="s">
        <v>136</v>
      </c>
      <c r="B14" s="145">
        <v>9379404.5299999993</v>
      </c>
      <c r="C14" s="145">
        <v>8476021.3800000008</v>
      </c>
      <c r="D14" s="145"/>
      <c r="E14" s="147"/>
      <c r="G14" s="148" t="s">
        <v>136</v>
      </c>
      <c r="H14" s="158">
        <v>8544974.5700000003</v>
      </c>
      <c r="I14" s="154"/>
      <c r="J14" s="156"/>
      <c r="K14" s="161">
        <f>H14/Population!F5</f>
        <v>6.8177179349065336</v>
      </c>
    </row>
    <row r="15" spans="1:11" x14ac:dyDescent="0.35">
      <c r="A15" s="142" t="s">
        <v>188</v>
      </c>
      <c r="B15" s="146">
        <f>SUM(B12:B14)</f>
        <v>152043394.40000001</v>
      </c>
      <c r="C15" s="146">
        <f>(127.84+3.72+0.241)*1000000</f>
        <v>131801000.00000001</v>
      </c>
      <c r="D15" s="146">
        <f>(133.238+9.2816)*1000000</f>
        <v>142519600</v>
      </c>
      <c r="E15" s="147"/>
      <c r="G15" s="148" t="s">
        <v>188</v>
      </c>
      <c r="H15" s="155">
        <f>SUM(H12:H14)</f>
        <v>169737587.82999998</v>
      </c>
      <c r="I15" s="155">
        <f>(143.349+10.1983)*1000000</f>
        <v>153547299.99999997</v>
      </c>
      <c r="J15" s="162">
        <f>I15*K15/Population!F3</f>
        <v>52.332027839803253</v>
      </c>
      <c r="K15" s="45">
        <f>Population!F3/(Population!F3+Population!F4/5+Population!F5/5)</f>
        <v>0.57283362741246435</v>
      </c>
    </row>
    <row r="16" spans="1:11" x14ac:dyDescent="0.35">
      <c r="A16" s="147"/>
      <c r="B16" s="147"/>
      <c r="C16" s="147"/>
      <c r="D16" s="147"/>
      <c r="E16" s="147"/>
      <c r="G16" s="156"/>
      <c r="H16" s="156"/>
      <c r="I16" s="156"/>
      <c r="J16" s="156"/>
      <c r="K16" s="156"/>
    </row>
    <row r="17" spans="1:14" x14ac:dyDescent="0.35">
      <c r="A17" s="142"/>
      <c r="B17" s="292" t="s">
        <v>191</v>
      </c>
      <c r="C17" s="294"/>
      <c r="D17" s="292" t="s">
        <v>192</v>
      </c>
      <c r="E17" s="294"/>
      <c r="G17" s="148"/>
      <c r="H17" s="297" t="s">
        <v>191</v>
      </c>
      <c r="I17" s="297"/>
      <c r="J17" s="297" t="s">
        <v>192</v>
      </c>
      <c r="K17" s="297"/>
    </row>
    <row r="18" spans="1:14" x14ac:dyDescent="0.35">
      <c r="A18" s="142" t="s">
        <v>47</v>
      </c>
      <c r="B18" s="142" t="s">
        <v>164</v>
      </c>
      <c r="C18" s="142" t="s">
        <v>163</v>
      </c>
      <c r="D18" s="142" t="s">
        <v>164</v>
      </c>
      <c r="E18" s="142" t="s">
        <v>163</v>
      </c>
      <c r="G18" s="148" t="s">
        <v>47</v>
      </c>
      <c r="H18" s="148" t="s">
        <v>164</v>
      </c>
      <c r="I18" s="148" t="s">
        <v>163</v>
      </c>
      <c r="J18" s="148" t="s">
        <v>164</v>
      </c>
      <c r="K18" s="148" t="s">
        <v>163</v>
      </c>
    </row>
    <row r="19" spans="1:14" x14ac:dyDescent="0.35">
      <c r="A19" s="142" t="s">
        <v>72</v>
      </c>
      <c r="B19" s="145">
        <v>1138878000</v>
      </c>
      <c r="C19" s="144">
        <f>1569187*1000</f>
        <v>1569187000</v>
      </c>
      <c r="D19" s="144">
        <v>87604595.379999995</v>
      </c>
      <c r="E19" s="163">
        <f>108631*1000</f>
        <v>108631000</v>
      </c>
      <c r="G19" s="148" t="s">
        <v>72</v>
      </c>
      <c r="H19" s="158">
        <v>1291608000</v>
      </c>
      <c r="I19" s="153">
        <f>1734143*1000</f>
        <v>1734143000</v>
      </c>
      <c r="J19" s="164">
        <v>99352879.530000001</v>
      </c>
      <c r="K19" s="165">
        <f>119741*1000</f>
        <v>119741000</v>
      </c>
    </row>
    <row r="20" spans="1:14" x14ac:dyDescent="0.35">
      <c r="A20" s="142" t="s">
        <v>186</v>
      </c>
      <c r="B20" s="145"/>
      <c r="C20" s="145"/>
      <c r="D20" s="145">
        <v>51552325.140000001</v>
      </c>
      <c r="E20" s="146">
        <f>63241*1000</f>
        <v>63241000</v>
      </c>
      <c r="G20" s="148" t="s">
        <v>186</v>
      </c>
      <c r="H20" s="154"/>
      <c r="I20" s="154"/>
      <c r="J20" s="164">
        <v>57556571.460000001</v>
      </c>
      <c r="K20" s="155">
        <f>76038*1000</f>
        <v>76038000</v>
      </c>
    </row>
    <row r="21" spans="1:14" x14ac:dyDescent="0.35">
      <c r="A21" s="142" t="s">
        <v>136</v>
      </c>
      <c r="B21" s="145"/>
      <c r="C21" s="145"/>
      <c r="D21" s="144">
        <v>9303712.0800000001</v>
      </c>
      <c r="E21" s="146">
        <f>9942.5*1000</f>
        <v>9942500</v>
      </c>
      <c r="G21" s="148" t="s">
        <v>136</v>
      </c>
      <c r="H21" s="154"/>
      <c r="I21" s="154"/>
      <c r="J21" s="166">
        <v>8476021.3800000008</v>
      </c>
      <c r="K21" s="155">
        <f>8542.05*1000</f>
        <v>8542050</v>
      </c>
    </row>
    <row r="22" spans="1:14" x14ac:dyDescent="0.35">
      <c r="A22" s="142" t="s">
        <v>188</v>
      </c>
      <c r="B22" s="146">
        <f t="shared" ref="B22:D22" si="0">SUM(B19:B21)</f>
        <v>1138878000</v>
      </c>
      <c r="C22" s="146">
        <f t="shared" si="0"/>
        <v>1569187000</v>
      </c>
      <c r="D22" s="146">
        <f t="shared" si="0"/>
        <v>148460632.59999999</v>
      </c>
      <c r="E22" s="146">
        <f>SUM(E19:E21)</f>
        <v>181814500</v>
      </c>
      <c r="G22" s="148" t="s">
        <v>188</v>
      </c>
      <c r="H22" s="155">
        <f t="shared" ref="H22" si="1">SUM(H19:H21)</f>
        <v>1291608000</v>
      </c>
      <c r="I22" s="155">
        <f t="shared" ref="I22" si="2">SUM(I19:I21)</f>
        <v>1734143000</v>
      </c>
      <c r="J22" s="155">
        <f t="shared" ref="J22" si="3">SUM(J19:J21)</f>
        <v>165385472.37</v>
      </c>
      <c r="K22" s="155">
        <f t="shared" ref="K22" si="4">SUM(K19:K21)</f>
        <v>204321050</v>
      </c>
    </row>
    <row r="24" spans="1:14" x14ac:dyDescent="0.35">
      <c r="A24" s="141"/>
      <c r="B24" s="140"/>
      <c r="C24" s="140"/>
      <c r="D24" s="140"/>
      <c r="E24" s="140"/>
    </row>
    <row r="25" spans="1:14" x14ac:dyDescent="0.35">
      <c r="A25" s="140"/>
      <c r="B25" s="140"/>
      <c r="C25" s="140"/>
      <c r="D25" s="140"/>
      <c r="E25" s="140"/>
      <c r="H25" s="13">
        <v>2022</v>
      </c>
    </row>
    <row r="26" spans="1:14" x14ac:dyDescent="0.35">
      <c r="A26" s="141"/>
      <c r="B26" s="140"/>
      <c r="C26" s="140"/>
      <c r="D26" s="140"/>
      <c r="E26" s="140"/>
      <c r="H26" s="13" t="s">
        <v>198</v>
      </c>
      <c r="I26" s="13" t="s">
        <v>199</v>
      </c>
    </row>
    <row r="27" spans="1:14" x14ac:dyDescent="0.35">
      <c r="A27" s="12"/>
      <c r="B27" s="140"/>
      <c r="C27" s="140"/>
      <c r="D27" s="140"/>
      <c r="E27" s="140"/>
      <c r="G27" s="13" t="s">
        <v>72</v>
      </c>
      <c r="H27" s="13">
        <v>110.28</v>
      </c>
      <c r="I27" s="13">
        <v>51.78</v>
      </c>
    </row>
    <row r="28" spans="1:14" ht="15" thickBot="1" x14ac:dyDescent="0.4">
      <c r="A28" s="141"/>
      <c r="B28" s="140"/>
      <c r="C28" s="140"/>
      <c r="D28" s="140"/>
      <c r="E28" s="140"/>
      <c r="G28" s="13" t="s">
        <v>104</v>
      </c>
      <c r="H28" s="13">
        <v>163.33000000000001</v>
      </c>
    </row>
    <row r="29" spans="1:14" x14ac:dyDescent="0.35">
      <c r="A29" s="12"/>
      <c r="B29" s="140"/>
      <c r="C29" s="140"/>
      <c r="D29" s="140"/>
      <c r="E29" s="140"/>
      <c r="G29" s="13" t="s">
        <v>136</v>
      </c>
      <c r="H29" s="13">
        <v>261.98</v>
      </c>
      <c r="I29" s="114"/>
    </row>
    <row r="31" spans="1:14" x14ac:dyDescent="0.35">
      <c r="H31" s="13">
        <v>2022</v>
      </c>
    </row>
    <row r="32" spans="1:14" ht="15" thickBot="1" x14ac:dyDescent="0.4">
      <c r="H32" s="13" t="s">
        <v>196</v>
      </c>
      <c r="I32" s="13" t="s">
        <v>197</v>
      </c>
      <c r="J32" s="13" t="s">
        <v>195</v>
      </c>
      <c r="K32" s="13" t="s">
        <v>200</v>
      </c>
      <c r="L32" t="s">
        <v>201</v>
      </c>
      <c r="M32" t="s">
        <v>202</v>
      </c>
      <c r="N32" t="s">
        <v>203</v>
      </c>
    </row>
    <row r="33" spans="7:14" ht="16" thickBot="1" x14ac:dyDescent="0.4">
      <c r="G33" s="13" t="s">
        <v>72</v>
      </c>
      <c r="H33" s="114">
        <v>1844315.71</v>
      </c>
      <c r="I33" s="19">
        <v>117120362.88</v>
      </c>
      <c r="J33" s="47">
        <f>I33/H33</f>
        <v>63.503424194114793</v>
      </c>
      <c r="K33" s="13">
        <v>58</v>
      </c>
      <c r="L33" s="15">
        <v>1783469</v>
      </c>
      <c r="M33">
        <f>K33*L33</f>
        <v>103441202</v>
      </c>
    </row>
    <row r="34" spans="7:14" ht="16" thickBot="1" x14ac:dyDescent="0.4">
      <c r="G34" s="13" t="s">
        <v>104</v>
      </c>
      <c r="H34" s="19">
        <v>5976661.4699999997</v>
      </c>
      <c r="I34" s="114">
        <v>37645632.030000001</v>
      </c>
      <c r="J34" s="47">
        <f t="shared" ref="J34:J35" si="5">I34/H34</f>
        <v>6.2987726875552816</v>
      </c>
      <c r="K34" s="13">
        <v>5</v>
      </c>
      <c r="L34" s="27">
        <v>5515593</v>
      </c>
      <c r="M34" s="13">
        <f t="shared" ref="M34:M35" si="6">K34*L34</f>
        <v>27577965</v>
      </c>
    </row>
    <row r="35" spans="7:14" ht="15.5" x14ac:dyDescent="0.35">
      <c r="G35" s="13" t="s">
        <v>136</v>
      </c>
      <c r="H35" s="114">
        <v>1231843.8400000001</v>
      </c>
      <c r="I35" s="114">
        <v>8422230.4700000007</v>
      </c>
      <c r="J35" s="47">
        <f t="shared" si="5"/>
        <v>6.8370926545364714</v>
      </c>
      <c r="K35" s="13">
        <v>5</v>
      </c>
      <c r="L35" s="27">
        <v>685368</v>
      </c>
      <c r="M35" s="13">
        <f t="shared" si="6"/>
        <v>3426840</v>
      </c>
    </row>
    <row r="36" spans="7:14" x14ac:dyDescent="0.35">
      <c r="H36" s="167">
        <f t="shared" ref="H36:L36" si="7">SUM(H33:H35)</f>
        <v>9052821.0199999996</v>
      </c>
      <c r="I36" s="167">
        <f t="shared" si="7"/>
        <v>163188225.38</v>
      </c>
      <c r="J36" s="167"/>
      <c r="K36" s="167"/>
      <c r="L36" s="167">
        <f t="shared" si="7"/>
        <v>7984430</v>
      </c>
      <c r="M36" s="167">
        <f>SUM(M33:M35)</f>
        <v>134446007</v>
      </c>
      <c r="N36" s="137">
        <f>142249*1000</f>
        <v>142249000</v>
      </c>
    </row>
    <row r="38" spans="7:14" x14ac:dyDescent="0.35">
      <c r="H38" s="13">
        <v>2022</v>
      </c>
      <c r="L38" s="13"/>
      <c r="M38" s="13"/>
      <c r="N38" s="13"/>
    </row>
    <row r="39" spans="7:14" ht="15" thickBot="1" x14ac:dyDescent="0.4">
      <c r="H39" s="13" t="s">
        <v>196</v>
      </c>
      <c r="I39" s="13" t="s">
        <v>197</v>
      </c>
      <c r="J39" s="13" t="s">
        <v>195</v>
      </c>
      <c r="K39" s="13" t="s">
        <v>200</v>
      </c>
      <c r="L39" s="13" t="s">
        <v>201</v>
      </c>
      <c r="M39" s="13" t="s">
        <v>202</v>
      </c>
      <c r="N39" s="13" t="s">
        <v>203</v>
      </c>
    </row>
    <row r="40" spans="7:14" ht="15.5" x14ac:dyDescent="0.35">
      <c r="G40" s="13" t="s">
        <v>72</v>
      </c>
      <c r="H40" s="114">
        <v>1844315.71</v>
      </c>
      <c r="I40" s="19">
        <v>117643718.25</v>
      </c>
      <c r="J40" s="47">
        <f>I40/H40</f>
        <v>63.78719088718276</v>
      </c>
      <c r="K40" s="13">
        <v>58</v>
      </c>
      <c r="L40" s="15">
        <v>1783469</v>
      </c>
      <c r="M40" s="13">
        <f>K40*L40</f>
        <v>103441202</v>
      </c>
      <c r="N40" s="13"/>
    </row>
    <row r="41" spans="7:14" ht="16" thickBot="1" x14ac:dyDescent="0.4">
      <c r="G41" s="13" t="s">
        <v>104</v>
      </c>
      <c r="H41" s="19">
        <v>5976661.4699999997</v>
      </c>
      <c r="I41" s="19">
        <v>37645632.030000001</v>
      </c>
      <c r="J41" s="47">
        <f>I41/H41</f>
        <v>6.2987726875552816</v>
      </c>
      <c r="K41" s="13">
        <v>5</v>
      </c>
      <c r="L41" s="27">
        <v>5515593</v>
      </c>
      <c r="M41" s="13">
        <f t="shared" ref="M41:M42" si="8">K41*L41</f>
        <v>27577965</v>
      </c>
      <c r="N41" s="13"/>
    </row>
    <row r="42" spans="7:14" ht="15.5" x14ac:dyDescent="0.35">
      <c r="G42" s="13" t="s">
        <v>136</v>
      </c>
      <c r="H42" s="114">
        <v>1231843.8400000001</v>
      </c>
      <c r="I42" s="114">
        <v>8422230.4700000007</v>
      </c>
      <c r="J42" s="47">
        <f>I42/H42</f>
        <v>6.8370926545364714</v>
      </c>
      <c r="K42" s="13">
        <v>5</v>
      </c>
      <c r="L42" s="27">
        <v>685368</v>
      </c>
      <c r="M42" s="13">
        <f t="shared" si="8"/>
        <v>3426840</v>
      </c>
      <c r="N42" s="13"/>
    </row>
    <row r="43" spans="7:14" x14ac:dyDescent="0.35">
      <c r="H43" s="167">
        <f t="shared" ref="H43" si="9">SUM(H40:H42)</f>
        <v>9052821.0199999996</v>
      </c>
      <c r="I43" s="167">
        <f t="shared" ref="I43" si="10">SUM(I40:I42)</f>
        <v>163711580.75</v>
      </c>
      <c r="J43" s="167"/>
      <c r="K43" s="167"/>
      <c r="L43" s="167">
        <f t="shared" ref="L43" si="11">SUM(L40:L42)</f>
        <v>7984430</v>
      </c>
      <c r="M43" s="167">
        <f>SUM(M40:M42)</f>
        <v>134446007</v>
      </c>
      <c r="N43" s="137">
        <f>142249*1000</f>
        <v>142249000</v>
      </c>
    </row>
  </sheetData>
  <mergeCells count="9">
    <mergeCell ref="B2:E2"/>
    <mergeCell ref="C3:E3"/>
    <mergeCell ref="A1:E1"/>
    <mergeCell ref="G1:K1"/>
    <mergeCell ref="H17:I17"/>
    <mergeCell ref="J17:K17"/>
    <mergeCell ref="B17:C17"/>
    <mergeCell ref="D17:E17"/>
    <mergeCell ref="B10:D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A6C3-9668-4277-8C0B-01FC5767F799}">
  <dimension ref="A1:H30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</cols>
  <sheetData>
    <row r="1" spans="1:8" s="13" customFormat="1" x14ac:dyDescent="0.35">
      <c r="A1" s="13">
        <v>2022</v>
      </c>
      <c r="C1">
        <v>677</v>
      </c>
    </row>
    <row r="2" spans="1:8" x14ac:dyDescent="0.35">
      <c r="A2" s="13">
        <v>2023</v>
      </c>
      <c r="B2">
        <v>0.5</v>
      </c>
      <c r="C2" s="13">
        <f>C1-(B2/100*C1)</f>
        <v>673.61500000000001</v>
      </c>
    </row>
    <row r="3" spans="1:8" x14ac:dyDescent="0.35">
      <c r="A3" s="13">
        <v>2024</v>
      </c>
      <c r="B3" s="13">
        <v>0.5</v>
      </c>
      <c r="C3" s="13">
        <f>C2-(B3/100*C2)</f>
        <v>670.24692500000003</v>
      </c>
      <c r="H3">
        <f>(2050-2022)</f>
        <v>28</v>
      </c>
    </row>
    <row r="4" spans="1:8" x14ac:dyDescent="0.35">
      <c r="A4" s="13">
        <v>2025</v>
      </c>
      <c r="B4" s="13">
        <v>0.5</v>
      </c>
      <c r="C4" s="13">
        <f t="shared" ref="C4:C29" si="0">C3-(B4/100*C3)</f>
        <v>666.89569037500007</v>
      </c>
    </row>
    <row r="5" spans="1:8" x14ac:dyDescent="0.35">
      <c r="A5" s="13">
        <v>2026</v>
      </c>
      <c r="B5" s="13">
        <v>0.5</v>
      </c>
      <c r="C5" s="13">
        <f t="shared" si="0"/>
        <v>663.56121192312503</v>
      </c>
    </row>
    <row r="6" spans="1:8" x14ac:dyDescent="0.35">
      <c r="A6" s="13">
        <v>2027</v>
      </c>
      <c r="B6" s="13">
        <v>0.5</v>
      </c>
      <c r="C6" s="13">
        <f t="shared" si="0"/>
        <v>660.24340586350945</v>
      </c>
    </row>
    <row r="7" spans="1:8" x14ac:dyDescent="0.35">
      <c r="A7" s="13">
        <v>2028</v>
      </c>
      <c r="B7" s="13">
        <v>0.5</v>
      </c>
      <c r="C7" s="13">
        <f t="shared" si="0"/>
        <v>656.94218883419194</v>
      </c>
    </row>
    <row r="8" spans="1:8" x14ac:dyDescent="0.35">
      <c r="A8" s="13">
        <v>2029</v>
      </c>
      <c r="B8" s="13">
        <v>0.5</v>
      </c>
      <c r="C8" s="13">
        <f t="shared" si="0"/>
        <v>653.65747789002103</v>
      </c>
    </row>
    <row r="9" spans="1:8" x14ac:dyDescent="0.35">
      <c r="A9" s="13">
        <v>2030</v>
      </c>
      <c r="B9" s="13">
        <v>0.5</v>
      </c>
      <c r="C9" s="13">
        <f t="shared" si="0"/>
        <v>650.38919050057098</v>
      </c>
    </row>
    <row r="10" spans="1:8" x14ac:dyDescent="0.35">
      <c r="A10" s="13">
        <v>2031</v>
      </c>
      <c r="B10" s="13">
        <v>0.5</v>
      </c>
      <c r="C10" s="13">
        <f t="shared" si="0"/>
        <v>647.13724454806811</v>
      </c>
    </row>
    <row r="11" spans="1:8" x14ac:dyDescent="0.35">
      <c r="A11" s="13">
        <v>2032</v>
      </c>
      <c r="B11" s="13">
        <v>0.5</v>
      </c>
      <c r="C11" s="13">
        <f t="shared" si="0"/>
        <v>643.90155832532776</v>
      </c>
    </row>
    <row r="12" spans="1:8" x14ac:dyDescent="0.35">
      <c r="A12" s="13">
        <v>2033</v>
      </c>
      <c r="B12" s="13">
        <v>0.5</v>
      </c>
      <c r="C12" s="13">
        <f t="shared" si="0"/>
        <v>640.68205053370116</v>
      </c>
    </row>
    <row r="13" spans="1:8" x14ac:dyDescent="0.35">
      <c r="A13" s="13">
        <v>2034</v>
      </c>
      <c r="B13" s="13">
        <v>0.5</v>
      </c>
      <c r="C13" s="13">
        <f t="shared" si="0"/>
        <v>637.47864028103265</v>
      </c>
    </row>
    <row r="14" spans="1:8" x14ac:dyDescent="0.35">
      <c r="A14" s="13">
        <v>2035</v>
      </c>
      <c r="B14" s="13">
        <v>0.5</v>
      </c>
      <c r="C14" s="13">
        <f t="shared" si="0"/>
        <v>634.29124707962751</v>
      </c>
    </row>
    <row r="15" spans="1:8" x14ac:dyDescent="0.35">
      <c r="A15" s="13">
        <v>2036</v>
      </c>
      <c r="B15" s="13">
        <v>0.5</v>
      </c>
      <c r="C15" s="13">
        <f t="shared" si="0"/>
        <v>631.11979084422933</v>
      </c>
    </row>
    <row r="16" spans="1:8" x14ac:dyDescent="0.35">
      <c r="A16" s="13">
        <v>2037</v>
      </c>
      <c r="B16" s="13">
        <v>0.5</v>
      </c>
      <c r="C16" s="13">
        <f t="shared" si="0"/>
        <v>627.96419189000824</v>
      </c>
    </row>
    <row r="17" spans="1:3" x14ac:dyDescent="0.35">
      <c r="A17" s="13">
        <v>2038</v>
      </c>
      <c r="B17" s="13">
        <v>0.5</v>
      </c>
      <c r="C17" s="13">
        <f t="shared" si="0"/>
        <v>624.82437093055819</v>
      </c>
    </row>
    <row r="18" spans="1:3" x14ac:dyDescent="0.35">
      <c r="A18" s="13">
        <v>2039</v>
      </c>
      <c r="B18" s="13">
        <v>0.5</v>
      </c>
      <c r="C18" s="13">
        <f t="shared" si="0"/>
        <v>621.70024907590539</v>
      </c>
    </row>
    <row r="19" spans="1:3" x14ac:dyDescent="0.35">
      <c r="A19" s="13">
        <v>2040</v>
      </c>
      <c r="B19" s="13">
        <v>0.5</v>
      </c>
      <c r="C19" s="13">
        <f t="shared" si="0"/>
        <v>618.59174783052583</v>
      </c>
    </row>
    <row r="20" spans="1:3" x14ac:dyDescent="0.35">
      <c r="A20" s="13">
        <v>2041</v>
      </c>
      <c r="B20" s="13">
        <v>0.5</v>
      </c>
      <c r="C20" s="13">
        <f t="shared" si="0"/>
        <v>615.49878909137317</v>
      </c>
    </row>
    <row r="21" spans="1:3" x14ac:dyDescent="0.35">
      <c r="A21" s="13">
        <v>2042</v>
      </c>
      <c r="B21" s="13">
        <v>0.5</v>
      </c>
      <c r="C21" s="13">
        <f t="shared" si="0"/>
        <v>612.42129514591625</v>
      </c>
    </row>
    <row r="22" spans="1:3" x14ac:dyDescent="0.35">
      <c r="A22" s="13">
        <v>2043</v>
      </c>
      <c r="B22" s="13">
        <v>0.5</v>
      </c>
      <c r="C22" s="13">
        <f t="shared" si="0"/>
        <v>609.35918867018665</v>
      </c>
    </row>
    <row r="23" spans="1:3" x14ac:dyDescent="0.35">
      <c r="A23" s="13">
        <v>2044</v>
      </c>
      <c r="B23" s="13">
        <v>0.5</v>
      </c>
      <c r="C23" s="13">
        <f t="shared" si="0"/>
        <v>606.3123927268357</v>
      </c>
    </row>
    <row r="24" spans="1:3" x14ac:dyDescent="0.35">
      <c r="A24" s="13">
        <v>2045</v>
      </c>
      <c r="B24" s="13">
        <v>0.5</v>
      </c>
      <c r="C24" s="13">
        <f t="shared" si="0"/>
        <v>603.28083076320149</v>
      </c>
    </row>
    <row r="25" spans="1:3" x14ac:dyDescent="0.35">
      <c r="A25" s="13">
        <v>2046</v>
      </c>
      <c r="B25" s="13">
        <v>0.5</v>
      </c>
      <c r="C25" s="13">
        <f t="shared" si="0"/>
        <v>600.26442660938551</v>
      </c>
    </row>
    <row r="26" spans="1:3" x14ac:dyDescent="0.35">
      <c r="A26" s="13">
        <v>2047</v>
      </c>
      <c r="B26" s="13">
        <v>0.5</v>
      </c>
      <c r="C26" s="13">
        <f t="shared" si="0"/>
        <v>597.26310447633853</v>
      </c>
    </row>
    <row r="27" spans="1:3" x14ac:dyDescent="0.35">
      <c r="A27" s="13">
        <v>2048</v>
      </c>
      <c r="B27" s="13">
        <v>0.5</v>
      </c>
      <c r="C27" s="13">
        <f t="shared" si="0"/>
        <v>594.27678895395684</v>
      </c>
    </row>
    <row r="28" spans="1:3" x14ac:dyDescent="0.35">
      <c r="A28" s="13">
        <v>2049</v>
      </c>
      <c r="B28" s="13">
        <v>0.5</v>
      </c>
      <c r="C28" s="13">
        <f t="shared" si="0"/>
        <v>591.3054050091871</v>
      </c>
    </row>
    <row r="29" spans="1:3" x14ac:dyDescent="0.35">
      <c r="A29" s="13">
        <v>2050</v>
      </c>
      <c r="B29" s="13">
        <v>0.5</v>
      </c>
      <c r="C29" s="13">
        <f t="shared" si="0"/>
        <v>588.34887798414115</v>
      </c>
    </row>
    <row r="30" spans="1:3" x14ac:dyDescent="0.35">
      <c r="B30">
        <f>SUM(B1:B29)</f>
        <v>14</v>
      </c>
      <c r="C30">
        <f>(C29-C1)/C1</f>
        <v>-0.13094700445473981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8D8-585D-4EA7-BCFF-D3D621E4A25C}">
  <dimension ref="A2:O67"/>
  <sheetViews>
    <sheetView zoomScale="55" zoomScaleNormal="55" workbookViewId="0">
      <selection activeCell="G30" sqref="G30"/>
    </sheetView>
  </sheetViews>
  <sheetFormatPr defaultRowHeight="14.5" x14ac:dyDescent="0.35"/>
  <cols>
    <col min="1" max="2" width="8.7265625" style="13"/>
    <col min="3" max="3" width="34.1796875" style="13" customWidth="1"/>
    <col min="4" max="5" width="15.81640625" style="13" customWidth="1"/>
    <col min="6" max="6" width="15.81640625" customWidth="1"/>
    <col min="7" max="9" width="15.81640625" style="13" customWidth="1"/>
    <col min="10" max="10" width="15.81640625" customWidth="1"/>
    <col min="11" max="13" width="15.81640625" style="13" customWidth="1"/>
    <col min="14" max="14" width="15.81640625" customWidth="1"/>
    <col min="15" max="15" width="12" customWidth="1"/>
  </cols>
  <sheetData>
    <row r="2" spans="1:15" x14ac:dyDescent="0.35">
      <c r="D2" s="280" t="s">
        <v>130</v>
      </c>
      <c r="E2" s="251"/>
      <c r="F2" s="251"/>
      <c r="G2" s="251"/>
      <c r="H2" s="251"/>
      <c r="I2" s="251"/>
      <c r="J2" s="251"/>
      <c r="K2" s="251"/>
      <c r="L2" s="251"/>
      <c r="M2" s="251"/>
      <c r="N2" s="252"/>
    </row>
    <row r="3" spans="1:15" x14ac:dyDescent="0.35">
      <c r="C3" s="42"/>
      <c r="D3" s="250" t="s">
        <v>183</v>
      </c>
      <c r="E3" s="250"/>
      <c r="F3" s="250"/>
      <c r="G3" s="250" t="s">
        <v>116</v>
      </c>
      <c r="H3" s="250"/>
      <c r="I3" s="250"/>
      <c r="J3" s="250"/>
      <c r="K3" s="251" t="s">
        <v>115</v>
      </c>
      <c r="L3" s="251"/>
      <c r="M3" s="251"/>
      <c r="N3" s="252"/>
    </row>
    <row r="4" spans="1:15" x14ac:dyDescent="0.35">
      <c r="C4" s="43" t="s">
        <v>125</v>
      </c>
      <c r="D4" s="256" t="s">
        <v>117</v>
      </c>
      <c r="E4" s="257"/>
      <c r="F4" s="257"/>
      <c r="G4" s="256" t="s">
        <v>119</v>
      </c>
      <c r="H4" s="257"/>
      <c r="I4" s="257"/>
      <c r="J4" s="258"/>
      <c r="K4" s="265" t="s">
        <v>121</v>
      </c>
      <c r="L4" s="265"/>
      <c r="M4" s="265"/>
      <c r="N4" s="266"/>
    </row>
    <row r="5" spans="1:15" ht="60" customHeight="1" x14ac:dyDescent="0.35">
      <c r="C5" s="43"/>
      <c r="D5" s="259" t="s">
        <v>118</v>
      </c>
      <c r="E5" s="260"/>
      <c r="F5" s="260"/>
      <c r="G5" s="259" t="s">
        <v>120</v>
      </c>
      <c r="H5" s="260"/>
      <c r="I5" s="260"/>
      <c r="J5" s="261"/>
      <c r="K5" s="267" t="s">
        <v>122</v>
      </c>
      <c r="L5" s="267"/>
      <c r="M5" s="267"/>
      <c r="N5" s="268"/>
    </row>
    <row r="6" spans="1:15" x14ac:dyDescent="0.35">
      <c r="C6" s="43"/>
      <c r="D6" s="262"/>
      <c r="E6" s="263"/>
      <c r="F6" s="263"/>
      <c r="G6" s="262"/>
      <c r="H6" s="263"/>
      <c r="I6" s="263"/>
      <c r="J6" s="264"/>
      <c r="K6" s="267" t="s">
        <v>123</v>
      </c>
      <c r="L6" s="267"/>
      <c r="M6" s="267"/>
      <c r="N6" s="268"/>
    </row>
    <row r="7" spans="1:15" x14ac:dyDescent="0.35">
      <c r="C7" s="44"/>
      <c r="D7" s="262"/>
      <c r="E7" s="263"/>
      <c r="F7" s="263"/>
      <c r="G7" s="40"/>
      <c r="H7" s="46"/>
      <c r="I7" s="46"/>
      <c r="J7" s="41"/>
      <c r="K7" s="269" t="s">
        <v>124</v>
      </c>
      <c r="L7" s="269"/>
      <c r="M7" s="269"/>
      <c r="N7" s="270"/>
    </row>
    <row r="8" spans="1:15" x14ac:dyDescent="0.35">
      <c r="C8" s="42" t="s">
        <v>126</v>
      </c>
      <c r="D8" s="271" t="s">
        <v>127</v>
      </c>
      <c r="E8" s="272"/>
      <c r="F8" s="273"/>
      <c r="G8" s="274"/>
      <c r="H8" s="275"/>
      <c r="I8" s="275"/>
      <c r="J8" s="276"/>
      <c r="K8" s="271" t="s">
        <v>138</v>
      </c>
      <c r="L8" s="272"/>
      <c r="M8" s="272"/>
      <c r="N8" s="273"/>
    </row>
    <row r="9" spans="1:15" x14ac:dyDescent="0.35">
      <c r="C9" s="43"/>
      <c r="D9" s="274"/>
      <c r="E9" s="275"/>
      <c r="F9" s="276"/>
      <c r="G9" s="274"/>
      <c r="H9" s="275"/>
      <c r="I9" s="275"/>
      <c r="J9" s="276"/>
      <c r="K9" s="274" t="s">
        <v>184</v>
      </c>
      <c r="L9" s="275"/>
      <c r="M9" s="275"/>
      <c r="N9" s="276"/>
    </row>
    <row r="10" spans="1:15" x14ac:dyDescent="0.35">
      <c r="C10" s="43"/>
      <c r="D10" s="274"/>
      <c r="E10" s="275"/>
      <c r="F10" s="276"/>
      <c r="G10" s="274" t="s">
        <v>205</v>
      </c>
      <c r="H10" s="275"/>
      <c r="I10" s="275"/>
      <c r="J10" s="276"/>
      <c r="K10" s="274" t="s">
        <v>128</v>
      </c>
      <c r="L10" s="275"/>
      <c r="M10" s="275"/>
      <c r="N10" s="276"/>
    </row>
    <row r="11" spans="1:15" x14ac:dyDescent="0.35">
      <c r="C11" s="43"/>
      <c r="D11" s="274"/>
      <c r="E11" s="275"/>
      <c r="F11" s="276"/>
      <c r="G11" s="274"/>
      <c r="H11" s="275"/>
      <c r="I11" s="275"/>
      <c r="J11" s="276"/>
      <c r="K11" s="274" t="s">
        <v>204</v>
      </c>
      <c r="L11" s="275"/>
      <c r="M11" s="275"/>
      <c r="N11" s="276"/>
    </row>
    <row r="12" spans="1:15" ht="26.5" customHeight="1" x14ac:dyDescent="0.35">
      <c r="C12" s="44"/>
      <c r="D12" s="253"/>
      <c r="E12" s="254"/>
      <c r="F12" s="255"/>
      <c r="G12" s="253"/>
      <c r="H12" s="254"/>
      <c r="I12" s="254"/>
      <c r="J12" s="255"/>
      <c r="K12" s="281"/>
      <c r="L12" s="282"/>
      <c r="M12" s="282"/>
      <c r="N12" s="283"/>
    </row>
    <row r="14" spans="1:15" x14ac:dyDescent="0.35">
      <c r="D14" s="280" t="s">
        <v>129</v>
      </c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112"/>
    </row>
    <row r="15" spans="1:15" ht="16.5" customHeight="1" x14ac:dyDescent="0.35">
      <c r="D15" s="71" t="s">
        <v>72</v>
      </c>
      <c r="E15" s="72" t="s">
        <v>104</v>
      </c>
      <c r="F15" s="73" t="s">
        <v>136</v>
      </c>
      <c r="G15" s="71" t="s">
        <v>210</v>
      </c>
      <c r="H15" s="72" t="s">
        <v>209</v>
      </c>
      <c r="I15" s="72" t="s">
        <v>104</v>
      </c>
      <c r="J15" s="73" t="s">
        <v>136</v>
      </c>
      <c r="K15" s="71" t="s">
        <v>210</v>
      </c>
      <c r="L15" s="72" t="s">
        <v>209</v>
      </c>
      <c r="M15" s="72" t="s">
        <v>104</v>
      </c>
      <c r="N15" s="72" t="s">
        <v>136</v>
      </c>
      <c r="O15" s="73" t="s">
        <v>135</v>
      </c>
    </row>
    <row r="16" spans="1:15" ht="16.5" customHeight="1" x14ac:dyDescent="0.35">
      <c r="A16" s="45" t="s">
        <v>134</v>
      </c>
      <c r="B16" s="7" t="s">
        <v>0</v>
      </c>
      <c r="C16" s="7" t="s">
        <v>1</v>
      </c>
      <c r="D16" s="52"/>
      <c r="E16" s="11"/>
      <c r="F16" s="10"/>
      <c r="G16" s="241" t="s">
        <v>137</v>
      </c>
      <c r="H16" s="242"/>
      <c r="I16" s="242"/>
      <c r="J16" s="243"/>
      <c r="K16" s="277" t="s">
        <v>137</v>
      </c>
      <c r="L16" s="278"/>
      <c r="M16" s="278"/>
      <c r="N16" s="278"/>
      <c r="O16" s="279"/>
    </row>
    <row r="17" spans="1:15" ht="32" customHeight="1" x14ac:dyDescent="0.35">
      <c r="A17" s="106" t="s">
        <v>131</v>
      </c>
      <c r="B17" s="107" t="s">
        <v>2</v>
      </c>
      <c r="C17" s="100" t="s">
        <v>3</v>
      </c>
      <c r="D17" s="74"/>
      <c r="E17" s="48"/>
      <c r="F17" s="75"/>
      <c r="G17" s="81">
        <f>'Assumptions IFAD'!B3</f>
        <v>-13.793103448275861</v>
      </c>
      <c r="H17" s="82">
        <f>'Assumptions IFAD'!B3</f>
        <v>-13.793103448275861</v>
      </c>
      <c r="I17" s="82">
        <f>'Assumptions IFAD'!C3</f>
        <v>-13.043478260869565</v>
      </c>
      <c r="J17" s="82">
        <f>'Assumptions IFAD'!D3</f>
        <v>-13.043478260869565</v>
      </c>
      <c r="K17" s="81"/>
      <c r="L17" s="82"/>
      <c r="M17" s="82"/>
      <c r="N17" s="83"/>
      <c r="O17" s="75"/>
    </row>
    <row r="18" spans="1:15" ht="32" customHeight="1" x14ac:dyDescent="0.35">
      <c r="A18" s="108" t="s">
        <v>131</v>
      </c>
      <c r="B18" s="2" t="s">
        <v>2</v>
      </c>
      <c r="C18" s="102" t="s">
        <v>4</v>
      </c>
      <c r="D18" s="74"/>
      <c r="E18" s="48"/>
      <c r="F18" s="75"/>
      <c r="G18" s="81">
        <f>'Assumptions IFAD'!B4</f>
        <v>-20.000000000000004</v>
      </c>
      <c r="H18" s="82">
        <f>'Assumptions IFAD'!B4</f>
        <v>-20.000000000000004</v>
      </c>
      <c r="I18" s="82">
        <f>'Assumptions IFAD'!C4</f>
        <v>-20.000000000000004</v>
      </c>
      <c r="J18" s="82">
        <f>'Assumptions IFAD'!D4</f>
        <v>-20.000000000000004</v>
      </c>
      <c r="K18" s="81"/>
      <c r="L18" s="82"/>
      <c r="M18" s="82"/>
      <c r="N18" s="83"/>
      <c r="O18" s="75"/>
    </row>
    <row r="19" spans="1:15" ht="32" customHeight="1" x14ac:dyDescent="0.35">
      <c r="A19" s="108" t="s">
        <v>131</v>
      </c>
      <c r="B19" s="2" t="s">
        <v>2</v>
      </c>
      <c r="C19" s="102" t="s">
        <v>49</v>
      </c>
      <c r="D19" s="74"/>
      <c r="E19" s="48"/>
      <c r="F19" s="75"/>
      <c r="G19" s="81">
        <f>'Assumptions IFAD'!B5</f>
        <v>-19.999999999999996</v>
      </c>
      <c r="H19" s="82">
        <f>'Assumptions IFAD'!B5</f>
        <v>-19.999999999999996</v>
      </c>
      <c r="I19" s="82">
        <f>'Assumptions IFAD'!C5</f>
        <v>-20</v>
      </c>
      <c r="J19" s="82">
        <f>'Assumptions IFAD'!D5</f>
        <v>-20</v>
      </c>
      <c r="K19" s="81"/>
      <c r="L19" s="82"/>
      <c r="M19" s="82"/>
      <c r="N19" s="83"/>
      <c r="O19" s="75"/>
    </row>
    <row r="20" spans="1:15" ht="32" customHeight="1" x14ac:dyDescent="0.35">
      <c r="A20" s="108" t="s">
        <v>131</v>
      </c>
      <c r="B20" s="2" t="s">
        <v>2</v>
      </c>
      <c r="C20" s="102" t="s">
        <v>50</v>
      </c>
      <c r="D20" s="74"/>
      <c r="E20" s="48"/>
      <c r="F20" s="75"/>
      <c r="G20" s="81">
        <f>'Assumptions IFAD'!B6</f>
        <v>-20.000000000000004</v>
      </c>
      <c r="H20" s="82">
        <f>'Assumptions IFAD'!B6</f>
        <v>-20.000000000000004</v>
      </c>
      <c r="I20" s="82">
        <f>'Assumptions IFAD'!C6</f>
        <v>-20.000000000000004</v>
      </c>
      <c r="J20" s="82">
        <f>'Assumptions IFAD'!D6</f>
        <v>-20.000000000000004</v>
      </c>
      <c r="K20" s="81"/>
      <c r="L20" s="82"/>
      <c r="M20" s="82"/>
      <c r="N20" s="83"/>
      <c r="O20" s="75"/>
    </row>
    <row r="21" spans="1:15" ht="32" customHeight="1" x14ac:dyDescent="0.35">
      <c r="A21" s="108" t="s">
        <v>131</v>
      </c>
      <c r="B21" s="2" t="s">
        <v>2</v>
      </c>
      <c r="C21" s="102" t="s">
        <v>5</v>
      </c>
      <c r="D21" s="74"/>
      <c r="E21" s="48"/>
      <c r="F21" s="75"/>
      <c r="G21" s="81">
        <f>'Assumptions IFAD'!B7*2</f>
        <v>5.8252427184466153</v>
      </c>
      <c r="H21" s="82">
        <f>'Assumptions IFAD'!B7*2.5</f>
        <v>7.2815533980582696</v>
      </c>
      <c r="I21" s="82"/>
      <c r="J21" s="82"/>
      <c r="K21" s="81"/>
      <c r="L21" s="82"/>
      <c r="M21" s="82"/>
      <c r="N21" s="83"/>
      <c r="O21" s="75"/>
    </row>
    <row r="22" spans="1:15" s="13" customFormat="1" ht="32" customHeight="1" x14ac:dyDescent="0.35">
      <c r="A22" s="108" t="s">
        <v>131</v>
      </c>
      <c r="B22" s="2" t="s">
        <v>2</v>
      </c>
      <c r="C22" s="102" t="s">
        <v>132</v>
      </c>
      <c r="D22" s="76"/>
      <c r="E22" s="48"/>
      <c r="F22" s="75"/>
      <c r="G22" s="84"/>
      <c r="H22" s="85"/>
      <c r="I22" s="82">
        <f>'Assumptions IFAD'!C8*2</f>
        <v>50.000000000000014</v>
      </c>
      <c r="J22" s="82">
        <f>'Assumptions IFAD'!D8*2</f>
        <v>54.545454545454511</v>
      </c>
      <c r="K22" s="84"/>
      <c r="L22" s="85"/>
      <c r="M22" s="82"/>
      <c r="N22" s="83"/>
      <c r="O22" s="75"/>
    </row>
    <row r="23" spans="1:15" ht="32" customHeight="1" x14ac:dyDescent="0.35">
      <c r="A23" s="108" t="s">
        <v>131</v>
      </c>
      <c r="B23" s="2" t="s">
        <v>2</v>
      </c>
      <c r="C23" s="102" t="s">
        <v>6</v>
      </c>
      <c r="D23" s="74"/>
      <c r="E23" s="48"/>
      <c r="F23" s="75"/>
      <c r="G23" s="81">
        <f>'Assumptions IFAD'!B9*2</f>
        <v>40</v>
      </c>
      <c r="H23" s="82">
        <f>'Assumptions IFAD'!B9*2.5</f>
        <v>50</v>
      </c>
      <c r="I23" s="82">
        <v>15</v>
      </c>
      <c r="J23" s="82">
        <v>15</v>
      </c>
      <c r="K23" s="81"/>
      <c r="L23" s="82"/>
      <c r="M23" s="82"/>
      <c r="N23" s="83"/>
      <c r="O23" s="75"/>
    </row>
    <row r="24" spans="1:15" ht="32" customHeight="1" x14ac:dyDescent="0.35">
      <c r="A24" s="108" t="s">
        <v>131</v>
      </c>
      <c r="B24" s="2" t="s">
        <v>2</v>
      </c>
      <c r="C24" s="102" t="s">
        <v>7</v>
      </c>
      <c r="D24" s="74"/>
      <c r="E24" s="48"/>
      <c r="F24" s="75"/>
      <c r="G24" s="81">
        <f>'Assumptions IFAD'!B10*2</f>
        <v>40</v>
      </c>
      <c r="H24" s="82">
        <f>'Assumptions IFAD'!B10*2.5</f>
        <v>50</v>
      </c>
      <c r="I24" s="82">
        <v>15</v>
      </c>
      <c r="J24" s="82">
        <v>15</v>
      </c>
      <c r="K24" s="81"/>
      <c r="L24" s="82"/>
      <c r="M24" s="82"/>
      <c r="N24" s="83"/>
      <c r="O24" s="75"/>
    </row>
    <row r="25" spans="1:15" ht="32" customHeight="1" x14ac:dyDescent="0.35">
      <c r="A25" s="108" t="s">
        <v>131</v>
      </c>
      <c r="B25" s="2" t="s">
        <v>2</v>
      </c>
      <c r="C25" s="102" t="s">
        <v>8</v>
      </c>
      <c r="D25" s="74"/>
      <c r="E25" s="48"/>
      <c r="F25" s="75"/>
      <c r="G25" s="81">
        <f>'Assumptions IFAD'!B11*2</f>
        <v>40</v>
      </c>
      <c r="H25" s="82">
        <f>'Assumptions IFAD'!B11*2.5</f>
        <v>50</v>
      </c>
      <c r="I25" s="82">
        <v>15</v>
      </c>
      <c r="J25" s="82">
        <v>15</v>
      </c>
      <c r="K25" s="81"/>
      <c r="L25" s="82"/>
      <c r="M25" s="82"/>
      <c r="N25" s="83"/>
      <c r="O25" s="75"/>
    </row>
    <row r="26" spans="1:15" ht="32" customHeight="1" x14ac:dyDescent="0.35">
      <c r="A26" s="108" t="s">
        <v>131</v>
      </c>
      <c r="B26" s="2" t="s">
        <v>2</v>
      </c>
      <c r="C26" s="102" t="s">
        <v>9</v>
      </c>
      <c r="D26" s="74"/>
      <c r="E26" s="48"/>
      <c r="F26" s="75"/>
      <c r="G26" s="81">
        <f>'Assumptions IFAD'!B12*2</f>
        <v>40</v>
      </c>
      <c r="H26" s="82">
        <f>'Assumptions IFAD'!B12*2.5</f>
        <v>50</v>
      </c>
      <c r="I26" s="82">
        <v>15</v>
      </c>
      <c r="J26" s="82">
        <v>15</v>
      </c>
      <c r="K26" s="81"/>
      <c r="L26" s="82"/>
      <c r="M26" s="82"/>
      <c r="N26" s="83"/>
      <c r="O26" s="75"/>
    </row>
    <row r="27" spans="1:15" ht="32" customHeight="1" x14ac:dyDescent="0.35">
      <c r="A27" s="108" t="s">
        <v>131</v>
      </c>
      <c r="B27" s="2" t="s">
        <v>2</v>
      </c>
      <c r="C27" s="102" t="s">
        <v>10</v>
      </c>
      <c r="D27" s="74"/>
      <c r="E27" s="77"/>
      <c r="F27" s="62"/>
      <c r="G27" s="81">
        <f>'Assumptions IFAD'!B13*2</f>
        <v>11.764705882352953</v>
      </c>
      <c r="H27" s="82">
        <f>'Assumptions IFAD'!B13*2.5</f>
        <v>14.705882352941192</v>
      </c>
      <c r="I27" s="85"/>
      <c r="J27" s="85"/>
      <c r="K27" s="81"/>
      <c r="L27" s="82"/>
      <c r="M27" s="85"/>
      <c r="N27" s="86"/>
      <c r="O27" s="75"/>
    </row>
    <row r="28" spans="1:15" ht="32" customHeight="1" x14ac:dyDescent="0.35">
      <c r="A28" s="108" t="s">
        <v>131</v>
      </c>
      <c r="B28" s="2" t="s">
        <v>2</v>
      </c>
      <c r="C28" s="102" t="s">
        <v>11</v>
      </c>
      <c r="D28" s="74"/>
      <c r="E28" s="77"/>
      <c r="F28" s="62"/>
      <c r="G28" s="81"/>
      <c r="H28" s="82"/>
      <c r="I28" s="85"/>
      <c r="J28" s="85"/>
      <c r="K28" s="81"/>
      <c r="L28" s="82"/>
      <c r="M28" s="85"/>
      <c r="N28" s="86"/>
      <c r="O28" s="75"/>
    </row>
    <row r="29" spans="1:15" ht="32" customHeight="1" x14ac:dyDescent="0.35">
      <c r="A29" s="108" t="s">
        <v>131</v>
      </c>
      <c r="B29" s="2" t="s">
        <v>2</v>
      </c>
      <c r="C29" s="102" t="s">
        <v>12</v>
      </c>
      <c r="D29" s="74"/>
      <c r="E29" s="77"/>
      <c r="F29" s="62"/>
      <c r="G29" s="81">
        <f>'Assumptions IFAD'!B15*2</f>
        <v>40</v>
      </c>
      <c r="H29" s="82">
        <f>'Assumptions IFAD'!B15*2.5</f>
        <v>50</v>
      </c>
      <c r="I29" s="85"/>
      <c r="J29" s="85"/>
      <c r="K29" s="81"/>
      <c r="L29" s="82"/>
      <c r="M29" s="85"/>
      <c r="N29" s="86"/>
      <c r="O29" s="75"/>
    </row>
    <row r="30" spans="1:15" ht="32" customHeight="1" x14ac:dyDescent="0.35">
      <c r="A30" s="108" t="s">
        <v>131</v>
      </c>
      <c r="B30" s="2" t="s">
        <v>2</v>
      </c>
      <c r="C30" s="102" t="s">
        <v>13</v>
      </c>
      <c r="D30" s="74"/>
      <c r="E30" s="48"/>
      <c r="F30" s="75"/>
      <c r="G30" s="81">
        <v>-13</v>
      </c>
      <c r="H30" s="81">
        <v>-13</v>
      </c>
      <c r="I30" s="81">
        <v>-13</v>
      </c>
      <c r="J30" s="81">
        <v>-13</v>
      </c>
      <c r="K30" s="81"/>
      <c r="L30" s="82"/>
      <c r="M30" s="82"/>
      <c r="N30" s="83"/>
      <c r="O30" s="75"/>
    </row>
    <row r="31" spans="1:15" ht="32" customHeight="1" x14ac:dyDescent="0.35">
      <c r="A31" s="108" t="s">
        <v>131</v>
      </c>
      <c r="B31" s="2" t="s">
        <v>2</v>
      </c>
      <c r="C31" s="102" t="s">
        <v>14</v>
      </c>
      <c r="D31" s="74"/>
      <c r="E31" s="48"/>
      <c r="F31" s="75"/>
      <c r="G31" s="81"/>
      <c r="H31" s="82"/>
      <c r="I31" s="82"/>
      <c r="J31" s="82"/>
      <c r="K31" s="81"/>
      <c r="L31" s="82"/>
      <c r="M31" s="82"/>
      <c r="N31" s="83"/>
      <c r="O31" s="75"/>
    </row>
    <row r="32" spans="1:15" s="13" customFormat="1" ht="32" customHeight="1" x14ac:dyDescent="0.35">
      <c r="A32" s="108" t="s">
        <v>131</v>
      </c>
      <c r="B32" s="2" t="s">
        <v>2</v>
      </c>
      <c r="C32" s="102" t="s">
        <v>133</v>
      </c>
      <c r="D32" s="76"/>
      <c r="E32" s="48"/>
      <c r="F32" s="75"/>
      <c r="G32" s="84"/>
      <c r="H32" s="85"/>
      <c r="I32" s="82"/>
      <c r="J32" s="82"/>
      <c r="K32" s="84"/>
      <c r="L32" s="85"/>
      <c r="M32" s="82"/>
      <c r="N32" s="83"/>
      <c r="O32" s="75"/>
    </row>
    <row r="33" spans="1:15" ht="32" customHeight="1" x14ac:dyDescent="0.35">
      <c r="A33" s="108" t="s">
        <v>131</v>
      </c>
      <c r="B33" s="2" t="s">
        <v>2</v>
      </c>
      <c r="C33" s="102" t="s">
        <v>15</v>
      </c>
      <c r="D33" s="74"/>
      <c r="E33" s="48"/>
      <c r="F33" s="75"/>
      <c r="G33" s="81">
        <f>'Assumptions IFAD'!B19*2</f>
        <v>-40</v>
      </c>
      <c r="H33" s="82">
        <f>'Assumptions IFAD'!B19*2.5</f>
        <v>-50</v>
      </c>
      <c r="I33" s="82">
        <f>'Assumptions IFAD'!C19*2</f>
        <v>-40</v>
      </c>
      <c r="J33" s="82">
        <f>'Assumptions IFAD'!D19*2</f>
        <v>-40</v>
      </c>
      <c r="K33" s="81"/>
      <c r="L33" s="82"/>
      <c r="M33" s="82"/>
      <c r="N33" s="83"/>
      <c r="O33" s="75"/>
    </row>
    <row r="34" spans="1:15" x14ac:dyDescent="0.35">
      <c r="A34" s="109" t="s">
        <v>131</v>
      </c>
      <c r="B34" s="110" t="s">
        <v>2</v>
      </c>
      <c r="C34" s="111" t="s">
        <v>16</v>
      </c>
      <c r="D34" s="74"/>
      <c r="E34" s="48"/>
      <c r="F34" s="75"/>
      <c r="G34" s="81">
        <f>'Assumptions IFAD'!B20*2</f>
        <v>20</v>
      </c>
      <c r="H34" s="82">
        <f>'Assumptions IFAD'!B20*2.5</f>
        <v>25</v>
      </c>
      <c r="I34" s="82"/>
      <c r="J34" s="82"/>
      <c r="K34" s="81"/>
      <c r="L34" s="82"/>
      <c r="M34" s="82"/>
      <c r="N34" s="83"/>
      <c r="O34" s="75"/>
    </row>
    <row r="35" spans="1:15" x14ac:dyDescent="0.35">
      <c r="A35" s="3"/>
      <c r="B35" s="3"/>
      <c r="C35" s="3"/>
      <c r="D35" s="53"/>
      <c r="E35" s="3"/>
      <c r="F35" s="54"/>
      <c r="G35" s="54"/>
      <c r="H35" s="54"/>
      <c r="I35" s="186"/>
      <c r="J35" s="187"/>
      <c r="K35" s="247"/>
      <c r="L35" s="248"/>
      <c r="M35" s="248"/>
      <c r="N35" s="249"/>
      <c r="O35" s="87"/>
    </row>
    <row r="36" spans="1:15" x14ac:dyDescent="0.35">
      <c r="A36" s="98" t="s">
        <v>131</v>
      </c>
      <c r="B36" s="99" t="s">
        <v>17</v>
      </c>
      <c r="C36" s="100" t="s">
        <v>18</v>
      </c>
      <c r="D36" s="74"/>
      <c r="E36" s="48"/>
      <c r="F36" s="75"/>
      <c r="G36" s="81">
        <f>'Assumptions IFAD'!B22</f>
        <v>0</v>
      </c>
      <c r="H36" s="81">
        <v>0</v>
      </c>
      <c r="I36" s="48"/>
      <c r="J36" s="75"/>
      <c r="K36" s="74"/>
      <c r="L36" s="48"/>
      <c r="M36" s="48"/>
      <c r="N36" s="75"/>
      <c r="O36" s="75"/>
    </row>
    <row r="37" spans="1:15" ht="29" customHeight="1" x14ac:dyDescent="0.35">
      <c r="A37" s="101" t="s">
        <v>131</v>
      </c>
      <c r="B37" s="9" t="s">
        <v>17</v>
      </c>
      <c r="C37" s="102" t="s">
        <v>19</v>
      </c>
      <c r="D37" s="74"/>
      <c r="E37" s="48"/>
      <c r="F37" s="75"/>
      <c r="G37" s="81">
        <f>'Assumptions IFAD'!B23</f>
        <v>0</v>
      </c>
      <c r="H37" s="81">
        <v>0</v>
      </c>
      <c r="I37" s="48"/>
      <c r="J37" s="75"/>
      <c r="K37" s="74"/>
      <c r="L37" s="48"/>
      <c r="M37" s="48"/>
      <c r="N37" s="75"/>
      <c r="O37" s="75"/>
    </row>
    <row r="38" spans="1:15" x14ac:dyDescent="0.35">
      <c r="A38" s="101" t="s">
        <v>131</v>
      </c>
      <c r="B38" s="9" t="s">
        <v>17</v>
      </c>
      <c r="C38" s="102" t="s">
        <v>20</v>
      </c>
      <c r="D38" s="74"/>
      <c r="E38" s="48"/>
      <c r="F38" s="75"/>
      <c r="G38" s="81">
        <f>'Assumptions IFAD'!B24</f>
        <v>0</v>
      </c>
      <c r="H38" s="81">
        <v>0</v>
      </c>
      <c r="I38" s="48"/>
      <c r="J38" s="75"/>
      <c r="K38" s="74"/>
      <c r="L38" s="48"/>
      <c r="M38" s="48"/>
      <c r="N38" s="75"/>
      <c r="O38" s="75"/>
    </row>
    <row r="39" spans="1:15" x14ac:dyDescent="0.35">
      <c r="A39" s="101" t="s">
        <v>131</v>
      </c>
      <c r="B39" s="9" t="s">
        <v>17</v>
      </c>
      <c r="C39" s="102" t="s">
        <v>21</v>
      </c>
      <c r="D39" s="74"/>
      <c r="E39" s="48"/>
      <c r="F39" s="75"/>
      <c r="G39" s="81">
        <f>'Assumptions IFAD'!B25</f>
        <v>5</v>
      </c>
      <c r="H39" s="81">
        <v>5</v>
      </c>
      <c r="I39" s="48">
        <v>5</v>
      </c>
      <c r="J39" s="75">
        <v>5</v>
      </c>
      <c r="K39" s="74"/>
      <c r="L39" s="48"/>
      <c r="M39" s="48"/>
      <c r="N39" s="75"/>
      <c r="O39" s="75"/>
    </row>
    <row r="40" spans="1:15" x14ac:dyDescent="0.35">
      <c r="A40" s="101" t="s">
        <v>131</v>
      </c>
      <c r="B40" s="9" t="s">
        <v>17</v>
      </c>
      <c r="C40" s="102" t="s">
        <v>22</v>
      </c>
      <c r="D40" s="74"/>
      <c r="E40" s="48"/>
      <c r="F40" s="75"/>
      <c r="G40" s="81">
        <f>'Assumptions IFAD'!B26</f>
        <v>5</v>
      </c>
      <c r="H40" s="81">
        <v>5</v>
      </c>
      <c r="I40" s="48">
        <v>5</v>
      </c>
      <c r="J40" s="75">
        <v>5</v>
      </c>
      <c r="K40" s="74"/>
      <c r="L40" s="48"/>
      <c r="M40" s="48"/>
      <c r="N40" s="75"/>
      <c r="O40" s="75"/>
    </row>
    <row r="41" spans="1:15" x14ac:dyDescent="0.35">
      <c r="A41" s="101" t="s">
        <v>131</v>
      </c>
      <c r="B41" s="9" t="s">
        <v>17</v>
      </c>
      <c r="C41" s="102" t="s">
        <v>23</v>
      </c>
      <c r="D41" s="74"/>
      <c r="E41" s="48"/>
      <c r="F41" s="75"/>
      <c r="G41" s="81">
        <f>'Assumptions IFAD'!B27</f>
        <v>0</v>
      </c>
      <c r="H41" s="81">
        <v>0</v>
      </c>
      <c r="I41" s="48"/>
      <c r="J41" s="75"/>
      <c r="K41" s="74"/>
      <c r="L41" s="48"/>
      <c r="M41" s="48"/>
      <c r="N41" s="75"/>
      <c r="O41" s="75"/>
    </row>
    <row r="42" spans="1:15" ht="29" customHeight="1" x14ac:dyDescent="0.35">
      <c r="A42" s="101" t="s">
        <v>131</v>
      </c>
      <c r="B42" s="9" t="s">
        <v>17</v>
      </c>
      <c r="C42" s="102" t="s">
        <v>24</v>
      </c>
      <c r="D42" s="74"/>
      <c r="E42" s="48"/>
      <c r="F42" s="75"/>
      <c r="G42" s="81">
        <f>'Assumptions IFAD'!B28</f>
        <v>-10</v>
      </c>
      <c r="H42" s="81">
        <v>-10</v>
      </c>
      <c r="I42" s="48">
        <v>-10</v>
      </c>
      <c r="J42" s="75">
        <v>-10</v>
      </c>
      <c r="K42" s="74"/>
      <c r="L42" s="48"/>
      <c r="M42" s="48"/>
      <c r="N42" s="75"/>
      <c r="O42" s="75"/>
    </row>
    <row r="43" spans="1:15" x14ac:dyDescent="0.35">
      <c r="A43" s="101" t="s">
        <v>131</v>
      </c>
      <c r="B43" s="9" t="s">
        <v>17</v>
      </c>
      <c r="C43" s="102" t="s">
        <v>25</v>
      </c>
      <c r="D43" s="74"/>
      <c r="E43" s="48"/>
      <c r="F43" s="75"/>
      <c r="G43" s="81">
        <f>'Assumptions IFAD'!B29</f>
        <v>0</v>
      </c>
      <c r="H43" s="81">
        <v>0</v>
      </c>
      <c r="I43" s="48"/>
      <c r="J43" s="75"/>
      <c r="K43" s="74"/>
      <c r="L43" s="48"/>
      <c r="M43" s="48"/>
      <c r="N43" s="75"/>
      <c r="O43" s="75"/>
    </row>
    <row r="44" spans="1:15" x14ac:dyDescent="0.35">
      <c r="A44" s="101" t="s">
        <v>131</v>
      </c>
      <c r="B44" s="9" t="s">
        <v>17</v>
      </c>
      <c r="C44" s="102" t="s">
        <v>26</v>
      </c>
      <c r="D44" s="74"/>
      <c r="E44" s="48"/>
      <c r="F44" s="75"/>
      <c r="G44" s="81">
        <f>'Assumptions IFAD'!B30</f>
        <v>0</v>
      </c>
      <c r="H44" s="81">
        <v>0</v>
      </c>
      <c r="I44" s="48"/>
      <c r="J44" s="75"/>
      <c r="K44" s="74"/>
      <c r="L44" s="48"/>
      <c r="M44" s="48"/>
      <c r="N44" s="75"/>
      <c r="O44" s="75"/>
    </row>
    <row r="45" spans="1:15" x14ac:dyDescent="0.35">
      <c r="A45" s="101" t="s">
        <v>131</v>
      </c>
      <c r="B45" s="9" t="s">
        <v>17</v>
      </c>
      <c r="C45" s="102" t="s">
        <v>27</v>
      </c>
      <c r="D45" s="74"/>
      <c r="E45" s="48"/>
      <c r="F45" s="75"/>
      <c r="G45" s="81">
        <f>'Assumptions IFAD'!B31</f>
        <v>0</v>
      </c>
      <c r="H45" s="81">
        <v>0</v>
      </c>
      <c r="I45" s="48"/>
      <c r="J45" s="75"/>
      <c r="K45" s="74"/>
      <c r="L45" s="48"/>
      <c r="M45" s="48"/>
      <c r="N45" s="75"/>
      <c r="O45" s="75"/>
    </row>
    <row r="46" spans="1:15" x14ac:dyDescent="0.35">
      <c r="A46" s="101" t="s">
        <v>131</v>
      </c>
      <c r="B46" s="9" t="s">
        <v>17</v>
      </c>
      <c r="C46" s="102" t="s">
        <v>28</v>
      </c>
      <c r="D46" s="74"/>
      <c r="E46" s="48"/>
      <c r="F46" s="75"/>
      <c r="G46" s="81">
        <f>'Assumptions IFAD'!B32</f>
        <v>-6</v>
      </c>
      <c r="H46" s="81">
        <v>-6</v>
      </c>
      <c r="I46" s="48">
        <v>-3</v>
      </c>
      <c r="J46" s="75">
        <v>-3</v>
      </c>
      <c r="K46" s="74"/>
      <c r="L46" s="48"/>
      <c r="M46" s="48"/>
      <c r="N46" s="75"/>
      <c r="O46" s="75"/>
    </row>
    <row r="47" spans="1:15" ht="29" customHeight="1" x14ac:dyDescent="0.35">
      <c r="A47" s="101" t="s">
        <v>131</v>
      </c>
      <c r="B47" s="9" t="s">
        <v>17</v>
      </c>
      <c r="C47" s="102" t="s">
        <v>29</v>
      </c>
      <c r="D47" s="74"/>
      <c r="E47" s="48"/>
      <c r="F47" s="75"/>
      <c r="G47" s="81">
        <f>'Assumptions IFAD'!B33</f>
        <v>0</v>
      </c>
      <c r="H47" s="81">
        <v>0</v>
      </c>
      <c r="I47" s="48"/>
      <c r="J47" s="75"/>
      <c r="K47" s="74"/>
      <c r="L47" s="48"/>
      <c r="M47" s="48"/>
      <c r="N47" s="75"/>
      <c r="O47" s="75"/>
    </row>
    <row r="48" spans="1:15" x14ac:dyDescent="0.35">
      <c r="A48" s="101" t="s">
        <v>131</v>
      </c>
      <c r="B48" s="9" t="s">
        <v>17</v>
      </c>
      <c r="C48" s="102" t="s">
        <v>30</v>
      </c>
      <c r="D48" s="74"/>
      <c r="E48" s="48"/>
      <c r="F48" s="75"/>
      <c r="G48" s="81">
        <f>'Assumptions IFAD'!B34</f>
        <v>0</v>
      </c>
      <c r="H48" s="81">
        <v>0</v>
      </c>
      <c r="I48" s="48"/>
      <c r="J48" s="75"/>
      <c r="K48" s="74"/>
      <c r="L48" s="48"/>
      <c r="M48" s="48"/>
      <c r="N48" s="75"/>
      <c r="O48" s="75"/>
    </row>
    <row r="49" spans="1:15" x14ac:dyDescent="0.35">
      <c r="A49" s="101" t="s">
        <v>131</v>
      </c>
      <c r="B49" s="9" t="s">
        <v>17</v>
      </c>
      <c r="C49" s="102" t="s">
        <v>31</v>
      </c>
      <c r="D49" s="74"/>
      <c r="E49" s="48"/>
      <c r="F49" s="75"/>
      <c r="G49" s="81">
        <f>'Assumptions IFAD'!B35</f>
        <v>-4</v>
      </c>
      <c r="H49" s="81">
        <v>-4</v>
      </c>
      <c r="I49" s="48">
        <v>-6</v>
      </c>
      <c r="J49" s="75">
        <v>-6</v>
      </c>
      <c r="K49" s="74"/>
      <c r="L49" s="48"/>
      <c r="M49" s="48"/>
      <c r="N49" s="75"/>
      <c r="O49" s="75"/>
    </row>
    <row r="50" spans="1:15" ht="29" customHeight="1" x14ac:dyDescent="0.35">
      <c r="A50" s="101" t="s">
        <v>131</v>
      </c>
      <c r="B50" s="9" t="s">
        <v>17</v>
      </c>
      <c r="C50" s="102" t="s">
        <v>32</v>
      </c>
      <c r="D50" s="74"/>
      <c r="E50" s="48"/>
      <c r="F50" s="75"/>
      <c r="G50" s="81">
        <f>'Assumptions IFAD'!B36</f>
        <v>0</v>
      </c>
      <c r="H50" s="81">
        <v>0</v>
      </c>
      <c r="I50" s="48"/>
      <c r="J50" s="75"/>
      <c r="K50" s="74"/>
      <c r="L50" s="48"/>
      <c r="M50" s="48"/>
      <c r="N50" s="75"/>
      <c r="O50" s="75"/>
    </row>
    <row r="51" spans="1:15" x14ac:dyDescent="0.35">
      <c r="A51" s="101" t="s">
        <v>131</v>
      </c>
      <c r="B51" s="9" t="s">
        <v>17</v>
      </c>
      <c r="C51" s="102" t="s">
        <v>33</v>
      </c>
      <c r="D51" s="74"/>
      <c r="E51" s="48"/>
      <c r="F51" s="75"/>
      <c r="G51" s="81">
        <f>'Assumptions IFAD'!B37</f>
        <v>5</v>
      </c>
      <c r="H51" s="81">
        <v>5</v>
      </c>
      <c r="I51" s="48"/>
      <c r="J51" s="75"/>
      <c r="K51" s="74"/>
      <c r="L51" s="48"/>
      <c r="M51" s="48"/>
      <c r="N51" s="75"/>
      <c r="O51" s="75"/>
    </row>
    <row r="52" spans="1:15" x14ac:dyDescent="0.35">
      <c r="A52" s="101" t="s">
        <v>131</v>
      </c>
      <c r="B52" s="9" t="s">
        <v>17</v>
      </c>
      <c r="C52" s="102" t="s">
        <v>34</v>
      </c>
      <c r="D52" s="74"/>
      <c r="E52" s="48"/>
      <c r="F52" s="75"/>
      <c r="G52" s="81">
        <f>'Assumptions IFAD'!B38</f>
        <v>0</v>
      </c>
      <c r="H52" s="81">
        <v>0</v>
      </c>
      <c r="I52" s="48"/>
      <c r="J52" s="75"/>
      <c r="K52" s="74"/>
      <c r="L52" s="48"/>
      <c r="M52" s="48"/>
      <c r="N52" s="75"/>
      <c r="O52" s="75"/>
    </row>
    <row r="53" spans="1:15" x14ac:dyDescent="0.35">
      <c r="A53" s="101" t="s">
        <v>131</v>
      </c>
      <c r="B53" s="9" t="s">
        <v>17</v>
      </c>
      <c r="C53" s="102" t="s">
        <v>35</v>
      </c>
      <c r="D53" s="74"/>
      <c r="E53" s="48"/>
      <c r="F53" s="75"/>
      <c r="G53" s="81">
        <f>'Assumptions IFAD'!B39</f>
        <v>-2</v>
      </c>
      <c r="H53" s="81">
        <v>-2</v>
      </c>
      <c r="I53" s="48"/>
      <c r="J53" s="75"/>
      <c r="K53" s="74"/>
      <c r="L53" s="48"/>
      <c r="M53" s="48"/>
      <c r="N53" s="75"/>
      <c r="O53" s="75"/>
    </row>
    <row r="54" spans="1:15" ht="29" customHeight="1" x14ac:dyDescent="0.35">
      <c r="A54" s="101" t="s">
        <v>131</v>
      </c>
      <c r="B54" s="9" t="s">
        <v>17</v>
      </c>
      <c r="C54" s="102" t="s">
        <v>36</v>
      </c>
      <c r="D54" s="74"/>
      <c r="E54" s="48"/>
      <c r="F54" s="75"/>
      <c r="G54" s="81">
        <f>'Assumptions IFAD'!B40</f>
        <v>0</v>
      </c>
      <c r="H54" s="81">
        <v>0</v>
      </c>
      <c r="I54" s="48"/>
      <c r="J54" s="75"/>
      <c r="K54" s="74"/>
      <c r="L54" s="48"/>
      <c r="M54" s="48"/>
      <c r="N54" s="75"/>
      <c r="O54" s="75"/>
    </row>
    <row r="55" spans="1:15" ht="29" customHeight="1" x14ac:dyDescent="0.35">
      <c r="A55" s="101" t="s">
        <v>131</v>
      </c>
      <c r="B55" s="9" t="s">
        <v>17</v>
      </c>
      <c r="C55" s="102" t="s">
        <v>37</v>
      </c>
      <c r="D55" s="74"/>
      <c r="E55" s="48"/>
      <c r="F55" s="75"/>
      <c r="G55" s="81">
        <f>'Assumptions IFAD'!B41</f>
        <v>-3</v>
      </c>
      <c r="H55" s="81">
        <v>-3</v>
      </c>
      <c r="I55" s="48">
        <v>-5</v>
      </c>
      <c r="J55" s="75">
        <v>-5</v>
      </c>
      <c r="K55" s="74"/>
      <c r="L55" s="48"/>
      <c r="M55" s="48"/>
      <c r="N55" s="75"/>
      <c r="O55" s="75"/>
    </row>
    <row r="56" spans="1:15" x14ac:dyDescent="0.35">
      <c r="A56" s="101" t="s">
        <v>131</v>
      </c>
      <c r="B56" s="9" t="s">
        <v>17</v>
      </c>
      <c r="C56" s="102" t="s">
        <v>38</v>
      </c>
      <c r="D56" s="74"/>
      <c r="E56" s="48"/>
      <c r="F56" s="75"/>
      <c r="G56" s="81">
        <f>'Assumptions IFAD'!B42</f>
        <v>0</v>
      </c>
      <c r="H56" s="81">
        <v>0</v>
      </c>
      <c r="I56" s="48"/>
      <c r="J56" s="75"/>
      <c r="K56" s="74"/>
      <c r="L56" s="48"/>
      <c r="M56" s="48"/>
      <c r="N56" s="75"/>
      <c r="O56" s="75"/>
    </row>
    <row r="57" spans="1:15" x14ac:dyDescent="0.35">
      <c r="A57" s="101" t="s">
        <v>131</v>
      </c>
      <c r="B57" s="9" t="s">
        <v>17</v>
      </c>
      <c r="C57" s="102" t="s">
        <v>39</v>
      </c>
      <c r="D57" s="74"/>
      <c r="E57" s="48"/>
      <c r="F57" s="75"/>
      <c r="G57" s="81">
        <f>'Assumptions IFAD'!B43</f>
        <v>0</v>
      </c>
      <c r="H57" s="81">
        <v>0</v>
      </c>
      <c r="I57" s="48"/>
      <c r="J57" s="75"/>
      <c r="K57" s="74"/>
      <c r="L57" s="48"/>
      <c r="M57" s="48"/>
      <c r="N57" s="75"/>
      <c r="O57" s="75"/>
    </row>
    <row r="58" spans="1:15" x14ac:dyDescent="0.35">
      <c r="A58" s="101" t="s">
        <v>131</v>
      </c>
      <c r="B58" s="9" t="s">
        <v>17</v>
      </c>
      <c r="C58" s="102" t="s">
        <v>40</v>
      </c>
      <c r="D58" s="74"/>
      <c r="E58" s="48"/>
      <c r="F58" s="75"/>
      <c r="G58" s="81">
        <f>'Assumptions IFAD'!B44</f>
        <v>0</v>
      </c>
      <c r="H58" s="81">
        <v>0</v>
      </c>
      <c r="I58" s="48"/>
      <c r="J58" s="75"/>
      <c r="K58" s="74"/>
      <c r="L58" s="48"/>
      <c r="M58" s="48"/>
      <c r="N58" s="75"/>
      <c r="O58" s="75"/>
    </row>
    <row r="59" spans="1:15" x14ac:dyDescent="0.35">
      <c r="A59" s="101" t="s">
        <v>131</v>
      </c>
      <c r="B59" s="9" t="s">
        <v>17</v>
      </c>
      <c r="C59" s="102" t="s">
        <v>41</v>
      </c>
      <c r="D59" s="74"/>
      <c r="E59" s="48"/>
      <c r="F59" s="75"/>
      <c r="G59" s="81">
        <f>'Assumptions IFAD'!B45</f>
        <v>0</v>
      </c>
      <c r="H59" s="81">
        <v>0</v>
      </c>
      <c r="I59" s="48"/>
      <c r="J59" s="75"/>
      <c r="K59" s="74"/>
      <c r="L59" s="48"/>
      <c r="M59" s="48"/>
      <c r="N59" s="75"/>
      <c r="O59" s="75"/>
    </row>
    <row r="60" spans="1:15" x14ac:dyDescent="0.35">
      <c r="A60" s="101" t="s">
        <v>131</v>
      </c>
      <c r="B60" s="9" t="s">
        <v>17</v>
      </c>
      <c r="C60" s="102" t="s">
        <v>42</v>
      </c>
      <c r="D60" s="74"/>
      <c r="E60" s="48"/>
      <c r="F60" s="75"/>
      <c r="G60" s="81">
        <f>'Assumptions IFAD'!B46</f>
        <v>2</v>
      </c>
      <c r="H60" s="81">
        <v>2</v>
      </c>
      <c r="I60" s="48"/>
      <c r="J60" s="75"/>
      <c r="K60" s="74"/>
      <c r="L60" s="48"/>
      <c r="M60" s="48"/>
      <c r="N60" s="75"/>
      <c r="O60" s="75"/>
    </row>
    <row r="61" spans="1:15" x14ac:dyDescent="0.35">
      <c r="A61" s="101" t="s">
        <v>131</v>
      </c>
      <c r="B61" s="9" t="s">
        <v>17</v>
      </c>
      <c r="C61" s="102" t="s">
        <v>43</v>
      </c>
      <c r="D61" s="74"/>
      <c r="E61" s="48"/>
      <c r="F61" s="75"/>
      <c r="G61" s="81">
        <f>'Assumptions IFAD'!B47</f>
        <v>0</v>
      </c>
      <c r="H61" s="81">
        <v>0</v>
      </c>
      <c r="I61" s="48"/>
      <c r="J61" s="75"/>
      <c r="K61" s="74"/>
      <c r="L61" s="48"/>
      <c r="M61" s="48"/>
      <c r="N61" s="75"/>
      <c r="O61" s="75"/>
    </row>
    <row r="62" spans="1:15" x14ac:dyDescent="0.35">
      <c r="A62" s="101" t="s">
        <v>131</v>
      </c>
      <c r="B62" s="9" t="s">
        <v>17</v>
      </c>
      <c r="C62" s="102" t="s">
        <v>44</v>
      </c>
      <c r="D62" s="74"/>
      <c r="E62" s="48"/>
      <c r="F62" s="75"/>
      <c r="G62" s="81">
        <f>'Assumptions IFAD'!B48</f>
        <v>-6</v>
      </c>
      <c r="H62" s="81">
        <v>-6</v>
      </c>
      <c r="I62" s="48"/>
      <c r="J62" s="75"/>
      <c r="K62" s="74"/>
      <c r="L62" s="48"/>
      <c r="M62" s="48"/>
      <c r="N62" s="75"/>
      <c r="O62" s="75"/>
    </row>
    <row r="63" spans="1:15" x14ac:dyDescent="0.35">
      <c r="A63" s="101" t="s">
        <v>131</v>
      </c>
      <c r="B63" s="9" t="s">
        <v>17</v>
      </c>
      <c r="C63" s="102" t="s">
        <v>45</v>
      </c>
      <c r="D63" s="74"/>
      <c r="E63" s="48"/>
      <c r="F63" s="75"/>
      <c r="G63" s="81">
        <f>'Assumptions IFAD'!B49</f>
        <v>14</v>
      </c>
      <c r="H63" s="81">
        <v>14</v>
      </c>
      <c r="I63" s="48">
        <v>14</v>
      </c>
      <c r="J63" s="75">
        <v>14</v>
      </c>
      <c r="K63" s="74"/>
      <c r="L63" s="48"/>
      <c r="M63" s="48"/>
      <c r="N63" s="75"/>
      <c r="O63" s="75"/>
    </row>
    <row r="64" spans="1:15" ht="29" customHeight="1" x14ac:dyDescent="0.35">
      <c r="A64" s="101" t="s">
        <v>131</v>
      </c>
      <c r="B64" s="9" t="s">
        <v>17</v>
      </c>
      <c r="C64" s="102" t="s">
        <v>46</v>
      </c>
      <c r="D64" s="74"/>
      <c r="E64" s="48"/>
      <c r="F64" s="75"/>
      <c r="G64" s="81">
        <f>'Assumptions IFAD'!B50</f>
        <v>0</v>
      </c>
      <c r="H64" s="81">
        <v>0</v>
      </c>
      <c r="I64" s="48"/>
      <c r="J64" s="75"/>
      <c r="K64" s="74"/>
      <c r="L64" s="48"/>
      <c r="M64" s="48"/>
      <c r="N64" s="75"/>
      <c r="O64" s="75"/>
    </row>
    <row r="65" spans="1:15" x14ac:dyDescent="0.35">
      <c r="A65" s="103" t="s">
        <v>131</v>
      </c>
      <c r="B65" s="104" t="s">
        <v>17</v>
      </c>
      <c r="C65" s="105" t="s">
        <v>46</v>
      </c>
      <c r="D65" s="78"/>
      <c r="E65" s="79"/>
      <c r="F65" s="80"/>
      <c r="G65" s="81">
        <f>'Assumptions IFAD'!B51</f>
        <v>0</v>
      </c>
      <c r="H65" s="81">
        <v>0</v>
      </c>
      <c r="I65" s="79"/>
      <c r="J65" s="80"/>
      <c r="K65" s="78"/>
      <c r="L65" s="79"/>
      <c r="M65" s="79"/>
      <c r="N65" s="80"/>
      <c r="O65" s="80"/>
    </row>
    <row r="66" spans="1:15" x14ac:dyDescent="0.35">
      <c r="H66" s="81"/>
    </row>
    <row r="67" spans="1:15" x14ac:dyDescent="0.35">
      <c r="G67" s="47">
        <f>SUM(G36:G65)</f>
        <v>0</v>
      </c>
      <c r="H67" s="47">
        <f>SUM(H36:H65)</f>
        <v>0</v>
      </c>
    </row>
  </sheetData>
  <mergeCells count="33">
    <mergeCell ref="D5:F5"/>
    <mergeCell ref="D6:F6"/>
    <mergeCell ref="D7:F7"/>
    <mergeCell ref="D2:N2"/>
    <mergeCell ref="G10:J10"/>
    <mergeCell ref="D14:N14"/>
    <mergeCell ref="D10:F10"/>
    <mergeCell ref="D11:F11"/>
    <mergeCell ref="D12:F12"/>
    <mergeCell ref="G8:J8"/>
    <mergeCell ref="G9:J9"/>
    <mergeCell ref="G11:J11"/>
    <mergeCell ref="K8:N8"/>
    <mergeCell ref="K9:N9"/>
    <mergeCell ref="K10:N10"/>
    <mergeCell ref="K11:N11"/>
    <mergeCell ref="K12:N12"/>
    <mergeCell ref="K35:N35"/>
    <mergeCell ref="D3:F3"/>
    <mergeCell ref="G3:J3"/>
    <mergeCell ref="K3:N3"/>
    <mergeCell ref="G12:J12"/>
    <mergeCell ref="G4:J4"/>
    <mergeCell ref="G5:J5"/>
    <mergeCell ref="G6:J6"/>
    <mergeCell ref="K4:N4"/>
    <mergeCell ref="K5:N5"/>
    <mergeCell ref="K6:N6"/>
    <mergeCell ref="K7:N7"/>
    <mergeCell ref="D8:F8"/>
    <mergeCell ref="D9:F9"/>
    <mergeCell ref="D4:F4"/>
    <mergeCell ref="K16:O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J79"/>
  <sheetViews>
    <sheetView zoomScale="70" zoomScaleNormal="7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C4" sqref="C4:C52"/>
    </sheetView>
  </sheetViews>
  <sheetFormatPr defaultRowHeight="14.5" x14ac:dyDescent="0.35"/>
  <cols>
    <col min="1" max="1" width="8.7265625" style="1"/>
    <col min="2" max="2" width="48.26953125" style="1" customWidth="1"/>
    <col min="3" max="6" width="19" style="20" customWidth="1"/>
    <col min="7" max="16384" width="8.7265625" style="13"/>
  </cols>
  <sheetData>
    <row r="1" spans="1:10" x14ac:dyDescent="0.35">
      <c r="C1" s="131" t="s">
        <v>139</v>
      </c>
      <c r="D1" s="132" t="s">
        <v>100</v>
      </c>
      <c r="E1" s="191" t="s">
        <v>212</v>
      </c>
      <c r="F1" s="188" t="s">
        <v>213</v>
      </c>
    </row>
    <row r="2" spans="1:10" x14ac:dyDescent="0.35">
      <c r="A2" s="7"/>
      <c r="B2" s="7" t="s">
        <v>47</v>
      </c>
      <c r="C2" s="284" t="s">
        <v>52</v>
      </c>
      <c r="D2" s="285"/>
      <c r="E2" s="285"/>
      <c r="F2" s="285"/>
    </row>
    <row r="3" spans="1:10" x14ac:dyDescent="0.35">
      <c r="A3" s="7" t="s">
        <v>0</v>
      </c>
      <c r="B3" s="7" t="s">
        <v>1</v>
      </c>
      <c r="C3" s="133">
        <v>2022</v>
      </c>
      <c r="D3" s="25">
        <v>2050</v>
      </c>
      <c r="E3" s="133">
        <v>2050</v>
      </c>
      <c r="F3" s="24">
        <v>2050</v>
      </c>
      <c r="G3" s="24">
        <v>2019</v>
      </c>
    </row>
    <row r="4" spans="1:10" x14ac:dyDescent="0.35">
      <c r="A4" s="2" t="s">
        <v>2</v>
      </c>
      <c r="B4" s="5" t="s">
        <v>3</v>
      </c>
      <c r="C4" s="200">
        <v>23</v>
      </c>
      <c r="D4" s="202">
        <f>C4</f>
        <v>23</v>
      </c>
      <c r="E4" s="203">
        <f>D4+(D4*Sheet1!$J17/100)</f>
        <v>20</v>
      </c>
      <c r="F4" s="204">
        <f>E4+(E4*Sheet1!$N17/100)</f>
        <v>20</v>
      </c>
    </row>
    <row r="5" spans="1:10" x14ac:dyDescent="0.35">
      <c r="A5" s="2" t="s">
        <v>2</v>
      </c>
      <c r="B5" s="5" t="s">
        <v>4</v>
      </c>
      <c r="C5" s="200">
        <v>7</v>
      </c>
      <c r="D5" s="202">
        <f t="shared" ref="D5:D20" si="0">C5</f>
        <v>7</v>
      </c>
      <c r="E5" s="203">
        <f>D5+(D5*Sheet1!$J18/100)</f>
        <v>5.6</v>
      </c>
      <c r="F5" s="203">
        <f>E5+(E5*Sheet1!$N18/100)</f>
        <v>5.6</v>
      </c>
    </row>
    <row r="6" spans="1:10" hidden="1" x14ac:dyDescent="0.35">
      <c r="A6" s="2" t="s">
        <v>2</v>
      </c>
      <c r="B6" s="5" t="s">
        <v>49</v>
      </c>
      <c r="C6" s="200">
        <v>9</v>
      </c>
      <c r="D6" s="202">
        <f t="shared" si="0"/>
        <v>9</v>
      </c>
      <c r="E6" s="203">
        <f>D6+(D6*Sheet1!$J19/100)</f>
        <v>7.2</v>
      </c>
      <c r="F6" s="203">
        <f>E6+(E6*Sheet1!$N19/100)</f>
        <v>7.2</v>
      </c>
    </row>
    <row r="7" spans="1:10" x14ac:dyDescent="0.35">
      <c r="A7" s="2" t="s">
        <v>2</v>
      </c>
      <c r="B7" s="5" t="s">
        <v>175</v>
      </c>
      <c r="C7" s="200">
        <v>9</v>
      </c>
      <c r="D7" s="202">
        <f t="shared" si="0"/>
        <v>9</v>
      </c>
      <c r="E7" s="203">
        <f>D7+(D7*Sheet1!$J20/100)</f>
        <v>7.1999999999999993</v>
      </c>
      <c r="F7" s="203">
        <f>E7+(E7*Sheet1!$N20/100)</f>
        <v>7.1999999999999993</v>
      </c>
    </row>
    <row r="8" spans="1:10" x14ac:dyDescent="0.35">
      <c r="A8" s="2" t="s">
        <v>2</v>
      </c>
      <c r="B8" s="5" t="s">
        <v>5</v>
      </c>
      <c r="C8" s="200">
        <v>90</v>
      </c>
      <c r="D8" s="202">
        <f t="shared" si="0"/>
        <v>90</v>
      </c>
      <c r="E8" s="203">
        <f>D8+(D8*Sheet1!$J21/100)</f>
        <v>90</v>
      </c>
      <c r="F8" s="203">
        <f>E8+(E8*Sheet1!$N21/100)</f>
        <v>90</v>
      </c>
    </row>
    <row r="9" spans="1:10" x14ac:dyDescent="0.35">
      <c r="A9" s="2" t="s">
        <v>2</v>
      </c>
      <c r="B9" s="5" t="s">
        <v>132</v>
      </c>
      <c r="C9" s="200">
        <v>1.1000000000000001</v>
      </c>
      <c r="D9" s="202">
        <f t="shared" si="0"/>
        <v>1.1000000000000001</v>
      </c>
      <c r="E9" s="203">
        <f>D9+(D9*Sheet1!$J22/100)</f>
        <v>1.6999999999999997</v>
      </c>
      <c r="F9" s="203">
        <f>E9+(E9*Sheet1!$N22/100)</f>
        <v>1.6999999999999997</v>
      </c>
    </row>
    <row r="10" spans="1:10" x14ac:dyDescent="0.35">
      <c r="A10" s="2" t="s">
        <v>2</v>
      </c>
      <c r="B10" s="5" t="s">
        <v>6</v>
      </c>
      <c r="C10" s="200">
        <v>45</v>
      </c>
      <c r="D10" s="202">
        <f t="shared" si="0"/>
        <v>45</v>
      </c>
      <c r="E10" s="203">
        <f>D10+(D10*Sheet1!$J23/100)</f>
        <v>51.75</v>
      </c>
      <c r="F10" s="203">
        <f>E10+(E10*Sheet1!$N23/100)</f>
        <v>51.75</v>
      </c>
    </row>
    <row r="11" spans="1:10" ht="19.5" customHeight="1" x14ac:dyDescent="0.35">
      <c r="A11" s="2" t="s">
        <v>2</v>
      </c>
      <c r="B11" s="5" t="s">
        <v>7</v>
      </c>
      <c r="C11" s="200">
        <v>60</v>
      </c>
      <c r="D11" s="202">
        <f t="shared" si="0"/>
        <v>60</v>
      </c>
      <c r="E11" s="203">
        <f>D11+(D11*Sheet1!$J24/100)</f>
        <v>69</v>
      </c>
      <c r="F11" s="203">
        <f>E11+(E11*Sheet1!$N24/100)</f>
        <v>69</v>
      </c>
    </row>
    <row r="12" spans="1:10" ht="13" customHeight="1" x14ac:dyDescent="0.35">
      <c r="A12" s="2" t="s">
        <v>2</v>
      </c>
      <c r="B12" s="5" t="s">
        <v>8</v>
      </c>
      <c r="C12" s="200">
        <v>50</v>
      </c>
      <c r="D12" s="202">
        <f t="shared" si="0"/>
        <v>50</v>
      </c>
      <c r="E12" s="203">
        <f>D12+(D12*Sheet1!$J25/100)</f>
        <v>57.5</v>
      </c>
      <c r="F12" s="203">
        <f>E12+(E12*Sheet1!$N25/100)</f>
        <v>57.5</v>
      </c>
    </row>
    <row r="13" spans="1:10" x14ac:dyDescent="0.35">
      <c r="A13" s="2" t="s">
        <v>2</v>
      </c>
      <c r="B13" s="5" t="s">
        <v>9</v>
      </c>
      <c r="C13" s="200">
        <v>60</v>
      </c>
      <c r="D13" s="202">
        <f t="shared" si="0"/>
        <v>60</v>
      </c>
      <c r="E13" s="203">
        <f>D13+(D13*Sheet1!$J26/100)</f>
        <v>69</v>
      </c>
      <c r="F13" s="203">
        <f>E13+(E13*Sheet1!$N26/100)</f>
        <v>69</v>
      </c>
    </row>
    <row r="14" spans="1:10" x14ac:dyDescent="0.35">
      <c r="A14" s="59" t="s">
        <v>2</v>
      </c>
      <c r="B14" s="60" t="s">
        <v>10</v>
      </c>
      <c r="C14" s="125"/>
      <c r="D14" s="134"/>
      <c r="E14" s="125"/>
      <c r="F14" s="125"/>
      <c r="I14" s="210">
        <v>2019</v>
      </c>
      <c r="J14" s="209">
        <f>Population!G5</f>
        <v>442259.76133068785</v>
      </c>
    </row>
    <row r="15" spans="1:10" x14ac:dyDescent="0.35">
      <c r="A15" s="59" t="s">
        <v>2</v>
      </c>
      <c r="B15" s="60" t="s">
        <v>11</v>
      </c>
      <c r="C15" s="125"/>
      <c r="D15" s="134"/>
      <c r="E15" s="125"/>
      <c r="F15" s="125"/>
      <c r="I15" s="212">
        <v>2022</v>
      </c>
      <c r="J15" s="211">
        <f>C17</f>
        <v>412080.37265391398</v>
      </c>
    </row>
    <row r="16" spans="1:10" x14ac:dyDescent="0.35">
      <c r="A16" s="59" t="s">
        <v>2</v>
      </c>
      <c r="B16" s="60" t="s">
        <v>12</v>
      </c>
      <c r="C16" s="135"/>
      <c r="D16" s="189"/>
      <c r="E16" s="135"/>
      <c r="F16" s="135"/>
      <c r="I16" s="210">
        <v>2050</v>
      </c>
      <c r="J16" s="211">
        <f>D17</f>
        <v>130406.07833735822</v>
      </c>
    </row>
    <row r="17" spans="1:6" x14ac:dyDescent="0.35">
      <c r="A17" s="2" t="s">
        <v>2</v>
      </c>
      <c r="B17" s="5" t="s">
        <v>13</v>
      </c>
      <c r="C17" s="126">
        <f>(Population!$G$5)*(1+(('Population-trend'!$Y$9)*(C3-2019)))</f>
        <v>412080.37265391398</v>
      </c>
      <c r="D17" s="173">
        <f>(Population!$G$5)*(1+(('Population-trend'!$Y$9)*(D3-2019)))</f>
        <v>130406.07833735822</v>
      </c>
      <c r="E17" s="129">
        <f>D17+(D17*Sheet1!$J30/100)</f>
        <v>113453.28815350165</v>
      </c>
      <c r="F17" s="129">
        <f>E17+(E17*Sheet1!$N30/100)</f>
        <v>113453.28815350165</v>
      </c>
    </row>
    <row r="18" spans="1:6" x14ac:dyDescent="0.35">
      <c r="A18" s="2" t="s">
        <v>2</v>
      </c>
      <c r="B18" s="5" t="s">
        <v>14</v>
      </c>
      <c r="C18" s="128">
        <f>C17/25</f>
        <v>16483.214906156558</v>
      </c>
      <c r="D18" s="129">
        <f t="shared" ref="D18:F18" si="1">D17/25</f>
        <v>5216.2431334943285</v>
      </c>
      <c r="E18" s="129">
        <f t="shared" si="1"/>
        <v>4538.1315261400659</v>
      </c>
      <c r="F18" s="129">
        <f t="shared" si="1"/>
        <v>4538.1315261400659</v>
      </c>
    </row>
    <row r="19" spans="1:6" x14ac:dyDescent="0.35">
      <c r="A19" s="2" t="s">
        <v>2</v>
      </c>
      <c r="B19" s="5" t="s">
        <v>133</v>
      </c>
      <c r="C19" s="200">
        <v>365</v>
      </c>
      <c r="D19" s="202">
        <f t="shared" si="0"/>
        <v>365</v>
      </c>
      <c r="E19" s="203">
        <f>D19+(D19*Sheet1!$J32/100)</f>
        <v>365</v>
      </c>
      <c r="F19" s="203">
        <f>E19+(E19*Sheet1!$N32/100)</f>
        <v>365</v>
      </c>
    </row>
    <row r="20" spans="1:6" x14ac:dyDescent="0.35">
      <c r="A20" s="2" t="s">
        <v>2</v>
      </c>
      <c r="B20" s="5" t="s">
        <v>15</v>
      </c>
      <c r="C20" s="201">
        <v>15</v>
      </c>
      <c r="D20" s="202">
        <f t="shared" si="0"/>
        <v>15</v>
      </c>
      <c r="E20" s="203">
        <f>D20+(D20*Sheet1!$J33/100)</f>
        <v>9</v>
      </c>
      <c r="F20" s="203">
        <f>E20+(E20*Sheet1!$N33/100)</f>
        <v>9</v>
      </c>
    </row>
    <row r="21" spans="1:6" x14ac:dyDescent="0.35">
      <c r="A21" s="2" t="s">
        <v>2</v>
      </c>
      <c r="B21" s="5" t="s">
        <v>16</v>
      </c>
      <c r="C21" s="200">
        <v>3</v>
      </c>
      <c r="D21" s="202">
        <f t="shared" ref="D21:D36" si="2">C21</f>
        <v>3</v>
      </c>
      <c r="E21" s="203">
        <f>D21+(D21*Sheet1!$J34/100)</f>
        <v>3</v>
      </c>
      <c r="F21" s="203">
        <f>E21+(E21*Sheet1!$N34/100)</f>
        <v>3</v>
      </c>
    </row>
    <row r="22" spans="1:6" x14ac:dyDescent="0.35">
      <c r="A22" s="192"/>
      <c r="B22" s="193"/>
      <c r="C22" s="194"/>
      <c r="D22" s="194"/>
      <c r="E22" s="205"/>
      <c r="F22" s="195"/>
    </row>
    <row r="23" spans="1:6" x14ac:dyDescent="0.35">
      <c r="A23" s="66" t="s">
        <v>17</v>
      </c>
      <c r="B23" s="5" t="s">
        <v>18</v>
      </c>
      <c r="C23" s="124">
        <v>0</v>
      </c>
      <c r="D23" s="172">
        <f t="shared" si="2"/>
        <v>0</v>
      </c>
      <c r="E23" s="123">
        <f>D23+Sheet1!$J36</f>
        <v>0</v>
      </c>
      <c r="F23" s="123">
        <f>E23+Sheet1!$N36</f>
        <v>0</v>
      </c>
    </row>
    <row r="24" spans="1:6" x14ac:dyDescent="0.35">
      <c r="A24" s="66" t="s">
        <v>17</v>
      </c>
      <c r="B24" s="5" t="s">
        <v>19</v>
      </c>
      <c r="C24" s="124">
        <v>0</v>
      </c>
      <c r="D24" s="172">
        <f t="shared" si="2"/>
        <v>0</v>
      </c>
      <c r="E24" s="123">
        <f>D24+Sheet1!$J37</f>
        <v>0</v>
      </c>
      <c r="F24" s="123">
        <f>E24+Sheet1!$N37</f>
        <v>0</v>
      </c>
    </row>
    <row r="25" spans="1:6" x14ac:dyDescent="0.35">
      <c r="A25" s="66" t="s">
        <v>17</v>
      </c>
      <c r="B25" s="5" t="s">
        <v>20</v>
      </c>
      <c r="C25" s="124">
        <v>0</v>
      </c>
      <c r="D25" s="172">
        <f t="shared" si="2"/>
        <v>0</v>
      </c>
      <c r="E25" s="123">
        <f>D25+Sheet1!$J38</f>
        <v>0</v>
      </c>
      <c r="F25" s="123">
        <f>E25+Sheet1!$N38</f>
        <v>0</v>
      </c>
    </row>
    <row r="26" spans="1:6" x14ac:dyDescent="0.35">
      <c r="A26" s="66" t="s">
        <v>17</v>
      </c>
      <c r="B26" s="5" t="s">
        <v>21</v>
      </c>
      <c r="C26" s="124">
        <v>0</v>
      </c>
      <c r="D26" s="172">
        <f t="shared" si="2"/>
        <v>0</v>
      </c>
      <c r="E26" s="123">
        <f>D26+Sheet1!$J39</f>
        <v>5</v>
      </c>
      <c r="F26" s="123">
        <f>E26+Sheet1!$N39</f>
        <v>5</v>
      </c>
    </row>
    <row r="27" spans="1:6" x14ac:dyDescent="0.35">
      <c r="A27" s="66" t="s">
        <v>17</v>
      </c>
      <c r="B27" s="5" t="s">
        <v>22</v>
      </c>
      <c r="C27" s="124">
        <v>0</v>
      </c>
      <c r="D27" s="172">
        <f t="shared" si="2"/>
        <v>0</v>
      </c>
      <c r="E27" s="123">
        <f>D27+Sheet1!$J40</f>
        <v>5</v>
      </c>
      <c r="F27" s="123">
        <f>E27+Sheet1!$N40</f>
        <v>5</v>
      </c>
    </row>
    <row r="28" spans="1:6" x14ac:dyDescent="0.35">
      <c r="A28" s="66" t="s">
        <v>17</v>
      </c>
      <c r="B28" s="5" t="s">
        <v>23</v>
      </c>
      <c r="C28" s="124">
        <v>0</v>
      </c>
      <c r="D28" s="172">
        <f t="shared" si="2"/>
        <v>0</v>
      </c>
      <c r="E28" s="123">
        <f>D28+Sheet1!$J41</f>
        <v>0</v>
      </c>
      <c r="F28" s="123">
        <f>E28+Sheet1!$N41</f>
        <v>0</v>
      </c>
    </row>
    <row r="29" spans="1:6" x14ac:dyDescent="0.35">
      <c r="A29" s="66" t="s">
        <v>17</v>
      </c>
      <c r="B29" s="5" t="s">
        <v>24</v>
      </c>
      <c r="C29" s="124">
        <v>10</v>
      </c>
      <c r="D29" s="172">
        <f t="shared" si="2"/>
        <v>10</v>
      </c>
      <c r="E29" s="123">
        <f>D29+Sheet1!$J42</f>
        <v>0</v>
      </c>
      <c r="F29" s="123">
        <f>E29+Sheet1!$N42</f>
        <v>0</v>
      </c>
    </row>
    <row r="30" spans="1:6" x14ac:dyDescent="0.35">
      <c r="A30" s="66" t="s">
        <v>17</v>
      </c>
      <c r="B30" s="5" t="s">
        <v>25</v>
      </c>
      <c r="C30" s="124">
        <v>0</v>
      </c>
      <c r="D30" s="172">
        <f t="shared" si="2"/>
        <v>0</v>
      </c>
      <c r="E30" s="123">
        <f>D30+Sheet1!$J43</f>
        <v>0</v>
      </c>
      <c r="F30" s="123">
        <f>E30+Sheet1!$N43</f>
        <v>0</v>
      </c>
    </row>
    <row r="31" spans="1:6" x14ac:dyDescent="0.35">
      <c r="A31" s="66" t="s">
        <v>17</v>
      </c>
      <c r="B31" s="5" t="s">
        <v>26</v>
      </c>
      <c r="C31" s="124">
        <v>0</v>
      </c>
      <c r="D31" s="172">
        <f t="shared" si="2"/>
        <v>0</v>
      </c>
      <c r="E31" s="123">
        <f>D31+Sheet1!$J44</f>
        <v>0</v>
      </c>
      <c r="F31" s="123">
        <f>E31+Sheet1!$N44</f>
        <v>0</v>
      </c>
    </row>
    <row r="32" spans="1:6" x14ac:dyDescent="0.35">
      <c r="A32" s="66" t="s">
        <v>17</v>
      </c>
      <c r="B32" s="5" t="s">
        <v>27</v>
      </c>
      <c r="C32" s="124">
        <v>0</v>
      </c>
      <c r="D32" s="172">
        <f t="shared" si="2"/>
        <v>0</v>
      </c>
      <c r="E32" s="123">
        <f>D32+Sheet1!$J45</f>
        <v>0</v>
      </c>
      <c r="F32" s="123">
        <f>E32+Sheet1!$N45</f>
        <v>0</v>
      </c>
    </row>
    <row r="33" spans="1:6" x14ac:dyDescent="0.35">
      <c r="A33" s="66" t="s">
        <v>17</v>
      </c>
      <c r="B33" s="5" t="s">
        <v>28</v>
      </c>
      <c r="C33" s="124">
        <v>3</v>
      </c>
      <c r="D33" s="172">
        <f t="shared" si="2"/>
        <v>3</v>
      </c>
      <c r="E33" s="123">
        <f>D33+Sheet1!$J46</f>
        <v>0</v>
      </c>
      <c r="F33" s="123">
        <f>E33+Sheet1!$N46</f>
        <v>0</v>
      </c>
    </row>
    <row r="34" spans="1:6" x14ac:dyDescent="0.35">
      <c r="A34" s="66" t="s">
        <v>17</v>
      </c>
      <c r="B34" s="5" t="s">
        <v>29</v>
      </c>
      <c r="C34" s="124">
        <v>0</v>
      </c>
      <c r="D34" s="172">
        <f t="shared" si="2"/>
        <v>0</v>
      </c>
      <c r="E34" s="123">
        <f>D34+Sheet1!$J47</f>
        <v>0</v>
      </c>
      <c r="F34" s="123">
        <f>E34+Sheet1!$N47</f>
        <v>0</v>
      </c>
    </row>
    <row r="35" spans="1:6" x14ac:dyDescent="0.35">
      <c r="A35" s="66" t="s">
        <v>17</v>
      </c>
      <c r="B35" s="5" t="s">
        <v>30</v>
      </c>
      <c r="C35" s="124">
        <v>0</v>
      </c>
      <c r="D35" s="172">
        <f t="shared" si="2"/>
        <v>0</v>
      </c>
      <c r="E35" s="123">
        <f>D35+Sheet1!$J48</f>
        <v>0</v>
      </c>
      <c r="F35" s="123">
        <f>E35+Sheet1!$N48</f>
        <v>0</v>
      </c>
    </row>
    <row r="36" spans="1:6" x14ac:dyDescent="0.35">
      <c r="A36" s="66" t="s">
        <v>17</v>
      </c>
      <c r="B36" s="5" t="s">
        <v>31</v>
      </c>
      <c r="C36" s="124">
        <v>60</v>
      </c>
      <c r="D36" s="172">
        <f t="shared" si="2"/>
        <v>60</v>
      </c>
      <c r="E36" s="123">
        <f>D36+Sheet1!$J49</f>
        <v>54</v>
      </c>
      <c r="F36" s="123">
        <f>E36+Sheet1!$N49</f>
        <v>54</v>
      </c>
    </row>
    <row r="37" spans="1:6" x14ac:dyDescent="0.35">
      <c r="A37" s="66" t="s">
        <v>17</v>
      </c>
      <c r="B37" s="5" t="s">
        <v>32</v>
      </c>
      <c r="C37" s="124">
        <v>7</v>
      </c>
      <c r="D37" s="172">
        <f t="shared" ref="D37:D51" si="3">C37</f>
        <v>7</v>
      </c>
      <c r="E37" s="123">
        <f>D37+Sheet1!$J50</f>
        <v>7</v>
      </c>
      <c r="F37" s="123">
        <f>E37+Sheet1!$N50</f>
        <v>7</v>
      </c>
    </row>
    <row r="38" spans="1:6" x14ac:dyDescent="0.35">
      <c r="A38" s="66" t="s">
        <v>17</v>
      </c>
      <c r="B38" s="5" t="s">
        <v>33</v>
      </c>
      <c r="C38" s="124">
        <v>0</v>
      </c>
      <c r="D38" s="172">
        <f t="shared" si="3"/>
        <v>0</v>
      </c>
      <c r="E38" s="123">
        <f>D38+Sheet1!$J51</f>
        <v>0</v>
      </c>
      <c r="F38" s="123">
        <f>E38+Sheet1!$N51</f>
        <v>0</v>
      </c>
    </row>
    <row r="39" spans="1:6" x14ac:dyDescent="0.35">
      <c r="A39" s="66" t="s">
        <v>17</v>
      </c>
      <c r="B39" s="5" t="s">
        <v>34</v>
      </c>
      <c r="C39" s="124">
        <v>0</v>
      </c>
      <c r="D39" s="172">
        <f t="shared" si="3"/>
        <v>0</v>
      </c>
      <c r="E39" s="123">
        <f>D39+Sheet1!$J52</f>
        <v>0</v>
      </c>
      <c r="F39" s="123">
        <f>E39+Sheet1!$N52</f>
        <v>0</v>
      </c>
    </row>
    <row r="40" spans="1:6" x14ac:dyDescent="0.35">
      <c r="A40" s="66" t="s">
        <v>17</v>
      </c>
      <c r="B40" s="5" t="s">
        <v>35</v>
      </c>
      <c r="C40" s="124">
        <v>10</v>
      </c>
      <c r="D40" s="172">
        <f t="shared" si="3"/>
        <v>10</v>
      </c>
      <c r="E40" s="123">
        <f>D40+Sheet1!$J53</f>
        <v>10</v>
      </c>
      <c r="F40" s="123">
        <f>E40+Sheet1!$N53</f>
        <v>10</v>
      </c>
    </row>
    <row r="41" spans="1:6" x14ac:dyDescent="0.35">
      <c r="A41" s="66" t="s">
        <v>17</v>
      </c>
      <c r="B41" s="5" t="s">
        <v>36</v>
      </c>
      <c r="C41" s="124">
        <v>0</v>
      </c>
      <c r="D41" s="172">
        <f t="shared" si="3"/>
        <v>0</v>
      </c>
      <c r="E41" s="123">
        <f>D41+Sheet1!$J54</f>
        <v>0</v>
      </c>
      <c r="F41" s="123">
        <f>E41+Sheet1!$N54</f>
        <v>0</v>
      </c>
    </row>
    <row r="42" spans="1:6" x14ac:dyDescent="0.35">
      <c r="A42" s="66" t="s">
        <v>17</v>
      </c>
      <c r="B42" s="5" t="s">
        <v>37</v>
      </c>
      <c r="C42" s="124">
        <v>10</v>
      </c>
      <c r="D42" s="172">
        <f t="shared" si="3"/>
        <v>10</v>
      </c>
      <c r="E42" s="123">
        <f>D42+Sheet1!$J55</f>
        <v>5</v>
      </c>
      <c r="F42" s="123">
        <f>E42+Sheet1!$N55</f>
        <v>5</v>
      </c>
    </row>
    <row r="43" spans="1:6" x14ac:dyDescent="0.35">
      <c r="A43" s="66" t="s">
        <v>17</v>
      </c>
      <c r="B43" s="5" t="s">
        <v>38</v>
      </c>
      <c r="C43" s="124">
        <v>0</v>
      </c>
      <c r="D43" s="172">
        <f t="shared" si="3"/>
        <v>0</v>
      </c>
      <c r="E43" s="123">
        <f>D43+Sheet1!$J56</f>
        <v>0</v>
      </c>
      <c r="F43" s="123">
        <f>E43+Sheet1!$N56</f>
        <v>0</v>
      </c>
    </row>
    <row r="44" spans="1:6" x14ac:dyDescent="0.35">
      <c r="A44" s="66" t="s">
        <v>17</v>
      </c>
      <c r="B44" s="5" t="s">
        <v>39</v>
      </c>
      <c r="C44" s="124">
        <v>0</v>
      </c>
      <c r="D44" s="172">
        <f t="shared" si="3"/>
        <v>0</v>
      </c>
      <c r="E44" s="123">
        <f>D44+Sheet1!$J57</f>
        <v>0</v>
      </c>
      <c r="F44" s="123">
        <f>E44+Sheet1!$N57</f>
        <v>0</v>
      </c>
    </row>
    <row r="45" spans="1:6" x14ac:dyDescent="0.35">
      <c r="A45" s="66" t="s">
        <v>17</v>
      </c>
      <c r="B45" s="5" t="s">
        <v>40</v>
      </c>
      <c r="C45" s="124">
        <v>0</v>
      </c>
      <c r="D45" s="172">
        <f t="shared" si="3"/>
        <v>0</v>
      </c>
      <c r="E45" s="123">
        <f>D45+Sheet1!$J58</f>
        <v>0</v>
      </c>
      <c r="F45" s="123">
        <f>E45+Sheet1!$N58</f>
        <v>0</v>
      </c>
    </row>
    <row r="46" spans="1:6" x14ac:dyDescent="0.35">
      <c r="A46" s="66" t="s">
        <v>17</v>
      </c>
      <c r="B46" s="5" t="s">
        <v>41</v>
      </c>
      <c r="C46" s="124">
        <v>0</v>
      </c>
      <c r="D46" s="172">
        <f t="shared" si="3"/>
        <v>0</v>
      </c>
      <c r="E46" s="123">
        <f>D46+Sheet1!$J59</f>
        <v>0</v>
      </c>
      <c r="F46" s="123">
        <f>E46+Sheet1!$N59</f>
        <v>0</v>
      </c>
    </row>
    <row r="47" spans="1:6" x14ac:dyDescent="0.35">
      <c r="A47" s="66" t="s">
        <v>17</v>
      </c>
      <c r="B47" s="5" t="s">
        <v>42</v>
      </c>
      <c r="C47" s="124">
        <v>0</v>
      </c>
      <c r="D47" s="172">
        <f t="shared" si="3"/>
        <v>0</v>
      </c>
      <c r="E47" s="123">
        <f>D47+Sheet1!$J60</f>
        <v>0</v>
      </c>
      <c r="F47" s="123">
        <f>E47+Sheet1!$N60</f>
        <v>0</v>
      </c>
    </row>
    <row r="48" spans="1:6" x14ac:dyDescent="0.35">
      <c r="A48" s="66" t="s">
        <v>17</v>
      </c>
      <c r="B48" s="5" t="s">
        <v>43</v>
      </c>
      <c r="C48" s="124">
        <v>0</v>
      </c>
      <c r="D48" s="172">
        <f t="shared" si="3"/>
        <v>0</v>
      </c>
      <c r="E48" s="123">
        <f>D48+Sheet1!$J61</f>
        <v>0</v>
      </c>
      <c r="F48" s="123">
        <f>E48+Sheet1!$N61</f>
        <v>0</v>
      </c>
    </row>
    <row r="49" spans="1:6" x14ac:dyDescent="0.35">
      <c r="A49" s="66" t="s">
        <v>17</v>
      </c>
      <c r="B49" s="5" t="s">
        <v>44</v>
      </c>
      <c r="C49" s="124">
        <v>0</v>
      </c>
      <c r="D49" s="172">
        <f t="shared" si="3"/>
        <v>0</v>
      </c>
      <c r="E49" s="123">
        <f>D49+Sheet1!$J62</f>
        <v>0</v>
      </c>
      <c r="F49" s="123">
        <f>E49+Sheet1!$N62</f>
        <v>0</v>
      </c>
    </row>
    <row r="50" spans="1:6" x14ac:dyDescent="0.35">
      <c r="A50" s="66" t="s">
        <v>17</v>
      </c>
      <c r="B50" s="5" t="s">
        <v>45</v>
      </c>
      <c r="C50" s="124">
        <v>0</v>
      </c>
      <c r="D50" s="172">
        <f t="shared" si="3"/>
        <v>0</v>
      </c>
      <c r="E50" s="123">
        <f>D50+Sheet1!$J63</f>
        <v>14</v>
      </c>
      <c r="F50" s="123">
        <f>E50+Sheet1!$N63</f>
        <v>14</v>
      </c>
    </row>
    <row r="51" spans="1:6" x14ac:dyDescent="0.35">
      <c r="A51" s="66" t="s">
        <v>17</v>
      </c>
      <c r="B51" s="5" t="s">
        <v>46</v>
      </c>
      <c r="C51" s="124">
        <v>0</v>
      </c>
      <c r="D51" s="172">
        <f t="shared" si="3"/>
        <v>0</v>
      </c>
      <c r="E51" s="123">
        <f>D51+Sheet1!$J64</f>
        <v>0</v>
      </c>
      <c r="F51" s="123">
        <f>E51+Sheet1!$N64</f>
        <v>0</v>
      </c>
    </row>
    <row r="52" spans="1:6" x14ac:dyDescent="0.35">
      <c r="A52" s="67" t="s">
        <v>17</v>
      </c>
      <c r="B52" s="68" t="s">
        <v>46</v>
      </c>
      <c r="C52" s="136">
        <v>0</v>
      </c>
      <c r="D52" s="190">
        <f>C52</f>
        <v>0</v>
      </c>
      <c r="E52" s="123">
        <f>D52+Sheet1!$J65</f>
        <v>0</v>
      </c>
      <c r="F52" s="123">
        <f>E52+Sheet1!$N65</f>
        <v>0</v>
      </c>
    </row>
    <row r="53" spans="1:6" x14ac:dyDescent="0.35">
      <c r="A53" s="13"/>
      <c r="B53" s="13"/>
      <c r="C53" s="20">
        <f>SUM(C23:C52)</f>
        <v>100</v>
      </c>
      <c r="D53" s="20">
        <f t="shared" ref="D53:F53" si="4">SUM(D23:D52)</f>
        <v>100</v>
      </c>
      <c r="E53" s="20">
        <f t="shared" si="4"/>
        <v>100</v>
      </c>
      <c r="F53" s="20">
        <f t="shared" si="4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L7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2" sqref="I42"/>
    </sheetView>
  </sheetViews>
  <sheetFormatPr defaultRowHeight="14.5" x14ac:dyDescent="0.35"/>
  <cols>
    <col min="1" max="1" width="8.7265625" style="1"/>
    <col min="2" max="2" width="48.26953125" style="1" customWidth="1"/>
    <col min="3" max="3" width="14.36328125" style="13" customWidth="1"/>
    <col min="4" max="4" width="15.08984375" style="13" customWidth="1"/>
    <col min="5" max="5" width="18.26953125" style="13" customWidth="1"/>
    <col min="6" max="6" width="17.26953125" style="13" customWidth="1"/>
    <col min="7" max="16384" width="8.7265625" style="13"/>
  </cols>
  <sheetData>
    <row r="1" spans="1:12" x14ac:dyDescent="0.35">
      <c r="C1" s="50" t="s">
        <v>139</v>
      </c>
      <c r="D1" s="50" t="s">
        <v>100</v>
      </c>
      <c r="E1" s="188" t="s">
        <v>212</v>
      </c>
      <c r="F1" s="188" t="s">
        <v>213</v>
      </c>
    </row>
    <row r="2" spans="1:12" x14ac:dyDescent="0.35">
      <c r="A2" s="7"/>
      <c r="B2" s="7" t="s">
        <v>47</v>
      </c>
      <c r="C2" s="51" t="s">
        <v>52</v>
      </c>
      <c r="D2" s="51" t="s">
        <v>48</v>
      </c>
      <c r="E2" s="11" t="s">
        <v>141</v>
      </c>
      <c r="F2" s="11" t="s">
        <v>141</v>
      </c>
    </row>
    <row r="3" spans="1:12" x14ac:dyDescent="0.35">
      <c r="A3" s="7" t="s">
        <v>0</v>
      </c>
      <c r="B3" s="7" t="s">
        <v>1</v>
      </c>
      <c r="C3" s="51">
        <v>2022</v>
      </c>
      <c r="D3" s="51">
        <v>2050</v>
      </c>
      <c r="E3" s="52">
        <v>2050</v>
      </c>
      <c r="F3" s="52">
        <v>2050</v>
      </c>
      <c r="G3" s="11">
        <v>2019</v>
      </c>
    </row>
    <row r="4" spans="1:12" x14ac:dyDescent="0.35">
      <c r="A4" s="2" t="s">
        <v>2</v>
      </c>
      <c r="B4" s="5" t="s">
        <v>3</v>
      </c>
      <c r="C4" s="200">
        <v>23</v>
      </c>
      <c r="D4" s="198">
        <f>C4</f>
        <v>23</v>
      </c>
      <c r="E4" s="196">
        <f>D4+(D4*Sheet1!$I17/100)</f>
        <v>20</v>
      </c>
      <c r="F4" s="197">
        <f>E4+(E4*Sheet1!$M17/100)</f>
        <v>20</v>
      </c>
    </row>
    <row r="5" spans="1:12" x14ac:dyDescent="0.35">
      <c r="A5" s="2" t="s">
        <v>2</v>
      </c>
      <c r="B5" s="5" t="s">
        <v>4</v>
      </c>
      <c r="C5" s="200">
        <v>7</v>
      </c>
      <c r="D5" s="198">
        <f t="shared" ref="D5:D51" si="0">C5</f>
        <v>7</v>
      </c>
      <c r="E5" s="196">
        <f>D5+(D5*Sheet1!$I18/100)</f>
        <v>5.6</v>
      </c>
      <c r="F5" s="197">
        <f>E5+(E5*Sheet1!$M18/100)</f>
        <v>5.6</v>
      </c>
    </row>
    <row r="6" spans="1:12" x14ac:dyDescent="0.35">
      <c r="A6" s="2" t="s">
        <v>2</v>
      </c>
      <c r="B6" s="5" t="s">
        <v>175</v>
      </c>
      <c r="C6" s="200">
        <v>9</v>
      </c>
      <c r="D6" s="198">
        <f t="shared" si="0"/>
        <v>9</v>
      </c>
      <c r="E6" s="196">
        <f>D6+(D6*Sheet1!$I19/100)</f>
        <v>7.2</v>
      </c>
      <c r="F6" s="197">
        <f>E6+(E6*Sheet1!$M19/100)</f>
        <v>7.2</v>
      </c>
    </row>
    <row r="7" spans="1:12" hidden="1" x14ac:dyDescent="0.35">
      <c r="A7" s="2" t="s">
        <v>2</v>
      </c>
      <c r="B7" s="5" t="s">
        <v>50</v>
      </c>
      <c r="C7" s="200">
        <v>9</v>
      </c>
      <c r="D7" s="198">
        <f t="shared" si="0"/>
        <v>9</v>
      </c>
      <c r="E7" s="196">
        <f>D7+(D7*Sheet1!$I20/100)</f>
        <v>7.1999999999999993</v>
      </c>
      <c r="F7" s="197">
        <f>E7+(E7*Sheet1!$M20/100)</f>
        <v>7.1999999999999993</v>
      </c>
    </row>
    <row r="8" spans="1:12" x14ac:dyDescent="0.35">
      <c r="A8" s="2" t="s">
        <v>2</v>
      </c>
      <c r="B8" s="5" t="s">
        <v>5</v>
      </c>
      <c r="C8" s="200">
        <v>80</v>
      </c>
      <c r="D8" s="198">
        <f t="shared" si="0"/>
        <v>80</v>
      </c>
      <c r="E8" s="196">
        <f>D8+(D8*Sheet1!$I21/100)</f>
        <v>80</v>
      </c>
      <c r="F8" s="197">
        <f>E8+(E8*Sheet1!$M21/100)</f>
        <v>80</v>
      </c>
    </row>
    <row r="9" spans="1:12" x14ac:dyDescent="0.35">
      <c r="A9" s="2" t="s">
        <v>2</v>
      </c>
      <c r="B9" s="5" t="s">
        <v>132</v>
      </c>
      <c r="C9" s="200">
        <v>1.2</v>
      </c>
      <c r="D9" s="198">
        <f t="shared" si="0"/>
        <v>1.2</v>
      </c>
      <c r="E9" s="196">
        <f>D9+(D9*Sheet1!$I22/100)</f>
        <v>1.8</v>
      </c>
      <c r="F9" s="197">
        <f>E9+(E9*Sheet1!$M22/100)</f>
        <v>1.8</v>
      </c>
    </row>
    <row r="10" spans="1:12" x14ac:dyDescent="0.35">
      <c r="A10" s="2" t="s">
        <v>2</v>
      </c>
      <c r="B10" s="5" t="s">
        <v>6</v>
      </c>
      <c r="C10" s="200">
        <v>55</v>
      </c>
      <c r="D10" s="198">
        <f t="shared" si="0"/>
        <v>55</v>
      </c>
      <c r="E10" s="196">
        <f>D10+(D10*Sheet1!$I23/100)</f>
        <v>63.25</v>
      </c>
      <c r="F10" s="197">
        <f>E10+(E10*Sheet1!$M23/100)</f>
        <v>63.25</v>
      </c>
    </row>
    <row r="11" spans="1:12" x14ac:dyDescent="0.35">
      <c r="A11" s="2" t="s">
        <v>2</v>
      </c>
      <c r="B11" s="5" t="s">
        <v>7</v>
      </c>
      <c r="C11" s="200">
        <v>85</v>
      </c>
      <c r="D11" s="198">
        <f t="shared" si="0"/>
        <v>85</v>
      </c>
      <c r="E11" s="196">
        <f>D11+(D11*Sheet1!$I24/100)</f>
        <v>97.75</v>
      </c>
      <c r="F11" s="197">
        <f>E11+(E11*Sheet1!$M24/100)</f>
        <v>97.75</v>
      </c>
    </row>
    <row r="12" spans="1:12" x14ac:dyDescent="0.35">
      <c r="A12" s="2" t="s">
        <v>2</v>
      </c>
      <c r="B12" s="5" t="s">
        <v>8</v>
      </c>
      <c r="C12" s="200">
        <v>55</v>
      </c>
      <c r="D12" s="198">
        <f t="shared" si="0"/>
        <v>55</v>
      </c>
      <c r="E12" s="196">
        <f>D12+(D12*Sheet1!$I25/100)</f>
        <v>63.25</v>
      </c>
      <c r="F12" s="197">
        <f>E12+(E12*Sheet1!$M25/100)</f>
        <v>63.25</v>
      </c>
      <c r="K12" s="213">
        <v>2019</v>
      </c>
      <c r="L12" s="209">
        <v>1971774.0137081286</v>
      </c>
    </row>
    <row r="13" spans="1:12" x14ac:dyDescent="0.35">
      <c r="A13" s="2" t="s">
        <v>2</v>
      </c>
      <c r="B13" s="5" t="s">
        <v>9</v>
      </c>
      <c r="C13" s="200">
        <v>75</v>
      </c>
      <c r="D13" s="198">
        <f t="shared" si="0"/>
        <v>75</v>
      </c>
      <c r="E13" s="196">
        <f>D13+(D13*Sheet1!$I26/100)</f>
        <v>86.25</v>
      </c>
      <c r="F13" s="197">
        <f>E13+(E13*Sheet1!$M26/100)</f>
        <v>86.25</v>
      </c>
      <c r="K13" s="214">
        <v>2022</v>
      </c>
      <c r="L13" s="211">
        <f>C17</f>
        <v>1974585.0604664041</v>
      </c>
    </row>
    <row r="14" spans="1:12" x14ac:dyDescent="0.35">
      <c r="A14" s="59" t="s">
        <v>2</v>
      </c>
      <c r="B14" s="60" t="s">
        <v>10</v>
      </c>
      <c r="C14" s="61"/>
      <c r="D14" s="61"/>
      <c r="E14" s="224">
        <f>D14+(D14*Sheet1!$I27/100)</f>
        <v>0</v>
      </c>
      <c r="F14" s="225">
        <f>E14+(E14*Sheet1!$M27/100)</f>
        <v>0</v>
      </c>
      <c r="K14" s="213">
        <v>2050</v>
      </c>
      <c r="L14" s="211">
        <f>D17</f>
        <v>2000821.4968769737</v>
      </c>
    </row>
    <row r="15" spans="1:12" x14ac:dyDescent="0.35">
      <c r="A15" s="59" t="s">
        <v>2</v>
      </c>
      <c r="B15" s="60" t="s">
        <v>11</v>
      </c>
      <c r="C15" s="61"/>
      <c r="D15" s="61"/>
      <c r="E15" s="224">
        <f>D15+(D15*Sheet1!$I28/100)</f>
        <v>0</v>
      </c>
      <c r="F15" s="225">
        <f>E15+(E15*Sheet1!$M28/100)</f>
        <v>0</v>
      </c>
    </row>
    <row r="16" spans="1:12" x14ac:dyDescent="0.35">
      <c r="A16" s="59" t="s">
        <v>2</v>
      </c>
      <c r="B16" s="60" t="s">
        <v>12</v>
      </c>
      <c r="C16" s="69"/>
      <c r="D16" s="69"/>
      <c r="E16" s="224">
        <f>D16+(D16*Sheet1!$I29/100)</f>
        <v>0</v>
      </c>
      <c r="F16" s="225">
        <f>E16+(E16*Sheet1!$M29/100)</f>
        <v>0</v>
      </c>
    </row>
    <row r="17" spans="1:7" x14ac:dyDescent="0.35">
      <c r="A17" s="2" t="s">
        <v>2</v>
      </c>
      <c r="B17" s="5" t="s">
        <v>13</v>
      </c>
      <c r="C17" s="199">
        <f>(Population!$G$4)*(1+(('Population-trend'!$Y$10)*(C3-2019)))</f>
        <v>1974585.0604664041</v>
      </c>
      <c r="D17" s="127">
        <f>(Population!$G$4)*(1+(('Population-trend'!$Y$10)*(D3-2019)))</f>
        <v>2000821.4968769737</v>
      </c>
      <c r="E17" s="196">
        <f>D17+(D17*Sheet1!$I30/100)</f>
        <v>1740714.702282967</v>
      </c>
      <c r="F17" s="197">
        <f>E17+(E17*Sheet1!$M30/100)</f>
        <v>1740714.702282967</v>
      </c>
      <c r="G17" s="209"/>
    </row>
    <row r="18" spans="1:7" x14ac:dyDescent="0.35">
      <c r="A18" s="2" t="s">
        <v>2</v>
      </c>
      <c r="B18" s="5" t="s">
        <v>14</v>
      </c>
      <c r="C18" s="200">
        <f>C17/25</f>
        <v>78983.402418656158</v>
      </c>
      <c r="D18" s="129">
        <f t="shared" ref="D18:F18" si="1">D17/25</f>
        <v>80032.859875078953</v>
      </c>
      <c r="E18" s="129">
        <f t="shared" si="1"/>
        <v>69628.588091318685</v>
      </c>
      <c r="F18" s="129">
        <f t="shared" si="1"/>
        <v>69628.588091318685</v>
      </c>
    </row>
    <row r="19" spans="1:7" x14ac:dyDescent="0.35">
      <c r="A19" s="2" t="s">
        <v>2</v>
      </c>
      <c r="B19" s="5" t="s">
        <v>133</v>
      </c>
      <c r="C19" s="200">
        <v>365</v>
      </c>
      <c r="D19" s="198">
        <f t="shared" si="0"/>
        <v>365</v>
      </c>
      <c r="E19" s="196">
        <f>D19+(D19*Sheet1!$I32/100)</f>
        <v>365</v>
      </c>
      <c r="F19" s="174">
        <f>E19+(E19*Sheet1!$M32/100)</f>
        <v>365</v>
      </c>
    </row>
    <row r="20" spans="1:7" x14ac:dyDescent="0.35">
      <c r="A20" s="2" t="s">
        <v>2</v>
      </c>
      <c r="B20" s="5" t="s">
        <v>15</v>
      </c>
      <c r="C20" s="201">
        <v>15</v>
      </c>
      <c r="D20" s="198">
        <f t="shared" si="0"/>
        <v>15</v>
      </c>
      <c r="E20" s="196">
        <f>D20+(D20*Sheet1!$I33/100)</f>
        <v>9</v>
      </c>
      <c r="F20" s="197">
        <f>E20+(E20*Sheet1!$M33/100)</f>
        <v>9</v>
      </c>
    </row>
    <row r="21" spans="1:7" x14ac:dyDescent="0.35">
      <c r="A21" s="2" t="s">
        <v>2</v>
      </c>
      <c r="B21" s="5" t="s">
        <v>16</v>
      </c>
      <c r="C21" s="200">
        <v>5</v>
      </c>
      <c r="D21" s="198">
        <f t="shared" si="0"/>
        <v>5</v>
      </c>
      <c r="E21" s="196">
        <f>D21+(D21*Sheet1!$I34/100)</f>
        <v>5</v>
      </c>
      <c r="F21" s="197">
        <f>E21+(E21*Sheet1!$M34/100)</f>
        <v>5</v>
      </c>
    </row>
    <row r="22" spans="1:7" x14ac:dyDescent="0.35">
      <c r="A22" s="3"/>
      <c r="B22" s="3"/>
      <c r="C22" s="3"/>
      <c r="D22" s="3"/>
      <c r="E22" s="3"/>
      <c r="F22" s="3"/>
    </row>
    <row r="23" spans="1:7" x14ac:dyDescent="0.35">
      <c r="A23" s="63" t="s">
        <v>17</v>
      </c>
      <c r="B23" s="64" t="s">
        <v>18</v>
      </c>
      <c r="C23" s="42"/>
      <c r="D23" s="65">
        <f t="shared" si="0"/>
        <v>0</v>
      </c>
      <c r="E23" s="182">
        <f>D23+Sheet1!$I36</f>
        <v>0</v>
      </c>
      <c r="F23" s="183">
        <f>E23+Sheet1!$M36</f>
        <v>0</v>
      </c>
    </row>
    <row r="24" spans="1:7" x14ac:dyDescent="0.35">
      <c r="A24" s="66" t="s">
        <v>17</v>
      </c>
      <c r="B24" s="5" t="s">
        <v>19</v>
      </c>
      <c r="C24" s="43"/>
      <c r="D24" s="55">
        <f t="shared" si="0"/>
        <v>0</v>
      </c>
      <c r="E24" s="183">
        <f>D24+Sheet1!$I37</f>
        <v>0</v>
      </c>
      <c r="F24" s="183">
        <f>E24+Sheet1!$M37</f>
        <v>0</v>
      </c>
    </row>
    <row r="25" spans="1:7" x14ac:dyDescent="0.35">
      <c r="A25" s="66" t="s">
        <v>17</v>
      </c>
      <c r="B25" s="5" t="s">
        <v>20</v>
      </c>
      <c r="C25" s="43"/>
      <c r="D25" s="55">
        <f t="shared" si="0"/>
        <v>0</v>
      </c>
      <c r="E25" s="183">
        <f>D25+Sheet1!$I38</f>
        <v>0</v>
      </c>
      <c r="F25" s="183">
        <f>E25+Sheet1!$M38</f>
        <v>0</v>
      </c>
    </row>
    <row r="26" spans="1:7" x14ac:dyDescent="0.35">
      <c r="A26" s="66" t="s">
        <v>17</v>
      </c>
      <c r="B26" s="5" t="s">
        <v>21</v>
      </c>
      <c r="C26" s="43">
        <v>0</v>
      </c>
      <c r="D26" s="55">
        <f t="shared" si="0"/>
        <v>0</v>
      </c>
      <c r="E26" s="183">
        <f>D26+Sheet1!$I39</f>
        <v>5</v>
      </c>
      <c r="F26" s="183">
        <f>E26+Sheet1!$M39</f>
        <v>5</v>
      </c>
    </row>
    <row r="27" spans="1:7" x14ac:dyDescent="0.35">
      <c r="A27" s="66" t="s">
        <v>17</v>
      </c>
      <c r="B27" s="5" t="s">
        <v>22</v>
      </c>
      <c r="C27" s="43">
        <v>0</v>
      </c>
      <c r="D27" s="55">
        <f t="shared" si="0"/>
        <v>0</v>
      </c>
      <c r="E27" s="183">
        <f>D27+Sheet1!$I40</f>
        <v>5</v>
      </c>
      <c r="F27" s="183">
        <f>E27+Sheet1!$M40</f>
        <v>5</v>
      </c>
    </row>
    <row r="28" spans="1:7" x14ac:dyDescent="0.35">
      <c r="A28" s="66" t="s">
        <v>17</v>
      </c>
      <c r="B28" s="5" t="s">
        <v>23</v>
      </c>
      <c r="C28" s="43"/>
      <c r="D28" s="55">
        <f t="shared" si="0"/>
        <v>0</v>
      </c>
      <c r="E28" s="183">
        <f>D28+Sheet1!$I41</f>
        <v>0</v>
      </c>
      <c r="F28" s="183">
        <f>E28+Sheet1!$M41</f>
        <v>0</v>
      </c>
    </row>
    <row r="29" spans="1:7" x14ac:dyDescent="0.35">
      <c r="A29" s="66" t="s">
        <v>17</v>
      </c>
      <c r="B29" s="5" t="s">
        <v>24</v>
      </c>
      <c r="C29" s="43">
        <v>10</v>
      </c>
      <c r="D29" s="55">
        <f t="shared" si="0"/>
        <v>10</v>
      </c>
      <c r="E29" s="183">
        <f>D29+Sheet1!$I42</f>
        <v>0</v>
      </c>
      <c r="F29" s="183">
        <f>E29+Sheet1!$M42</f>
        <v>0</v>
      </c>
    </row>
    <row r="30" spans="1:7" x14ac:dyDescent="0.35">
      <c r="A30" s="66" t="s">
        <v>17</v>
      </c>
      <c r="B30" s="5" t="s">
        <v>25</v>
      </c>
      <c r="C30" s="43"/>
      <c r="D30" s="55">
        <f t="shared" si="0"/>
        <v>0</v>
      </c>
      <c r="E30" s="183">
        <f>D30+Sheet1!$I43</f>
        <v>0</v>
      </c>
      <c r="F30" s="183">
        <f>E30+Sheet1!$M43</f>
        <v>0</v>
      </c>
    </row>
    <row r="31" spans="1:7" x14ac:dyDescent="0.35">
      <c r="A31" s="66" t="s">
        <v>17</v>
      </c>
      <c r="B31" s="5" t="s">
        <v>26</v>
      </c>
      <c r="C31" s="43"/>
      <c r="D31" s="55">
        <f t="shared" si="0"/>
        <v>0</v>
      </c>
      <c r="E31" s="183">
        <f>D31+Sheet1!$I44</f>
        <v>0</v>
      </c>
      <c r="F31" s="183">
        <f>E31+Sheet1!$M44</f>
        <v>0</v>
      </c>
    </row>
    <row r="32" spans="1:7" x14ac:dyDescent="0.35">
      <c r="A32" s="66" t="s">
        <v>17</v>
      </c>
      <c r="B32" s="5" t="s">
        <v>27</v>
      </c>
      <c r="C32" s="43"/>
      <c r="D32" s="55">
        <f t="shared" si="0"/>
        <v>0</v>
      </c>
      <c r="E32" s="183">
        <f>D32+Sheet1!$I45</f>
        <v>0</v>
      </c>
      <c r="F32" s="183">
        <f>E32+Sheet1!$M45</f>
        <v>0</v>
      </c>
    </row>
    <row r="33" spans="1:6" x14ac:dyDescent="0.35">
      <c r="A33" s="66" t="s">
        <v>17</v>
      </c>
      <c r="B33" s="5" t="s">
        <v>28</v>
      </c>
      <c r="C33" s="43">
        <v>3</v>
      </c>
      <c r="D33" s="55">
        <f t="shared" si="0"/>
        <v>3</v>
      </c>
      <c r="E33" s="183">
        <f>D33+Sheet1!$I46</f>
        <v>0</v>
      </c>
      <c r="F33" s="183">
        <f>E33+Sheet1!$M46</f>
        <v>0</v>
      </c>
    </row>
    <row r="34" spans="1:6" x14ac:dyDescent="0.35">
      <c r="A34" s="66" t="s">
        <v>17</v>
      </c>
      <c r="B34" s="5" t="s">
        <v>29</v>
      </c>
      <c r="C34" s="43"/>
      <c r="D34" s="55">
        <f t="shared" si="0"/>
        <v>0</v>
      </c>
      <c r="E34" s="183">
        <f>D34+Sheet1!$I47</f>
        <v>0</v>
      </c>
      <c r="F34" s="183">
        <f>E34+Sheet1!$M47</f>
        <v>0</v>
      </c>
    </row>
    <row r="35" spans="1:6" x14ac:dyDescent="0.35">
      <c r="A35" s="66" t="s">
        <v>17</v>
      </c>
      <c r="B35" s="5" t="s">
        <v>30</v>
      </c>
      <c r="C35" s="43"/>
      <c r="D35" s="55">
        <f t="shared" si="0"/>
        <v>0</v>
      </c>
      <c r="E35" s="183">
        <f>D35+Sheet1!$I48</f>
        <v>0</v>
      </c>
      <c r="F35" s="183">
        <f>E35+Sheet1!$M48</f>
        <v>0</v>
      </c>
    </row>
    <row r="36" spans="1:6" x14ac:dyDescent="0.35">
      <c r="A36" s="66" t="s">
        <v>17</v>
      </c>
      <c r="B36" s="5" t="s">
        <v>31</v>
      </c>
      <c r="C36" s="43">
        <v>60</v>
      </c>
      <c r="D36" s="55">
        <f t="shared" si="0"/>
        <v>60</v>
      </c>
      <c r="E36" s="183">
        <f>D36+Sheet1!$I49</f>
        <v>54</v>
      </c>
      <c r="F36" s="183">
        <f>E36+Sheet1!$M49</f>
        <v>54</v>
      </c>
    </row>
    <row r="37" spans="1:6" x14ac:dyDescent="0.35">
      <c r="A37" s="66" t="s">
        <v>17</v>
      </c>
      <c r="B37" s="5" t="s">
        <v>32</v>
      </c>
      <c r="C37" s="43">
        <v>7</v>
      </c>
      <c r="D37" s="55">
        <f t="shared" si="0"/>
        <v>7</v>
      </c>
      <c r="E37" s="183">
        <f>D37+Sheet1!$I50</f>
        <v>7</v>
      </c>
      <c r="F37" s="183">
        <f>E37+Sheet1!$M50</f>
        <v>7</v>
      </c>
    </row>
    <row r="38" spans="1:6" x14ac:dyDescent="0.35">
      <c r="A38" s="66" t="s">
        <v>17</v>
      </c>
      <c r="B38" s="5" t="s">
        <v>33</v>
      </c>
      <c r="C38" s="43">
        <v>0</v>
      </c>
      <c r="D38" s="55">
        <f t="shared" si="0"/>
        <v>0</v>
      </c>
      <c r="E38" s="183">
        <f>D38+Sheet1!$I51</f>
        <v>0</v>
      </c>
      <c r="F38" s="183">
        <f>E38+Sheet1!$M51</f>
        <v>0</v>
      </c>
    </row>
    <row r="39" spans="1:6" x14ac:dyDescent="0.35">
      <c r="A39" s="66" t="s">
        <v>17</v>
      </c>
      <c r="B39" s="5" t="s">
        <v>34</v>
      </c>
      <c r="C39" s="43"/>
      <c r="D39" s="55">
        <f t="shared" si="0"/>
        <v>0</v>
      </c>
      <c r="E39" s="183">
        <f>D39+Sheet1!$I52</f>
        <v>0</v>
      </c>
      <c r="F39" s="183">
        <f>E39+Sheet1!$M52</f>
        <v>0</v>
      </c>
    </row>
    <row r="40" spans="1:6" x14ac:dyDescent="0.35">
      <c r="A40" s="66" t="s">
        <v>17</v>
      </c>
      <c r="B40" s="5" t="s">
        <v>35</v>
      </c>
      <c r="C40" s="43">
        <v>10</v>
      </c>
      <c r="D40" s="55">
        <f t="shared" si="0"/>
        <v>10</v>
      </c>
      <c r="E40" s="183">
        <f>D40+Sheet1!$I53</f>
        <v>10</v>
      </c>
      <c r="F40" s="183">
        <f>E40+Sheet1!$M53</f>
        <v>10</v>
      </c>
    </row>
    <row r="41" spans="1:6" x14ac:dyDescent="0.35">
      <c r="A41" s="66" t="s">
        <v>17</v>
      </c>
      <c r="B41" s="5" t="s">
        <v>36</v>
      </c>
      <c r="C41" s="43"/>
      <c r="D41" s="55">
        <f t="shared" si="0"/>
        <v>0</v>
      </c>
      <c r="E41" s="183">
        <f>D41+Sheet1!$I54</f>
        <v>0</v>
      </c>
      <c r="F41" s="183">
        <f>E41+Sheet1!$M54</f>
        <v>0</v>
      </c>
    </row>
    <row r="42" spans="1:6" x14ac:dyDescent="0.35">
      <c r="A42" s="66" t="s">
        <v>17</v>
      </c>
      <c r="B42" s="5" t="s">
        <v>37</v>
      </c>
      <c r="C42" s="43">
        <v>10</v>
      </c>
      <c r="D42" s="55">
        <f t="shared" si="0"/>
        <v>10</v>
      </c>
      <c r="E42" s="183">
        <f>D42+Sheet1!$I55</f>
        <v>5</v>
      </c>
      <c r="F42" s="183">
        <f>E42+Sheet1!$M55</f>
        <v>5</v>
      </c>
    </row>
    <row r="43" spans="1:6" x14ac:dyDescent="0.35">
      <c r="A43" s="66" t="s">
        <v>17</v>
      </c>
      <c r="B43" s="5" t="s">
        <v>38</v>
      </c>
      <c r="C43" s="43"/>
      <c r="D43" s="55">
        <f t="shared" si="0"/>
        <v>0</v>
      </c>
      <c r="E43" s="183">
        <f>D43+Sheet1!$I56</f>
        <v>0</v>
      </c>
      <c r="F43" s="183">
        <f>E43+Sheet1!$M56</f>
        <v>0</v>
      </c>
    </row>
    <row r="44" spans="1:6" x14ac:dyDescent="0.35">
      <c r="A44" s="66" t="s">
        <v>17</v>
      </c>
      <c r="B44" s="5" t="s">
        <v>39</v>
      </c>
      <c r="C44" s="43"/>
      <c r="D44" s="55">
        <f t="shared" si="0"/>
        <v>0</v>
      </c>
      <c r="E44" s="183">
        <f>D44+Sheet1!$I57</f>
        <v>0</v>
      </c>
      <c r="F44" s="183">
        <f>E44+Sheet1!$M57</f>
        <v>0</v>
      </c>
    </row>
    <row r="45" spans="1:6" x14ac:dyDescent="0.35">
      <c r="A45" s="66" t="s">
        <v>17</v>
      </c>
      <c r="B45" s="5" t="s">
        <v>40</v>
      </c>
      <c r="C45" s="43"/>
      <c r="D45" s="55">
        <f t="shared" si="0"/>
        <v>0</v>
      </c>
      <c r="E45" s="183">
        <f>D45+Sheet1!$I58</f>
        <v>0</v>
      </c>
      <c r="F45" s="183">
        <f>E45+Sheet1!$M58</f>
        <v>0</v>
      </c>
    </row>
    <row r="46" spans="1:6" x14ac:dyDescent="0.35">
      <c r="A46" s="66" t="s">
        <v>17</v>
      </c>
      <c r="B46" s="5" t="s">
        <v>41</v>
      </c>
      <c r="C46" s="43"/>
      <c r="D46" s="55">
        <f t="shared" si="0"/>
        <v>0</v>
      </c>
      <c r="E46" s="183">
        <f>D46+Sheet1!$I59</f>
        <v>0</v>
      </c>
      <c r="F46" s="183">
        <f>E46+Sheet1!$M59</f>
        <v>0</v>
      </c>
    </row>
    <row r="47" spans="1:6" x14ac:dyDescent="0.35">
      <c r="A47" s="66" t="s">
        <v>17</v>
      </c>
      <c r="B47" s="5" t="s">
        <v>42</v>
      </c>
      <c r="C47" s="43">
        <v>0</v>
      </c>
      <c r="D47" s="55">
        <f t="shared" si="0"/>
        <v>0</v>
      </c>
      <c r="E47" s="183">
        <f>D47+Sheet1!$I60</f>
        <v>0</v>
      </c>
      <c r="F47" s="183">
        <f>E47+Sheet1!$M60</f>
        <v>0</v>
      </c>
    </row>
    <row r="48" spans="1:6" x14ac:dyDescent="0.35">
      <c r="A48" s="66" t="s">
        <v>17</v>
      </c>
      <c r="B48" s="5" t="s">
        <v>43</v>
      </c>
      <c r="C48" s="43"/>
      <c r="D48" s="55">
        <f t="shared" si="0"/>
        <v>0</v>
      </c>
      <c r="E48" s="183">
        <f>D48+Sheet1!$I61</f>
        <v>0</v>
      </c>
      <c r="F48" s="183">
        <f>E48+Sheet1!$M61</f>
        <v>0</v>
      </c>
    </row>
    <row r="49" spans="1:6" x14ac:dyDescent="0.35">
      <c r="A49" s="66" t="s">
        <v>17</v>
      </c>
      <c r="B49" s="5" t="s">
        <v>44</v>
      </c>
      <c r="C49" s="43">
        <v>0</v>
      </c>
      <c r="D49" s="55">
        <f t="shared" si="0"/>
        <v>0</v>
      </c>
      <c r="E49" s="183">
        <f>D49+Sheet1!$I62</f>
        <v>0</v>
      </c>
      <c r="F49" s="183">
        <f>E49+Sheet1!$M62</f>
        <v>0</v>
      </c>
    </row>
    <row r="50" spans="1:6" x14ac:dyDescent="0.35">
      <c r="A50" s="66" t="s">
        <v>17</v>
      </c>
      <c r="B50" s="5" t="s">
        <v>45</v>
      </c>
      <c r="C50" s="43">
        <v>0</v>
      </c>
      <c r="D50" s="55">
        <f t="shared" si="0"/>
        <v>0</v>
      </c>
      <c r="E50" s="183">
        <f>D50+Sheet1!$I63</f>
        <v>14</v>
      </c>
      <c r="F50" s="183">
        <f>E50+Sheet1!$M63</f>
        <v>14</v>
      </c>
    </row>
    <row r="51" spans="1:6" x14ac:dyDescent="0.35">
      <c r="A51" s="66" t="s">
        <v>17</v>
      </c>
      <c r="B51" s="5" t="s">
        <v>46</v>
      </c>
      <c r="C51" s="43"/>
      <c r="D51" s="55">
        <f t="shared" si="0"/>
        <v>0</v>
      </c>
      <c r="E51" s="183">
        <f>D51+Sheet1!$I64</f>
        <v>0</v>
      </c>
      <c r="F51" s="183">
        <f>E51+Sheet1!$M64</f>
        <v>0</v>
      </c>
    </row>
    <row r="52" spans="1:6" x14ac:dyDescent="0.35">
      <c r="A52" s="67" t="s">
        <v>17</v>
      </c>
      <c r="B52" s="68" t="s">
        <v>46</v>
      </c>
      <c r="C52" s="44"/>
      <c r="D52" s="57">
        <f>C52</f>
        <v>0</v>
      </c>
      <c r="E52" s="184">
        <f>D52+Sheet1!$I65</f>
        <v>0</v>
      </c>
      <c r="F52" s="183">
        <f>E52+Sheet1!$M65</f>
        <v>0</v>
      </c>
    </row>
    <row r="53" spans="1:6" x14ac:dyDescent="0.35">
      <c r="A53" s="13"/>
      <c r="B53" s="13"/>
      <c r="C53" s="70">
        <f>SUM(C23:C52)</f>
        <v>100</v>
      </c>
      <c r="D53" s="70">
        <f t="shared" ref="D53:F53" si="2">SUM(D23:D52)</f>
        <v>100</v>
      </c>
      <c r="E53" s="70">
        <f t="shared" si="2"/>
        <v>100</v>
      </c>
      <c r="F53" s="70">
        <f t="shared" si="2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E34D-C87C-4297-B5C8-6BF5719ED847}">
  <dimension ref="A1:L29"/>
  <sheetViews>
    <sheetView topLeftCell="A13" workbookViewId="0">
      <selection activeCell="E27" sqref="E27"/>
    </sheetView>
  </sheetViews>
  <sheetFormatPr defaultRowHeight="14.5" x14ac:dyDescent="0.35"/>
  <cols>
    <col min="1" max="1" width="26.54296875" customWidth="1"/>
    <col min="2" max="6" width="15.6328125" style="92" customWidth="1"/>
    <col min="7" max="7" width="13.36328125" style="92" customWidth="1"/>
    <col min="8" max="8" width="14.1796875" customWidth="1"/>
  </cols>
  <sheetData>
    <row r="1" spans="1:12" s="13" customFormat="1" x14ac:dyDescent="0.35">
      <c r="A1" s="95"/>
      <c r="B1" s="287" t="s">
        <v>227</v>
      </c>
      <c r="C1" s="287" t="s">
        <v>216</v>
      </c>
      <c r="D1" s="287" t="s">
        <v>228</v>
      </c>
      <c r="E1" s="287" t="s">
        <v>232</v>
      </c>
      <c r="F1" s="286" t="s">
        <v>226</v>
      </c>
      <c r="G1" s="286"/>
      <c r="H1" s="286"/>
    </row>
    <row r="2" spans="1:12" ht="53" customHeight="1" x14ac:dyDescent="0.35">
      <c r="A2" s="95"/>
      <c r="B2" s="288"/>
      <c r="C2" s="288"/>
      <c r="D2" s="288"/>
      <c r="E2" s="288"/>
      <c r="F2" s="234" t="s">
        <v>229</v>
      </c>
      <c r="G2" s="234" t="s">
        <v>230</v>
      </c>
      <c r="H2" s="234" t="s">
        <v>231</v>
      </c>
    </row>
    <row r="3" spans="1:12" x14ac:dyDescent="0.35">
      <c r="A3" s="95" t="s">
        <v>217</v>
      </c>
      <c r="B3" s="237">
        <v>5.8</v>
      </c>
      <c r="C3" s="234">
        <v>0.16</v>
      </c>
      <c r="D3" s="234">
        <v>154.9</v>
      </c>
      <c r="E3" s="234">
        <v>1.97</v>
      </c>
      <c r="F3" s="238">
        <v>1649617.3</v>
      </c>
      <c r="G3" s="238">
        <v>6748748.4399999995</v>
      </c>
      <c r="H3" s="234">
        <v>0</v>
      </c>
    </row>
    <row r="4" spans="1:12" x14ac:dyDescent="0.35">
      <c r="A4" s="235" t="s">
        <v>218</v>
      </c>
      <c r="B4" s="239">
        <v>9.3000000000000007</v>
      </c>
      <c r="C4" s="234">
        <v>0.26</v>
      </c>
      <c r="D4" s="234">
        <v>229.2</v>
      </c>
      <c r="E4" s="234">
        <v>3.85</v>
      </c>
      <c r="F4" s="238">
        <v>3008747.18</v>
      </c>
      <c r="G4" s="238">
        <v>5980033.3500000006</v>
      </c>
      <c r="H4" s="234">
        <v>0</v>
      </c>
    </row>
    <row r="5" spans="1:12" x14ac:dyDescent="0.35">
      <c r="A5" s="235" t="s">
        <v>219</v>
      </c>
      <c r="B5" s="237">
        <v>10.4</v>
      </c>
      <c r="C5" s="235">
        <v>0.28000000000000003</v>
      </c>
      <c r="D5" s="234">
        <v>328.5</v>
      </c>
      <c r="E5" s="235">
        <v>4.9400000000000004</v>
      </c>
      <c r="F5" s="238">
        <v>2468662.17</v>
      </c>
      <c r="G5" s="238">
        <v>5991969.04</v>
      </c>
      <c r="H5" s="234">
        <v>0</v>
      </c>
      <c r="I5" s="226"/>
      <c r="J5" s="226"/>
      <c r="K5" s="226"/>
      <c r="L5" s="227"/>
    </row>
    <row r="6" spans="1:12" x14ac:dyDescent="0.35">
      <c r="A6" s="235" t="s">
        <v>220</v>
      </c>
      <c r="B6" s="236">
        <v>8.1</v>
      </c>
      <c r="C6" s="234">
        <v>0.22</v>
      </c>
      <c r="D6" s="234">
        <v>297.3</v>
      </c>
      <c r="E6" s="234">
        <v>3.58</v>
      </c>
      <c r="F6" s="238">
        <v>1785062.78</v>
      </c>
      <c r="G6" s="238">
        <v>5991969.04</v>
      </c>
      <c r="H6" s="238">
        <v>4098139.78</v>
      </c>
    </row>
    <row r="8" spans="1:12" s="13" customFormat="1" x14ac:dyDescent="0.35">
      <c r="B8" s="92"/>
      <c r="C8" s="92"/>
      <c r="D8" s="92"/>
      <c r="E8" s="92"/>
      <c r="F8" s="92"/>
      <c r="G8" s="92"/>
    </row>
    <row r="9" spans="1:12" x14ac:dyDescent="0.35">
      <c r="B9" s="231">
        <v>5800000000</v>
      </c>
    </row>
    <row r="11" spans="1:12" x14ac:dyDescent="0.35">
      <c r="F11" s="233">
        <v>0</v>
      </c>
      <c r="G11" s="233">
        <v>0</v>
      </c>
      <c r="H11" s="233">
        <v>0</v>
      </c>
      <c r="I11" s="233">
        <v>4098139.78</v>
      </c>
    </row>
    <row r="15" spans="1:12" x14ac:dyDescent="0.35">
      <c r="D15" s="92" t="s">
        <v>221</v>
      </c>
      <c r="E15" s="92">
        <v>38562377</v>
      </c>
    </row>
    <row r="16" spans="1:12" x14ac:dyDescent="0.35">
      <c r="D16" s="92" t="s">
        <v>222</v>
      </c>
      <c r="E16" s="92">
        <v>11396807</v>
      </c>
    </row>
    <row r="17" spans="3:5" x14ac:dyDescent="0.35">
      <c r="D17" s="92" t="s">
        <v>223</v>
      </c>
      <c r="E17" s="92">
        <v>571879</v>
      </c>
    </row>
    <row r="18" spans="3:5" x14ac:dyDescent="0.35">
      <c r="E18" s="231">
        <f>SUM(E15:E17)*0.1</f>
        <v>5053106.3000000007</v>
      </c>
    </row>
    <row r="21" spans="3:5" x14ac:dyDescent="0.35">
      <c r="D21" s="230" t="s">
        <v>224</v>
      </c>
    </row>
    <row r="23" spans="3:5" x14ac:dyDescent="0.35">
      <c r="D23" s="230" t="s">
        <v>225</v>
      </c>
    </row>
    <row r="25" spans="3:5" x14ac:dyDescent="0.35">
      <c r="D25" s="92">
        <v>0.72499999999999998</v>
      </c>
    </row>
    <row r="27" spans="3:5" x14ac:dyDescent="0.35">
      <c r="C27" s="92">
        <v>1026912</v>
      </c>
      <c r="D27" s="232">
        <f>1026912*D25</f>
        <v>744511.2</v>
      </c>
      <c r="E27" s="240">
        <f>(D27-C27)/C27</f>
        <v>-0.27500000000000002</v>
      </c>
    </row>
    <row r="28" spans="3:5" x14ac:dyDescent="0.35">
      <c r="C28" s="232">
        <f>C27/25</f>
        <v>41076.480000000003</v>
      </c>
      <c r="D28" s="232">
        <f>D27/25</f>
        <v>29780.447999999997</v>
      </c>
    </row>
    <row r="29" spans="3:5" x14ac:dyDescent="0.35">
      <c r="D29" s="232"/>
    </row>
  </sheetData>
  <mergeCells count="5">
    <mergeCell ref="F1:H1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2D12-409B-4501-8202-20040DC421D4}">
  <dimension ref="A1:F16"/>
  <sheetViews>
    <sheetView workbookViewId="0">
      <selection activeCell="G24" sqref="G24"/>
    </sheetView>
  </sheetViews>
  <sheetFormatPr defaultRowHeight="14.5" x14ac:dyDescent="0.35"/>
  <cols>
    <col min="1" max="2" width="11.26953125" customWidth="1"/>
    <col min="3" max="3" width="23.7265625" customWidth="1"/>
    <col min="4" max="6" width="11.26953125" customWidth="1"/>
  </cols>
  <sheetData>
    <row r="1" spans="1:6" x14ac:dyDescent="0.35">
      <c r="A1" s="289" t="s">
        <v>161</v>
      </c>
      <c r="B1" s="290"/>
      <c r="C1" s="290"/>
      <c r="D1" s="290"/>
      <c r="E1" s="290"/>
      <c r="F1" s="291"/>
    </row>
    <row r="2" spans="1:6" x14ac:dyDescent="0.35">
      <c r="A2" s="88"/>
      <c r="B2" s="88"/>
      <c r="C2" s="88"/>
      <c r="D2" s="88"/>
      <c r="E2" s="88" t="s">
        <v>143</v>
      </c>
      <c r="F2" s="89"/>
    </row>
    <row r="3" spans="1:6" x14ac:dyDescent="0.35">
      <c r="A3" s="90" t="s">
        <v>135</v>
      </c>
      <c r="B3" s="90" t="s">
        <v>144</v>
      </c>
      <c r="C3" s="90" t="s">
        <v>145</v>
      </c>
      <c r="D3" s="90" t="s">
        <v>146</v>
      </c>
      <c r="E3" s="90">
        <v>25</v>
      </c>
      <c r="F3" s="90">
        <v>25</v>
      </c>
    </row>
    <row r="4" spans="1:6" ht="18" x14ac:dyDescent="0.35">
      <c r="A4" s="90" t="s">
        <v>135</v>
      </c>
      <c r="B4" s="90" t="s">
        <v>144</v>
      </c>
      <c r="C4" s="90" t="s">
        <v>147</v>
      </c>
      <c r="D4" s="90" t="s">
        <v>148</v>
      </c>
      <c r="E4" s="90">
        <v>311</v>
      </c>
      <c r="F4" s="90">
        <v>311</v>
      </c>
    </row>
    <row r="5" spans="1:6" ht="18" x14ac:dyDescent="0.35">
      <c r="A5" s="90" t="s">
        <v>135</v>
      </c>
      <c r="B5" s="90" t="s">
        <v>144</v>
      </c>
      <c r="C5" s="90" t="s">
        <v>149</v>
      </c>
      <c r="D5" s="90" t="s">
        <v>146</v>
      </c>
      <c r="E5" s="90">
        <v>57</v>
      </c>
      <c r="F5" s="90">
        <v>57</v>
      </c>
    </row>
    <row r="6" spans="1:6" ht="18" x14ac:dyDescent="0.35">
      <c r="A6" s="90" t="s">
        <v>135</v>
      </c>
      <c r="B6" s="90" t="s">
        <v>144</v>
      </c>
      <c r="C6" s="90" t="s">
        <v>150</v>
      </c>
      <c r="D6" s="90" t="s">
        <v>151</v>
      </c>
      <c r="E6" s="90">
        <v>0.8</v>
      </c>
      <c r="F6" s="90">
        <v>0.8</v>
      </c>
    </row>
    <row r="7" spans="1:6" x14ac:dyDescent="0.35">
      <c r="A7" s="90" t="s">
        <v>135</v>
      </c>
      <c r="B7" s="90" t="s">
        <v>144</v>
      </c>
      <c r="C7" s="90" t="s">
        <v>152</v>
      </c>
      <c r="D7" s="90" t="s">
        <v>153</v>
      </c>
      <c r="E7" s="90">
        <v>54</v>
      </c>
      <c r="F7" s="90">
        <v>54</v>
      </c>
    </row>
    <row r="8" spans="1:6" x14ac:dyDescent="0.35">
      <c r="A8" s="90" t="s">
        <v>135</v>
      </c>
      <c r="B8" s="90" t="s">
        <v>144</v>
      </c>
      <c r="C8" s="90" t="s">
        <v>154</v>
      </c>
      <c r="D8" s="90" t="s">
        <v>151</v>
      </c>
      <c r="E8" s="90">
        <v>8.9</v>
      </c>
      <c r="F8" s="90">
        <v>8.9</v>
      </c>
    </row>
    <row r="9" spans="1:6" x14ac:dyDescent="0.35">
      <c r="A9" s="90" t="s">
        <v>135</v>
      </c>
      <c r="B9" s="90" t="s">
        <v>144</v>
      </c>
      <c r="C9" s="90" t="s">
        <v>155</v>
      </c>
      <c r="D9" s="90" t="s">
        <v>151</v>
      </c>
      <c r="E9" s="90">
        <v>5</v>
      </c>
      <c r="F9" s="90">
        <v>5</v>
      </c>
    </row>
    <row r="10" spans="1:6" x14ac:dyDescent="0.35">
      <c r="A10" s="90" t="s">
        <v>135</v>
      </c>
      <c r="B10" s="90" t="s">
        <v>144</v>
      </c>
      <c r="C10" s="90" t="s">
        <v>49</v>
      </c>
      <c r="D10" s="90" t="s">
        <v>151</v>
      </c>
      <c r="E10" s="90">
        <v>3.2</v>
      </c>
      <c r="F10" s="90">
        <v>3.2</v>
      </c>
    </row>
    <row r="11" spans="1:6" ht="18" x14ac:dyDescent="0.35">
      <c r="A11" s="90" t="s">
        <v>135</v>
      </c>
      <c r="B11" s="90" t="s">
        <v>144</v>
      </c>
      <c r="C11" s="90" t="s">
        <v>156</v>
      </c>
      <c r="D11" s="90" t="s">
        <v>157</v>
      </c>
      <c r="E11" s="90">
        <v>1.85</v>
      </c>
      <c r="F11" s="90">
        <v>1.85</v>
      </c>
    </row>
    <row r="12" spans="1:6" ht="18" x14ac:dyDescent="0.35">
      <c r="A12" s="90" t="s">
        <v>135</v>
      </c>
      <c r="B12" s="90" t="s">
        <v>144</v>
      </c>
      <c r="C12" s="90" t="s">
        <v>158</v>
      </c>
      <c r="D12" s="90" t="s">
        <v>157</v>
      </c>
      <c r="E12" s="90">
        <v>1.34</v>
      </c>
      <c r="F12" s="90">
        <v>1.34</v>
      </c>
    </row>
    <row r="13" spans="1:6" ht="18" x14ac:dyDescent="0.35">
      <c r="A13" s="90" t="s">
        <v>135</v>
      </c>
      <c r="B13" s="90" t="s">
        <v>144</v>
      </c>
      <c r="C13" s="90" t="s">
        <v>159</v>
      </c>
      <c r="D13" s="90" t="s">
        <v>157</v>
      </c>
      <c r="E13" s="90">
        <v>2.1</v>
      </c>
      <c r="F13" s="90">
        <v>2.1</v>
      </c>
    </row>
    <row r="14" spans="1:6" x14ac:dyDescent="0.35">
      <c r="A14" s="91" t="s">
        <v>135</v>
      </c>
      <c r="B14" s="91" t="s">
        <v>144</v>
      </c>
      <c r="C14" s="91" t="s">
        <v>13</v>
      </c>
      <c r="D14" s="91" t="s">
        <v>160</v>
      </c>
      <c r="E14" s="91">
        <v>0</v>
      </c>
      <c r="F14" s="91">
        <v>2000</v>
      </c>
    </row>
    <row r="15" spans="1:6" x14ac:dyDescent="0.35">
      <c r="A15" s="91" t="s">
        <v>135</v>
      </c>
      <c r="B15" s="91" t="s">
        <v>144</v>
      </c>
      <c r="C15" s="91" t="s">
        <v>14</v>
      </c>
      <c r="D15" s="91" t="s">
        <v>160</v>
      </c>
      <c r="E15" s="91">
        <v>0</v>
      </c>
      <c r="F15" s="91">
        <v>0</v>
      </c>
    </row>
    <row r="16" spans="1:6" x14ac:dyDescent="0.35">
      <c r="A16" s="90" t="s">
        <v>135</v>
      </c>
      <c r="B16" s="90" t="s">
        <v>144</v>
      </c>
      <c r="C16" s="90" t="s">
        <v>16</v>
      </c>
      <c r="D16" s="90" t="s">
        <v>157</v>
      </c>
      <c r="E16" s="90">
        <v>0.04</v>
      </c>
      <c r="F16" s="90">
        <v>0.04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136-7B63-4EC7-84C0-FA9116807815}">
  <dimension ref="A1:D51"/>
  <sheetViews>
    <sheetView workbookViewId="0">
      <selection activeCell="B17" sqref="B17"/>
    </sheetView>
  </sheetViews>
  <sheetFormatPr defaultRowHeight="14.5" x14ac:dyDescent="0.35"/>
  <cols>
    <col min="1" max="1" width="34.1796875" style="13" customWidth="1"/>
    <col min="2" max="3" width="15.81640625" style="13" customWidth="1"/>
  </cols>
  <sheetData>
    <row r="1" spans="1:4" s="13" customFormat="1" x14ac:dyDescent="0.35">
      <c r="B1" s="71" t="s">
        <v>210</v>
      </c>
      <c r="C1" s="72" t="s">
        <v>209</v>
      </c>
    </row>
    <row r="2" spans="1:4" x14ac:dyDescent="0.35">
      <c r="A2" s="7" t="s">
        <v>1</v>
      </c>
    </row>
    <row r="3" spans="1:4" x14ac:dyDescent="0.35">
      <c r="A3" s="100" t="s">
        <v>3</v>
      </c>
      <c r="B3" s="81">
        <f>(25-29)/29*100</f>
        <v>-13.793103448275861</v>
      </c>
      <c r="C3" s="82">
        <f>(20-23)/23*100</f>
        <v>-13.043478260869565</v>
      </c>
      <c r="D3" s="83">
        <f>(20-23)/23*100</f>
        <v>-13.043478260869565</v>
      </c>
    </row>
    <row r="4" spans="1:4" x14ac:dyDescent="0.35">
      <c r="A4" s="102" t="s">
        <v>4</v>
      </c>
      <c r="B4" s="81">
        <f>(4.8-6)/6*100</f>
        <v>-20.000000000000004</v>
      </c>
      <c r="C4" s="82">
        <f>(5.6-7)/7*100</f>
        <v>-20.000000000000004</v>
      </c>
      <c r="D4" s="83">
        <f>(5.6-7)/7*100</f>
        <v>-20.000000000000004</v>
      </c>
    </row>
    <row r="5" spans="1:4" x14ac:dyDescent="0.35">
      <c r="A5" s="102" t="s">
        <v>49</v>
      </c>
      <c r="B5" s="81">
        <f>(6.4-8)/8*100</f>
        <v>-19.999999999999996</v>
      </c>
      <c r="C5" s="82">
        <f>(7.2-9)/9*100</f>
        <v>-20</v>
      </c>
      <c r="D5" s="83">
        <f>(7.2-9)/9*100</f>
        <v>-20</v>
      </c>
    </row>
    <row r="6" spans="1:4" x14ac:dyDescent="0.35">
      <c r="A6" s="102" t="s">
        <v>50</v>
      </c>
      <c r="B6" s="81">
        <f t="shared" ref="B6" si="0">(4.8-6)/6*100</f>
        <v>-20.000000000000004</v>
      </c>
      <c r="C6" s="82">
        <f t="shared" ref="C6:D6" si="1">(5.6-7)/7*100</f>
        <v>-20.000000000000004</v>
      </c>
      <c r="D6" s="83">
        <f t="shared" si="1"/>
        <v>-20.000000000000004</v>
      </c>
    </row>
    <row r="7" spans="1:4" x14ac:dyDescent="0.35">
      <c r="A7" s="102" t="s">
        <v>5</v>
      </c>
      <c r="B7" s="81">
        <f>(82.4-80)/82.4*100</f>
        <v>2.9126213592233077</v>
      </c>
      <c r="C7" s="82"/>
      <c r="D7" s="83"/>
    </row>
    <row r="8" spans="1:4" x14ac:dyDescent="0.35">
      <c r="A8" s="102" t="s">
        <v>132</v>
      </c>
      <c r="B8" s="84"/>
      <c r="C8" s="82">
        <f>(1.5-1.2)/1.2*100</f>
        <v>25.000000000000007</v>
      </c>
      <c r="D8" s="83">
        <f>(1.4-1.1)/1.1*100</f>
        <v>27.272727272727256</v>
      </c>
    </row>
    <row r="9" spans="1:4" x14ac:dyDescent="0.35">
      <c r="A9" s="102" t="s">
        <v>6</v>
      </c>
      <c r="B9" s="81">
        <f>(444-370)/370*100</f>
        <v>20</v>
      </c>
      <c r="C9" s="82"/>
      <c r="D9" s="83"/>
    </row>
    <row r="10" spans="1:4" x14ac:dyDescent="0.35">
      <c r="A10" s="102" t="s">
        <v>7</v>
      </c>
      <c r="B10" s="81">
        <f>(624-520)/520*100</f>
        <v>20</v>
      </c>
      <c r="C10" s="82"/>
      <c r="D10" s="83"/>
    </row>
    <row r="11" spans="1:4" ht="29" x14ac:dyDescent="0.35">
      <c r="A11" s="102" t="s">
        <v>8</v>
      </c>
      <c r="B11" s="81">
        <f>(480-400)/400*100</f>
        <v>20</v>
      </c>
      <c r="C11" s="82"/>
      <c r="D11" s="83"/>
    </row>
    <row r="12" spans="1:4" ht="29" x14ac:dyDescent="0.35">
      <c r="A12" s="102" t="s">
        <v>9</v>
      </c>
      <c r="B12" s="81">
        <f>(564-470)/470*100</f>
        <v>20</v>
      </c>
      <c r="C12" s="82"/>
      <c r="D12" s="83"/>
    </row>
    <row r="13" spans="1:4" x14ac:dyDescent="0.35">
      <c r="A13" s="102" t="s">
        <v>10</v>
      </c>
      <c r="B13" s="81">
        <f>(3.6-3.4)/3.4*100</f>
        <v>5.8823529411764763</v>
      </c>
      <c r="C13" s="85"/>
      <c r="D13" s="86"/>
    </row>
    <row r="14" spans="1:4" x14ac:dyDescent="0.35">
      <c r="A14" s="102" t="s">
        <v>11</v>
      </c>
      <c r="B14" s="81"/>
      <c r="C14" s="85"/>
      <c r="D14" s="86"/>
    </row>
    <row r="15" spans="1:4" x14ac:dyDescent="0.35">
      <c r="A15" s="102" t="s">
        <v>12</v>
      </c>
      <c r="B15" s="81">
        <f>(2400-2000)/2000*100</f>
        <v>20</v>
      </c>
      <c r="C15" s="85"/>
      <c r="D15" s="86"/>
    </row>
    <row r="16" spans="1:4" x14ac:dyDescent="0.35">
      <c r="A16" s="102" t="s">
        <v>13</v>
      </c>
      <c r="B16" s="81">
        <v>-10</v>
      </c>
      <c r="C16" s="82">
        <v>-10</v>
      </c>
      <c r="D16" s="83">
        <v>-10</v>
      </c>
    </row>
    <row r="17" spans="1:4" x14ac:dyDescent="0.35">
      <c r="A17" s="102" t="s">
        <v>14</v>
      </c>
      <c r="B17" s="168">
        <v>-80</v>
      </c>
      <c r="C17" s="82"/>
      <c r="D17" s="83"/>
    </row>
    <row r="18" spans="1:4" x14ac:dyDescent="0.35">
      <c r="A18" s="102" t="s">
        <v>133</v>
      </c>
      <c r="B18" s="84"/>
      <c r="C18" s="82"/>
      <c r="D18" s="83"/>
    </row>
    <row r="19" spans="1:4" x14ac:dyDescent="0.35">
      <c r="A19" s="102" t="s">
        <v>15</v>
      </c>
      <c r="B19" s="81">
        <f>(12-15)/15*100</f>
        <v>-20</v>
      </c>
      <c r="C19" s="82">
        <f t="shared" ref="C19:D19" si="2">(12-15)/15*100</f>
        <v>-20</v>
      </c>
      <c r="D19" s="83">
        <f t="shared" si="2"/>
        <v>-20</v>
      </c>
    </row>
    <row r="20" spans="1:4" x14ac:dyDescent="0.35">
      <c r="A20" s="111" t="s">
        <v>16</v>
      </c>
      <c r="B20" s="81">
        <f>(44-40)/40*100</f>
        <v>10</v>
      </c>
      <c r="C20" s="82"/>
    </row>
    <row r="21" spans="1:4" x14ac:dyDescent="0.35">
      <c r="A21" s="3"/>
      <c r="B21"/>
      <c r="C21"/>
    </row>
    <row r="22" spans="1:4" x14ac:dyDescent="0.35">
      <c r="A22" s="100" t="s">
        <v>18</v>
      </c>
      <c r="B22" s="74"/>
      <c r="C22" s="48"/>
    </row>
    <row r="23" spans="1:4" x14ac:dyDescent="0.35">
      <c r="A23" s="102" t="s">
        <v>19</v>
      </c>
      <c r="B23" s="74"/>
      <c r="C23" s="48"/>
    </row>
    <row r="24" spans="1:4" x14ac:dyDescent="0.35">
      <c r="A24" s="102" t="s">
        <v>20</v>
      </c>
      <c r="B24" s="74"/>
      <c r="C24" s="48"/>
    </row>
    <row r="25" spans="1:4" x14ac:dyDescent="0.35">
      <c r="A25" s="102" t="s">
        <v>21</v>
      </c>
      <c r="B25" s="74">
        <v>5</v>
      </c>
      <c r="C25" s="48"/>
    </row>
    <row r="26" spans="1:4" x14ac:dyDescent="0.35">
      <c r="A26" s="102" t="s">
        <v>22</v>
      </c>
      <c r="B26" s="74">
        <v>5</v>
      </c>
      <c r="C26" s="48"/>
    </row>
    <row r="27" spans="1:4" x14ac:dyDescent="0.35">
      <c r="A27" s="102" t="s">
        <v>23</v>
      </c>
      <c r="B27" s="74"/>
      <c r="C27" s="48"/>
    </row>
    <row r="28" spans="1:4" x14ac:dyDescent="0.35">
      <c r="A28" s="102" t="s">
        <v>24</v>
      </c>
      <c r="B28" s="74">
        <v>-10</v>
      </c>
      <c r="C28" s="48"/>
    </row>
    <row r="29" spans="1:4" x14ac:dyDescent="0.35">
      <c r="A29" s="102" t="s">
        <v>25</v>
      </c>
      <c r="B29" s="74"/>
      <c r="C29" s="48"/>
    </row>
    <row r="30" spans="1:4" x14ac:dyDescent="0.35">
      <c r="A30" s="102" t="s">
        <v>26</v>
      </c>
      <c r="B30" s="74"/>
      <c r="C30" s="48"/>
    </row>
    <row r="31" spans="1:4" x14ac:dyDescent="0.35">
      <c r="A31" s="102" t="s">
        <v>27</v>
      </c>
      <c r="B31" s="74"/>
      <c r="C31" s="48"/>
    </row>
    <row r="32" spans="1:4" x14ac:dyDescent="0.35">
      <c r="A32" s="102" t="s">
        <v>28</v>
      </c>
      <c r="B32" s="74">
        <v>-6</v>
      </c>
      <c r="C32" s="48"/>
    </row>
    <row r="33" spans="1:3" x14ac:dyDescent="0.35">
      <c r="A33" s="102" t="s">
        <v>29</v>
      </c>
      <c r="B33" s="74"/>
      <c r="C33" s="48"/>
    </row>
    <row r="34" spans="1:3" x14ac:dyDescent="0.35">
      <c r="A34" s="102" t="s">
        <v>30</v>
      </c>
      <c r="B34" s="74"/>
      <c r="C34" s="48"/>
    </row>
    <row r="35" spans="1:3" x14ac:dyDescent="0.35">
      <c r="A35" s="102" t="s">
        <v>31</v>
      </c>
      <c r="B35" s="74">
        <v>-4</v>
      </c>
      <c r="C35" s="48"/>
    </row>
    <row r="36" spans="1:3" x14ac:dyDescent="0.35">
      <c r="A36" s="102" t="s">
        <v>32</v>
      </c>
      <c r="B36" s="74"/>
      <c r="C36" s="48"/>
    </row>
    <row r="37" spans="1:3" x14ac:dyDescent="0.35">
      <c r="A37" s="102" t="s">
        <v>33</v>
      </c>
      <c r="B37" s="74">
        <v>5</v>
      </c>
      <c r="C37" s="48"/>
    </row>
    <row r="38" spans="1:3" x14ac:dyDescent="0.35">
      <c r="A38" s="102" t="s">
        <v>34</v>
      </c>
      <c r="B38" s="74"/>
      <c r="C38" s="48"/>
    </row>
    <row r="39" spans="1:3" x14ac:dyDescent="0.35">
      <c r="A39" s="102" t="s">
        <v>35</v>
      </c>
      <c r="B39" s="74">
        <v>-2</v>
      </c>
      <c r="C39" s="48"/>
    </row>
    <row r="40" spans="1:3" x14ac:dyDescent="0.35">
      <c r="A40" s="102" t="s">
        <v>36</v>
      </c>
      <c r="B40" s="74"/>
      <c r="C40" s="48"/>
    </row>
    <row r="41" spans="1:3" x14ac:dyDescent="0.35">
      <c r="A41" s="102" t="s">
        <v>37</v>
      </c>
      <c r="B41" s="74">
        <v>-3</v>
      </c>
      <c r="C41" s="48"/>
    </row>
    <row r="42" spans="1:3" x14ac:dyDescent="0.35">
      <c r="A42" s="102" t="s">
        <v>38</v>
      </c>
      <c r="B42" s="74"/>
      <c r="C42" s="48"/>
    </row>
    <row r="43" spans="1:3" x14ac:dyDescent="0.35">
      <c r="A43" s="102" t="s">
        <v>39</v>
      </c>
      <c r="B43" s="74"/>
      <c r="C43" s="48"/>
    </row>
    <row r="44" spans="1:3" x14ac:dyDescent="0.35">
      <c r="A44" s="102" t="s">
        <v>40</v>
      </c>
      <c r="B44" s="74"/>
      <c r="C44" s="48"/>
    </row>
    <row r="45" spans="1:3" x14ac:dyDescent="0.35">
      <c r="A45" s="102" t="s">
        <v>41</v>
      </c>
      <c r="B45" s="74"/>
      <c r="C45" s="48"/>
    </row>
    <row r="46" spans="1:3" x14ac:dyDescent="0.35">
      <c r="A46" s="102" t="s">
        <v>42</v>
      </c>
      <c r="B46" s="74">
        <v>2</v>
      </c>
      <c r="C46" s="48"/>
    </row>
    <row r="47" spans="1:3" x14ac:dyDescent="0.35">
      <c r="A47" s="102" t="s">
        <v>43</v>
      </c>
      <c r="B47" s="74"/>
      <c r="C47" s="48"/>
    </row>
    <row r="48" spans="1:3" x14ac:dyDescent="0.35">
      <c r="A48" s="102" t="s">
        <v>44</v>
      </c>
      <c r="B48" s="74">
        <v>-6</v>
      </c>
      <c r="C48" s="48"/>
    </row>
    <row r="49" spans="1:3" x14ac:dyDescent="0.35">
      <c r="A49" s="102" t="s">
        <v>45</v>
      </c>
      <c r="B49" s="74">
        <v>14</v>
      </c>
      <c r="C49" s="48"/>
    </row>
    <row r="50" spans="1:3" x14ac:dyDescent="0.35">
      <c r="A50" s="102" t="s">
        <v>46</v>
      </c>
      <c r="B50" s="74"/>
      <c r="C50" s="48"/>
    </row>
    <row r="51" spans="1:3" x14ac:dyDescent="0.35">
      <c r="A51" s="105" t="s">
        <v>46</v>
      </c>
      <c r="B51" s="78"/>
      <c r="C51" s="7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358B-029A-48A9-AFD0-98BA71207DBA}">
  <dimension ref="A1:AC93"/>
  <sheetViews>
    <sheetView zoomScale="70" zoomScaleNormal="10" workbookViewId="0">
      <selection activeCell="U15" sqref="U15"/>
    </sheetView>
  </sheetViews>
  <sheetFormatPr defaultRowHeight="14.5" x14ac:dyDescent="0.35"/>
  <cols>
    <col min="4" max="4" width="17.6328125" customWidth="1"/>
    <col min="12" max="12" width="15.90625" customWidth="1"/>
    <col min="18" max="18" width="11.453125" customWidth="1"/>
    <col min="19" max="19" width="12.453125" customWidth="1"/>
    <col min="21" max="21" width="41.08984375" customWidth="1"/>
    <col min="22" max="22" width="9.54296875" bestFit="1" customWidth="1"/>
    <col min="23" max="23" width="10.6328125" bestFit="1" customWidth="1"/>
    <col min="24" max="25" width="8.81640625" bestFit="1" customWidth="1"/>
    <col min="26" max="26" width="14.08984375" customWidth="1"/>
    <col min="27" max="27" width="10.36328125" bestFit="1" customWidth="1"/>
    <col min="28" max="29" width="12.36328125" bestFit="1" customWidth="1"/>
    <col min="30" max="30" width="11.81640625" bestFit="1" customWidth="1"/>
  </cols>
  <sheetData>
    <row r="1" spans="1:29" ht="15.5" x14ac:dyDescent="0.35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</row>
    <row r="2" spans="1:29" ht="15.5" x14ac:dyDescent="0.35">
      <c r="A2" s="14" t="s">
        <v>67</v>
      </c>
      <c r="B2" s="14" t="s">
        <v>68</v>
      </c>
      <c r="C2" s="14" t="s">
        <v>99</v>
      </c>
      <c r="D2" s="14" t="s">
        <v>51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14" t="s">
        <v>73</v>
      </c>
      <c r="K2" s="14" t="s">
        <v>74</v>
      </c>
      <c r="L2" s="15">
        <v>932273</v>
      </c>
      <c r="M2" s="14" t="s">
        <v>75</v>
      </c>
      <c r="N2" s="14" t="s">
        <v>76</v>
      </c>
    </row>
    <row r="3" spans="1:29" ht="15.5" x14ac:dyDescent="0.35">
      <c r="A3" s="14" t="s">
        <v>67</v>
      </c>
      <c r="B3" s="14" t="s">
        <v>68</v>
      </c>
      <c r="C3" s="14" t="s">
        <v>99</v>
      </c>
      <c r="D3" s="14" t="s">
        <v>51</v>
      </c>
      <c r="E3" s="14" t="s">
        <v>69</v>
      </c>
      <c r="F3" s="14" t="s">
        <v>70</v>
      </c>
      <c r="G3" s="14" t="s">
        <v>71</v>
      </c>
      <c r="H3" s="14" t="s">
        <v>72</v>
      </c>
      <c r="I3" s="14" t="s">
        <v>77</v>
      </c>
      <c r="J3" s="14" t="s">
        <v>77</v>
      </c>
      <c r="K3" s="14" t="s">
        <v>74</v>
      </c>
      <c r="L3" s="15">
        <v>947021</v>
      </c>
      <c r="M3" s="14" t="s">
        <v>75</v>
      </c>
      <c r="N3" s="14" t="s">
        <v>76</v>
      </c>
    </row>
    <row r="4" spans="1:29" ht="15.5" x14ac:dyDescent="0.35">
      <c r="A4" s="14" t="s">
        <v>67</v>
      </c>
      <c r="B4" s="14" t="s">
        <v>68</v>
      </c>
      <c r="C4" s="14" t="s">
        <v>99</v>
      </c>
      <c r="D4" s="14" t="s">
        <v>51</v>
      </c>
      <c r="E4" s="14" t="s">
        <v>69</v>
      </c>
      <c r="F4" s="14" t="s">
        <v>70</v>
      </c>
      <c r="G4" s="14" t="s">
        <v>71</v>
      </c>
      <c r="H4" s="14" t="s">
        <v>72</v>
      </c>
      <c r="I4" s="14" t="s">
        <v>78</v>
      </c>
      <c r="J4" s="14" t="s">
        <v>78</v>
      </c>
      <c r="K4" s="14" t="s">
        <v>74</v>
      </c>
      <c r="L4" s="15">
        <v>969549</v>
      </c>
      <c r="M4" s="14" t="s">
        <v>75</v>
      </c>
      <c r="N4" s="14" t="s">
        <v>76</v>
      </c>
      <c r="T4" s="13"/>
      <c r="W4" s="21"/>
    </row>
    <row r="5" spans="1:29" ht="15.5" customHeight="1" x14ac:dyDescent="0.35">
      <c r="A5" s="14" t="s">
        <v>67</v>
      </c>
      <c r="B5" s="14" t="s">
        <v>68</v>
      </c>
      <c r="C5" s="14" t="s">
        <v>99</v>
      </c>
      <c r="D5" s="14" t="s">
        <v>51</v>
      </c>
      <c r="E5" s="14" t="s">
        <v>69</v>
      </c>
      <c r="F5" s="14" t="s">
        <v>70</v>
      </c>
      <c r="G5" s="14" t="s">
        <v>71</v>
      </c>
      <c r="H5" s="14" t="s">
        <v>72</v>
      </c>
      <c r="I5" s="14" t="s">
        <v>79</v>
      </c>
      <c r="J5" s="14" t="s">
        <v>79</v>
      </c>
      <c r="K5" s="14" t="s">
        <v>74</v>
      </c>
      <c r="L5" s="15">
        <v>988016</v>
      </c>
      <c r="M5" s="14" t="s">
        <v>75</v>
      </c>
      <c r="N5" s="14" t="s">
        <v>76</v>
      </c>
      <c r="S5" s="28"/>
      <c r="T5" s="32" t="s">
        <v>106</v>
      </c>
      <c r="U5" s="32" t="s">
        <v>107</v>
      </c>
      <c r="V5" s="12"/>
      <c r="W5" s="29"/>
      <c r="X5" s="29"/>
    </row>
    <row r="6" spans="1:29" ht="15.5" customHeight="1" x14ac:dyDescent="0.35">
      <c r="A6" s="14" t="s">
        <v>67</v>
      </c>
      <c r="B6" s="14" t="s">
        <v>68</v>
      </c>
      <c r="C6" s="14" t="s">
        <v>99</v>
      </c>
      <c r="D6" s="14" t="s">
        <v>51</v>
      </c>
      <c r="E6" s="14" t="s">
        <v>69</v>
      </c>
      <c r="F6" s="14" t="s">
        <v>70</v>
      </c>
      <c r="G6" s="14" t="s">
        <v>71</v>
      </c>
      <c r="H6" s="14" t="s">
        <v>72</v>
      </c>
      <c r="I6" s="14" t="s">
        <v>80</v>
      </c>
      <c r="J6" s="14" t="s">
        <v>80</v>
      </c>
      <c r="K6" s="14" t="s">
        <v>74</v>
      </c>
      <c r="L6" s="15">
        <v>1004363</v>
      </c>
      <c r="M6" s="14" t="s">
        <v>75</v>
      </c>
      <c r="N6" s="14" t="s">
        <v>76</v>
      </c>
      <c r="Q6" s="17"/>
      <c r="R6" s="17"/>
      <c r="S6" s="29" t="s">
        <v>60</v>
      </c>
      <c r="T6" s="32"/>
      <c r="U6" s="32"/>
      <c r="V6" s="12"/>
      <c r="W6" s="29"/>
      <c r="X6" s="29"/>
    </row>
    <row r="7" spans="1:29" ht="29" x14ac:dyDescent="0.35">
      <c r="A7" s="14" t="s">
        <v>67</v>
      </c>
      <c r="B7" s="14" t="s">
        <v>68</v>
      </c>
      <c r="C7" s="14" t="s">
        <v>99</v>
      </c>
      <c r="D7" s="14" t="s">
        <v>51</v>
      </c>
      <c r="E7" s="14" t="s">
        <v>69</v>
      </c>
      <c r="F7" s="14" t="s">
        <v>70</v>
      </c>
      <c r="G7" s="14" t="s">
        <v>71</v>
      </c>
      <c r="H7" s="14" t="s">
        <v>72</v>
      </c>
      <c r="I7" s="14" t="s">
        <v>81</v>
      </c>
      <c r="J7" s="14" t="s">
        <v>81</v>
      </c>
      <c r="K7" s="14" t="s">
        <v>74</v>
      </c>
      <c r="L7" s="15">
        <v>1034890</v>
      </c>
      <c r="M7" s="14" t="s">
        <v>75</v>
      </c>
      <c r="N7" s="14" t="s">
        <v>76</v>
      </c>
      <c r="P7" s="17"/>
      <c r="Q7" s="17"/>
      <c r="R7" s="17"/>
      <c r="S7" s="29"/>
      <c r="T7" s="35"/>
      <c r="U7" s="35"/>
      <c r="V7" s="36" t="s">
        <v>112</v>
      </c>
      <c r="W7" s="36" t="s">
        <v>113</v>
      </c>
      <c r="X7" s="36">
        <v>2010</v>
      </c>
      <c r="Y7" s="39" t="s">
        <v>114</v>
      </c>
    </row>
    <row r="8" spans="1:29" ht="15.5" x14ac:dyDescent="0.35">
      <c r="A8" s="14" t="s">
        <v>67</v>
      </c>
      <c r="B8" s="14" t="s">
        <v>68</v>
      </c>
      <c r="C8" s="14" t="s">
        <v>99</v>
      </c>
      <c r="D8" s="14" t="s">
        <v>51</v>
      </c>
      <c r="E8" s="14" t="s">
        <v>69</v>
      </c>
      <c r="F8" s="14" t="s">
        <v>70</v>
      </c>
      <c r="G8" s="14" t="s">
        <v>71</v>
      </c>
      <c r="H8" s="14" t="s">
        <v>72</v>
      </c>
      <c r="I8" s="14" t="s">
        <v>82</v>
      </c>
      <c r="J8" s="14" t="s">
        <v>82</v>
      </c>
      <c r="K8" s="14" t="s">
        <v>74</v>
      </c>
      <c r="L8" s="15">
        <v>1074764</v>
      </c>
      <c r="M8" s="14" t="s">
        <v>75</v>
      </c>
      <c r="N8" s="14" t="s">
        <v>76</v>
      </c>
      <c r="P8" s="17"/>
      <c r="Q8" s="17"/>
      <c r="R8" s="17"/>
      <c r="S8" s="33" t="s">
        <v>72</v>
      </c>
      <c r="T8" s="37" t="s">
        <v>72</v>
      </c>
      <c r="U8" s="37" t="s">
        <v>108</v>
      </c>
      <c r="V8" s="38">
        <v>41818.82</v>
      </c>
      <c r="W8" s="37">
        <f>41818.82*2010-82766669.92</f>
        <v>1289158.2800000012</v>
      </c>
      <c r="X8" s="37"/>
      <c r="Y8" s="120">
        <f>(V8/W8)</f>
        <v>3.2438856150386719E-2</v>
      </c>
      <c r="Z8" s="21">
        <f>((2050-2022)*Y8)*100</f>
        <v>90.828797221082809</v>
      </c>
      <c r="AA8" s="21"/>
      <c r="AB8" s="23"/>
      <c r="AC8" s="23"/>
    </row>
    <row r="9" spans="1:29" ht="15.5" x14ac:dyDescent="0.35">
      <c r="A9" s="14" t="s">
        <v>67</v>
      </c>
      <c r="B9" s="14" t="s">
        <v>68</v>
      </c>
      <c r="C9" s="14" t="s">
        <v>99</v>
      </c>
      <c r="D9" s="14" t="s">
        <v>51</v>
      </c>
      <c r="E9" s="14" t="s">
        <v>69</v>
      </c>
      <c r="F9" s="14" t="s">
        <v>70</v>
      </c>
      <c r="G9" s="14" t="s">
        <v>71</v>
      </c>
      <c r="H9" s="14" t="s">
        <v>72</v>
      </c>
      <c r="I9" s="14" t="s">
        <v>83</v>
      </c>
      <c r="J9" s="14" t="s">
        <v>83</v>
      </c>
      <c r="K9" s="14" t="s">
        <v>74</v>
      </c>
      <c r="L9" s="15">
        <v>1116733</v>
      </c>
      <c r="M9" s="14" t="s">
        <v>75</v>
      </c>
      <c r="N9" s="14" t="s">
        <v>76</v>
      </c>
      <c r="P9" s="17"/>
      <c r="Q9" s="17"/>
      <c r="R9" s="18"/>
      <c r="S9" s="33" t="s">
        <v>102</v>
      </c>
      <c r="T9" s="37" t="s">
        <v>102</v>
      </c>
      <c r="U9" s="37" t="s">
        <v>109</v>
      </c>
      <c r="V9" s="38">
        <v>-22438.28</v>
      </c>
      <c r="W9" s="37">
        <f>(-22438.28*X7)+46087399</f>
        <v>986456.20000000298</v>
      </c>
      <c r="X9" s="37"/>
      <c r="Y9" s="120">
        <f>(V9/W9)</f>
        <v>-2.2746352042797166E-2</v>
      </c>
      <c r="Z9" s="21">
        <f t="shared" ref="Z9:Z10" si="0">((2050-2022)*Y9)*100</f>
        <v>-63.689785719832059</v>
      </c>
      <c r="AA9" s="22"/>
      <c r="AB9" s="23"/>
      <c r="AC9" s="13"/>
    </row>
    <row r="10" spans="1:29" ht="15.5" x14ac:dyDescent="0.35">
      <c r="A10" s="14" t="s">
        <v>67</v>
      </c>
      <c r="B10" s="14" t="s">
        <v>68</v>
      </c>
      <c r="C10" s="14" t="s">
        <v>99</v>
      </c>
      <c r="D10" s="14" t="s">
        <v>51</v>
      </c>
      <c r="E10" s="14" t="s">
        <v>69</v>
      </c>
      <c r="F10" s="14" t="s">
        <v>70</v>
      </c>
      <c r="G10" s="14" t="s">
        <v>71</v>
      </c>
      <c r="H10" s="14" t="s">
        <v>72</v>
      </c>
      <c r="I10" s="14" t="s">
        <v>84</v>
      </c>
      <c r="J10" s="14" t="s">
        <v>84</v>
      </c>
      <c r="K10" s="14" t="s">
        <v>74</v>
      </c>
      <c r="L10" s="15">
        <v>1168026</v>
      </c>
      <c r="M10" s="14" t="s">
        <v>75</v>
      </c>
      <c r="N10" s="14" t="s">
        <v>76</v>
      </c>
      <c r="P10" s="17"/>
      <c r="Q10" s="17"/>
      <c r="R10" s="18"/>
      <c r="S10" s="33" t="s">
        <v>104</v>
      </c>
      <c r="T10" s="169" t="s">
        <v>104</v>
      </c>
      <c r="U10" s="169" t="s">
        <v>211</v>
      </c>
      <c r="V10" s="170">
        <v>53015</v>
      </c>
      <c r="W10" s="169">
        <f>(53015*X7)+ 5000000</f>
        <v>111560150</v>
      </c>
      <c r="X10" s="169"/>
      <c r="Y10" s="171">
        <f>(V10/W10)</f>
        <v>4.7521449191310699E-4</v>
      </c>
      <c r="Z10" s="21">
        <f t="shared" si="0"/>
        <v>1.3306005773566996</v>
      </c>
      <c r="AA10" s="22"/>
      <c r="AB10" s="23"/>
    </row>
    <row r="11" spans="1:29" ht="15.5" x14ac:dyDescent="0.35">
      <c r="A11" s="14" t="s">
        <v>67</v>
      </c>
      <c r="B11" s="14" t="s">
        <v>68</v>
      </c>
      <c r="C11" s="14" t="s">
        <v>99</v>
      </c>
      <c r="D11" s="14" t="s">
        <v>51</v>
      </c>
      <c r="E11" s="14" t="s">
        <v>69</v>
      </c>
      <c r="F11" s="14" t="s">
        <v>70</v>
      </c>
      <c r="G11" s="14" t="s">
        <v>71</v>
      </c>
      <c r="H11" s="14" t="s">
        <v>72</v>
      </c>
      <c r="I11" s="14" t="s">
        <v>85</v>
      </c>
      <c r="J11" s="14" t="s">
        <v>85</v>
      </c>
      <c r="K11" s="14" t="s">
        <v>74</v>
      </c>
      <c r="L11" s="15">
        <v>1278070</v>
      </c>
      <c r="M11" s="14" t="s">
        <v>75</v>
      </c>
      <c r="N11" s="14" t="s">
        <v>76</v>
      </c>
      <c r="P11" s="17"/>
      <c r="Q11" s="17"/>
      <c r="R11" s="18"/>
      <c r="S11" s="33" t="s">
        <v>110</v>
      </c>
      <c r="T11" s="37" t="s">
        <v>110</v>
      </c>
      <c r="U11" s="37" t="s">
        <v>111</v>
      </c>
      <c r="V11" s="34">
        <v>99184.13</v>
      </c>
      <c r="W11" s="37">
        <f>99184.13*(2010)-194075033.2</f>
        <v>5285068.1000000238</v>
      </c>
      <c r="X11" s="37"/>
      <c r="Y11" s="120">
        <f>(V11/W11)</f>
        <v>1.876685940905843E-2</v>
      </c>
      <c r="Z11" s="21">
        <f>((2050-2022)*Y11)*100</f>
        <v>52.547206345363605</v>
      </c>
      <c r="AA11" s="22"/>
      <c r="AB11" s="23"/>
    </row>
    <row r="12" spans="1:29" ht="15.5" x14ac:dyDescent="0.35">
      <c r="A12" s="14" t="s">
        <v>67</v>
      </c>
      <c r="B12" s="14" t="s">
        <v>68</v>
      </c>
      <c r="C12" s="14" t="s">
        <v>99</v>
      </c>
      <c r="D12" s="14" t="s">
        <v>51</v>
      </c>
      <c r="E12" s="14" t="s">
        <v>69</v>
      </c>
      <c r="F12" s="14" t="s">
        <v>70</v>
      </c>
      <c r="G12" s="14" t="s">
        <v>71</v>
      </c>
      <c r="H12" s="14" t="s">
        <v>72</v>
      </c>
      <c r="I12" s="14" t="s">
        <v>86</v>
      </c>
      <c r="J12" s="14" t="s">
        <v>86</v>
      </c>
      <c r="K12" s="14" t="s">
        <v>74</v>
      </c>
      <c r="L12" s="15">
        <v>1298825</v>
      </c>
      <c r="M12" s="14" t="s">
        <v>75</v>
      </c>
      <c r="N12" s="14" t="s">
        <v>76</v>
      </c>
      <c r="P12" s="17"/>
      <c r="Q12" s="17"/>
      <c r="R12" s="18"/>
      <c r="S12" s="33"/>
      <c r="T12" s="169"/>
      <c r="V12" s="30"/>
      <c r="W12" s="37"/>
      <c r="X12" s="30"/>
      <c r="Y12" s="120"/>
      <c r="Z12" s="21"/>
      <c r="AA12" s="22"/>
      <c r="AB12" s="23"/>
    </row>
    <row r="13" spans="1:29" ht="15.5" x14ac:dyDescent="0.35">
      <c r="A13" s="14" t="s">
        <v>67</v>
      </c>
      <c r="B13" s="14" t="s">
        <v>68</v>
      </c>
      <c r="C13" s="14" t="s">
        <v>99</v>
      </c>
      <c r="D13" s="14" t="s">
        <v>51</v>
      </c>
      <c r="E13" s="14" t="s">
        <v>69</v>
      </c>
      <c r="F13" s="14" t="s">
        <v>70</v>
      </c>
      <c r="G13" s="14" t="s">
        <v>71</v>
      </c>
      <c r="H13" s="14" t="s">
        <v>72</v>
      </c>
      <c r="I13" s="14" t="s">
        <v>87</v>
      </c>
      <c r="J13" s="14" t="s">
        <v>87</v>
      </c>
      <c r="K13" s="14" t="s">
        <v>74</v>
      </c>
      <c r="L13" s="15">
        <v>1338583</v>
      </c>
      <c r="M13" s="14" t="s">
        <v>75</v>
      </c>
      <c r="N13" s="14" t="s">
        <v>76</v>
      </c>
      <c r="P13" s="17"/>
      <c r="Q13" s="17"/>
      <c r="R13" s="18"/>
      <c r="S13" s="33"/>
      <c r="T13" s="30"/>
      <c r="U13" s="31"/>
      <c r="V13" s="30"/>
      <c r="W13" s="30"/>
      <c r="X13" s="30"/>
      <c r="Z13" s="21"/>
      <c r="AA13" s="22"/>
      <c r="AB13" s="23"/>
    </row>
    <row r="14" spans="1:29" ht="15.5" x14ac:dyDescent="0.35">
      <c r="A14" s="14" t="s">
        <v>67</v>
      </c>
      <c r="B14" s="14" t="s">
        <v>68</v>
      </c>
      <c r="C14" s="14" t="s">
        <v>99</v>
      </c>
      <c r="D14" s="14" t="s">
        <v>51</v>
      </c>
      <c r="E14" s="14" t="s">
        <v>69</v>
      </c>
      <c r="F14" s="14" t="s">
        <v>70</v>
      </c>
      <c r="G14" s="14" t="s">
        <v>71</v>
      </c>
      <c r="H14" s="14" t="s">
        <v>72</v>
      </c>
      <c r="I14" s="14" t="s">
        <v>88</v>
      </c>
      <c r="J14" s="14" t="s">
        <v>88</v>
      </c>
      <c r="K14" s="14" t="s">
        <v>74</v>
      </c>
      <c r="L14" s="15">
        <v>1367466</v>
      </c>
      <c r="M14" s="14" t="s">
        <v>75</v>
      </c>
      <c r="N14" s="14" t="s">
        <v>76</v>
      </c>
      <c r="P14" s="17"/>
      <c r="Q14" s="17"/>
      <c r="R14" s="17"/>
      <c r="S14" s="33"/>
      <c r="T14" s="30"/>
      <c r="U14" s="31"/>
      <c r="V14" s="30"/>
      <c r="W14" s="30"/>
      <c r="X14" s="30"/>
      <c r="AA14" s="22"/>
      <c r="AB14" s="23"/>
    </row>
    <row r="15" spans="1:29" ht="15.5" x14ac:dyDescent="0.35">
      <c r="A15" s="14" t="s">
        <v>67</v>
      </c>
      <c r="B15" s="14" t="s">
        <v>68</v>
      </c>
      <c r="C15" s="14" t="s">
        <v>99</v>
      </c>
      <c r="D15" s="14" t="s">
        <v>51</v>
      </c>
      <c r="E15" s="14" t="s">
        <v>69</v>
      </c>
      <c r="F15" s="14" t="s">
        <v>70</v>
      </c>
      <c r="G15" s="14" t="s">
        <v>71</v>
      </c>
      <c r="H15" s="14" t="s">
        <v>72</v>
      </c>
      <c r="I15" s="14" t="s">
        <v>89</v>
      </c>
      <c r="J15" s="14" t="s">
        <v>89</v>
      </c>
      <c r="K15" s="14" t="s">
        <v>74</v>
      </c>
      <c r="L15" s="15">
        <v>1404168</v>
      </c>
      <c r="M15" s="14" t="s">
        <v>75</v>
      </c>
      <c r="N15" s="14" t="s">
        <v>76</v>
      </c>
      <c r="Q15" s="17"/>
      <c r="R15" s="17"/>
      <c r="S15" s="33"/>
      <c r="T15" s="30"/>
      <c r="U15" s="31"/>
      <c r="V15" s="30"/>
      <c r="W15" s="30"/>
      <c r="X15" s="30"/>
      <c r="Z15" s="21"/>
      <c r="AA15" s="22"/>
      <c r="AB15" s="23"/>
    </row>
    <row r="16" spans="1:29" ht="15.5" x14ac:dyDescent="0.35">
      <c r="A16" s="14" t="s">
        <v>67</v>
      </c>
      <c r="B16" s="14" t="s">
        <v>68</v>
      </c>
      <c r="C16" s="14" t="s">
        <v>99</v>
      </c>
      <c r="D16" s="14" t="s">
        <v>51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90</v>
      </c>
      <c r="J16" s="14" t="s">
        <v>90</v>
      </c>
      <c r="K16" s="14" t="s">
        <v>74</v>
      </c>
      <c r="L16" s="15">
        <v>1458377</v>
      </c>
      <c r="M16" s="14" t="s">
        <v>75</v>
      </c>
      <c r="N16" s="14" t="s">
        <v>76</v>
      </c>
      <c r="Q16" s="17"/>
      <c r="R16" s="17"/>
      <c r="S16" s="33"/>
      <c r="T16" s="30"/>
      <c r="U16" s="31"/>
      <c r="V16" s="30"/>
      <c r="W16" s="30"/>
      <c r="X16" s="30"/>
      <c r="Z16" s="21"/>
      <c r="AA16" s="22"/>
      <c r="AB16" s="23"/>
    </row>
    <row r="17" spans="1:27" ht="15.5" x14ac:dyDescent="0.35">
      <c r="A17" s="14" t="s">
        <v>67</v>
      </c>
      <c r="B17" s="14" t="s">
        <v>68</v>
      </c>
      <c r="C17" s="14" t="s">
        <v>99</v>
      </c>
      <c r="D17" s="14" t="s">
        <v>51</v>
      </c>
      <c r="E17" s="14" t="s">
        <v>69</v>
      </c>
      <c r="F17" s="14" t="s">
        <v>70</v>
      </c>
      <c r="G17" s="14" t="s">
        <v>71</v>
      </c>
      <c r="H17" s="14" t="s">
        <v>72</v>
      </c>
      <c r="I17" s="14" t="s">
        <v>91</v>
      </c>
      <c r="J17" s="14" t="s">
        <v>91</v>
      </c>
      <c r="K17" s="14" t="s">
        <v>74</v>
      </c>
      <c r="L17" s="15">
        <v>1492517</v>
      </c>
      <c r="M17" s="14" t="s">
        <v>75</v>
      </c>
      <c r="N17" s="14" t="s">
        <v>76</v>
      </c>
      <c r="Q17" s="17"/>
      <c r="R17" s="17"/>
      <c r="S17" s="33"/>
      <c r="T17" s="30"/>
      <c r="U17" s="31"/>
      <c r="V17" s="30"/>
      <c r="W17" s="30"/>
      <c r="X17" s="30"/>
      <c r="Z17" s="21"/>
      <c r="AA17" s="22"/>
    </row>
    <row r="18" spans="1:27" ht="15.5" x14ac:dyDescent="0.35">
      <c r="A18" s="14" t="s">
        <v>67</v>
      </c>
      <c r="B18" s="14" t="s">
        <v>68</v>
      </c>
      <c r="C18" s="14" t="s">
        <v>99</v>
      </c>
      <c r="D18" s="14" t="s">
        <v>51</v>
      </c>
      <c r="E18" s="14" t="s">
        <v>69</v>
      </c>
      <c r="F18" s="14" t="s">
        <v>70</v>
      </c>
      <c r="G18" s="14" t="s">
        <v>71</v>
      </c>
      <c r="H18" s="14" t="s">
        <v>72</v>
      </c>
      <c r="I18" s="14" t="s">
        <v>92</v>
      </c>
      <c r="J18" s="14" t="s">
        <v>92</v>
      </c>
      <c r="K18" s="14" t="s">
        <v>74</v>
      </c>
      <c r="L18" s="15">
        <v>1527763</v>
      </c>
      <c r="M18" s="14" t="s">
        <v>75</v>
      </c>
      <c r="N18" s="14" t="s">
        <v>76</v>
      </c>
    </row>
    <row r="19" spans="1:27" ht="15.5" x14ac:dyDescent="0.35">
      <c r="A19" s="14" t="s">
        <v>67</v>
      </c>
      <c r="B19" s="14" t="s">
        <v>68</v>
      </c>
      <c r="C19" s="14" t="s">
        <v>99</v>
      </c>
      <c r="D19" s="14" t="s">
        <v>51</v>
      </c>
      <c r="E19" s="14" t="s">
        <v>69</v>
      </c>
      <c r="F19" s="14" t="s">
        <v>70</v>
      </c>
      <c r="G19" s="14" t="s">
        <v>71</v>
      </c>
      <c r="H19" s="14" t="s">
        <v>72</v>
      </c>
      <c r="I19" s="14" t="s">
        <v>93</v>
      </c>
      <c r="J19" s="14" t="s">
        <v>93</v>
      </c>
      <c r="K19" s="14" t="s">
        <v>74</v>
      </c>
      <c r="L19" s="15">
        <v>1575434</v>
      </c>
      <c r="M19" s="14" t="s">
        <v>75</v>
      </c>
      <c r="N19" s="14" t="s">
        <v>76</v>
      </c>
    </row>
    <row r="20" spans="1:27" ht="15.5" x14ac:dyDescent="0.35">
      <c r="A20" s="14" t="s">
        <v>67</v>
      </c>
      <c r="B20" s="14" t="s">
        <v>68</v>
      </c>
      <c r="C20" s="14" t="s">
        <v>99</v>
      </c>
      <c r="D20" s="14" t="s">
        <v>51</v>
      </c>
      <c r="E20" s="14" t="s">
        <v>69</v>
      </c>
      <c r="F20" s="14" t="s">
        <v>70</v>
      </c>
      <c r="G20" s="14" t="s">
        <v>71</v>
      </c>
      <c r="H20" s="14" t="s">
        <v>72</v>
      </c>
      <c r="I20" s="14" t="s">
        <v>94</v>
      </c>
      <c r="J20" s="14" t="s">
        <v>94</v>
      </c>
      <c r="K20" s="14" t="s">
        <v>74</v>
      </c>
      <c r="L20" s="15">
        <v>1627296</v>
      </c>
      <c r="M20" s="14" t="s">
        <v>75</v>
      </c>
      <c r="N20" s="14" t="s">
        <v>76</v>
      </c>
    </row>
    <row r="21" spans="1:27" ht="15.5" x14ac:dyDescent="0.35">
      <c r="A21" s="14" t="s">
        <v>67</v>
      </c>
      <c r="B21" s="14" t="s">
        <v>68</v>
      </c>
      <c r="C21" s="14" t="s">
        <v>99</v>
      </c>
      <c r="D21" s="14" t="s">
        <v>51</v>
      </c>
      <c r="E21" s="14" t="s">
        <v>69</v>
      </c>
      <c r="F21" s="14" t="s">
        <v>70</v>
      </c>
      <c r="G21" s="14" t="s">
        <v>71</v>
      </c>
      <c r="H21" s="14" t="s">
        <v>72</v>
      </c>
      <c r="I21" s="14" t="s">
        <v>95</v>
      </c>
      <c r="J21" s="14" t="s">
        <v>95</v>
      </c>
      <c r="K21" s="14" t="s">
        <v>74</v>
      </c>
      <c r="L21" s="15">
        <v>1680750</v>
      </c>
      <c r="M21" s="14" t="s">
        <v>75</v>
      </c>
      <c r="N21" s="14" t="s">
        <v>76</v>
      </c>
    </row>
    <row r="22" spans="1:27" ht="15.5" x14ac:dyDescent="0.35">
      <c r="A22" s="14" t="s">
        <v>67</v>
      </c>
      <c r="B22" s="14" t="s">
        <v>68</v>
      </c>
      <c r="C22" s="14" t="s">
        <v>99</v>
      </c>
      <c r="D22" s="14" t="s">
        <v>51</v>
      </c>
      <c r="E22" s="14" t="s">
        <v>69</v>
      </c>
      <c r="F22" s="14" t="s">
        <v>70</v>
      </c>
      <c r="G22" s="14" t="s">
        <v>71</v>
      </c>
      <c r="H22" s="14" t="s">
        <v>72</v>
      </c>
      <c r="I22" s="14" t="s">
        <v>96</v>
      </c>
      <c r="J22" s="14" t="s">
        <v>96</v>
      </c>
      <c r="K22" s="14" t="s">
        <v>74</v>
      </c>
      <c r="L22" s="15">
        <v>1715776</v>
      </c>
      <c r="M22" s="14" t="s">
        <v>75</v>
      </c>
      <c r="N22" s="14" t="s">
        <v>76</v>
      </c>
    </row>
    <row r="23" spans="1:27" ht="15.5" x14ac:dyDescent="0.35">
      <c r="A23" s="14" t="s">
        <v>67</v>
      </c>
      <c r="B23" s="14" t="s">
        <v>68</v>
      </c>
      <c r="C23" s="14" t="s">
        <v>99</v>
      </c>
      <c r="D23" s="14" t="s">
        <v>51</v>
      </c>
      <c r="E23" s="14" t="s">
        <v>69</v>
      </c>
      <c r="F23" s="14" t="s">
        <v>70</v>
      </c>
      <c r="G23" s="14" t="s">
        <v>71</v>
      </c>
      <c r="H23" s="14" t="s">
        <v>72</v>
      </c>
      <c r="I23" s="14" t="s">
        <v>97</v>
      </c>
      <c r="J23" s="14" t="s">
        <v>97</v>
      </c>
      <c r="K23" s="14" t="s">
        <v>74</v>
      </c>
      <c r="L23" s="15">
        <v>1750467</v>
      </c>
      <c r="M23" s="14" t="s">
        <v>75</v>
      </c>
      <c r="N23" s="14" t="s">
        <v>76</v>
      </c>
    </row>
    <row r="24" spans="1:27" ht="15.5" x14ac:dyDescent="0.35">
      <c r="A24" s="14" t="s">
        <v>67</v>
      </c>
      <c r="B24" s="14" t="s">
        <v>68</v>
      </c>
      <c r="C24" s="14" t="s">
        <v>99</v>
      </c>
      <c r="D24" s="14" t="s">
        <v>51</v>
      </c>
      <c r="E24" s="14" t="s">
        <v>69</v>
      </c>
      <c r="F24" s="14" t="s">
        <v>70</v>
      </c>
      <c r="G24" s="14" t="s">
        <v>71</v>
      </c>
      <c r="H24" s="14" t="s">
        <v>72</v>
      </c>
      <c r="I24" s="14" t="s">
        <v>98</v>
      </c>
      <c r="J24" s="14" t="s">
        <v>98</v>
      </c>
      <c r="K24" s="14" t="s">
        <v>74</v>
      </c>
      <c r="L24" s="15">
        <v>1783469</v>
      </c>
      <c r="M24" s="14" t="s">
        <v>75</v>
      </c>
      <c r="N24" s="14" t="s">
        <v>76</v>
      </c>
    </row>
    <row r="25" spans="1:27" ht="15.5" x14ac:dyDescent="0.35">
      <c r="A25" s="26" t="s">
        <v>67</v>
      </c>
      <c r="B25" s="26" t="s">
        <v>68</v>
      </c>
      <c r="C25" s="26" t="s">
        <v>99</v>
      </c>
      <c r="D25" s="26" t="s">
        <v>51</v>
      </c>
      <c r="E25" s="26" t="s">
        <v>69</v>
      </c>
      <c r="F25" s="26" t="s">
        <v>70</v>
      </c>
      <c r="G25" s="26" t="s">
        <v>101</v>
      </c>
      <c r="H25" s="26" t="s">
        <v>102</v>
      </c>
      <c r="I25" s="26" t="s">
        <v>73</v>
      </c>
      <c r="J25" s="26" t="s">
        <v>73</v>
      </c>
      <c r="K25" s="26" t="s">
        <v>74</v>
      </c>
      <c r="L25" s="27">
        <v>542713</v>
      </c>
      <c r="M25" s="26" t="s">
        <v>75</v>
      </c>
      <c r="N25" s="26" t="s">
        <v>76</v>
      </c>
    </row>
    <row r="26" spans="1:27" ht="15.5" x14ac:dyDescent="0.35">
      <c r="A26" s="26" t="s">
        <v>67</v>
      </c>
      <c r="B26" s="26" t="s">
        <v>68</v>
      </c>
      <c r="C26" s="26" t="s">
        <v>99</v>
      </c>
      <c r="D26" s="26" t="s">
        <v>51</v>
      </c>
      <c r="E26" s="26" t="s">
        <v>69</v>
      </c>
      <c r="F26" s="26" t="s">
        <v>70</v>
      </c>
      <c r="G26" s="26" t="s">
        <v>101</v>
      </c>
      <c r="H26" s="26" t="s">
        <v>102</v>
      </c>
      <c r="I26" s="26" t="s">
        <v>77</v>
      </c>
      <c r="J26" s="26" t="s">
        <v>77</v>
      </c>
      <c r="K26" s="26" t="s">
        <v>74</v>
      </c>
      <c r="L26" s="27">
        <v>601429</v>
      </c>
      <c r="M26" s="26" t="s">
        <v>75</v>
      </c>
      <c r="N26" s="26" t="s">
        <v>76</v>
      </c>
    </row>
    <row r="27" spans="1:27" ht="15.5" x14ac:dyDescent="0.35">
      <c r="A27" s="26" t="s">
        <v>67</v>
      </c>
      <c r="B27" s="26" t="s">
        <v>68</v>
      </c>
      <c r="C27" s="26" t="s">
        <v>99</v>
      </c>
      <c r="D27" s="26" t="s">
        <v>51</v>
      </c>
      <c r="E27" s="26" t="s">
        <v>69</v>
      </c>
      <c r="F27" s="26" t="s">
        <v>70</v>
      </c>
      <c r="G27" s="26" t="s">
        <v>101</v>
      </c>
      <c r="H27" s="26" t="s">
        <v>102</v>
      </c>
      <c r="I27" s="26" t="s">
        <v>78</v>
      </c>
      <c r="J27" s="26" t="s">
        <v>78</v>
      </c>
      <c r="K27" s="26" t="s">
        <v>74</v>
      </c>
      <c r="L27" s="27">
        <v>639759</v>
      </c>
      <c r="M27" s="26" t="s">
        <v>75</v>
      </c>
      <c r="N27" s="26" t="s">
        <v>76</v>
      </c>
    </row>
    <row r="28" spans="1:27" ht="15.5" x14ac:dyDescent="0.35">
      <c r="A28" s="26" t="s">
        <v>67</v>
      </c>
      <c r="B28" s="26" t="s">
        <v>68</v>
      </c>
      <c r="C28" s="26" t="s">
        <v>99</v>
      </c>
      <c r="D28" s="26" t="s">
        <v>51</v>
      </c>
      <c r="E28" s="26" t="s">
        <v>69</v>
      </c>
      <c r="F28" s="26" t="s">
        <v>70</v>
      </c>
      <c r="G28" s="26" t="s">
        <v>101</v>
      </c>
      <c r="H28" s="26" t="s">
        <v>102</v>
      </c>
      <c r="I28" s="26" t="s">
        <v>79</v>
      </c>
      <c r="J28" s="26" t="s">
        <v>79</v>
      </c>
      <c r="K28" s="26" t="s">
        <v>74</v>
      </c>
      <c r="L28" s="27">
        <v>661304</v>
      </c>
      <c r="M28" s="26" t="s">
        <v>75</v>
      </c>
      <c r="N28" s="26" t="s">
        <v>76</v>
      </c>
    </row>
    <row r="29" spans="1:27" ht="15.5" x14ac:dyDescent="0.35">
      <c r="A29" s="26" t="s">
        <v>67</v>
      </c>
      <c r="B29" s="26" t="s">
        <v>68</v>
      </c>
      <c r="C29" s="26" t="s">
        <v>99</v>
      </c>
      <c r="D29" s="26" t="s">
        <v>51</v>
      </c>
      <c r="E29" s="26" t="s">
        <v>69</v>
      </c>
      <c r="F29" s="26" t="s">
        <v>70</v>
      </c>
      <c r="G29" s="26" t="s">
        <v>101</v>
      </c>
      <c r="H29" s="26" t="s">
        <v>102</v>
      </c>
      <c r="I29" s="26" t="s">
        <v>80</v>
      </c>
      <c r="J29" s="26" t="s">
        <v>80</v>
      </c>
      <c r="K29" s="26" t="s">
        <v>74</v>
      </c>
      <c r="L29" s="27">
        <v>769548</v>
      </c>
      <c r="M29" s="26" t="s">
        <v>75</v>
      </c>
      <c r="N29" s="26" t="s">
        <v>76</v>
      </c>
    </row>
    <row r="30" spans="1:27" ht="15.5" x14ac:dyDescent="0.35">
      <c r="A30" s="26" t="s">
        <v>67</v>
      </c>
      <c r="B30" s="26" t="s">
        <v>68</v>
      </c>
      <c r="C30" s="26" t="s">
        <v>99</v>
      </c>
      <c r="D30" s="26" t="s">
        <v>51</v>
      </c>
      <c r="E30" s="26" t="s">
        <v>69</v>
      </c>
      <c r="F30" s="26" t="s">
        <v>70</v>
      </c>
      <c r="G30" s="26" t="s">
        <v>101</v>
      </c>
      <c r="H30" s="26" t="s">
        <v>102</v>
      </c>
      <c r="I30" s="26" t="s">
        <v>81</v>
      </c>
      <c r="J30" s="26" t="s">
        <v>81</v>
      </c>
      <c r="K30" s="26" t="s">
        <v>74</v>
      </c>
      <c r="L30" s="27">
        <v>808397</v>
      </c>
      <c r="M30" s="26" t="s">
        <v>75</v>
      </c>
      <c r="N30" s="26" t="s">
        <v>76</v>
      </c>
    </row>
    <row r="31" spans="1:27" ht="15.5" x14ac:dyDescent="0.35">
      <c r="A31" s="26" t="s">
        <v>67</v>
      </c>
      <c r="B31" s="26" t="s">
        <v>68</v>
      </c>
      <c r="C31" s="26" t="s">
        <v>99</v>
      </c>
      <c r="D31" s="26" t="s">
        <v>51</v>
      </c>
      <c r="E31" s="26" t="s">
        <v>69</v>
      </c>
      <c r="F31" s="26" t="s">
        <v>70</v>
      </c>
      <c r="G31" s="26" t="s">
        <v>101</v>
      </c>
      <c r="H31" s="26" t="s">
        <v>102</v>
      </c>
      <c r="I31" s="26" t="s">
        <v>82</v>
      </c>
      <c r="J31" s="26" t="s">
        <v>82</v>
      </c>
      <c r="K31" s="26" t="s">
        <v>74</v>
      </c>
      <c r="L31" s="27">
        <v>816930</v>
      </c>
      <c r="M31" s="26" t="s">
        <v>75</v>
      </c>
      <c r="N31" s="26" t="s">
        <v>76</v>
      </c>
    </row>
    <row r="32" spans="1:27" ht="15.5" x14ac:dyDescent="0.35">
      <c r="A32" s="26" t="s">
        <v>67</v>
      </c>
      <c r="B32" s="26" t="s">
        <v>68</v>
      </c>
      <c r="C32" s="26" t="s">
        <v>99</v>
      </c>
      <c r="D32" s="26" t="s">
        <v>51</v>
      </c>
      <c r="E32" s="26" t="s">
        <v>69</v>
      </c>
      <c r="F32" s="26" t="s">
        <v>70</v>
      </c>
      <c r="G32" s="26" t="s">
        <v>101</v>
      </c>
      <c r="H32" s="26" t="s">
        <v>102</v>
      </c>
      <c r="I32" s="26" t="s">
        <v>83</v>
      </c>
      <c r="J32" s="26" t="s">
        <v>83</v>
      </c>
      <c r="K32" s="26" t="s">
        <v>74</v>
      </c>
      <c r="L32" s="27">
        <v>849873</v>
      </c>
      <c r="M32" s="26" t="s">
        <v>75</v>
      </c>
      <c r="N32" s="26" t="s">
        <v>76</v>
      </c>
    </row>
    <row r="33" spans="1:14" ht="15.5" x14ac:dyDescent="0.35">
      <c r="A33" s="26" t="s">
        <v>67</v>
      </c>
      <c r="B33" s="26" t="s">
        <v>68</v>
      </c>
      <c r="C33" s="26" t="s">
        <v>99</v>
      </c>
      <c r="D33" s="26" t="s">
        <v>51</v>
      </c>
      <c r="E33" s="26" t="s">
        <v>69</v>
      </c>
      <c r="F33" s="26" t="s">
        <v>70</v>
      </c>
      <c r="G33" s="26" t="s">
        <v>101</v>
      </c>
      <c r="H33" s="26" t="s">
        <v>102</v>
      </c>
      <c r="I33" s="26" t="s">
        <v>84</v>
      </c>
      <c r="J33" s="26" t="s">
        <v>84</v>
      </c>
      <c r="K33" s="26" t="s">
        <v>74</v>
      </c>
      <c r="L33" s="27">
        <v>872716</v>
      </c>
      <c r="M33" s="26" t="s">
        <v>75</v>
      </c>
      <c r="N33" s="26" t="s">
        <v>76</v>
      </c>
    </row>
    <row r="34" spans="1:14" ht="15.5" x14ac:dyDescent="0.35">
      <c r="A34" s="26" t="s">
        <v>67</v>
      </c>
      <c r="B34" s="26" t="s">
        <v>68</v>
      </c>
      <c r="C34" s="26" t="s">
        <v>99</v>
      </c>
      <c r="D34" s="26" t="s">
        <v>51</v>
      </c>
      <c r="E34" s="26" t="s">
        <v>69</v>
      </c>
      <c r="F34" s="26" t="s">
        <v>70</v>
      </c>
      <c r="G34" s="26" t="s">
        <v>101</v>
      </c>
      <c r="H34" s="26" t="s">
        <v>102</v>
      </c>
      <c r="I34" s="26" t="s">
        <v>85</v>
      </c>
      <c r="J34" s="26" t="s">
        <v>85</v>
      </c>
      <c r="K34" s="26" t="s">
        <v>74</v>
      </c>
      <c r="L34" s="27">
        <v>933713</v>
      </c>
      <c r="M34" s="26" t="s">
        <v>75</v>
      </c>
      <c r="N34" s="26" t="s">
        <v>76</v>
      </c>
    </row>
    <row r="35" spans="1:14" ht="15.5" x14ac:dyDescent="0.35">
      <c r="A35" s="26" t="s">
        <v>67</v>
      </c>
      <c r="B35" s="26" t="s">
        <v>68</v>
      </c>
      <c r="C35" s="26" t="s">
        <v>99</v>
      </c>
      <c r="D35" s="26" t="s">
        <v>51</v>
      </c>
      <c r="E35" s="26" t="s">
        <v>69</v>
      </c>
      <c r="F35" s="26" t="s">
        <v>70</v>
      </c>
      <c r="G35" s="26" t="s">
        <v>101</v>
      </c>
      <c r="H35" s="26" t="s">
        <v>102</v>
      </c>
      <c r="I35" s="26" t="s">
        <v>86</v>
      </c>
      <c r="J35" s="26" t="s">
        <v>86</v>
      </c>
      <c r="K35" s="26" t="s">
        <v>74</v>
      </c>
      <c r="L35" s="27">
        <v>942484</v>
      </c>
      <c r="M35" s="26" t="s">
        <v>75</v>
      </c>
      <c r="N35" s="26" t="s">
        <v>76</v>
      </c>
    </row>
    <row r="36" spans="1:14" ht="15.5" x14ac:dyDescent="0.35">
      <c r="A36" s="26" t="s">
        <v>67</v>
      </c>
      <c r="B36" s="26" t="s">
        <v>68</v>
      </c>
      <c r="C36" s="26" t="s">
        <v>99</v>
      </c>
      <c r="D36" s="26" t="s">
        <v>51</v>
      </c>
      <c r="E36" s="26" t="s">
        <v>69</v>
      </c>
      <c r="F36" s="26" t="s">
        <v>70</v>
      </c>
      <c r="G36" s="26" t="s">
        <v>101</v>
      </c>
      <c r="H36" s="26" t="s">
        <v>102</v>
      </c>
      <c r="I36" s="26" t="s">
        <v>87</v>
      </c>
      <c r="J36" s="26" t="s">
        <v>87</v>
      </c>
      <c r="K36" s="26" t="s">
        <v>74</v>
      </c>
      <c r="L36" s="27">
        <v>973439</v>
      </c>
      <c r="M36" s="26" t="s">
        <v>75</v>
      </c>
      <c r="N36" s="26" t="s">
        <v>76</v>
      </c>
    </row>
    <row r="37" spans="1:14" ht="15.5" x14ac:dyDescent="0.35">
      <c r="A37" s="26" t="s">
        <v>67</v>
      </c>
      <c r="B37" s="26" t="s">
        <v>68</v>
      </c>
      <c r="C37" s="26" t="s">
        <v>99</v>
      </c>
      <c r="D37" s="26" t="s">
        <v>51</v>
      </c>
      <c r="E37" s="26" t="s">
        <v>69</v>
      </c>
      <c r="F37" s="26" t="s">
        <v>70</v>
      </c>
      <c r="G37" s="26" t="s">
        <v>101</v>
      </c>
      <c r="H37" s="26" t="s">
        <v>102</v>
      </c>
      <c r="I37" s="26" t="s">
        <v>88</v>
      </c>
      <c r="J37" s="26" t="s">
        <v>88</v>
      </c>
      <c r="K37" s="26" t="s">
        <v>74</v>
      </c>
      <c r="L37" s="27">
        <v>933777</v>
      </c>
      <c r="M37" s="26" t="s">
        <v>75</v>
      </c>
      <c r="N37" s="26" t="s">
        <v>76</v>
      </c>
    </row>
    <row r="38" spans="1:14" ht="15.5" x14ac:dyDescent="0.35">
      <c r="A38" s="26" t="s">
        <v>67</v>
      </c>
      <c r="B38" s="26" t="s">
        <v>68</v>
      </c>
      <c r="C38" s="26" t="s">
        <v>99</v>
      </c>
      <c r="D38" s="26" t="s">
        <v>51</v>
      </c>
      <c r="E38" s="26" t="s">
        <v>69</v>
      </c>
      <c r="F38" s="26" t="s">
        <v>70</v>
      </c>
      <c r="G38" s="26" t="s">
        <v>101</v>
      </c>
      <c r="H38" s="26" t="s">
        <v>102</v>
      </c>
      <c r="I38" s="26" t="s">
        <v>89</v>
      </c>
      <c r="J38" s="26" t="s">
        <v>89</v>
      </c>
      <c r="K38" s="26" t="s">
        <v>74</v>
      </c>
      <c r="L38" s="27">
        <v>960391</v>
      </c>
      <c r="M38" s="26" t="s">
        <v>75</v>
      </c>
      <c r="N38" s="26" t="s">
        <v>76</v>
      </c>
    </row>
    <row r="39" spans="1:14" ht="15.5" x14ac:dyDescent="0.35">
      <c r="A39" s="26" t="s">
        <v>67</v>
      </c>
      <c r="B39" s="26" t="s">
        <v>68</v>
      </c>
      <c r="C39" s="26" t="s">
        <v>99</v>
      </c>
      <c r="D39" s="26" t="s">
        <v>51</v>
      </c>
      <c r="E39" s="26" t="s">
        <v>69</v>
      </c>
      <c r="F39" s="26" t="s">
        <v>70</v>
      </c>
      <c r="G39" s="26" t="s">
        <v>101</v>
      </c>
      <c r="H39" s="26" t="s">
        <v>102</v>
      </c>
      <c r="I39" s="26" t="s">
        <v>90</v>
      </c>
      <c r="J39" s="26" t="s">
        <v>90</v>
      </c>
      <c r="K39" s="26" t="s">
        <v>74</v>
      </c>
      <c r="L39" s="27">
        <v>910246</v>
      </c>
      <c r="M39" s="26" t="s">
        <v>75</v>
      </c>
      <c r="N39" s="26" t="s">
        <v>76</v>
      </c>
    </row>
    <row r="40" spans="1:14" ht="15.5" x14ac:dyDescent="0.35">
      <c r="A40" s="26" t="s">
        <v>67</v>
      </c>
      <c r="B40" s="26" t="s">
        <v>68</v>
      </c>
      <c r="C40" s="26" t="s">
        <v>99</v>
      </c>
      <c r="D40" s="26" t="s">
        <v>51</v>
      </c>
      <c r="E40" s="26" t="s">
        <v>69</v>
      </c>
      <c r="F40" s="26" t="s">
        <v>70</v>
      </c>
      <c r="G40" s="26" t="s">
        <v>101</v>
      </c>
      <c r="H40" s="26" t="s">
        <v>102</v>
      </c>
      <c r="I40" s="26" t="s">
        <v>91</v>
      </c>
      <c r="J40" s="26" t="s">
        <v>91</v>
      </c>
      <c r="K40" s="26" t="s">
        <v>74</v>
      </c>
      <c r="L40" s="27">
        <v>869794</v>
      </c>
      <c r="M40" s="26" t="s">
        <v>75</v>
      </c>
      <c r="N40" s="26" t="s">
        <v>76</v>
      </c>
    </row>
    <row r="41" spans="1:14" ht="15.5" x14ac:dyDescent="0.35">
      <c r="A41" s="26" t="s">
        <v>67</v>
      </c>
      <c r="B41" s="26" t="s">
        <v>68</v>
      </c>
      <c r="C41" s="26" t="s">
        <v>99</v>
      </c>
      <c r="D41" s="26" t="s">
        <v>51</v>
      </c>
      <c r="E41" s="26" t="s">
        <v>69</v>
      </c>
      <c r="F41" s="26" t="s">
        <v>70</v>
      </c>
      <c r="G41" s="26" t="s">
        <v>101</v>
      </c>
      <c r="H41" s="26" t="s">
        <v>102</v>
      </c>
      <c r="I41" s="26" t="s">
        <v>92</v>
      </c>
      <c r="J41" s="26" t="s">
        <v>92</v>
      </c>
      <c r="K41" s="26" t="s">
        <v>74</v>
      </c>
      <c r="L41" s="27">
        <v>856904</v>
      </c>
      <c r="M41" s="26" t="s">
        <v>75</v>
      </c>
      <c r="N41" s="26" t="s">
        <v>76</v>
      </c>
    </row>
    <row r="42" spans="1:14" ht="15.5" x14ac:dyDescent="0.35">
      <c r="A42" s="26" t="s">
        <v>67</v>
      </c>
      <c r="B42" s="26" t="s">
        <v>68</v>
      </c>
      <c r="C42" s="26" t="s">
        <v>99</v>
      </c>
      <c r="D42" s="26" t="s">
        <v>51</v>
      </c>
      <c r="E42" s="26" t="s">
        <v>69</v>
      </c>
      <c r="F42" s="26" t="s">
        <v>70</v>
      </c>
      <c r="G42" s="26" t="s">
        <v>101</v>
      </c>
      <c r="H42" s="26" t="s">
        <v>102</v>
      </c>
      <c r="I42" s="26" t="s">
        <v>93</v>
      </c>
      <c r="J42" s="26" t="s">
        <v>93</v>
      </c>
      <c r="K42" s="26" t="s">
        <v>74</v>
      </c>
      <c r="L42" s="27">
        <v>820043</v>
      </c>
      <c r="M42" s="26" t="s">
        <v>75</v>
      </c>
      <c r="N42" s="26" t="s">
        <v>76</v>
      </c>
    </row>
    <row r="43" spans="1:14" ht="15.5" x14ac:dyDescent="0.35">
      <c r="A43" s="26" t="s">
        <v>67</v>
      </c>
      <c r="B43" s="26" t="s">
        <v>68</v>
      </c>
      <c r="C43" s="26" t="s">
        <v>99</v>
      </c>
      <c r="D43" s="26" t="s">
        <v>51</v>
      </c>
      <c r="E43" s="26" t="s">
        <v>69</v>
      </c>
      <c r="F43" s="26" t="s">
        <v>70</v>
      </c>
      <c r="G43" s="26" t="s">
        <v>101</v>
      </c>
      <c r="H43" s="26" t="s">
        <v>102</v>
      </c>
      <c r="I43" s="26" t="s">
        <v>94</v>
      </c>
      <c r="J43" s="26" t="s">
        <v>94</v>
      </c>
      <c r="K43" s="26" t="s">
        <v>74</v>
      </c>
      <c r="L43" s="27">
        <v>806949</v>
      </c>
      <c r="M43" s="26" t="s">
        <v>75</v>
      </c>
      <c r="N43" s="26" t="s">
        <v>76</v>
      </c>
    </row>
    <row r="44" spans="1:14" ht="15.5" x14ac:dyDescent="0.35">
      <c r="A44" s="26" t="s">
        <v>67</v>
      </c>
      <c r="B44" s="26" t="s">
        <v>68</v>
      </c>
      <c r="C44" s="26" t="s">
        <v>99</v>
      </c>
      <c r="D44" s="26" t="s">
        <v>51</v>
      </c>
      <c r="E44" s="26" t="s">
        <v>69</v>
      </c>
      <c r="F44" s="26" t="s">
        <v>70</v>
      </c>
      <c r="G44" s="26" t="s">
        <v>101</v>
      </c>
      <c r="H44" s="26" t="s">
        <v>102</v>
      </c>
      <c r="I44" s="26" t="s">
        <v>95</v>
      </c>
      <c r="J44" s="26" t="s">
        <v>95</v>
      </c>
      <c r="K44" s="26" t="s">
        <v>74</v>
      </c>
      <c r="L44" s="27">
        <v>801133</v>
      </c>
      <c r="M44" s="26" t="s">
        <v>75</v>
      </c>
      <c r="N44" s="26" t="s">
        <v>76</v>
      </c>
    </row>
    <row r="45" spans="1:14" ht="15.5" x14ac:dyDescent="0.35">
      <c r="A45" s="26" t="s">
        <v>67</v>
      </c>
      <c r="B45" s="26" t="s">
        <v>68</v>
      </c>
      <c r="C45" s="26" t="s">
        <v>99</v>
      </c>
      <c r="D45" s="26" t="s">
        <v>51</v>
      </c>
      <c r="E45" s="26" t="s">
        <v>69</v>
      </c>
      <c r="F45" s="26" t="s">
        <v>70</v>
      </c>
      <c r="G45" s="26" t="s">
        <v>101</v>
      </c>
      <c r="H45" s="26" t="s">
        <v>102</v>
      </c>
      <c r="I45" s="26" t="s">
        <v>96</v>
      </c>
      <c r="J45" s="26" t="s">
        <v>96</v>
      </c>
      <c r="K45" s="26" t="s">
        <v>74</v>
      </c>
      <c r="L45" s="27">
        <v>770704</v>
      </c>
      <c r="M45" s="26" t="s">
        <v>75</v>
      </c>
      <c r="N45" s="26" t="s">
        <v>76</v>
      </c>
    </row>
    <row r="46" spans="1:14" ht="15.5" x14ac:dyDescent="0.35">
      <c r="A46" s="26" t="s">
        <v>67</v>
      </c>
      <c r="B46" s="26" t="s">
        <v>68</v>
      </c>
      <c r="C46" s="26" t="s">
        <v>99</v>
      </c>
      <c r="D46" s="26" t="s">
        <v>51</v>
      </c>
      <c r="E46" s="26" t="s">
        <v>69</v>
      </c>
      <c r="F46" s="26" t="s">
        <v>70</v>
      </c>
      <c r="G46" s="26" t="s">
        <v>101</v>
      </c>
      <c r="H46" s="26" t="s">
        <v>102</v>
      </c>
      <c r="I46" s="26" t="s">
        <v>97</v>
      </c>
      <c r="J46" s="26" t="s">
        <v>97</v>
      </c>
      <c r="K46" s="26" t="s">
        <v>74</v>
      </c>
      <c r="L46" s="27">
        <v>742507</v>
      </c>
      <c r="M46" s="26" t="s">
        <v>75</v>
      </c>
      <c r="N46" s="26" t="s">
        <v>76</v>
      </c>
    </row>
    <row r="47" spans="1:14" ht="15.5" x14ac:dyDescent="0.35">
      <c r="A47" s="26" t="s">
        <v>67</v>
      </c>
      <c r="B47" s="26" t="s">
        <v>68</v>
      </c>
      <c r="C47" s="26" t="s">
        <v>99</v>
      </c>
      <c r="D47" s="26" t="s">
        <v>51</v>
      </c>
      <c r="E47" s="26" t="s">
        <v>69</v>
      </c>
      <c r="F47" s="26" t="s">
        <v>70</v>
      </c>
      <c r="G47" s="26" t="s">
        <v>101</v>
      </c>
      <c r="H47" s="26" t="s">
        <v>102</v>
      </c>
      <c r="I47" s="26" t="s">
        <v>98</v>
      </c>
      <c r="J47" s="26" t="s">
        <v>98</v>
      </c>
      <c r="K47" s="26" t="s">
        <v>74</v>
      </c>
      <c r="L47" s="27">
        <v>685368</v>
      </c>
      <c r="M47" s="26" t="s">
        <v>75</v>
      </c>
      <c r="N47" s="26" t="s">
        <v>76</v>
      </c>
    </row>
    <row r="48" spans="1:14" ht="15.5" x14ac:dyDescent="0.35">
      <c r="A48" s="26" t="s">
        <v>67</v>
      </c>
      <c r="B48" s="26" t="s">
        <v>68</v>
      </c>
      <c r="C48" s="26" t="s">
        <v>99</v>
      </c>
      <c r="D48" s="26" t="s">
        <v>51</v>
      </c>
      <c r="E48" s="26" t="s">
        <v>69</v>
      </c>
      <c r="F48" s="26" t="s">
        <v>70</v>
      </c>
      <c r="G48" s="26" t="s">
        <v>103</v>
      </c>
      <c r="H48" s="26" t="s">
        <v>104</v>
      </c>
      <c r="I48" s="26" t="s">
        <v>73</v>
      </c>
      <c r="J48" s="26" t="s">
        <v>73</v>
      </c>
      <c r="K48" s="26" t="s">
        <v>74</v>
      </c>
      <c r="L48" s="27">
        <v>3263830</v>
      </c>
      <c r="M48" s="26" t="s">
        <v>75</v>
      </c>
      <c r="N48" s="26" t="s">
        <v>76</v>
      </c>
    </row>
    <row r="49" spans="1:14" ht="15.5" x14ac:dyDescent="0.35">
      <c r="A49" s="26" t="s">
        <v>67</v>
      </c>
      <c r="B49" s="26" t="s">
        <v>68</v>
      </c>
      <c r="C49" s="26" t="s">
        <v>99</v>
      </c>
      <c r="D49" s="26" t="s">
        <v>51</v>
      </c>
      <c r="E49" s="26" t="s">
        <v>69</v>
      </c>
      <c r="F49" s="26" t="s">
        <v>70</v>
      </c>
      <c r="G49" s="26" t="s">
        <v>103</v>
      </c>
      <c r="H49" s="26" t="s">
        <v>104</v>
      </c>
      <c r="I49" s="26" t="s">
        <v>77</v>
      </c>
      <c r="J49" s="26" t="s">
        <v>77</v>
      </c>
      <c r="K49" s="26" t="s">
        <v>74</v>
      </c>
      <c r="L49" s="27">
        <v>3197760</v>
      </c>
      <c r="M49" s="26" t="s">
        <v>75</v>
      </c>
      <c r="N49" s="26" t="s">
        <v>76</v>
      </c>
    </row>
    <row r="50" spans="1:14" ht="15.5" x14ac:dyDescent="0.35">
      <c r="A50" s="26" t="s">
        <v>67</v>
      </c>
      <c r="B50" s="26" t="s">
        <v>68</v>
      </c>
      <c r="C50" s="26" t="s">
        <v>99</v>
      </c>
      <c r="D50" s="26" t="s">
        <v>51</v>
      </c>
      <c r="E50" s="26" t="s">
        <v>69</v>
      </c>
      <c r="F50" s="26" t="s">
        <v>70</v>
      </c>
      <c r="G50" s="26" t="s">
        <v>103</v>
      </c>
      <c r="H50" s="26" t="s">
        <v>104</v>
      </c>
      <c r="I50" s="26" t="s">
        <v>78</v>
      </c>
      <c r="J50" s="26" t="s">
        <v>78</v>
      </c>
      <c r="K50" s="26" t="s">
        <v>74</v>
      </c>
      <c r="L50" s="27">
        <v>3104460</v>
      </c>
      <c r="M50" s="26" t="s">
        <v>75</v>
      </c>
      <c r="N50" s="26" t="s">
        <v>76</v>
      </c>
    </row>
    <row r="51" spans="1:14" ht="15.5" x14ac:dyDescent="0.35">
      <c r="A51" s="26" t="s">
        <v>67</v>
      </c>
      <c r="B51" s="26" t="s">
        <v>68</v>
      </c>
      <c r="C51" s="26" t="s">
        <v>99</v>
      </c>
      <c r="D51" s="26" t="s">
        <v>51</v>
      </c>
      <c r="E51" s="26" t="s">
        <v>69</v>
      </c>
      <c r="F51" s="26" t="s">
        <v>70</v>
      </c>
      <c r="G51" s="26" t="s">
        <v>103</v>
      </c>
      <c r="H51" s="26" t="s">
        <v>104</v>
      </c>
      <c r="I51" s="26" t="s">
        <v>79</v>
      </c>
      <c r="J51" s="26" t="s">
        <v>79</v>
      </c>
      <c r="K51" s="26" t="s">
        <v>74</v>
      </c>
      <c r="L51" s="27">
        <v>3104130</v>
      </c>
      <c r="M51" s="26" t="s">
        <v>75</v>
      </c>
      <c r="N51" s="26" t="s">
        <v>76</v>
      </c>
    </row>
    <row r="52" spans="1:14" ht="15.5" x14ac:dyDescent="0.35">
      <c r="A52" s="26" t="s">
        <v>67</v>
      </c>
      <c r="B52" s="26" t="s">
        <v>68</v>
      </c>
      <c r="C52" s="26" t="s">
        <v>99</v>
      </c>
      <c r="D52" s="26" t="s">
        <v>51</v>
      </c>
      <c r="E52" s="26" t="s">
        <v>69</v>
      </c>
      <c r="F52" s="26" t="s">
        <v>70</v>
      </c>
      <c r="G52" s="26" t="s">
        <v>103</v>
      </c>
      <c r="H52" s="26" t="s">
        <v>104</v>
      </c>
      <c r="I52" s="26" t="s">
        <v>80</v>
      </c>
      <c r="J52" s="26" t="s">
        <v>80</v>
      </c>
      <c r="K52" s="26" t="s">
        <v>74</v>
      </c>
      <c r="L52" s="27">
        <v>2883920</v>
      </c>
      <c r="M52" s="26" t="s">
        <v>75</v>
      </c>
      <c r="N52" s="26" t="s">
        <v>76</v>
      </c>
    </row>
    <row r="53" spans="1:14" ht="15.5" x14ac:dyDescent="0.35">
      <c r="A53" s="26" t="s">
        <v>67</v>
      </c>
      <c r="B53" s="26" t="s">
        <v>68</v>
      </c>
      <c r="C53" s="26" t="s">
        <v>99</v>
      </c>
      <c r="D53" s="26" t="s">
        <v>51</v>
      </c>
      <c r="E53" s="26" t="s">
        <v>69</v>
      </c>
      <c r="F53" s="26" t="s">
        <v>70</v>
      </c>
      <c r="G53" s="26" t="s">
        <v>103</v>
      </c>
      <c r="H53" s="26" t="s">
        <v>104</v>
      </c>
      <c r="I53" s="26" t="s">
        <v>81</v>
      </c>
      <c r="J53" s="26" t="s">
        <v>81</v>
      </c>
      <c r="K53" s="26" t="s">
        <v>74</v>
      </c>
      <c r="L53" s="27">
        <v>2965220</v>
      </c>
      <c r="M53" s="26" t="s">
        <v>75</v>
      </c>
      <c r="N53" s="26" t="s">
        <v>76</v>
      </c>
    </row>
    <row r="54" spans="1:14" ht="15.5" x14ac:dyDescent="0.35">
      <c r="A54" s="26" t="s">
        <v>67</v>
      </c>
      <c r="B54" s="26" t="s">
        <v>68</v>
      </c>
      <c r="C54" s="26" t="s">
        <v>99</v>
      </c>
      <c r="D54" s="26" t="s">
        <v>51</v>
      </c>
      <c r="E54" s="26" t="s">
        <v>69</v>
      </c>
      <c r="F54" s="26" t="s">
        <v>70</v>
      </c>
      <c r="G54" s="26" t="s">
        <v>103</v>
      </c>
      <c r="H54" s="26" t="s">
        <v>104</v>
      </c>
      <c r="I54" s="26" t="s">
        <v>82</v>
      </c>
      <c r="J54" s="26" t="s">
        <v>82</v>
      </c>
      <c r="K54" s="26" t="s">
        <v>74</v>
      </c>
      <c r="L54" s="27">
        <v>3059072</v>
      </c>
      <c r="M54" s="26" t="s">
        <v>75</v>
      </c>
      <c r="N54" s="26" t="s">
        <v>76</v>
      </c>
    </row>
    <row r="55" spans="1:14" ht="15.5" x14ac:dyDescent="0.35">
      <c r="A55" s="26" t="s">
        <v>67</v>
      </c>
      <c r="B55" s="26" t="s">
        <v>68</v>
      </c>
      <c r="C55" s="26" t="s">
        <v>99</v>
      </c>
      <c r="D55" s="26" t="s">
        <v>51</v>
      </c>
      <c r="E55" s="26" t="s">
        <v>69</v>
      </c>
      <c r="F55" s="26" t="s">
        <v>70</v>
      </c>
      <c r="G55" s="26" t="s">
        <v>103</v>
      </c>
      <c r="H55" s="26" t="s">
        <v>104</v>
      </c>
      <c r="I55" s="26" t="s">
        <v>83</v>
      </c>
      <c r="J55" s="26" t="s">
        <v>83</v>
      </c>
      <c r="K55" s="26" t="s">
        <v>74</v>
      </c>
      <c r="L55" s="27">
        <v>3197076</v>
      </c>
      <c r="M55" s="26" t="s">
        <v>75</v>
      </c>
      <c r="N55" s="26" t="s">
        <v>76</v>
      </c>
    </row>
    <row r="56" spans="1:14" ht="15.5" x14ac:dyDescent="0.35">
      <c r="A56" s="26" t="s">
        <v>67</v>
      </c>
      <c r="B56" s="26" t="s">
        <v>68</v>
      </c>
      <c r="C56" s="26" t="s">
        <v>99</v>
      </c>
      <c r="D56" s="26" t="s">
        <v>51</v>
      </c>
      <c r="E56" s="26" t="s">
        <v>69</v>
      </c>
      <c r="F56" s="26" t="s">
        <v>70</v>
      </c>
      <c r="G56" s="26" t="s">
        <v>103</v>
      </c>
      <c r="H56" s="26" t="s">
        <v>104</v>
      </c>
      <c r="I56" s="26" t="s">
        <v>84</v>
      </c>
      <c r="J56" s="26" t="s">
        <v>84</v>
      </c>
      <c r="K56" s="26" t="s">
        <v>74</v>
      </c>
      <c r="L56" s="27">
        <v>3379097</v>
      </c>
      <c r="M56" s="26" t="s">
        <v>75</v>
      </c>
      <c r="N56" s="26" t="s">
        <v>76</v>
      </c>
    </row>
    <row r="57" spans="1:14" ht="15.5" x14ac:dyDescent="0.35">
      <c r="A57" s="26" t="s">
        <v>67</v>
      </c>
      <c r="B57" s="26" t="s">
        <v>68</v>
      </c>
      <c r="C57" s="26" t="s">
        <v>99</v>
      </c>
      <c r="D57" s="26" t="s">
        <v>51</v>
      </c>
      <c r="E57" s="26" t="s">
        <v>69</v>
      </c>
      <c r="F57" s="26" t="s">
        <v>70</v>
      </c>
      <c r="G57" s="26" t="s">
        <v>103</v>
      </c>
      <c r="H57" s="26" t="s">
        <v>104</v>
      </c>
      <c r="I57" s="26" t="s">
        <v>85</v>
      </c>
      <c r="J57" s="26" t="s">
        <v>85</v>
      </c>
      <c r="K57" s="26" t="s">
        <v>74</v>
      </c>
      <c r="L57" s="27">
        <v>3881826</v>
      </c>
      <c r="M57" s="26" t="s">
        <v>75</v>
      </c>
      <c r="N57" s="26" t="s">
        <v>76</v>
      </c>
    </row>
    <row r="58" spans="1:14" ht="15.5" x14ac:dyDescent="0.35">
      <c r="A58" s="26" t="s">
        <v>67</v>
      </c>
      <c r="B58" s="26" t="s">
        <v>68</v>
      </c>
      <c r="C58" s="26" t="s">
        <v>99</v>
      </c>
      <c r="D58" s="26" t="s">
        <v>51</v>
      </c>
      <c r="E58" s="26" t="s">
        <v>69</v>
      </c>
      <c r="F58" s="26" t="s">
        <v>70</v>
      </c>
      <c r="G58" s="26" t="s">
        <v>103</v>
      </c>
      <c r="H58" s="26" t="s">
        <v>104</v>
      </c>
      <c r="I58" s="26" t="s">
        <v>86</v>
      </c>
      <c r="J58" s="26" t="s">
        <v>86</v>
      </c>
      <c r="K58" s="26" t="s">
        <v>74</v>
      </c>
      <c r="L58" s="27">
        <v>4095231</v>
      </c>
      <c r="M58" s="26" t="s">
        <v>75</v>
      </c>
      <c r="N58" s="26" t="s">
        <v>76</v>
      </c>
    </row>
    <row r="59" spans="1:14" ht="15.5" x14ac:dyDescent="0.35">
      <c r="A59" s="26" t="s">
        <v>67</v>
      </c>
      <c r="B59" s="26" t="s">
        <v>68</v>
      </c>
      <c r="C59" s="26" t="s">
        <v>99</v>
      </c>
      <c r="D59" s="26" t="s">
        <v>51</v>
      </c>
      <c r="E59" s="26" t="s">
        <v>69</v>
      </c>
      <c r="F59" s="26" t="s">
        <v>70</v>
      </c>
      <c r="G59" s="26" t="s">
        <v>103</v>
      </c>
      <c r="H59" s="26" t="s">
        <v>104</v>
      </c>
      <c r="I59" s="26" t="s">
        <v>87</v>
      </c>
      <c r="J59" s="26" t="s">
        <v>87</v>
      </c>
      <c r="K59" s="26" t="s">
        <v>74</v>
      </c>
      <c r="L59" s="27">
        <v>4314676</v>
      </c>
      <c r="M59" s="26" t="s">
        <v>75</v>
      </c>
      <c r="N59" s="26" t="s">
        <v>76</v>
      </c>
    </row>
    <row r="60" spans="1:14" ht="15.5" x14ac:dyDescent="0.35">
      <c r="A60" s="26" t="s">
        <v>67</v>
      </c>
      <c r="B60" s="26" t="s">
        <v>68</v>
      </c>
      <c r="C60" s="26" t="s">
        <v>99</v>
      </c>
      <c r="D60" s="26" t="s">
        <v>51</v>
      </c>
      <c r="E60" s="26" t="s">
        <v>69</v>
      </c>
      <c r="F60" s="26" t="s">
        <v>70</v>
      </c>
      <c r="G60" s="26" t="s">
        <v>103</v>
      </c>
      <c r="H60" s="26" t="s">
        <v>104</v>
      </c>
      <c r="I60" s="26" t="s">
        <v>88</v>
      </c>
      <c r="J60" s="26" t="s">
        <v>88</v>
      </c>
      <c r="K60" s="26" t="s">
        <v>74</v>
      </c>
      <c r="L60" s="27">
        <v>4490104</v>
      </c>
      <c r="M60" s="26" t="s">
        <v>75</v>
      </c>
      <c r="N60" s="26" t="s">
        <v>76</v>
      </c>
    </row>
    <row r="61" spans="1:14" ht="15.5" x14ac:dyDescent="0.35">
      <c r="A61" s="26" t="s">
        <v>67</v>
      </c>
      <c r="B61" s="26" t="s">
        <v>68</v>
      </c>
      <c r="C61" s="26" t="s">
        <v>99</v>
      </c>
      <c r="D61" s="26" t="s">
        <v>51</v>
      </c>
      <c r="E61" s="26" t="s">
        <v>69</v>
      </c>
      <c r="F61" s="26" t="s">
        <v>70</v>
      </c>
      <c r="G61" s="26" t="s">
        <v>103</v>
      </c>
      <c r="H61" s="26" t="s">
        <v>104</v>
      </c>
      <c r="I61" s="26" t="s">
        <v>89</v>
      </c>
      <c r="J61" s="26" t="s">
        <v>89</v>
      </c>
      <c r="K61" s="26" t="s">
        <v>74</v>
      </c>
      <c r="L61" s="27">
        <v>4680823</v>
      </c>
      <c r="M61" s="26" t="s">
        <v>75</v>
      </c>
      <c r="N61" s="26" t="s">
        <v>76</v>
      </c>
    </row>
    <row r="62" spans="1:14" ht="15.5" x14ac:dyDescent="0.35">
      <c r="A62" s="26" t="s">
        <v>67</v>
      </c>
      <c r="B62" s="26" t="s">
        <v>68</v>
      </c>
      <c r="C62" s="26" t="s">
        <v>99</v>
      </c>
      <c r="D62" s="26" t="s">
        <v>51</v>
      </c>
      <c r="E62" s="26" t="s">
        <v>69</v>
      </c>
      <c r="F62" s="26" t="s">
        <v>70</v>
      </c>
      <c r="G62" s="26" t="s">
        <v>103</v>
      </c>
      <c r="H62" s="26" t="s">
        <v>104</v>
      </c>
      <c r="I62" s="26" t="s">
        <v>90</v>
      </c>
      <c r="J62" s="26" t="s">
        <v>90</v>
      </c>
      <c r="K62" s="26" t="s">
        <v>74</v>
      </c>
      <c r="L62" s="27">
        <v>4918778</v>
      </c>
      <c r="M62" s="26" t="s">
        <v>75</v>
      </c>
      <c r="N62" s="26" t="s">
        <v>76</v>
      </c>
    </row>
    <row r="63" spans="1:14" ht="15.5" x14ac:dyDescent="0.35">
      <c r="A63" s="26" t="s">
        <v>67</v>
      </c>
      <c r="B63" s="26" t="s">
        <v>68</v>
      </c>
      <c r="C63" s="26" t="s">
        <v>99</v>
      </c>
      <c r="D63" s="26" t="s">
        <v>51</v>
      </c>
      <c r="E63" s="26" t="s">
        <v>69</v>
      </c>
      <c r="F63" s="26" t="s">
        <v>70</v>
      </c>
      <c r="G63" s="26" t="s">
        <v>103</v>
      </c>
      <c r="H63" s="26" t="s">
        <v>104</v>
      </c>
      <c r="I63" s="26" t="s">
        <v>91</v>
      </c>
      <c r="J63" s="26" t="s">
        <v>91</v>
      </c>
      <c r="K63" s="26" t="s">
        <v>74</v>
      </c>
      <c r="L63" s="27">
        <v>5059735</v>
      </c>
      <c r="M63" s="26" t="s">
        <v>75</v>
      </c>
      <c r="N63" s="26" t="s">
        <v>76</v>
      </c>
    </row>
    <row r="64" spans="1:14" ht="15.5" x14ac:dyDescent="0.35">
      <c r="A64" s="26" t="s">
        <v>67</v>
      </c>
      <c r="B64" s="26" t="s">
        <v>68</v>
      </c>
      <c r="C64" s="26" t="s">
        <v>99</v>
      </c>
      <c r="D64" s="26" t="s">
        <v>51</v>
      </c>
      <c r="E64" s="26" t="s">
        <v>69</v>
      </c>
      <c r="F64" s="26" t="s">
        <v>70</v>
      </c>
      <c r="G64" s="26" t="s">
        <v>103</v>
      </c>
      <c r="H64" s="26" t="s">
        <v>104</v>
      </c>
      <c r="I64" s="26" t="s">
        <v>92</v>
      </c>
      <c r="J64" s="26" t="s">
        <v>92</v>
      </c>
      <c r="K64" s="26" t="s">
        <v>74</v>
      </c>
      <c r="L64" s="27">
        <v>5165650</v>
      </c>
      <c r="M64" s="26" t="s">
        <v>75</v>
      </c>
      <c r="N64" s="26" t="s">
        <v>76</v>
      </c>
    </row>
    <row r="65" spans="1:14" ht="15.5" x14ac:dyDescent="0.35">
      <c r="A65" s="26" t="s">
        <v>67</v>
      </c>
      <c r="B65" s="26" t="s">
        <v>68</v>
      </c>
      <c r="C65" s="26" t="s">
        <v>99</v>
      </c>
      <c r="D65" s="26" t="s">
        <v>51</v>
      </c>
      <c r="E65" s="26" t="s">
        <v>69</v>
      </c>
      <c r="F65" s="26" t="s">
        <v>70</v>
      </c>
      <c r="G65" s="26" t="s">
        <v>103</v>
      </c>
      <c r="H65" s="26" t="s">
        <v>104</v>
      </c>
      <c r="I65" s="26" t="s">
        <v>93</v>
      </c>
      <c r="J65" s="26" t="s">
        <v>93</v>
      </c>
      <c r="K65" s="26" t="s">
        <v>74</v>
      </c>
      <c r="L65" s="27">
        <v>5257732</v>
      </c>
      <c r="M65" s="26" t="s">
        <v>75</v>
      </c>
      <c r="N65" s="26" t="s">
        <v>76</v>
      </c>
    </row>
    <row r="66" spans="1:14" ht="15.5" x14ac:dyDescent="0.35">
      <c r="A66" s="26" t="s">
        <v>67</v>
      </c>
      <c r="B66" s="26" t="s">
        <v>68</v>
      </c>
      <c r="C66" s="26" t="s">
        <v>99</v>
      </c>
      <c r="D66" s="26" t="s">
        <v>51</v>
      </c>
      <c r="E66" s="26" t="s">
        <v>69</v>
      </c>
      <c r="F66" s="26" t="s">
        <v>70</v>
      </c>
      <c r="G66" s="26" t="s">
        <v>103</v>
      </c>
      <c r="H66" s="26" t="s">
        <v>104</v>
      </c>
      <c r="I66" s="26" t="s">
        <v>94</v>
      </c>
      <c r="J66" s="26" t="s">
        <v>94</v>
      </c>
      <c r="K66" s="26" t="s">
        <v>74</v>
      </c>
      <c r="L66" s="27">
        <v>5361000</v>
      </c>
      <c r="M66" s="26" t="s">
        <v>75</v>
      </c>
      <c r="N66" s="26" t="s">
        <v>76</v>
      </c>
    </row>
    <row r="67" spans="1:14" ht="15.5" x14ac:dyDescent="0.35">
      <c r="A67" s="26" t="s">
        <v>67</v>
      </c>
      <c r="B67" s="26" t="s">
        <v>68</v>
      </c>
      <c r="C67" s="26" t="s">
        <v>99</v>
      </c>
      <c r="D67" s="26" t="s">
        <v>51</v>
      </c>
      <c r="E67" s="26" t="s">
        <v>69</v>
      </c>
      <c r="F67" s="26" t="s">
        <v>70</v>
      </c>
      <c r="G67" s="26" t="s">
        <v>103</v>
      </c>
      <c r="H67" s="26" t="s">
        <v>104</v>
      </c>
      <c r="I67" s="26" t="s">
        <v>95</v>
      </c>
      <c r="J67" s="26" t="s">
        <v>95</v>
      </c>
      <c r="K67" s="26" t="s">
        <v>74</v>
      </c>
      <c r="L67" s="27">
        <v>5465606</v>
      </c>
      <c r="M67" s="26" t="s">
        <v>75</v>
      </c>
      <c r="N67" s="26" t="s">
        <v>76</v>
      </c>
    </row>
    <row r="68" spans="1:14" ht="15.5" x14ac:dyDescent="0.35">
      <c r="A68" s="26" t="s">
        <v>67</v>
      </c>
      <c r="B68" s="26" t="s">
        <v>68</v>
      </c>
      <c r="C68" s="26" t="s">
        <v>99</v>
      </c>
      <c r="D68" s="26" t="s">
        <v>51</v>
      </c>
      <c r="E68" s="26" t="s">
        <v>69</v>
      </c>
      <c r="F68" s="26" t="s">
        <v>70</v>
      </c>
      <c r="G68" s="26" t="s">
        <v>103</v>
      </c>
      <c r="H68" s="26" t="s">
        <v>104</v>
      </c>
      <c r="I68" s="26" t="s">
        <v>96</v>
      </c>
      <c r="J68" s="26" t="s">
        <v>96</v>
      </c>
      <c r="K68" s="26" t="s">
        <v>74</v>
      </c>
      <c r="L68" s="27">
        <v>5508032</v>
      </c>
      <c r="M68" s="26" t="s">
        <v>75</v>
      </c>
      <c r="N68" s="26" t="s">
        <v>76</v>
      </c>
    </row>
    <row r="69" spans="1:14" ht="15.5" x14ac:dyDescent="0.35">
      <c r="A69" s="26" t="s">
        <v>67</v>
      </c>
      <c r="B69" s="26" t="s">
        <v>68</v>
      </c>
      <c r="C69" s="26" t="s">
        <v>99</v>
      </c>
      <c r="D69" s="26" t="s">
        <v>51</v>
      </c>
      <c r="E69" s="26" t="s">
        <v>69</v>
      </c>
      <c r="F69" s="26" t="s">
        <v>70</v>
      </c>
      <c r="G69" s="26" t="s">
        <v>103</v>
      </c>
      <c r="H69" s="26" t="s">
        <v>104</v>
      </c>
      <c r="I69" s="26" t="s">
        <v>97</v>
      </c>
      <c r="J69" s="26" t="s">
        <v>97</v>
      </c>
      <c r="K69" s="26" t="s">
        <v>74</v>
      </c>
      <c r="L69" s="27">
        <v>5535597</v>
      </c>
      <c r="M69" s="26" t="s">
        <v>75</v>
      </c>
      <c r="N69" s="26" t="s">
        <v>76</v>
      </c>
    </row>
    <row r="70" spans="1:14" ht="15.5" x14ac:dyDescent="0.35">
      <c r="A70" s="26" t="s">
        <v>67</v>
      </c>
      <c r="B70" s="26" t="s">
        <v>68</v>
      </c>
      <c r="C70" s="26" t="s">
        <v>99</v>
      </c>
      <c r="D70" s="26" t="s">
        <v>51</v>
      </c>
      <c r="E70" s="26" t="s">
        <v>69</v>
      </c>
      <c r="F70" s="26" t="s">
        <v>70</v>
      </c>
      <c r="G70" s="26" t="s">
        <v>103</v>
      </c>
      <c r="H70" s="26" t="s">
        <v>104</v>
      </c>
      <c r="I70" s="26" t="s">
        <v>98</v>
      </c>
      <c r="J70" s="26" t="s">
        <v>98</v>
      </c>
      <c r="K70" s="26" t="s">
        <v>74</v>
      </c>
      <c r="L70" s="27">
        <v>5515593</v>
      </c>
      <c r="M70" s="26" t="s">
        <v>75</v>
      </c>
      <c r="N70" s="26" t="s">
        <v>76</v>
      </c>
    </row>
    <row r="71" spans="1:14" ht="15.5" x14ac:dyDescent="0.35">
      <c r="A71" s="26" t="s">
        <v>67</v>
      </c>
      <c r="B71" s="26" t="s">
        <v>68</v>
      </c>
      <c r="C71" s="26" t="s">
        <v>99</v>
      </c>
      <c r="D71" s="26" t="s">
        <v>51</v>
      </c>
      <c r="E71" s="26" t="s">
        <v>69</v>
      </c>
      <c r="F71" s="26" t="s">
        <v>70</v>
      </c>
      <c r="G71" s="26" t="s">
        <v>103</v>
      </c>
      <c r="H71" s="26" t="s">
        <v>105</v>
      </c>
      <c r="I71" s="26" t="s">
        <v>73</v>
      </c>
      <c r="J71" s="26" t="s">
        <v>73</v>
      </c>
      <c r="K71" s="26" t="s">
        <v>74</v>
      </c>
      <c r="L71" s="27">
        <f>L48+L25</f>
        <v>3806543</v>
      </c>
      <c r="M71" s="26" t="s">
        <v>75</v>
      </c>
      <c r="N71" s="26" t="s">
        <v>76</v>
      </c>
    </row>
    <row r="72" spans="1:14" ht="15.5" x14ac:dyDescent="0.35">
      <c r="A72" s="26" t="s">
        <v>67</v>
      </c>
      <c r="B72" s="26" t="s">
        <v>68</v>
      </c>
      <c r="C72" s="26" t="s">
        <v>99</v>
      </c>
      <c r="D72" s="26" t="s">
        <v>51</v>
      </c>
      <c r="E72" s="26" t="s">
        <v>69</v>
      </c>
      <c r="F72" s="26" t="s">
        <v>70</v>
      </c>
      <c r="G72" s="26" t="s">
        <v>103</v>
      </c>
      <c r="H72" s="26" t="s">
        <v>105</v>
      </c>
      <c r="I72" s="26" t="s">
        <v>77</v>
      </c>
      <c r="J72" s="26" t="s">
        <v>77</v>
      </c>
      <c r="K72" s="26" t="s">
        <v>74</v>
      </c>
      <c r="L72" s="27">
        <f t="shared" ref="L72:L92" si="1">L49+L26</f>
        <v>3799189</v>
      </c>
      <c r="M72" s="26" t="s">
        <v>75</v>
      </c>
      <c r="N72" s="26" t="s">
        <v>76</v>
      </c>
    </row>
    <row r="73" spans="1:14" ht="15.5" x14ac:dyDescent="0.35">
      <c r="A73" s="26" t="s">
        <v>67</v>
      </c>
      <c r="B73" s="26" t="s">
        <v>68</v>
      </c>
      <c r="C73" s="26" t="s">
        <v>99</v>
      </c>
      <c r="D73" s="26" t="s">
        <v>51</v>
      </c>
      <c r="E73" s="26" t="s">
        <v>69</v>
      </c>
      <c r="F73" s="26" t="s">
        <v>70</v>
      </c>
      <c r="G73" s="26" t="s">
        <v>103</v>
      </c>
      <c r="H73" s="26" t="s">
        <v>105</v>
      </c>
      <c r="I73" s="26" t="s">
        <v>78</v>
      </c>
      <c r="J73" s="26" t="s">
        <v>78</v>
      </c>
      <c r="K73" s="26" t="s">
        <v>74</v>
      </c>
      <c r="L73" s="27">
        <f t="shared" si="1"/>
        <v>3744219</v>
      </c>
      <c r="M73" s="26" t="s">
        <v>75</v>
      </c>
      <c r="N73" s="26" t="s">
        <v>76</v>
      </c>
    </row>
    <row r="74" spans="1:14" ht="15.5" x14ac:dyDescent="0.35">
      <c r="A74" s="26" t="s">
        <v>67</v>
      </c>
      <c r="B74" s="26" t="s">
        <v>68</v>
      </c>
      <c r="C74" s="26" t="s">
        <v>99</v>
      </c>
      <c r="D74" s="26" t="s">
        <v>51</v>
      </c>
      <c r="E74" s="26" t="s">
        <v>69</v>
      </c>
      <c r="F74" s="26" t="s">
        <v>70</v>
      </c>
      <c r="G74" s="26" t="s">
        <v>103</v>
      </c>
      <c r="H74" s="26" t="s">
        <v>105</v>
      </c>
      <c r="I74" s="26" t="s">
        <v>79</v>
      </c>
      <c r="J74" s="26" t="s">
        <v>79</v>
      </c>
      <c r="K74" s="26" t="s">
        <v>74</v>
      </c>
      <c r="L74" s="27">
        <f t="shared" si="1"/>
        <v>3765434</v>
      </c>
      <c r="M74" s="26" t="s">
        <v>75</v>
      </c>
      <c r="N74" s="26" t="s">
        <v>76</v>
      </c>
    </row>
    <row r="75" spans="1:14" ht="15.5" x14ac:dyDescent="0.35">
      <c r="A75" s="26" t="s">
        <v>67</v>
      </c>
      <c r="B75" s="26" t="s">
        <v>68</v>
      </c>
      <c r="C75" s="26" t="s">
        <v>99</v>
      </c>
      <c r="D75" s="26" t="s">
        <v>51</v>
      </c>
      <c r="E75" s="26" t="s">
        <v>69</v>
      </c>
      <c r="F75" s="26" t="s">
        <v>70</v>
      </c>
      <c r="G75" s="26" t="s">
        <v>103</v>
      </c>
      <c r="H75" s="26" t="s">
        <v>105</v>
      </c>
      <c r="I75" s="26" t="s">
        <v>80</v>
      </c>
      <c r="J75" s="26" t="s">
        <v>80</v>
      </c>
      <c r="K75" s="26" t="s">
        <v>74</v>
      </c>
      <c r="L75" s="27">
        <f t="shared" si="1"/>
        <v>3653468</v>
      </c>
      <c r="M75" s="26" t="s">
        <v>75</v>
      </c>
      <c r="N75" s="26" t="s">
        <v>76</v>
      </c>
    </row>
    <row r="76" spans="1:14" ht="15.5" x14ac:dyDescent="0.35">
      <c r="A76" s="26" t="s">
        <v>67</v>
      </c>
      <c r="B76" s="26" t="s">
        <v>68</v>
      </c>
      <c r="C76" s="26" t="s">
        <v>99</v>
      </c>
      <c r="D76" s="26" t="s">
        <v>51</v>
      </c>
      <c r="E76" s="26" t="s">
        <v>69</v>
      </c>
      <c r="F76" s="26" t="s">
        <v>70</v>
      </c>
      <c r="G76" s="26" t="s">
        <v>103</v>
      </c>
      <c r="H76" s="26" t="s">
        <v>105</v>
      </c>
      <c r="I76" s="26" t="s">
        <v>81</v>
      </c>
      <c r="J76" s="26" t="s">
        <v>81</v>
      </c>
      <c r="K76" s="26" t="s">
        <v>74</v>
      </c>
      <c r="L76" s="27">
        <f t="shared" si="1"/>
        <v>3773617</v>
      </c>
      <c r="M76" s="26" t="s">
        <v>75</v>
      </c>
      <c r="N76" s="26" t="s">
        <v>76</v>
      </c>
    </row>
    <row r="77" spans="1:14" ht="15.5" x14ac:dyDescent="0.35">
      <c r="A77" s="26" t="s">
        <v>67</v>
      </c>
      <c r="B77" s="26" t="s">
        <v>68</v>
      </c>
      <c r="C77" s="26" t="s">
        <v>99</v>
      </c>
      <c r="D77" s="26" t="s">
        <v>51</v>
      </c>
      <c r="E77" s="26" t="s">
        <v>69</v>
      </c>
      <c r="F77" s="26" t="s">
        <v>70</v>
      </c>
      <c r="G77" s="26" t="s">
        <v>103</v>
      </c>
      <c r="H77" s="26" t="s">
        <v>105</v>
      </c>
      <c r="I77" s="26" t="s">
        <v>82</v>
      </c>
      <c r="J77" s="26" t="s">
        <v>82</v>
      </c>
      <c r="K77" s="26" t="s">
        <v>74</v>
      </c>
      <c r="L77" s="27">
        <f t="shared" si="1"/>
        <v>3876002</v>
      </c>
      <c r="M77" s="26" t="s">
        <v>75</v>
      </c>
      <c r="N77" s="26" t="s">
        <v>76</v>
      </c>
    </row>
    <row r="78" spans="1:14" ht="15.5" x14ac:dyDescent="0.35">
      <c r="A78" s="26" t="s">
        <v>67</v>
      </c>
      <c r="B78" s="26" t="s">
        <v>68</v>
      </c>
      <c r="C78" s="26" t="s">
        <v>99</v>
      </c>
      <c r="D78" s="26" t="s">
        <v>51</v>
      </c>
      <c r="E78" s="26" t="s">
        <v>69</v>
      </c>
      <c r="F78" s="26" t="s">
        <v>70</v>
      </c>
      <c r="G78" s="26" t="s">
        <v>103</v>
      </c>
      <c r="H78" s="26" t="s">
        <v>105</v>
      </c>
      <c r="I78" s="26" t="s">
        <v>83</v>
      </c>
      <c r="J78" s="26" t="s">
        <v>83</v>
      </c>
      <c r="K78" s="26" t="s">
        <v>74</v>
      </c>
      <c r="L78" s="27">
        <f t="shared" si="1"/>
        <v>4046949</v>
      </c>
      <c r="M78" s="26" t="s">
        <v>75</v>
      </c>
      <c r="N78" s="26" t="s">
        <v>76</v>
      </c>
    </row>
    <row r="79" spans="1:14" ht="15.5" x14ac:dyDescent="0.35">
      <c r="A79" s="26" t="s">
        <v>67</v>
      </c>
      <c r="B79" s="26" t="s">
        <v>68</v>
      </c>
      <c r="C79" s="26" t="s">
        <v>99</v>
      </c>
      <c r="D79" s="26" t="s">
        <v>51</v>
      </c>
      <c r="E79" s="26" t="s">
        <v>69</v>
      </c>
      <c r="F79" s="26" t="s">
        <v>70</v>
      </c>
      <c r="G79" s="26" t="s">
        <v>103</v>
      </c>
      <c r="H79" s="26" t="s">
        <v>105</v>
      </c>
      <c r="I79" s="26" t="s">
        <v>84</v>
      </c>
      <c r="J79" s="26" t="s">
        <v>84</v>
      </c>
      <c r="K79" s="26" t="s">
        <v>74</v>
      </c>
      <c r="L79" s="27">
        <f t="shared" si="1"/>
        <v>4251813</v>
      </c>
      <c r="M79" s="26" t="s">
        <v>75</v>
      </c>
      <c r="N79" s="26" t="s">
        <v>76</v>
      </c>
    </row>
    <row r="80" spans="1:14" ht="15.5" x14ac:dyDescent="0.35">
      <c r="A80" s="26" t="s">
        <v>67</v>
      </c>
      <c r="B80" s="26" t="s">
        <v>68</v>
      </c>
      <c r="C80" s="26" t="s">
        <v>99</v>
      </c>
      <c r="D80" s="26" t="s">
        <v>51</v>
      </c>
      <c r="E80" s="26" t="s">
        <v>69</v>
      </c>
      <c r="F80" s="26" t="s">
        <v>70</v>
      </c>
      <c r="G80" s="26" t="s">
        <v>103</v>
      </c>
      <c r="H80" s="26" t="s">
        <v>105</v>
      </c>
      <c r="I80" s="26" t="s">
        <v>85</v>
      </c>
      <c r="J80" s="26" t="s">
        <v>85</v>
      </c>
      <c r="K80" s="26" t="s">
        <v>74</v>
      </c>
      <c r="L80" s="27">
        <f t="shared" si="1"/>
        <v>4815539</v>
      </c>
      <c r="M80" s="26" t="s">
        <v>75</v>
      </c>
      <c r="N80" s="26" t="s">
        <v>76</v>
      </c>
    </row>
    <row r="81" spans="1:14" ht="15.5" x14ac:dyDescent="0.35">
      <c r="A81" s="26" t="s">
        <v>67</v>
      </c>
      <c r="B81" s="26" t="s">
        <v>68</v>
      </c>
      <c r="C81" s="26" t="s">
        <v>99</v>
      </c>
      <c r="D81" s="26" t="s">
        <v>51</v>
      </c>
      <c r="E81" s="26" t="s">
        <v>69</v>
      </c>
      <c r="F81" s="26" t="s">
        <v>70</v>
      </c>
      <c r="G81" s="26" t="s">
        <v>103</v>
      </c>
      <c r="H81" s="26" t="s">
        <v>105</v>
      </c>
      <c r="I81" s="26" t="s">
        <v>86</v>
      </c>
      <c r="J81" s="26" t="s">
        <v>86</v>
      </c>
      <c r="K81" s="26" t="s">
        <v>74</v>
      </c>
      <c r="L81" s="27">
        <f t="shared" si="1"/>
        <v>5037715</v>
      </c>
      <c r="M81" s="26" t="s">
        <v>75</v>
      </c>
      <c r="N81" s="26" t="s">
        <v>76</v>
      </c>
    </row>
    <row r="82" spans="1:14" ht="15.5" x14ac:dyDescent="0.35">
      <c r="A82" s="26" t="s">
        <v>67</v>
      </c>
      <c r="B82" s="26" t="s">
        <v>68</v>
      </c>
      <c r="C82" s="26" t="s">
        <v>99</v>
      </c>
      <c r="D82" s="26" t="s">
        <v>51</v>
      </c>
      <c r="E82" s="26" t="s">
        <v>69</v>
      </c>
      <c r="F82" s="26" t="s">
        <v>70</v>
      </c>
      <c r="G82" s="26" t="s">
        <v>103</v>
      </c>
      <c r="H82" s="26" t="s">
        <v>105</v>
      </c>
      <c r="I82" s="26" t="s">
        <v>87</v>
      </c>
      <c r="J82" s="26" t="s">
        <v>87</v>
      </c>
      <c r="K82" s="26" t="s">
        <v>74</v>
      </c>
      <c r="L82" s="27">
        <f t="shared" si="1"/>
        <v>5288115</v>
      </c>
      <c r="M82" s="26" t="s">
        <v>75</v>
      </c>
      <c r="N82" s="26" t="s">
        <v>76</v>
      </c>
    </row>
    <row r="83" spans="1:14" ht="15.5" x14ac:dyDescent="0.35">
      <c r="A83" s="26" t="s">
        <v>67</v>
      </c>
      <c r="B83" s="26" t="s">
        <v>68</v>
      </c>
      <c r="C83" s="26" t="s">
        <v>99</v>
      </c>
      <c r="D83" s="26" t="s">
        <v>51</v>
      </c>
      <c r="E83" s="26" t="s">
        <v>69</v>
      </c>
      <c r="F83" s="26" t="s">
        <v>70</v>
      </c>
      <c r="G83" s="26" t="s">
        <v>103</v>
      </c>
      <c r="H83" s="26" t="s">
        <v>105</v>
      </c>
      <c r="I83" s="26" t="s">
        <v>88</v>
      </c>
      <c r="J83" s="26" t="s">
        <v>88</v>
      </c>
      <c r="K83" s="26" t="s">
        <v>74</v>
      </c>
      <c r="L83" s="27">
        <f t="shared" si="1"/>
        <v>5423881</v>
      </c>
      <c r="M83" s="26" t="s">
        <v>75</v>
      </c>
      <c r="N83" s="26" t="s">
        <v>76</v>
      </c>
    </row>
    <row r="84" spans="1:14" ht="15.5" x14ac:dyDescent="0.35">
      <c r="A84" s="26" t="s">
        <v>67</v>
      </c>
      <c r="B84" s="26" t="s">
        <v>68</v>
      </c>
      <c r="C84" s="26" t="s">
        <v>99</v>
      </c>
      <c r="D84" s="26" t="s">
        <v>51</v>
      </c>
      <c r="E84" s="26" t="s">
        <v>69</v>
      </c>
      <c r="F84" s="26" t="s">
        <v>70</v>
      </c>
      <c r="G84" s="26" t="s">
        <v>103</v>
      </c>
      <c r="H84" s="26" t="s">
        <v>105</v>
      </c>
      <c r="I84" s="26" t="s">
        <v>89</v>
      </c>
      <c r="J84" s="26" t="s">
        <v>89</v>
      </c>
      <c r="K84" s="26" t="s">
        <v>74</v>
      </c>
      <c r="L84" s="27">
        <f t="shared" si="1"/>
        <v>5641214</v>
      </c>
      <c r="M84" s="26" t="s">
        <v>75</v>
      </c>
      <c r="N84" s="26" t="s">
        <v>76</v>
      </c>
    </row>
    <row r="85" spans="1:14" ht="15.5" x14ac:dyDescent="0.35">
      <c r="A85" s="26" t="s">
        <v>67</v>
      </c>
      <c r="B85" s="26" t="s">
        <v>68</v>
      </c>
      <c r="C85" s="26" t="s">
        <v>99</v>
      </c>
      <c r="D85" s="26" t="s">
        <v>51</v>
      </c>
      <c r="E85" s="26" t="s">
        <v>69</v>
      </c>
      <c r="F85" s="26" t="s">
        <v>70</v>
      </c>
      <c r="G85" s="26" t="s">
        <v>103</v>
      </c>
      <c r="H85" s="26" t="s">
        <v>105</v>
      </c>
      <c r="I85" s="26" t="s">
        <v>90</v>
      </c>
      <c r="J85" s="26" t="s">
        <v>90</v>
      </c>
      <c r="K85" s="26" t="s">
        <v>74</v>
      </c>
      <c r="L85" s="27">
        <f t="shared" si="1"/>
        <v>5829024</v>
      </c>
      <c r="M85" s="26" t="s">
        <v>75</v>
      </c>
      <c r="N85" s="26" t="s">
        <v>76</v>
      </c>
    </row>
    <row r="86" spans="1:14" ht="15.5" x14ac:dyDescent="0.35">
      <c r="A86" s="26" t="s">
        <v>67</v>
      </c>
      <c r="B86" s="26" t="s">
        <v>68</v>
      </c>
      <c r="C86" s="26" t="s">
        <v>99</v>
      </c>
      <c r="D86" s="26" t="s">
        <v>51</v>
      </c>
      <c r="E86" s="26" t="s">
        <v>69</v>
      </c>
      <c r="F86" s="26" t="s">
        <v>70</v>
      </c>
      <c r="G86" s="26" t="s">
        <v>103</v>
      </c>
      <c r="H86" s="26" t="s">
        <v>105</v>
      </c>
      <c r="I86" s="26" t="s">
        <v>91</v>
      </c>
      <c r="J86" s="26" t="s">
        <v>91</v>
      </c>
      <c r="K86" s="26" t="s">
        <v>74</v>
      </c>
      <c r="L86" s="27">
        <f t="shared" si="1"/>
        <v>5929529</v>
      </c>
      <c r="M86" s="26" t="s">
        <v>75</v>
      </c>
      <c r="N86" s="26" t="s">
        <v>76</v>
      </c>
    </row>
    <row r="87" spans="1:14" ht="15.5" x14ac:dyDescent="0.35">
      <c r="A87" s="26" t="s">
        <v>67</v>
      </c>
      <c r="B87" s="26" t="s">
        <v>68</v>
      </c>
      <c r="C87" s="26" t="s">
        <v>99</v>
      </c>
      <c r="D87" s="26" t="s">
        <v>51</v>
      </c>
      <c r="E87" s="26" t="s">
        <v>69</v>
      </c>
      <c r="F87" s="26" t="s">
        <v>70</v>
      </c>
      <c r="G87" s="26" t="s">
        <v>103</v>
      </c>
      <c r="H87" s="26" t="s">
        <v>105</v>
      </c>
      <c r="I87" s="26" t="s">
        <v>92</v>
      </c>
      <c r="J87" s="26" t="s">
        <v>92</v>
      </c>
      <c r="K87" s="26" t="s">
        <v>74</v>
      </c>
      <c r="L87" s="27">
        <f t="shared" si="1"/>
        <v>6022554</v>
      </c>
      <c r="M87" s="26" t="s">
        <v>75</v>
      </c>
      <c r="N87" s="26" t="s">
        <v>76</v>
      </c>
    </row>
    <row r="88" spans="1:14" ht="15.5" x14ac:dyDescent="0.35">
      <c r="A88" s="26" t="s">
        <v>67</v>
      </c>
      <c r="B88" s="26" t="s">
        <v>68</v>
      </c>
      <c r="C88" s="26" t="s">
        <v>99</v>
      </c>
      <c r="D88" s="26" t="s">
        <v>51</v>
      </c>
      <c r="E88" s="26" t="s">
        <v>69</v>
      </c>
      <c r="F88" s="26" t="s">
        <v>70</v>
      </c>
      <c r="G88" s="26" t="s">
        <v>103</v>
      </c>
      <c r="H88" s="26" t="s">
        <v>105</v>
      </c>
      <c r="I88" s="26" t="s">
        <v>93</v>
      </c>
      <c r="J88" s="26" t="s">
        <v>93</v>
      </c>
      <c r="K88" s="26" t="s">
        <v>74</v>
      </c>
      <c r="L88" s="27">
        <f t="shared" si="1"/>
        <v>6077775</v>
      </c>
      <c r="M88" s="26" t="s">
        <v>75</v>
      </c>
      <c r="N88" s="26" t="s">
        <v>76</v>
      </c>
    </row>
    <row r="89" spans="1:14" ht="15.5" x14ac:dyDescent="0.35">
      <c r="A89" s="26" t="s">
        <v>67</v>
      </c>
      <c r="B89" s="26" t="s">
        <v>68</v>
      </c>
      <c r="C89" s="26" t="s">
        <v>99</v>
      </c>
      <c r="D89" s="26" t="s">
        <v>51</v>
      </c>
      <c r="E89" s="26" t="s">
        <v>69</v>
      </c>
      <c r="F89" s="26" t="s">
        <v>70</v>
      </c>
      <c r="G89" s="26" t="s">
        <v>103</v>
      </c>
      <c r="H89" s="26" t="s">
        <v>105</v>
      </c>
      <c r="I89" s="26" t="s">
        <v>94</v>
      </c>
      <c r="J89" s="26" t="s">
        <v>94</v>
      </c>
      <c r="K89" s="26" t="s">
        <v>74</v>
      </c>
      <c r="L89" s="27">
        <f t="shared" si="1"/>
        <v>6167949</v>
      </c>
      <c r="M89" s="26" t="s">
        <v>75</v>
      </c>
      <c r="N89" s="26" t="s">
        <v>76</v>
      </c>
    </row>
    <row r="90" spans="1:14" ht="15.5" x14ac:dyDescent="0.35">
      <c r="A90" s="26" t="s">
        <v>67</v>
      </c>
      <c r="B90" s="26" t="s">
        <v>68</v>
      </c>
      <c r="C90" s="26" t="s">
        <v>99</v>
      </c>
      <c r="D90" s="26" t="s">
        <v>51</v>
      </c>
      <c r="E90" s="26" t="s">
        <v>69</v>
      </c>
      <c r="F90" s="26" t="s">
        <v>70</v>
      </c>
      <c r="G90" s="26" t="s">
        <v>103</v>
      </c>
      <c r="H90" s="26" t="s">
        <v>105</v>
      </c>
      <c r="I90" s="26" t="s">
        <v>95</v>
      </c>
      <c r="J90" s="26" t="s">
        <v>95</v>
      </c>
      <c r="K90" s="26" t="s">
        <v>74</v>
      </c>
      <c r="L90" s="27">
        <f t="shared" si="1"/>
        <v>6266739</v>
      </c>
      <c r="M90" s="26" t="s">
        <v>75</v>
      </c>
      <c r="N90" s="26" t="s">
        <v>76</v>
      </c>
    </row>
    <row r="91" spans="1:14" ht="15.5" x14ac:dyDescent="0.35">
      <c r="A91" s="26" t="s">
        <v>67</v>
      </c>
      <c r="B91" s="26" t="s">
        <v>68</v>
      </c>
      <c r="C91" s="26" t="s">
        <v>99</v>
      </c>
      <c r="D91" s="26" t="s">
        <v>51</v>
      </c>
      <c r="E91" s="26" t="s">
        <v>69</v>
      </c>
      <c r="F91" s="26" t="s">
        <v>70</v>
      </c>
      <c r="G91" s="26" t="s">
        <v>103</v>
      </c>
      <c r="H91" s="26" t="s">
        <v>105</v>
      </c>
      <c r="I91" s="26" t="s">
        <v>96</v>
      </c>
      <c r="J91" s="26" t="s">
        <v>96</v>
      </c>
      <c r="K91" s="26" t="s">
        <v>74</v>
      </c>
      <c r="L91" s="27">
        <f t="shared" si="1"/>
        <v>6278736</v>
      </c>
      <c r="M91" s="26" t="s">
        <v>75</v>
      </c>
      <c r="N91" s="26" t="s">
        <v>76</v>
      </c>
    </row>
    <row r="92" spans="1:14" ht="15.5" x14ac:dyDescent="0.35">
      <c r="A92" s="26" t="s">
        <v>67</v>
      </c>
      <c r="B92" s="26" t="s">
        <v>68</v>
      </c>
      <c r="C92" s="26" t="s">
        <v>99</v>
      </c>
      <c r="D92" s="26" t="s">
        <v>51</v>
      </c>
      <c r="E92" s="26" t="s">
        <v>69</v>
      </c>
      <c r="F92" s="26" t="s">
        <v>70</v>
      </c>
      <c r="G92" s="26" t="s">
        <v>103</v>
      </c>
      <c r="H92" s="26" t="s">
        <v>105</v>
      </c>
      <c r="I92" s="26" t="s">
        <v>97</v>
      </c>
      <c r="J92" s="26" t="s">
        <v>97</v>
      </c>
      <c r="K92" s="26" t="s">
        <v>74</v>
      </c>
      <c r="L92" s="27">
        <f t="shared" si="1"/>
        <v>6278104</v>
      </c>
      <c r="M92" s="26" t="s">
        <v>75</v>
      </c>
      <c r="N92" s="26" t="s">
        <v>76</v>
      </c>
    </row>
    <row r="93" spans="1:14" ht="15.5" x14ac:dyDescent="0.35">
      <c r="A93" s="26" t="s">
        <v>67</v>
      </c>
      <c r="B93" s="26" t="s">
        <v>68</v>
      </c>
      <c r="C93" s="26" t="s">
        <v>99</v>
      </c>
      <c r="D93" s="26" t="s">
        <v>51</v>
      </c>
      <c r="E93" s="26" t="s">
        <v>69</v>
      </c>
      <c r="F93" s="26" t="s">
        <v>70</v>
      </c>
      <c r="G93" s="26" t="s">
        <v>103</v>
      </c>
      <c r="H93" s="26" t="s">
        <v>105</v>
      </c>
      <c r="I93" s="26" t="s">
        <v>98</v>
      </c>
      <c r="J93" s="26" t="s">
        <v>98</v>
      </c>
      <c r="K93" s="26" t="s">
        <v>74</v>
      </c>
      <c r="L93" s="27">
        <f>L70+L47</f>
        <v>6200961</v>
      </c>
      <c r="M93" s="26" t="s">
        <v>75</v>
      </c>
      <c r="N93" s="26" t="s">
        <v>76</v>
      </c>
    </row>
  </sheetData>
  <autoFilter ref="A1:N70" xr:uid="{89F4358B-029A-48A9-AFD0-98BA71207DBA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A6DC-10CF-4B6E-A352-CEE192E1FD22}">
  <dimension ref="A1:N12"/>
  <sheetViews>
    <sheetView topLeftCell="B1" workbookViewId="0">
      <selection activeCell="J3" sqref="J3"/>
    </sheetView>
  </sheetViews>
  <sheetFormatPr defaultRowHeight="14.5" x14ac:dyDescent="0.35"/>
  <cols>
    <col min="1" max="1" width="27.90625" style="13" customWidth="1"/>
    <col min="2" max="4" width="11.6328125" style="13" customWidth="1"/>
    <col min="5" max="5" width="9.54296875" style="13" customWidth="1"/>
    <col min="6" max="6" width="11.1796875" style="13" customWidth="1"/>
    <col min="7" max="8" width="12.7265625" style="13" customWidth="1"/>
    <col min="9" max="9" width="10.453125" style="13" customWidth="1"/>
    <col min="10" max="10" width="11.1796875" customWidth="1"/>
    <col min="11" max="12" width="17.54296875" style="13" customWidth="1"/>
    <col min="13" max="13" width="19.81640625" style="13" customWidth="1"/>
    <col min="14" max="14" width="17.54296875" style="13" customWidth="1"/>
    <col min="15" max="16" width="17.54296875" customWidth="1"/>
  </cols>
  <sheetData>
    <row r="1" spans="1:14" s="92" customFormat="1" ht="43.5" x14ac:dyDescent="0.35">
      <c r="A1" s="94"/>
      <c r="B1" s="94"/>
      <c r="C1" s="94"/>
      <c r="D1" s="94" t="s">
        <v>177</v>
      </c>
      <c r="E1" s="94">
        <v>2019</v>
      </c>
      <c r="F1" s="94">
        <v>2019</v>
      </c>
      <c r="G1" s="94">
        <v>2019</v>
      </c>
      <c r="H1" s="94"/>
      <c r="I1" s="94"/>
      <c r="J1" s="94" t="s">
        <v>169</v>
      </c>
    </row>
    <row r="2" spans="1:14" s="92" customFormat="1" ht="58.5" thickBot="1" x14ac:dyDescent="0.4">
      <c r="A2" s="94"/>
      <c r="B2" s="94" t="s">
        <v>181</v>
      </c>
      <c r="C2" s="94" t="s">
        <v>182</v>
      </c>
      <c r="D2" s="94"/>
      <c r="E2" s="94" t="s">
        <v>170</v>
      </c>
      <c r="F2" s="94" t="s">
        <v>164</v>
      </c>
      <c r="G2" s="94" t="s">
        <v>165</v>
      </c>
      <c r="H2" s="94" t="s">
        <v>176</v>
      </c>
      <c r="I2" s="94" t="s">
        <v>166</v>
      </c>
      <c r="J2" s="94"/>
    </row>
    <row r="3" spans="1:14" ht="15" thickBot="1" x14ac:dyDescent="0.4">
      <c r="A3" s="95" t="s">
        <v>162</v>
      </c>
      <c r="B3" s="95">
        <f>0.7</f>
        <v>0.7</v>
      </c>
      <c r="C3" s="95">
        <v>1</v>
      </c>
      <c r="D3" s="113">
        <v>1883105</v>
      </c>
      <c r="E3" s="16">
        <v>1680750</v>
      </c>
      <c r="F3" s="114">
        <v>1680750.02</v>
      </c>
      <c r="G3" s="119">
        <f>E3*G9</f>
        <v>588529.83967967448</v>
      </c>
      <c r="H3" s="119">
        <f>G3/I3</f>
        <v>29426.491983983724</v>
      </c>
      <c r="I3" s="97">
        <v>20</v>
      </c>
      <c r="J3" s="96">
        <f>'Population-trend'!Y8</f>
        <v>3.2438856150386719E-2</v>
      </c>
      <c r="K3"/>
      <c r="L3"/>
      <c r="M3"/>
      <c r="N3"/>
    </row>
    <row r="4" spans="1:14" ht="15" thickBot="1" x14ac:dyDescent="0.4">
      <c r="A4" s="95" t="s">
        <v>167</v>
      </c>
      <c r="B4" s="95">
        <v>0.7</v>
      </c>
      <c r="C4" s="95">
        <v>1</v>
      </c>
      <c r="D4" s="113">
        <v>5676343</v>
      </c>
      <c r="E4" s="118">
        <f>6266739/5*4</f>
        <v>5013391.2</v>
      </c>
      <c r="F4" s="114">
        <v>5013391.8600000003</v>
      </c>
      <c r="G4" s="119">
        <f t="shared" ref="G4:G5" si="0">E4*G10</f>
        <v>1971774.0137081286</v>
      </c>
      <c r="H4" s="119">
        <f t="shared" ref="H4:H5" si="1">G4/I4</f>
        <v>78870.960548325151</v>
      </c>
      <c r="I4" s="97">
        <v>25</v>
      </c>
      <c r="J4" s="96">
        <f>'Population-trend'!Y10</f>
        <v>4.7521449191310699E-4</v>
      </c>
      <c r="K4"/>
      <c r="L4"/>
      <c r="M4"/>
      <c r="N4"/>
    </row>
    <row r="5" spans="1:14" x14ac:dyDescent="0.35">
      <c r="A5" s="95" t="s">
        <v>168</v>
      </c>
      <c r="B5" s="95">
        <v>0.7</v>
      </c>
      <c r="C5" s="95">
        <v>1</v>
      </c>
      <c r="D5" s="113">
        <v>1419086</v>
      </c>
      <c r="E5" s="118">
        <f>6266739/5*1</f>
        <v>1253347.8</v>
      </c>
      <c r="F5" s="115">
        <v>1253348.21</v>
      </c>
      <c r="G5" s="119">
        <f t="shared" si="0"/>
        <v>442259.76133068785</v>
      </c>
      <c r="H5" s="119">
        <f t="shared" si="1"/>
        <v>17690.390453227516</v>
      </c>
      <c r="I5" s="97">
        <v>25</v>
      </c>
      <c r="J5" s="96">
        <f>'Population-trend'!Y9</f>
        <v>-2.2746352042797166E-2</v>
      </c>
      <c r="K5"/>
      <c r="L5"/>
      <c r="M5"/>
      <c r="N5"/>
    </row>
    <row r="6" spans="1:14" x14ac:dyDescent="0.35">
      <c r="K6"/>
      <c r="L6"/>
      <c r="M6"/>
      <c r="N6"/>
    </row>
    <row r="7" spans="1:14" x14ac:dyDescent="0.35">
      <c r="A7" s="12"/>
      <c r="B7" s="12"/>
      <c r="C7" s="12"/>
      <c r="D7" s="12"/>
      <c r="E7" s="12"/>
      <c r="K7"/>
      <c r="L7"/>
      <c r="M7"/>
      <c r="N7"/>
    </row>
    <row r="8" spans="1:14" x14ac:dyDescent="0.35">
      <c r="A8" s="95" t="s">
        <v>164</v>
      </c>
      <c r="B8" s="95" t="s">
        <v>178</v>
      </c>
      <c r="C8" s="95"/>
      <c r="D8" s="95" t="s">
        <v>171</v>
      </c>
      <c r="E8" s="95" t="s">
        <v>172</v>
      </c>
      <c r="F8" s="95" t="s">
        <v>173</v>
      </c>
      <c r="G8" s="95" t="s">
        <v>174</v>
      </c>
      <c r="H8" s="95"/>
      <c r="I8" s="95" t="s">
        <v>179</v>
      </c>
      <c r="J8" s="95"/>
      <c r="K8" s="95" t="s">
        <v>180</v>
      </c>
      <c r="L8"/>
      <c r="M8"/>
      <c r="N8"/>
    </row>
    <row r="9" spans="1:14" x14ac:dyDescent="0.35">
      <c r="A9" s="95" t="s">
        <v>72</v>
      </c>
      <c r="B9" s="117">
        <f>B3*D3</f>
        <v>1318173.5</v>
      </c>
      <c r="C9" s="117"/>
      <c r="D9" s="138">
        <v>10000</v>
      </c>
      <c r="E9" s="95">
        <f>D9/I3</f>
        <v>500</v>
      </c>
      <c r="F9" s="139">
        <v>28558.45</v>
      </c>
      <c r="G9" s="116">
        <f>D9/F9</f>
        <v>0.35015905975289274</v>
      </c>
      <c r="H9" s="95"/>
      <c r="I9" s="117">
        <f>B9*G9</f>
        <v>461570.39335117978</v>
      </c>
      <c r="J9" s="117">
        <f>I9/25</f>
        <v>18462.815734047192</v>
      </c>
      <c r="K9" s="139">
        <v>659085.66</v>
      </c>
      <c r="L9"/>
      <c r="M9"/>
      <c r="N9"/>
    </row>
    <row r="10" spans="1:14" x14ac:dyDescent="0.35">
      <c r="A10" s="95" t="s">
        <v>104</v>
      </c>
      <c r="B10" s="117">
        <f t="shared" ref="B10:B11" si="2">B4*D4</f>
        <v>3973440.0999999996</v>
      </c>
      <c r="C10" s="117"/>
      <c r="D10" s="138">
        <v>10000</v>
      </c>
      <c r="E10" s="95">
        <f>D10/I4</f>
        <v>400</v>
      </c>
      <c r="F10" s="139">
        <v>25425.79</v>
      </c>
      <c r="G10" s="116">
        <f>D10/F10</f>
        <v>0.39330144707401421</v>
      </c>
      <c r="H10" s="95"/>
      <c r="I10" s="117">
        <f t="shared" ref="I10:I11" si="3">B10*G10</f>
        <v>1562759.7411919155</v>
      </c>
      <c r="J10" s="117">
        <f t="shared" ref="J10:J11" si="4">I10/25</f>
        <v>62510.389647676617</v>
      </c>
      <c r="K10" s="139">
        <v>3973440.86</v>
      </c>
      <c r="L10"/>
      <c r="M10"/>
      <c r="N10"/>
    </row>
    <row r="11" spans="1:14" x14ac:dyDescent="0.35">
      <c r="A11" s="95" t="s">
        <v>136</v>
      </c>
      <c r="B11" s="117">
        <f t="shared" si="2"/>
        <v>993360.2</v>
      </c>
      <c r="C11" s="117"/>
      <c r="D11" s="138">
        <v>10000</v>
      </c>
      <c r="E11" s="95">
        <f>D11/I5</f>
        <v>400</v>
      </c>
      <c r="F11" s="139">
        <v>28339.63</v>
      </c>
      <c r="G11" s="116">
        <f t="shared" ref="G11" si="5">D11/F11</f>
        <v>0.35286275791180055</v>
      </c>
      <c r="H11" s="95"/>
      <c r="I11" s="117">
        <f t="shared" si="3"/>
        <v>350519.81977181777</v>
      </c>
      <c r="J11" s="117">
        <f t="shared" si="4"/>
        <v>14020.792790872711</v>
      </c>
      <c r="K11" s="139">
        <v>993361.02</v>
      </c>
      <c r="L11"/>
      <c r="M11"/>
      <c r="N11"/>
    </row>
    <row r="12" spans="1:14" x14ac:dyDescent="0.35">
      <c r="K12"/>
      <c r="L12"/>
      <c r="M12"/>
      <c r="N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Baseline_data_cattle1</vt:lpstr>
      <vt:lpstr>Sheet1</vt:lpstr>
      <vt:lpstr>Baseline_data_Goat</vt:lpstr>
      <vt:lpstr>Baseline_data_Sheep</vt:lpstr>
      <vt:lpstr>Results</vt:lpstr>
      <vt:lpstr>Baseline_broiler</vt:lpstr>
      <vt:lpstr>Assumptions IFAD</vt:lpstr>
      <vt:lpstr>Population-trend</vt:lpstr>
      <vt:lpstr>Population</vt:lpstr>
      <vt:lpstr>comparison</vt:lpstr>
      <vt:lpstr>Sheet4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2024-10-30T08:40:01Z</dcterms:created>
  <dcterms:modified xsi:type="dcterms:W3CDTF">2025-01-09T13:42:29Z</dcterms:modified>
</cp:coreProperties>
</file>