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" sheetId="1" r:id="rId4"/>
    <sheet state="visible" name="Weight" sheetId="2" r:id="rId5"/>
    <sheet state="hidden" name="Sheet1" sheetId="3" r:id="rId6"/>
    <sheet state="hidden" name="Sheet2" sheetId="4" r:id="rId7"/>
    <sheet state="hidden" name="Sheet3" sheetId="5" r:id="rId8"/>
    <sheet state="hidden" name="Sheet4" sheetId="6" r:id="rId9"/>
    <sheet state="hidden" name="Sheet5" sheetId="7" r:id="rId10"/>
    <sheet state="hidden" name="Sheet6" sheetId="8" r:id="rId11"/>
  </sheets>
  <definedNames/>
  <calcPr/>
  <extLst>
    <ext uri="GoogleSheetsCustomDataVersion1">
      <go:sheetsCustomData xmlns:go="http://customooxmlschemas.google.com/" r:id="rId12" roundtripDataSignature="AMtx7mh9kchJ/C9AZDpyw02lfP2gtlR8eg=="/>
    </ext>
  </extLst>
</workbook>
</file>

<file path=xl/sharedStrings.xml><?xml version="1.0" encoding="utf-8"?>
<sst xmlns="http://schemas.openxmlformats.org/spreadsheetml/2006/main" count="6070" uniqueCount="4235">
  <si>
    <t>SO_No</t>
  </si>
  <si>
    <t>branch</t>
  </si>
  <si>
    <t>alcohol</t>
  </si>
  <si>
    <t>Size</t>
  </si>
  <si>
    <t>ADDRESS</t>
  </si>
  <si>
    <t>assignable</t>
  </si>
  <si>
    <t>Sell-to Customer Name</t>
  </si>
  <si>
    <t>Ship-to Name</t>
  </si>
  <si>
    <t>Mobile No.</t>
  </si>
  <si>
    <t>collection_time</t>
  </si>
  <si>
    <t>delivery_time</t>
  </si>
  <si>
    <t>type</t>
  </si>
  <si>
    <t>task_type</t>
  </si>
  <si>
    <t>Area</t>
  </si>
  <si>
    <t>Requested Delivery Date</t>
  </si>
  <si>
    <t>Order Date</t>
  </si>
  <si>
    <t>Ship-to-code</t>
  </si>
  <si>
    <t>Code</t>
  </si>
  <si>
    <t>Sell-to E-Mail</t>
  </si>
  <si>
    <t>Gross Weight</t>
  </si>
  <si>
    <t>Amount Including VAT</t>
  </si>
  <si>
    <t>Area code</t>
  </si>
  <si>
    <t>Sales Person</t>
  </si>
  <si>
    <t xml:space="preserve">Customer No. </t>
  </si>
  <si>
    <t>Credit limit</t>
  </si>
  <si>
    <t>Balance R</t>
  </si>
  <si>
    <t>Total Open SO</t>
  </si>
  <si>
    <t>Ship-to Address</t>
  </si>
  <si>
    <t>Ship-to Address 2</t>
  </si>
  <si>
    <t>Ship-to City</t>
  </si>
  <si>
    <t>fufAtaGNvedtMQHeYDZ9</t>
  </si>
  <si>
    <t>FALSE</t>
  </si>
  <si>
    <t/>
  </si>
  <si>
    <t>task</t>
  </si>
  <si>
    <t>SO No.</t>
  </si>
  <si>
    <t>No.</t>
  </si>
  <si>
    <t>Description</t>
  </si>
  <si>
    <t>Qty. to Ship</t>
  </si>
  <si>
    <t>Net Weight</t>
  </si>
  <si>
    <t>Auto</t>
  </si>
  <si>
    <t>Auto+Hide+Values+Formulas=Sheet1,Sheet2+FormulasOnly</t>
  </si>
  <si>
    <t>Hide</t>
  </si>
  <si>
    <t>Fit</t>
  </si>
  <si>
    <t>=NL("Rows","Sales Header",,"Transport Method","01")</t>
  </si>
  <si>
    <t>=NF($B6,"No.")</t>
  </si>
  <si>
    <t>=NF($B6,"Sell-to Customer Name")</t>
  </si>
  <si>
    <t>=NF($B6,H$5)</t>
  </si>
  <si>
    <t>=IF(S6="",@NL("first","Customer","Mobile Phone No.","No.",$Y6),IF(@NL("first","Ship-to Address","Phone No.","Code",$S6)="",@NL("first","Customer","Mobile Phone No.","No.",$Y6),@NL("first","Ship-to Address","Phone No.","Code",$S6)))</t>
  </si>
  <si>
    <t>=CONCATENATE(AD6," ,",AE6," ,",AF6)</t>
  </si>
  <si>
    <t>=IFERROR(NL("First","Area","Text","Code",$W6)," ")</t>
  </si>
  <si>
    <t>=NF($B6,P$5)</t>
  </si>
  <si>
    <t>=NF($B6,"Order Date")</t>
  </si>
  <si>
    <t>=NF($B6,"Transport Method")</t>
  </si>
  <si>
    <t>=NL("first","Sales Header","Ship-to Code","No.",$C6)</t>
  </si>
  <si>
    <t>=IF(@NF($B6,"Sell-to E-Mail")="",@NL("first","Customer","E-Mail.","No.",$Y6),@NF($B6,"Sell-to E-Mail"))</t>
  </si>
  <si>
    <t>=SUMIF(Weight!$C:$C,$C6,Weight!$I:$I)</t>
  </si>
  <si>
    <t>=NF($B6,"Amount Including VAT")</t>
  </si>
  <si>
    <t>=NF($B6,"Area")</t>
  </si>
  <si>
    <t>=NF($B6,"Salesperson Code")</t>
  </si>
  <si>
    <t>=NF($B6,"Bill-to Customer No.")</t>
  </si>
  <si>
    <t>=NL("First","Customer","Credit Limit (LCY)","No.",$Y6)</t>
  </si>
  <si>
    <t>=NL("First","Customer","Balance","No.",$Y6)</t>
  </si>
  <si>
    <t>=IF(Z6=1,SUMIF($Y:$Y,$Y6,$V:$V)+AA6,SUMIF($Y:$Y,$Y6,$V:$V)+Z6+AA6)</t>
  </si>
  <si>
    <t>=NL("sum","Sales Header","Amount Including VAT","Sell-to Customer No.",$Y6)</t>
  </si>
  <si>
    <t>=NF($B6,AD$5)</t>
  </si>
  <si>
    <t>=NF($B6,AE$5)</t>
  </si>
  <si>
    <t>=NF($B6,AF$5)</t>
  </si>
  <si>
    <t>=""</t>
  </si>
  <si>
    <t>Auto+Hide+Values+Formulas=Sheet3,Sheet4+FormulasOnly</t>
  </si>
  <si>
    <t>=NL("Rows","Sales Line",,"Transport Method","01")</t>
  </si>
  <si>
    <t>=NF($B6,"Document No.")</t>
  </si>
  <si>
    <t>=NF($B6,"Sell-to Customer No.")</t>
  </si>
  <si>
    <t>=NF($B6,"Description")</t>
  </si>
  <si>
    <t>=NF($B6,"Qty. to Ship")</t>
  </si>
  <si>
    <t>=NF($B6,"Net Weight")</t>
  </si>
  <si>
    <t>=G6*H6</t>
  </si>
  <si>
    <t>Auto+Hide+Values+Formulas=Sheet5,Sheet1,Sheet2+FormulasOnly</t>
  </si>
  <si>
    <t>="""BC365 (SQL)"",""Somerset Timbers"",""36"",""1"",""Order"",""3"",""SF29041"""</t>
  </si>
  <si>
    <t>=NF($B7,"No.")</t>
  </si>
  <si>
    <t>=NF($B7,"Sell-to Customer Name")</t>
  </si>
  <si>
    <t>=NF($B7,H$5)</t>
  </si>
  <si>
    <t>=IF(S7="",@NL("first","Customer","Mobile Phone No.","No.",$Y7),IF(@NL("first","Ship-to Address","Phone No.","Code",$S7)="",@NL("first","Customer","Mobile Phone No.","No.",$Y7),@NL("first","Ship-to Address","Phone No.","Code",$S7)))</t>
  </si>
  <si>
    <t>=CONCATENATE(AD7," ,",AE7," ,",AF7)</t>
  </si>
  <si>
    <t>=IFERROR(NL("First","Area","Text","Code",$W7)," ")</t>
  </si>
  <si>
    <t>=NF($B7,P$5)</t>
  </si>
  <si>
    <t>=NF($B7,"Order Date")</t>
  </si>
  <si>
    <t>=NF($B7,"Transport Method")</t>
  </si>
  <si>
    <t>=NL("first","Sales Header","Ship-to Code","No.",$C7)</t>
  </si>
  <si>
    <t>=IF(@NF($B7,"Sell-to E-Mail")="",@NL("first","Customer","E-Mail.","No.",$Y7),@NF($B7,"Sell-to E-Mail"))</t>
  </si>
  <si>
    <t>=SUMIF(Weight!$C:$C,$C7,Weight!$I:$I)</t>
  </si>
  <si>
    <t>=NF($B7,"Amount Including VAT")</t>
  </si>
  <si>
    <t>=NF($B7,"Area")</t>
  </si>
  <si>
    <t>=NF($B7,"Salesperson Code")</t>
  </si>
  <si>
    <t>=NF($B7,"Bill-to Customer No.")</t>
  </si>
  <si>
    <t>=NL("First","Customer","Credit Limit (LCY)","No.",$Y7)</t>
  </si>
  <si>
    <t>=NL("First","Customer","Balance","No.",$Y7)</t>
  </si>
  <si>
    <t>=IF(Z7=1,SUMIF($Y:$Y,$Y7,$V:$V)+AA7,SUMIF($Y:$Y,$Y7,$V:$V)+Z7+AA7)</t>
  </si>
  <si>
    <t>=NL("sum","Sales Header","Amount Including VAT","Sell-to Customer No.",$Y7)</t>
  </si>
  <si>
    <t>=NF($B7,AD$5)</t>
  </si>
  <si>
    <t>=NF($B7,AE$5)</t>
  </si>
  <si>
    <t>=NF($B7,AF$5)</t>
  </si>
  <si>
    <t>="""BC365 (SQL)"",""Somerset Timbers"",""36"",""1"",""Order"",""3"",""SF29825"""</t>
  </si>
  <si>
    <t>=NF($B8,"No.")</t>
  </si>
  <si>
    <t>=NF($B8,"Sell-to Customer Name")</t>
  </si>
  <si>
    <t>=NF($B8,H$5)</t>
  </si>
  <si>
    <t>=IF(S8="",@NL("first","Customer","Mobile Phone No.","No.",$Y8),IF(@NL("first","Ship-to Address","Phone No.","Code",$S8)="",@NL("first","Customer","Mobile Phone No.","No.",$Y8),@NL("first","Ship-to Address","Phone No.","Code",$S8)))</t>
  </si>
  <si>
    <t>=CONCATENATE(AD8," ,",AE8," ,",AF8)</t>
  </si>
  <si>
    <t>=IFERROR(NL("First","Area","Text","Code",$W8)," ")</t>
  </si>
  <si>
    <t>=NF($B8,P$5)</t>
  </si>
  <si>
    <t>=NF($B8,"Order Date")</t>
  </si>
  <si>
    <t>=NF($B8,"Transport Method")</t>
  </si>
  <si>
    <t>=NL("first","Sales Header","Ship-to Code","No.",$C8)</t>
  </si>
  <si>
    <t>=IF(@NF($B8,"Sell-to E-Mail")="",@NL("first","Customer","E-Mail.","No.",$Y8),@NF($B8,"Sell-to E-Mail"))</t>
  </si>
  <si>
    <t>=SUMIF(Weight!$C:$C,$C8,Weight!$I:$I)</t>
  </si>
  <si>
    <t>=NF($B8,"Amount Including VAT")</t>
  </si>
  <si>
    <t>=NF($B8,"Area")</t>
  </si>
  <si>
    <t>=NF($B8,"Salesperson Code")</t>
  </si>
  <si>
    <t>=NF($B8,"Bill-to Customer No.")</t>
  </si>
  <si>
    <t>=NL("First","Customer","Credit Limit (LCY)","No.",$Y8)</t>
  </si>
  <si>
    <t>=NL("First","Customer","Balance","No.",$Y8)</t>
  </si>
  <si>
    <t>=IF(Z8=1,SUMIF($Y:$Y,$Y8,$V:$V)+AA8,SUMIF($Y:$Y,$Y8,$V:$V)+Z8+AA8)</t>
  </si>
  <si>
    <t>=NL("sum","Sales Header","Amount Including VAT","Sell-to Customer No.",$Y8)</t>
  </si>
  <si>
    <t>=NF($B8,AD$5)</t>
  </si>
  <si>
    <t>=NF($B8,AE$5)</t>
  </si>
  <si>
    <t>=NF($B8,AF$5)</t>
  </si>
  <si>
    <t>="""BC365 (SQL)"",""Somerset Timbers"",""36"",""1"",""Order"",""3"",""SF30116"""</t>
  </si>
  <si>
    <t>=NF($B9,"No.")</t>
  </si>
  <si>
    <t>=NF($B9,"Sell-to Customer Name")</t>
  </si>
  <si>
    <t>=NF($B9,H$5)</t>
  </si>
  <si>
    <t>=IF(S9="",@NL("first","Customer","Mobile Phone No.","No.",$Y9),IF(@NL("first","Ship-to Address","Phone No.","Code",$S9)="",@NL("first","Customer","Mobile Phone No.","No.",$Y9),@NL("first","Ship-to Address","Phone No.","Code",$S9)))</t>
  </si>
  <si>
    <t>=CONCATENATE(AD9," ,",AE9," ,",AF9)</t>
  </si>
  <si>
    <t>=IFERROR(NL("First","Area","Text","Code",$W9)," ")</t>
  </si>
  <si>
    <t>=NF($B9,P$5)</t>
  </si>
  <si>
    <t>=NF($B9,"Order Date")</t>
  </si>
  <si>
    <t>=NF($B9,"Transport Method")</t>
  </si>
  <si>
    <t>=NL("first","Sales Header","Ship-to Code","No.",$C9)</t>
  </si>
  <si>
    <t>=IF(@NF($B9,"Sell-to E-Mail")="",@NL("first","Customer","E-Mail.","No.",$Y9),@NF($B9,"Sell-to E-Mail"))</t>
  </si>
  <si>
    <t>=SUMIF(Weight!$C:$C,$C9,Weight!$I:$I)</t>
  </si>
  <si>
    <t>=NF($B9,"Amount Including VAT")</t>
  </si>
  <si>
    <t>=NF($B9,"Area")</t>
  </si>
  <si>
    <t>=NF($B9,"Salesperson Code")</t>
  </si>
  <si>
    <t>=NF($B9,"Bill-to Customer No.")</t>
  </si>
  <si>
    <t>=NL("First","Customer","Credit Limit (LCY)","No.",$Y9)</t>
  </si>
  <si>
    <t>=NL("First","Customer","Balance","No.",$Y9)</t>
  </si>
  <si>
    <t>=IF(Z9=1,SUMIF($Y:$Y,$Y9,$V:$V)+AA9,SUMIF($Y:$Y,$Y9,$V:$V)+Z9+AA9)</t>
  </si>
  <si>
    <t>=NL("sum","Sales Header","Amount Including VAT","Sell-to Customer No.",$Y9)</t>
  </si>
  <si>
    <t>=NF($B9,AD$5)</t>
  </si>
  <si>
    <t>=NF($B9,AE$5)</t>
  </si>
  <si>
    <t>=NF($B9,AF$5)</t>
  </si>
  <si>
    <t>="""BC365 (SQL)"",""Somerset Timbers"",""36"",""1"",""Order"",""3"",""SF33849"""</t>
  </si>
  <si>
    <t>=NF($B10,"No.")</t>
  </si>
  <si>
    <t>=NF($B10,"Sell-to Customer Name")</t>
  </si>
  <si>
    <t>=NF($B10,H$5)</t>
  </si>
  <si>
    <t>=IF(S10="",@NL("first","Customer","Mobile Phone No.","No.",$Y10),IF(@NL("first","Ship-to Address","Phone No.","Code",$S10)="",@NL("first","Customer","Mobile Phone No.","No.",$Y10),@NL("first","Ship-to Address","Phone No.","Code",$S10)))</t>
  </si>
  <si>
    <t>=CONCATENATE(AD10," ,",AE10," ,",AF10)</t>
  </si>
  <si>
    <t>=IFERROR(NL("First","Area","Text","Code",$W10)," ")</t>
  </si>
  <si>
    <t>=NF($B10,P$5)</t>
  </si>
  <si>
    <t>=NF($B10,"Order Date")</t>
  </si>
  <si>
    <t>=NF($B10,"Transport Method")</t>
  </si>
  <si>
    <t>=NL("first","Sales Header","Ship-to Code","No.",$C10)</t>
  </si>
  <si>
    <t>=IF(@NF($B10,"Sell-to E-Mail")="",@NL("first","Customer","E-Mail.","No.",$Y10),@NF($B10,"Sell-to E-Mail"))</t>
  </si>
  <si>
    <t>=SUMIF(Weight!$C:$C,$C10,Weight!$I:$I)</t>
  </si>
  <si>
    <t>=NF($B10,"Amount Including VAT")</t>
  </si>
  <si>
    <t>=NF($B10,"Area")</t>
  </si>
  <si>
    <t>=NF($B10,"Salesperson Code")</t>
  </si>
  <si>
    <t>=NF($B10,"Bill-to Customer No.")</t>
  </si>
  <si>
    <t>=NL("First","Customer","Credit Limit (LCY)","No.",$Y10)</t>
  </si>
  <si>
    <t>=NL("First","Customer","Balance","No.",$Y10)</t>
  </si>
  <si>
    <t>=IF(Z10=1,SUMIF($Y:$Y,$Y10,$V:$V)+AA10,SUMIF($Y:$Y,$Y10,$V:$V)+Z10+AA10)</t>
  </si>
  <si>
    <t>=NL("sum","Sales Header","Amount Including VAT","Sell-to Customer No.",$Y10)</t>
  </si>
  <si>
    <t>=NF($B10,AD$5)</t>
  </si>
  <si>
    <t>=NF($B10,AE$5)</t>
  </si>
  <si>
    <t>=NF($B10,AF$5)</t>
  </si>
  <si>
    <t>="""BC365 (SQL)"",""Somerset Timbers"",""36"",""1"",""Order"",""3"",""SF35493"""</t>
  </si>
  <si>
    <t>=NF($B11,"No.")</t>
  </si>
  <si>
    <t>=NF($B11,"Sell-to Customer Name")</t>
  </si>
  <si>
    <t>=NF($B11,H$5)</t>
  </si>
  <si>
    <t>=IF(S11="",@NL("first","Customer","Mobile Phone No.","No.",$Y11),IF(@NL("first","Ship-to Address","Phone No.","Code",$S11)="",@NL("first","Customer","Mobile Phone No.","No.",$Y11),@NL("first","Ship-to Address","Phone No.","Code",$S11)))</t>
  </si>
  <si>
    <t>=CONCATENATE(AD11," ,",AE11," ,",AF11)</t>
  </si>
  <si>
    <t>=IFERROR(NL("First","Area","Text","Code",$W11)," ")</t>
  </si>
  <si>
    <t>=NF($B11,P$5)</t>
  </si>
  <si>
    <t>=NF($B11,"Order Date")</t>
  </si>
  <si>
    <t>=NF($B11,"Transport Method")</t>
  </si>
  <si>
    <t>=NL("first","Sales Header","Ship-to Code","No.",$C11)</t>
  </si>
  <si>
    <t>=IF(@NF($B11,"Sell-to E-Mail")="",@NL("first","Customer","E-Mail.","No.",$Y11),@NF($B11,"Sell-to E-Mail"))</t>
  </si>
  <si>
    <t>=SUMIF(Weight!$C:$C,$C11,Weight!$I:$I)</t>
  </si>
  <si>
    <t>=NF($B11,"Amount Including VAT")</t>
  </si>
  <si>
    <t>=NF($B11,"Area")</t>
  </si>
  <si>
    <t>=NF($B11,"Salesperson Code")</t>
  </si>
  <si>
    <t>=NF($B11,"Bill-to Customer No.")</t>
  </si>
  <si>
    <t>=NL("First","Customer","Credit Limit (LCY)","No.",$Y11)</t>
  </si>
  <si>
    <t>=NL("First","Customer","Balance","No.",$Y11)</t>
  </si>
  <si>
    <t>=IF(Z11=1,SUMIF($Y:$Y,$Y11,$V:$V)+AA11,SUMIF($Y:$Y,$Y11,$V:$V)+Z11+AA11)</t>
  </si>
  <si>
    <t>=NL("sum","Sales Header","Amount Including VAT","Sell-to Customer No.",$Y11)</t>
  </si>
  <si>
    <t>=NF($B11,AD$5)</t>
  </si>
  <si>
    <t>=NF($B11,AE$5)</t>
  </si>
  <si>
    <t>=NF($B11,AF$5)</t>
  </si>
  <si>
    <t>="""BC365 (SQL)"",""Somerset Timbers"",""36"",""1"",""Order"",""3"",""SF35567"""</t>
  </si>
  <si>
    <t>=NF($B12,"No.")</t>
  </si>
  <si>
    <t>=NF($B12,"Sell-to Customer Name")</t>
  </si>
  <si>
    <t>=NF($B12,H$5)</t>
  </si>
  <si>
    <t>=IF(S12="",@NL("first","Customer","Mobile Phone No.","No.",$Y12),IF(@NL("first","Ship-to Address","Phone No.","Code",$S12)="",@NL("first","Customer","Mobile Phone No.","No.",$Y12),@NL("first","Ship-to Address","Phone No.","Code",$S12)))</t>
  </si>
  <si>
    <t>=CONCATENATE(AD12," ,",AE12," ,",AF12)</t>
  </si>
  <si>
    <t>=IFERROR(NL("First","Area","Text","Code",$W12)," ")</t>
  </si>
  <si>
    <t>=NF($B12,P$5)</t>
  </si>
  <si>
    <t>=NF($B12,"Order Date")</t>
  </si>
  <si>
    <t>=NF($B12,"Transport Method")</t>
  </si>
  <si>
    <t>=NL("first","Sales Header","Ship-to Code","No.",$C12)</t>
  </si>
  <si>
    <t>=IF(@NF($B12,"Sell-to E-Mail")="",@NL("first","Customer","E-Mail.","No.",$Y12),@NF($B12,"Sell-to E-Mail"))</t>
  </si>
  <si>
    <t>=SUMIF(Weight!$C:$C,$C12,Weight!$I:$I)</t>
  </si>
  <si>
    <t>=NF($B12,"Amount Including VAT")</t>
  </si>
  <si>
    <t>=NF($B12,"Area")</t>
  </si>
  <si>
    <t>=NF($B12,"Salesperson Code")</t>
  </si>
  <si>
    <t>=NF($B12,"Bill-to Customer No.")</t>
  </si>
  <si>
    <t>=NL("First","Customer","Credit Limit (LCY)","No.",$Y12)</t>
  </si>
  <si>
    <t>=NL("First","Customer","Balance","No.",$Y12)</t>
  </si>
  <si>
    <t>=IF(Z12=1,SUMIF($Y:$Y,$Y12,$V:$V)+AA12,SUMIF($Y:$Y,$Y12,$V:$V)+Z12+AA12)</t>
  </si>
  <si>
    <t>=NL("sum","Sales Header","Amount Including VAT","Sell-to Customer No.",$Y12)</t>
  </si>
  <si>
    <t>=NF($B12,AD$5)</t>
  </si>
  <si>
    <t>=NF($B12,AE$5)</t>
  </si>
  <si>
    <t>=NF($B12,AF$5)</t>
  </si>
  <si>
    <t>="""BC365 (SQL)"",""Somerset Timbers"",""36"",""1"",""Order"",""3"",""SF36362"""</t>
  </si>
  <si>
    <t>=NF($B13,"No.")</t>
  </si>
  <si>
    <t>=NF($B13,"Sell-to Customer Name")</t>
  </si>
  <si>
    <t>=NF($B13,H$5)</t>
  </si>
  <si>
    <t>=IF(S13="",@NL("first","Customer","Mobile Phone No.","No.",$Y13),IF(@NL("first","Ship-to Address","Phone No.","Code",$S13)="",@NL("first","Customer","Mobile Phone No.","No.",$Y13),@NL("first","Ship-to Address","Phone No.","Code",$S13)))</t>
  </si>
  <si>
    <t>=CONCATENATE(AD13," ,",AE13," ,",AF13)</t>
  </si>
  <si>
    <t>=IFERROR(NL("First","Area","Text","Code",$W13)," ")</t>
  </si>
  <si>
    <t>=NF($B13,P$5)</t>
  </si>
  <si>
    <t>=NF($B13,"Order Date")</t>
  </si>
  <si>
    <t>=NF($B13,"Transport Method")</t>
  </si>
  <si>
    <t>=NL("first","Sales Header","Ship-to Code","No.",$C13)</t>
  </si>
  <si>
    <t>=IF(@NF($B13,"Sell-to E-Mail")="",@NL("first","Customer","E-Mail.","No.",$Y13),@NF($B13,"Sell-to E-Mail"))</t>
  </si>
  <si>
    <t>=SUMIF(Weight!$C:$C,$C13,Weight!$I:$I)</t>
  </si>
  <si>
    <t>=NF($B13,"Amount Including VAT")</t>
  </si>
  <si>
    <t>=NF($B13,"Area")</t>
  </si>
  <si>
    <t>=NF($B13,"Salesperson Code")</t>
  </si>
  <si>
    <t>=NF($B13,"Bill-to Customer No.")</t>
  </si>
  <si>
    <t>=NL("First","Customer","Credit Limit (LCY)","No.",$Y13)</t>
  </si>
  <si>
    <t>=NL("First","Customer","Balance","No.",$Y13)</t>
  </si>
  <si>
    <t>=IF(Z13=1,SUMIF($Y:$Y,$Y13,$V:$V)+AA13,SUMIF($Y:$Y,$Y13,$V:$V)+Z13+AA13)</t>
  </si>
  <si>
    <t>=NL("sum","Sales Header","Amount Including VAT","Sell-to Customer No.",$Y13)</t>
  </si>
  <si>
    <t>=NF($B13,AD$5)</t>
  </si>
  <si>
    <t>=NF($B13,AE$5)</t>
  </si>
  <si>
    <t>=NF($B13,AF$5)</t>
  </si>
  <si>
    <t>="""BC365 (SQL)"",""Somerset Timbers"",""36"",""1"",""Order"",""3"",""SF38043"""</t>
  </si>
  <si>
    <t>=NF($B14,"No.")</t>
  </si>
  <si>
    <t>=NF($B14,"Sell-to Customer Name")</t>
  </si>
  <si>
    <t>=NF($B14,H$5)</t>
  </si>
  <si>
    <t>=IF(S14="",@NL("first","Customer","Mobile Phone No.","No.",$Y14),IF(@NL("first","Ship-to Address","Phone No.","Code",$S14)="",@NL("first","Customer","Mobile Phone No.","No.",$Y14),@NL("first","Ship-to Address","Phone No.","Code",$S14)))</t>
  </si>
  <si>
    <t>=CONCATENATE(AD14," ,",AE14," ,",AF14)</t>
  </si>
  <si>
    <t>=IFERROR(NL("First","Area","Text","Code",$W14)," ")</t>
  </si>
  <si>
    <t>=NF($B14,P$5)</t>
  </si>
  <si>
    <t>=NF($B14,"Order Date")</t>
  </si>
  <si>
    <t>=NF($B14,"Transport Method")</t>
  </si>
  <si>
    <t>=NL("first","Sales Header","Ship-to Code","No.",$C14)</t>
  </si>
  <si>
    <t>=IF(@NF($B14,"Sell-to E-Mail")="",@NL("first","Customer","E-Mail.","No.",$Y14),@NF($B14,"Sell-to E-Mail"))</t>
  </si>
  <si>
    <t>=SUMIF(Weight!$C:$C,$C14,Weight!$I:$I)</t>
  </si>
  <si>
    <t>=NF($B14,"Amount Including VAT")</t>
  </si>
  <si>
    <t>=NF($B14,"Area")</t>
  </si>
  <si>
    <t>=NF($B14,"Salesperson Code")</t>
  </si>
  <si>
    <t>=NF($B14,"Bill-to Customer No.")</t>
  </si>
  <si>
    <t>=NL("First","Customer","Credit Limit (LCY)","No.",$Y14)</t>
  </si>
  <si>
    <t>=NL("First","Customer","Balance","No.",$Y14)</t>
  </si>
  <si>
    <t>=IF(Z14=1,SUMIF($Y:$Y,$Y14,$V:$V)+AA14,SUMIF($Y:$Y,$Y14,$V:$V)+Z14+AA14)</t>
  </si>
  <si>
    <t>=NL("sum","Sales Header","Amount Including VAT","Sell-to Customer No.",$Y14)</t>
  </si>
  <si>
    <t>=NF($B14,AD$5)</t>
  </si>
  <si>
    <t>=NF($B14,AE$5)</t>
  </si>
  <si>
    <t>=NF($B14,AF$5)</t>
  </si>
  <si>
    <t>="""BC365 (SQL)"",""Somerset Timbers"",""36"",""1"",""Order"",""3"",""SF38070"""</t>
  </si>
  <si>
    <t>=NF($B15,"No.")</t>
  </si>
  <si>
    <t>=NF($B15,"Sell-to Customer Name")</t>
  </si>
  <si>
    <t>=NF($B15,H$5)</t>
  </si>
  <si>
    <t>=IF(S15="",@NL("first","Customer","Mobile Phone No.","No.",$Y15),IF(@NL("first","Ship-to Address","Phone No.","Code",$S15)="",@NL("first","Customer","Mobile Phone No.","No.",$Y15),@NL("first","Ship-to Address","Phone No.","Code",$S15)))</t>
  </si>
  <si>
    <t>=CONCATENATE(AD15," ,",AE15," ,",AF15)</t>
  </si>
  <si>
    <t>=IFERROR(NL("First","Area","Text","Code",$W15)," ")</t>
  </si>
  <si>
    <t>=NF($B15,P$5)</t>
  </si>
  <si>
    <t>=NF($B15,"Order Date")</t>
  </si>
  <si>
    <t>=NF($B15,"Transport Method")</t>
  </si>
  <si>
    <t>=NL("first","Sales Header","Ship-to Code","No.",$C15)</t>
  </si>
  <si>
    <t>=IF(@NF($B15,"Sell-to E-Mail")="",@NL("first","Customer","E-Mail.","No.",$Y15),@NF($B15,"Sell-to E-Mail"))</t>
  </si>
  <si>
    <t>=SUMIF(Weight!$C:$C,$C15,Weight!$I:$I)</t>
  </si>
  <si>
    <t>=NF($B15,"Amount Including VAT")</t>
  </si>
  <si>
    <t>=NF($B15,"Area")</t>
  </si>
  <si>
    <t>=NF($B15,"Salesperson Code")</t>
  </si>
  <si>
    <t>=NF($B15,"Bill-to Customer No.")</t>
  </si>
  <si>
    <t>=NL("First","Customer","Credit Limit (LCY)","No.",$Y15)</t>
  </si>
  <si>
    <t>=NL("First","Customer","Balance","No.",$Y15)</t>
  </si>
  <si>
    <t>=IF(Z15=1,SUMIF($Y:$Y,$Y15,$V:$V)+AA15,SUMIF($Y:$Y,$Y15,$V:$V)+Z15+AA15)</t>
  </si>
  <si>
    <t>=NL("sum","Sales Header","Amount Including VAT","Sell-to Customer No.",$Y15)</t>
  </si>
  <si>
    <t>=NF($B15,AD$5)</t>
  </si>
  <si>
    <t>=NF($B15,AE$5)</t>
  </si>
  <si>
    <t>=NF($B15,AF$5)</t>
  </si>
  <si>
    <t>="""BC365 (SQL)"",""Somerset Timbers"",""36"",""1"",""Order"",""3"",""SF38105"""</t>
  </si>
  <si>
    <t>=NF($B16,"No.")</t>
  </si>
  <si>
    <t>=NF($B16,"Sell-to Customer Name")</t>
  </si>
  <si>
    <t>=NF($B16,H$5)</t>
  </si>
  <si>
    <t>=IF(S16="",@NL("first","Customer","Mobile Phone No.","No.",$Y16),IF(@NL("first","Ship-to Address","Phone No.","Code",$S16)="",@NL("first","Customer","Mobile Phone No.","No.",$Y16),@NL("first","Ship-to Address","Phone No.","Code",$S16)))</t>
  </si>
  <si>
    <t>=CONCATENATE(AD16," ,",AE16," ,",AF16)</t>
  </si>
  <si>
    <t>=IFERROR(NL("First","Area","Text","Code",$W16)," ")</t>
  </si>
  <si>
    <t>=NF($B16,P$5)</t>
  </si>
  <si>
    <t>=NF($B16,"Order Date")</t>
  </si>
  <si>
    <t>=NF($B16,"Transport Method")</t>
  </si>
  <si>
    <t>=NL("first","Sales Header","Ship-to Code","No.",$C16)</t>
  </si>
  <si>
    <t>=IF(@NF($B16,"Sell-to E-Mail")="",@NL("first","Customer","E-Mail.","No.",$Y16),@NF($B16,"Sell-to E-Mail"))</t>
  </si>
  <si>
    <t>=SUMIF(Weight!$C:$C,$C16,Weight!$I:$I)</t>
  </si>
  <si>
    <t>=NF($B16,"Amount Including VAT")</t>
  </si>
  <si>
    <t>=NF($B16,"Area")</t>
  </si>
  <si>
    <t>=NF($B16,"Salesperson Code")</t>
  </si>
  <si>
    <t>=NF($B16,"Bill-to Customer No.")</t>
  </si>
  <si>
    <t>=NL("First","Customer","Credit Limit (LCY)","No.",$Y16)</t>
  </si>
  <si>
    <t>=NL("First","Customer","Balance","No.",$Y16)</t>
  </si>
  <si>
    <t>=IF(Z16=1,SUMIF($Y:$Y,$Y16,$V:$V)+AA16,SUMIF($Y:$Y,$Y16,$V:$V)+Z16+AA16)</t>
  </si>
  <si>
    <t>=NL("sum","Sales Header","Amount Including VAT","Sell-to Customer No.",$Y16)</t>
  </si>
  <si>
    <t>=NF($B16,AD$5)</t>
  </si>
  <si>
    <t>=NF($B16,AE$5)</t>
  </si>
  <si>
    <t>=NF($B16,AF$5)</t>
  </si>
  <si>
    <t>="""BC365 (SQL)"",""Somerset Timbers"",""36"",""1"",""Order"",""3"",""SF38134"""</t>
  </si>
  <si>
    <t>=NF($B17,"No.")</t>
  </si>
  <si>
    <t>=NF($B17,"Sell-to Customer Name")</t>
  </si>
  <si>
    <t>=NF($B17,H$5)</t>
  </si>
  <si>
    <t>=IF(S17="",@NL("first","Customer","Mobile Phone No.","No.",$Y17),IF(@NL("first","Ship-to Address","Phone No.","Code",$S17)="",@NL("first","Customer","Mobile Phone No.","No.",$Y17),@NL("first","Ship-to Address","Phone No.","Code",$S17)))</t>
  </si>
  <si>
    <t>=CONCATENATE(AD17," ,",AE17," ,",AF17)</t>
  </si>
  <si>
    <t>=IFERROR(NL("First","Area","Text","Code",$W17)," ")</t>
  </si>
  <si>
    <t>=NF($B17,P$5)</t>
  </si>
  <si>
    <t>=NF($B17,"Order Date")</t>
  </si>
  <si>
    <t>=NF($B17,"Transport Method")</t>
  </si>
  <si>
    <t>=NL("first","Sales Header","Ship-to Code","No.",$C17)</t>
  </si>
  <si>
    <t>=IF(@NF($B17,"Sell-to E-Mail")="",@NL("first","Customer","E-Mail.","No.",$Y17),@NF($B17,"Sell-to E-Mail"))</t>
  </si>
  <si>
    <t>=SUMIF(Weight!$C:$C,$C17,Weight!$I:$I)</t>
  </si>
  <si>
    <t>=NF($B17,"Amount Including VAT")</t>
  </si>
  <si>
    <t>=NF($B17,"Area")</t>
  </si>
  <si>
    <t>=NF($B17,"Salesperson Code")</t>
  </si>
  <si>
    <t>=NF($B17,"Bill-to Customer No.")</t>
  </si>
  <si>
    <t>=NL("First","Customer","Credit Limit (LCY)","No.",$Y17)</t>
  </si>
  <si>
    <t>=NL("First","Customer","Balance","No.",$Y17)</t>
  </si>
  <si>
    <t>=IF(Z17=1,SUMIF($Y:$Y,$Y17,$V:$V)+AA17,SUMIF($Y:$Y,$Y17,$V:$V)+Z17+AA17)</t>
  </si>
  <si>
    <t>=NL("sum","Sales Header","Amount Including VAT","Sell-to Customer No.",$Y17)</t>
  </si>
  <si>
    <t>=NF($B17,AD$5)</t>
  </si>
  <si>
    <t>=NF($B17,AE$5)</t>
  </si>
  <si>
    <t>=NF($B17,AF$5)</t>
  </si>
  <si>
    <t>="""BC365 (SQL)"",""Somerset Timbers"",""36"",""1"",""Order"",""3"",""SF38310"""</t>
  </si>
  <si>
    <t>=NF($B18,"No.")</t>
  </si>
  <si>
    <t>=NF($B18,"Sell-to Customer Name")</t>
  </si>
  <si>
    <t>=NF($B18,H$5)</t>
  </si>
  <si>
    <t>=IF(S18="",@NL("first","Customer","Mobile Phone No.","No.",$Y18),IF(@NL("first","Ship-to Address","Phone No.","Code",$S18)="",@NL("first","Customer","Mobile Phone No.","No.",$Y18),@NL("first","Ship-to Address","Phone No.","Code",$S18)))</t>
  </si>
  <si>
    <t>=CONCATENATE(AD18," ,",AE18," ,",AF18)</t>
  </si>
  <si>
    <t>=IFERROR(NL("First","Area","Text","Code",$W18)," ")</t>
  </si>
  <si>
    <t>=NF($B18,P$5)</t>
  </si>
  <si>
    <t>=NF($B18,"Order Date")</t>
  </si>
  <si>
    <t>=NF($B18,"Transport Method")</t>
  </si>
  <si>
    <t>=NL("first","Sales Header","Ship-to Code","No.",$C18)</t>
  </si>
  <si>
    <t>=IF(@NF($B18,"Sell-to E-Mail")="",@NL("first","Customer","E-Mail.","No.",$Y18),@NF($B18,"Sell-to E-Mail"))</t>
  </si>
  <si>
    <t>=SUMIF(Weight!$C:$C,$C18,Weight!$I:$I)</t>
  </si>
  <si>
    <t>=NF($B18,"Amount Including VAT")</t>
  </si>
  <si>
    <t>=NF($B18,"Area")</t>
  </si>
  <si>
    <t>=NF($B18,"Salesperson Code")</t>
  </si>
  <si>
    <t>=NF($B18,"Bill-to Customer No.")</t>
  </si>
  <si>
    <t>=NL("First","Customer","Credit Limit (LCY)","No.",$Y18)</t>
  </si>
  <si>
    <t>=NL("First","Customer","Balance","No.",$Y18)</t>
  </si>
  <si>
    <t>=IF(Z18=1,SUMIF($Y:$Y,$Y18,$V:$V)+AA18,SUMIF($Y:$Y,$Y18,$V:$V)+Z18+AA18)</t>
  </si>
  <si>
    <t>=NL("sum","Sales Header","Amount Including VAT","Sell-to Customer No.",$Y18)</t>
  </si>
  <si>
    <t>=NF($B18,AD$5)</t>
  </si>
  <si>
    <t>=NF($B18,AE$5)</t>
  </si>
  <si>
    <t>=NF($B18,AF$5)</t>
  </si>
  <si>
    <t>="""BC365 (SQL)"",""Somerset Timbers"",""36"",""1"",""Order"",""3"",""SF38695"""</t>
  </si>
  <si>
    <t>=NF($B19,"No.")</t>
  </si>
  <si>
    <t>=NF($B19,"Sell-to Customer Name")</t>
  </si>
  <si>
    <t>=NF($B19,H$5)</t>
  </si>
  <si>
    <t>=IF(S19="",@NL("first","Customer","Mobile Phone No.","No.",$Y19),IF(@NL("first","Ship-to Address","Phone No.","Code",$S19)="",@NL("first","Customer","Mobile Phone No.","No.",$Y19),@NL("first","Ship-to Address","Phone No.","Code",$S19)))</t>
  </si>
  <si>
    <t>=CONCATENATE(AD19," ,",AE19," ,",AF19)</t>
  </si>
  <si>
    <t>=IFERROR(NL("First","Area","Text","Code",$W19)," ")</t>
  </si>
  <si>
    <t>=NF($B19,P$5)</t>
  </si>
  <si>
    <t>=NF($B19,"Order Date")</t>
  </si>
  <si>
    <t>=NF($B19,"Transport Method")</t>
  </si>
  <si>
    <t>=NL("first","Sales Header","Ship-to Code","No.",$C19)</t>
  </si>
  <si>
    <t>=IF(@NF($B19,"Sell-to E-Mail")="",@NL("first","Customer","E-Mail.","No.",$Y19),@NF($B19,"Sell-to E-Mail"))</t>
  </si>
  <si>
    <t>=SUMIF(Weight!$C:$C,$C19,Weight!$I:$I)</t>
  </si>
  <si>
    <t>=NF($B19,"Amount Including VAT")</t>
  </si>
  <si>
    <t>=NF($B19,"Area")</t>
  </si>
  <si>
    <t>=NF($B19,"Salesperson Code")</t>
  </si>
  <si>
    <t>=NF($B19,"Bill-to Customer No.")</t>
  </si>
  <si>
    <t>=NL("First","Customer","Credit Limit (LCY)","No.",$Y19)</t>
  </si>
  <si>
    <t>=NL("First","Customer","Balance","No.",$Y19)</t>
  </si>
  <si>
    <t>=IF(Z19=1,SUMIF($Y:$Y,$Y19,$V:$V)+AA19,SUMIF($Y:$Y,$Y19,$V:$V)+Z19+AA19)</t>
  </si>
  <si>
    <t>=NL("sum","Sales Header","Amount Including VAT","Sell-to Customer No.",$Y19)</t>
  </si>
  <si>
    <t>=NF($B19,AD$5)</t>
  </si>
  <si>
    <t>=NF($B19,AE$5)</t>
  </si>
  <si>
    <t>=NF($B19,AF$5)</t>
  </si>
  <si>
    <t>="""BC365 (SQL)"",""Somerset Timbers"",""36"",""1"",""Order"",""3"",""SF38838"""</t>
  </si>
  <si>
    <t>=NF($B20,"No.")</t>
  </si>
  <si>
    <t>=NF($B20,"Sell-to Customer Name")</t>
  </si>
  <si>
    <t>=NF($B20,H$5)</t>
  </si>
  <si>
    <t>=IF(S20="",@NL("first","Customer","Mobile Phone No.","No.",$Y20),IF(@NL("first","Ship-to Address","Phone No.","Code",$S20)="",@NL("first","Customer","Mobile Phone No.","No.",$Y20),@NL("first","Ship-to Address","Phone No.","Code",$S20)))</t>
  </si>
  <si>
    <t>=CONCATENATE(AD20," ,",AE20," ,",AF20)</t>
  </si>
  <si>
    <t>=IFERROR(NL("First","Area","Text","Code",$W20)," ")</t>
  </si>
  <si>
    <t>=NF($B20,P$5)</t>
  </si>
  <si>
    <t>=NF($B20,"Order Date")</t>
  </si>
  <si>
    <t>=NF($B20,"Transport Method")</t>
  </si>
  <si>
    <t>=NL("first","Sales Header","Ship-to Code","No.",$C20)</t>
  </si>
  <si>
    <t>=IF(@NF($B20,"Sell-to E-Mail")="",@NL("first","Customer","E-Mail.","No.",$Y20),@NF($B20,"Sell-to E-Mail"))</t>
  </si>
  <si>
    <t>=SUMIF(Weight!$C:$C,$C20,Weight!$I:$I)</t>
  </si>
  <si>
    <t>=NF($B20,"Amount Including VAT")</t>
  </si>
  <si>
    <t>=NF($B20,"Area")</t>
  </si>
  <si>
    <t>=NF($B20,"Salesperson Code")</t>
  </si>
  <si>
    <t>=NF($B20,"Bill-to Customer No.")</t>
  </si>
  <si>
    <t>=NL("First","Customer","Credit Limit (LCY)","No.",$Y20)</t>
  </si>
  <si>
    <t>=NL("First","Customer","Balance","No.",$Y20)</t>
  </si>
  <si>
    <t>=IF(Z20=1,SUMIF($Y:$Y,$Y20,$V:$V)+AA20,SUMIF($Y:$Y,$Y20,$V:$V)+Z20+AA20)</t>
  </si>
  <si>
    <t>=NL("sum","Sales Header","Amount Including VAT","Sell-to Customer No.",$Y20)</t>
  </si>
  <si>
    <t>=NF($B20,AD$5)</t>
  </si>
  <si>
    <t>=NF($B20,AE$5)</t>
  </si>
  <si>
    <t>=NF($B20,AF$5)</t>
  </si>
  <si>
    <t>="""BC365 (SQL)"",""Somerset Timbers"",""36"",""1"",""Order"",""3"",""SF38956"""</t>
  </si>
  <si>
    <t>=NF($B21,"No.")</t>
  </si>
  <si>
    <t>=NF($B21,"Sell-to Customer Name")</t>
  </si>
  <si>
    <t>=NF($B21,H$5)</t>
  </si>
  <si>
    <t>=IF(S21="",@NL("first","Customer","Mobile Phone No.","No.",$Y21),IF(@NL("first","Ship-to Address","Phone No.","Code",$S21)="",@NL("first","Customer","Mobile Phone No.","No.",$Y21),@NL("first","Ship-to Address","Phone No.","Code",$S21)))</t>
  </si>
  <si>
    <t>=CONCATENATE(AD21," ,",AE21," ,",AF21)</t>
  </si>
  <si>
    <t>=IFERROR(NL("First","Area","Text","Code",$W21)," ")</t>
  </si>
  <si>
    <t>=NF($B21,P$5)</t>
  </si>
  <si>
    <t>=NF($B21,"Order Date")</t>
  </si>
  <si>
    <t>=NF($B21,"Transport Method")</t>
  </si>
  <si>
    <t>=NL("first","Sales Header","Ship-to Code","No.",$C21)</t>
  </si>
  <si>
    <t>=IF(@NF($B21,"Sell-to E-Mail")="",@NL("first","Customer","E-Mail.","No.",$Y21),@NF($B21,"Sell-to E-Mail"))</t>
  </si>
  <si>
    <t>=SUMIF(Weight!$C:$C,$C21,Weight!$I:$I)</t>
  </si>
  <si>
    <t>=NF($B21,"Amount Including VAT")</t>
  </si>
  <si>
    <t>=NF($B21,"Area")</t>
  </si>
  <si>
    <t>=NF($B21,"Salesperson Code")</t>
  </si>
  <si>
    <t>=NF($B21,"Bill-to Customer No.")</t>
  </si>
  <si>
    <t>=NL("First","Customer","Credit Limit (LCY)","No.",$Y21)</t>
  </si>
  <si>
    <t>=NL("First","Customer","Balance","No.",$Y21)</t>
  </si>
  <si>
    <t>=IF(Z21=1,SUMIF($Y:$Y,$Y21,$V:$V)+AA21,SUMIF($Y:$Y,$Y21,$V:$V)+Z21+AA21)</t>
  </si>
  <si>
    <t>=NL("sum","Sales Header","Amount Including VAT","Sell-to Customer No.",$Y21)</t>
  </si>
  <si>
    <t>=NF($B21,AD$5)</t>
  </si>
  <si>
    <t>=NF($B21,AE$5)</t>
  </si>
  <si>
    <t>=NF($B21,AF$5)</t>
  </si>
  <si>
    <t>="""BC365 (SQL)"",""Somerset Timbers"",""36"",""1"",""Order"",""3"",""SF38980"""</t>
  </si>
  <si>
    <t>=NF($B22,"No.")</t>
  </si>
  <si>
    <t>=NF($B22,"Sell-to Customer Name")</t>
  </si>
  <si>
    <t>=NF($B22,H$5)</t>
  </si>
  <si>
    <t>=IF(S22="",@NL("first","Customer","Mobile Phone No.","No.",$Y22),IF(@NL("first","Ship-to Address","Phone No.","Code",$S22)="",@NL("first","Customer","Mobile Phone No.","No.",$Y22),@NL("first","Ship-to Address","Phone No.","Code",$S22)))</t>
  </si>
  <si>
    <t>=CONCATENATE(AD22," ,",AE22," ,",AF22)</t>
  </si>
  <si>
    <t>=IFERROR(NL("First","Area","Text","Code",$W22)," ")</t>
  </si>
  <si>
    <t>=NF($B22,P$5)</t>
  </si>
  <si>
    <t>=NF($B22,"Order Date")</t>
  </si>
  <si>
    <t>=NF($B22,"Transport Method")</t>
  </si>
  <si>
    <t>=NL("first","Sales Header","Ship-to Code","No.",$C22)</t>
  </si>
  <si>
    <t>=IF(@NF($B22,"Sell-to E-Mail")="",@NL("first","Customer","E-Mail.","No.",$Y22),@NF($B22,"Sell-to E-Mail"))</t>
  </si>
  <si>
    <t>=SUMIF(Weight!$C:$C,$C22,Weight!$I:$I)</t>
  </si>
  <si>
    <t>=NF($B22,"Amount Including VAT")</t>
  </si>
  <si>
    <t>=NF($B22,"Area")</t>
  </si>
  <si>
    <t>=NF($B22,"Salesperson Code")</t>
  </si>
  <si>
    <t>=NF($B22,"Bill-to Customer No.")</t>
  </si>
  <si>
    <t>=NL("First","Customer","Credit Limit (LCY)","No.",$Y22)</t>
  </si>
  <si>
    <t>=NL("First","Customer","Balance","No.",$Y22)</t>
  </si>
  <si>
    <t>=IF(Z22=1,SUMIF($Y:$Y,$Y22,$V:$V)+AA22,SUMIF($Y:$Y,$Y22,$V:$V)+Z22+AA22)</t>
  </si>
  <si>
    <t>=NL("sum","Sales Header","Amount Including VAT","Sell-to Customer No.",$Y22)</t>
  </si>
  <si>
    <t>=NF($B22,AD$5)</t>
  </si>
  <si>
    <t>=NF($B22,AE$5)</t>
  </si>
  <si>
    <t>=NF($B22,AF$5)</t>
  </si>
  <si>
    <t>="""BC365 (SQL)"",""Somerset Timbers"",""36"",""1"",""Order"",""3"",""SF39125"""</t>
  </si>
  <si>
    <t>=NF($B23,"No.")</t>
  </si>
  <si>
    <t>=NF($B23,"Sell-to Customer Name")</t>
  </si>
  <si>
    <t>=NF($B23,H$5)</t>
  </si>
  <si>
    <t>=IF(S23="",@NL("first","Customer","Mobile Phone No.","No.",$Y23),IF(@NL("first","Ship-to Address","Phone No.","Code",$S23)="",@NL("first","Customer","Mobile Phone No.","No.",$Y23),@NL("first","Ship-to Address","Phone No.","Code",$S23)))</t>
  </si>
  <si>
    <t>=CONCATENATE(AD23," ,",AE23," ,",AF23)</t>
  </si>
  <si>
    <t>=IFERROR(NL("First","Area","Text","Code",$W23)," ")</t>
  </si>
  <si>
    <t>=NF($B23,P$5)</t>
  </si>
  <si>
    <t>=NF($B23,"Order Date")</t>
  </si>
  <si>
    <t>=NF($B23,"Transport Method")</t>
  </si>
  <si>
    <t>=NL("first","Sales Header","Ship-to Code","No.",$C23)</t>
  </si>
  <si>
    <t>=IF(@NF($B23,"Sell-to E-Mail")="",@NL("first","Customer","E-Mail.","No.",$Y23),@NF($B23,"Sell-to E-Mail"))</t>
  </si>
  <si>
    <t>=SUMIF(Weight!$C:$C,$C23,Weight!$I:$I)</t>
  </si>
  <si>
    <t>=NF($B23,"Amount Including VAT")</t>
  </si>
  <si>
    <t>=NF($B23,"Area")</t>
  </si>
  <si>
    <t>=NF($B23,"Salesperson Code")</t>
  </si>
  <si>
    <t>=NF($B23,"Bill-to Customer No.")</t>
  </si>
  <si>
    <t>=NL("First","Customer","Credit Limit (LCY)","No.",$Y23)</t>
  </si>
  <si>
    <t>=NL("First","Customer","Balance","No.",$Y23)</t>
  </si>
  <si>
    <t>=IF(Z23=1,SUMIF($Y:$Y,$Y23,$V:$V)+AA23,SUMIF($Y:$Y,$Y23,$V:$V)+Z23+AA23)</t>
  </si>
  <si>
    <t>=NL("sum","Sales Header","Amount Including VAT","Sell-to Customer No.",$Y23)</t>
  </si>
  <si>
    <t>=NF($B23,AD$5)</t>
  </si>
  <si>
    <t>=NF($B23,AE$5)</t>
  </si>
  <si>
    <t>=NF($B23,AF$5)</t>
  </si>
  <si>
    <t>="""BC365 (SQL)"",""Somerset Timbers"",""36"",""1"",""Order"",""3"",""SF39521"""</t>
  </si>
  <si>
    <t>=NF($B24,"No.")</t>
  </si>
  <si>
    <t>=NF($B24,"Sell-to Customer Name")</t>
  </si>
  <si>
    <t>=NF($B24,H$5)</t>
  </si>
  <si>
    <t>=IF(S24="",@NL("first","Customer","Mobile Phone No.","No.",$Y24),IF(@NL("first","Ship-to Address","Phone No.","Code",$S24)="",@NL("first","Customer","Mobile Phone No.","No.",$Y24),@NL("first","Ship-to Address","Phone No.","Code",$S24)))</t>
  </si>
  <si>
    <t>=CONCATENATE(AD24," ,",AE24," ,",AF24)</t>
  </si>
  <si>
    <t>=IFERROR(NL("First","Area","Text","Code",$W24)," ")</t>
  </si>
  <si>
    <t>=NF($B24,P$5)</t>
  </si>
  <si>
    <t>=NF($B24,"Order Date")</t>
  </si>
  <si>
    <t>=NF($B24,"Transport Method")</t>
  </si>
  <si>
    <t>=NL("first","Sales Header","Ship-to Code","No.",$C24)</t>
  </si>
  <si>
    <t>=IF(@NF($B24,"Sell-to E-Mail")="",@NL("first","Customer","E-Mail.","No.",$Y24),@NF($B24,"Sell-to E-Mail"))</t>
  </si>
  <si>
    <t>=SUMIF(Weight!$C:$C,$C24,Weight!$I:$I)</t>
  </si>
  <si>
    <t>=NF($B24,"Amount Including VAT")</t>
  </si>
  <si>
    <t>=NF($B24,"Area")</t>
  </si>
  <si>
    <t>=NF($B24,"Salesperson Code")</t>
  </si>
  <si>
    <t>=NF($B24,"Bill-to Customer No.")</t>
  </si>
  <si>
    <t>=NL("First","Customer","Credit Limit (LCY)","No.",$Y24)</t>
  </si>
  <si>
    <t>=NL("First","Customer","Balance","No.",$Y24)</t>
  </si>
  <si>
    <t>=IF(Z24=1,SUMIF($Y:$Y,$Y24,$V:$V)+AA24,SUMIF($Y:$Y,$Y24,$V:$V)+Z24+AA24)</t>
  </si>
  <si>
    <t>=NL("sum","Sales Header","Amount Including VAT","Sell-to Customer No.",$Y24)</t>
  </si>
  <si>
    <t>=NF($B24,AD$5)</t>
  </si>
  <si>
    <t>=NF($B24,AE$5)</t>
  </si>
  <si>
    <t>=NF($B24,AF$5)</t>
  </si>
  <si>
    <t>="""BC365 (SQL)"",""Somerset Timbers"",""36"",""1"",""Order"",""3"",""SF39538"""</t>
  </si>
  <si>
    <t>=NF($B25,"No.")</t>
  </si>
  <si>
    <t>=NF($B25,"Sell-to Customer Name")</t>
  </si>
  <si>
    <t>=NF($B25,H$5)</t>
  </si>
  <si>
    <t>=IF(S25="",@NL("first","Customer","Mobile Phone No.","No.",$Y25),IF(@NL("first","Ship-to Address","Phone No.","Code",$S25)="",@NL("first","Customer","Mobile Phone No.","No.",$Y25),@NL("first","Ship-to Address","Phone No.","Code",$S25)))</t>
  </si>
  <si>
    <t>=CONCATENATE(AD25," ,",AE25," ,",AF25)</t>
  </si>
  <si>
    <t>=IFERROR(NL("First","Area","Text","Code",$W25)," ")</t>
  </si>
  <si>
    <t>=NF($B25,P$5)</t>
  </si>
  <si>
    <t>=NF($B25,"Order Date")</t>
  </si>
  <si>
    <t>=NF($B25,"Transport Method")</t>
  </si>
  <si>
    <t>=NL("first","Sales Header","Ship-to Code","No.",$C25)</t>
  </si>
  <si>
    <t>=IF(@NF($B25,"Sell-to E-Mail")="",@NL("first","Customer","E-Mail.","No.",$Y25),@NF($B25,"Sell-to E-Mail"))</t>
  </si>
  <si>
    <t>=SUMIF(Weight!$C:$C,$C25,Weight!$I:$I)</t>
  </si>
  <si>
    <t>=NF($B25,"Amount Including VAT")</t>
  </si>
  <si>
    <t>=NF($B25,"Area")</t>
  </si>
  <si>
    <t>=NF($B25,"Salesperson Code")</t>
  </si>
  <si>
    <t>=NF($B25,"Bill-to Customer No.")</t>
  </si>
  <si>
    <t>=NL("First","Customer","Credit Limit (LCY)","No.",$Y25)</t>
  </si>
  <si>
    <t>=NL("First","Customer","Balance","No.",$Y25)</t>
  </si>
  <si>
    <t>=IF(Z25=1,SUMIF($Y:$Y,$Y25,$V:$V)+AA25,SUMIF($Y:$Y,$Y25,$V:$V)+Z25+AA25)</t>
  </si>
  <si>
    <t>=NL("sum","Sales Header","Amount Including VAT","Sell-to Customer No.",$Y25)</t>
  </si>
  <si>
    <t>=NF($B25,AD$5)</t>
  </si>
  <si>
    <t>=NF($B25,AE$5)</t>
  </si>
  <si>
    <t>=NF($B25,AF$5)</t>
  </si>
  <si>
    <t>="""BC365 (SQL)"",""Somerset Timbers"",""36"",""1"",""Order"",""3"",""SF39559"""</t>
  </si>
  <si>
    <t>=NF($B26,"No.")</t>
  </si>
  <si>
    <t>=NF($B26,"Sell-to Customer Name")</t>
  </si>
  <si>
    <t>=NF($B26,H$5)</t>
  </si>
  <si>
    <t>=IF(S26="",@NL("first","Customer","Mobile Phone No.","No.",$Y26),IF(@NL("first","Ship-to Address","Phone No.","Code",$S26)="",@NL("first","Customer","Mobile Phone No.","No.",$Y26),@NL("first","Ship-to Address","Phone No.","Code",$S26)))</t>
  </si>
  <si>
    <t>=CONCATENATE(AD26," ,",AE26," ,",AF26)</t>
  </si>
  <si>
    <t>=IFERROR(NL("First","Area","Text","Code",$W26)," ")</t>
  </si>
  <si>
    <t>=NF($B26,P$5)</t>
  </si>
  <si>
    <t>=NF($B26,"Order Date")</t>
  </si>
  <si>
    <t>=NF($B26,"Transport Method")</t>
  </si>
  <si>
    <t>=NL("first","Sales Header","Ship-to Code","No.",$C26)</t>
  </si>
  <si>
    <t>=IF(@NF($B26,"Sell-to E-Mail")="",@NL("first","Customer","E-Mail.","No.",$Y26),@NF($B26,"Sell-to E-Mail"))</t>
  </si>
  <si>
    <t>=SUMIF(Weight!$C:$C,$C26,Weight!$I:$I)</t>
  </si>
  <si>
    <t>=NF($B26,"Amount Including VAT")</t>
  </si>
  <si>
    <t>=NF($B26,"Area")</t>
  </si>
  <si>
    <t>=NF($B26,"Salesperson Code")</t>
  </si>
  <si>
    <t>=NF($B26,"Bill-to Customer No.")</t>
  </si>
  <si>
    <t>=NL("First","Customer","Credit Limit (LCY)","No.",$Y26)</t>
  </si>
  <si>
    <t>=NL("First","Customer","Balance","No.",$Y26)</t>
  </si>
  <si>
    <t>=IF(Z26=1,SUMIF($Y:$Y,$Y26,$V:$V)+AA26,SUMIF($Y:$Y,$Y26,$V:$V)+Z26+AA26)</t>
  </si>
  <si>
    <t>=NL("sum","Sales Header","Amount Including VAT","Sell-to Customer No.",$Y26)</t>
  </si>
  <si>
    <t>=NF($B26,AD$5)</t>
  </si>
  <si>
    <t>=NF($B26,AE$5)</t>
  </si>
  <si>
    <t>=NF($B26,AF$5)</t>
  </si>
  <si>
    <t>="""BC365 (SQL)"",""Somerset Timbers"",""36"",""1"",""Order"",""3"",""SF39633"""</t>
  </si>
  <si>
    <t>=NF($B27,"No.")</t>
  </si>
  <si>
    <t>=NF($B27,"Sell-to Customer Name")</t>
  </si>
  <si>
    <t>=NF($B27,H$5)</t>
  </si>
  <si>
    <t>=IF(S27="",@NL("first","Customer","Mobile Phone No.","No.",$Y27),IF(@NL("first","Ship-to Address","Phone No.","Code",$S27)="",@NL("first","Customer","Mobile Phone No.","No.",$Y27),@NL("first","Ship-to Address","Phone No.","Code",$S27)))</t>
  </si>
  <si>
    <t>=CONCATENATE(AD27," ,",AE27," ,",AF27)</t>
  </si>
  <si>
    <t>=IFERROR(NL("First","Area","Text","Code",$W27)," ")</t>
  </si>
  <si>
    <t>=NF($B27,P$5)</t>
  </si>
  <si>
    <t>=NF($B27,"Order Date")</t>
  </si>
  <si>
    <t>=NF($B27,"Transport Method")</t>
  </si>
  <si>
    <t>=NL("first","Sales Header","Ship-to Code","No.",$C27)</t>
  </si>
  <si>
    <t>=IF(@NF($B27,"Sell-to E-Mail")="",@NL("first","Customer","E-Mail.","No.",$Y27),@NF($B27,"Sell-to E-Mail"))</t>
  </si>
  <si>
    <t>=SUMIF(Weight!$C:$C,$C27,Weight!$I:$I)</t>
  </si>
  <si>
    <t>=NF($B27,"Amount Including VAT")</t>
  </si>
  <si>
    <t>=NF($B27,"Area")</t>
  </si>
  <si>
    <t>=NF($B27,"Salesperson Code")</t>
  </si>
  <si>
    <t>=NF($B27,"Bill-to Customer No.")</t>
  </si>
  <si>
    <t>=NL("First","Customer","Credit Limit (LCY)","No.",$Y27)</t>
  </si>
  <si>
    <t>=NL("First","Customer","Balance","No.",$Y27)</t>
  </si>
  <si>
    <t>=IF(Z27=1,SUMIF($Y:$Y,$Y27,$V:$V)+AA27,SUMIF($Y:$Y,$Y27,$V:$V)+Z27+AA27)</t>
  </si>
  <si>
    <t>=NL("sum","Sales Header","Amount Including VAT","Sell-to Customer No.",$Y27)</t>
  </si>
  <si>
    <t>=NF($B27,AD$5)</t>
  </si>
  <si>
    <t>=NF($B27,AE$5)</t>
  </si>
  <si>
    <t>=NF($B27,AF$5)</t>
  </si>
  <si>
    <t>="""BC365 (SQL)"",""Somerset Timbers"",""36"",""1"",""Order"",""3"",""SF40113"""</t>
  </si>
  <si>
    <t>=NF($B28,"No.")</t>
  </si>
  <si>
    <t>=NF($B28,"Sell-to Customer Name")</t>
  </si>
  <si>
    <t>=NF($B28,H$5)</t>
  </si>
  <si>
    <t>=IF(S28="",@NL("first","Customer","Mobile Phone No.","No.",$Y28),IF(@NL("first","Ship-to Address","Phone No.","Code",$S28)="",@NL("first","Customer","Mobile Phone No.","No.",$Y28),@NL("first","Ship-to Address","Phone No.","Code",$S28)))</t>
  </si>
  <si>
    <t>=CONCATENATE(AD28," ,",AE28," ,",AF28)</t>
  </si>
  <si>
    <t>=IFERROR(NL("First","Area","Text","Code",$W28)," ")</t>
  </si>
  <si>
    <t>=NF($B28,P$5)</t>
  </si>
  <si>
    <t>=NF($B28,"Order Date")</t>
  </si>
  <si>
    <t>=NF($B28,"Transport Method")</t>
  </si>
  <si>
    <t>=NL("first","Sales Header","Ship-to Code","No.",$C28)</t>
  </si>
  <si>
    <t>=IF(@NF($B28,"Sell-to E-Mail")="",@NL("first","Customer","E-Mail.","No.",$Y28),@NF($B28,"Sell-to E-Mail"))</t>
  </si>
  <si>
    <t>=SUMIF(Weight!$C:$C,$C28,Weight!$I:$I)</t>
  </si>
  <si>
    <t>=NF($B28,"Amount Including VAT")</t>
  </si>
  <si>
    <t>=NF($B28,"Area")</t>
  </si>
  <si>
    <t>=NF($B28,"Salesperson Code")</t>
  </si>
  <si>
    <t>=NF($B28,"Bill-to Customer No.")</t>
  </si>
  <si>
    <t>=NL("First","Customer","Credit Limit (LCY)","No.",$Y28)</t>
  </si>
  <si>
    <t>=NL("First","Customer","Balance","No.",$Y28)</t>
  </si>
  <si>
    <t>=IF(Z28=1,SUMIF($Y:$Y,$Y28,$V:$V)+AA28,SUMIF($Y:$Y,$Y28,$V:$V)+Z28+AA28)</t>
  </si>
  <si>
    <t>=NL("sum","Sales Header","Amount Including VAT","Sell-to Customer No.",$Y28)</t>
  </si>
  <si>
    <t>=NF($B28,AD$5)</t>
  </si>
  <si>
    <t>=NF($B28,AE$5)</t>
  </si>
  <si>
    <t>=NF($B28,AF$5)</t>
  </si>
  <si>
    <t>="""BC365 (SQL)"",""Somerset Timbers"",""36"",""1"",""Order"",""3"",""SF40605"""</t>
  </si>
  <si>
    <t>=NF($B29,"No.")</t>
  </si>
  <si>
    <t>=NF($B29,"Sell-to Customer Name")</t>
  </si>
  <si>
    <t>=NF($B29,H$5)</t>
  </si>
  <si>
    <t>=IF(S29="",@NL("first","Customer","Mobile Phone No.","No.",$Y29),IF(@NL("first","Ship-to Address","Phone No.","Code",$S29)="",@NL("first","Customer","Mobile Phone No.","No.",$Y29),@NL("first","Ship-to Address","Phone No.","Code",$S29)))</t>
  </si>
  <si>
    <t>=CONCATENATE(AD29," ,",AE29," ,",AF29)</t>
  </si>
  <si>
    <t>=IFERROR(NL("First","Area","Text","Code",$W29)," ")</t>
  </si>
  <si>
    <t>=NF($B29,P$5)</t>
  </si>
  <si>
    <t>=NF($B29,"Order Date")</t>
  </si>
  <si>
    <t>=NF($B29,"Transport Method")</t>
  </si>
  <si>
    <t>=NL("first","Sales Header","Ship-to Code","No.",$C29)</t>
  </si>
  <si>
    <t>=IF(@NF($B29,"Sell-to E-Mail")="",@NL("first","Customer","E-Mail.","No.",$Y29),@NF($B29,"Sell-to E-Mail"))</t>
  </si>
  <si>
    <t>=SUMIF(Weight!$C:$C,$C29,Weight!$I:$I)</t>
  </si>
  <si>
    <t>=NF($B29,"Amount Including VAT")</t>
  </si>
  <si>
    <t>=NF($B29,"Area")</t>
  </si>
  <si>
    <t>=NF($B29,"Salesperson Code")</t>
  </si>
  <si>
    <t>=NF($B29,"Bill-to Customer No.")</t>
  </si>
  <si>
    <t>=NL("First","Customer","Credit Limit (LCY)","No.",$Y29)</t>
  </si>
  <si>
    <t>=NL("First","Customer","Balance","No.",$Y29)</t>
  </si>
  <si>
    <t>=IF(Z29=1,SUMIF($Y:$Y,$Y29,$V:$V)+AA29,SUMIF($Y:$Y,$Y29,$V:$V)+Z29+AA29)</t>
  </si>
  <si>
    <t>=NL("sum","Sales Header","Amount Including VAT","Sell-to Customer No.",$Y29)</t>
  </si>
  <si>
    <t>=NF($B29,AD$5)</t>
  </si>
  <si>
    <t>=NF($B29,AE$5)</t>
  </si>
  <si>
    <t>=NF($B29,AF$5)</t>
  </si>
  <si>
    <t>="""BC365 (SQL)"",""Somerset Timbers"",""36"",""1"",""Order"",""3"",""SG00002"""</t>
  </si>
  <si>
    <t>=NF($B30,"No.")</t>
  </si>
  <si>
    <t>=NF($B30,"Sell-to Customer Name")</t>
  </si>
  <si>
    <t>=NF($B30,H$5)</t>
  </si>
  <si>
    <t>=IF(S30="",@NL("first","Customer","Mobile Phone No.","No.",$Y30),IF(@NL("first","Ship-to Address","Phone No.","Code",$S30)="",@NL("first","Customer","Mobile Phone No.","No.",$Y30),@NL("first","Ship-to Address","Phone No.","Code",$S30)))</t>
  </si>
  <si>
    <t>=CONCATENATE(AD30," ,",AE30," ,",AF30)</t>
  </si>
  <si>
    <t>=IFERROR(NL("First","Area","Text","Code",$W30)," ")</t>
  </si>
  <si>
    <t>=NF($B30,P$5)</t>
  </si>
  <si>
    <t>=NF($B30,"Order Date")</t>
  </si>
  <si>
    <t>=NF($B30,"Transport Method")</t>
  </si>
  <si>
    <t>=NL("first","Sales Header","Ship-to Code","No.",$C30)</t>
  </si>
  <si>
    <t>=IF(@NF($B30,"Sell-to E-Mail")="",@NL("first","Customer","E-Mail.","No.",$Y30),@NF($B30,"Sell-to E-Mail"))</t>
  </si>
  <si>
    <t>=SUMIF(Weight!$C:$C,$C30,Weight!$I:$I)</t>
  </si>
  <si>
    <t>=NF($B30,"Amount Including VAT")</t>
  </si>
  <si>
    <t>=NF($B30,"Area")</t>
  </si>
  <si>
    <t>=NF($B30,"Salesperson Code")</t>
  </si>
  <si>
    <t>=NF($B30,"Bill-to Customer No.")</t>
  </si>
  <si>
    <t>=NL("First","Customer","Credit Limit (LCY)","No.",$Y30)</t>
  </si>
  <si>
    <t>=NL("First","Customer","Balance","No.",$Y30)</t>
  </si>
  <si>
    <t>=IF(Z30=1,SUMIF($Y:$Y,$Y30,$V:$V)+AA30,SUMIF($Y:$Y,$Y30,$V:$V)+Z30+AA30)</t>
  </si>
  <si>
    <t>=NL("sum","Sales Header","Amount Including VAT","Sell-to Customer No.",$Y30)</t>
  </si>
  <si>
    <t>=NF($B30,AD$5)</t>
  </si>
  <si>
    <t>=NF($B30,AE$5)</t>
  </si>
  <si>
    <t>=NF($B30,AF$5)</t>
  </si>
  <si>
    <t>="""BC365 (SQL)"",""Somerset Timbers"",""36"",""1"",""Order"",""3"",""SG00230"""</t>
  </si>
  <si>
    <t>=NF($B31,"No.")</t>
  </si>
  <si>
    <t>=NF($B31,"Sell-to Customer Name")</t>
  </si>
  <si>
    <t>=NF($B31,H$5)</t>
  </si>
  <si>
    <t>=IF(S31="",@NL("first","Customer","Mobile Phone No.","No.",$Y31),IF(@NL("first","Ship-to Address","Phone No.","Code",$S31)="",@NL("first","Customer","Mobile Phone No.","No.",$Y31),@NL("first","Ship-to Address","Phone No.","Code",$S31)))</t>
  </si>
  <si>
    <t>=CONCATENATE(AD31," ,",AE31," ,",AF31)</t>
  </si>
  <si>
    <t>=IFERROR(NL("First","Area","Text","Code",$W31)," ")</t>
  </si>
  <si>
    <t>=NF($B31,P$5)</t>
  </si>
  <si>
    <t>=NF($B31,"Order Date")</t>
  </si>
  <si>
    <t>=NF($B31,"Transport Method")</t>
  </si>
  <si>
    <t>=NL("first","Sales Header","Ship-to Code","No.",$C31)</t>
  </si>
  <si>
    <t>=IF(@NF($B31,"Sell-to E-Mail")="",@NL("first","Customer","E-Mail.","No.",$Y31),@NF($B31,"Sell-to E-Mail"))</t>
  </si>
  <si>
    <t>=SUMIF(Weight!$C:$C,$C31,Weight!$I:$I)</t>
  </si>
  <si>
    <t>=NF($B31,"Amount Including VAT")</t>
  </si>
  <si>
    <t>=NF($B31,"Area")</t>
  </si>
  <si>
    <t>=NF($B31,"Salesperson Code")</t>
  </si>
  <si>
    <t>=NF($B31,"Bill-to Customer No.")</t>
  </si>
  <si>
    <t>=NL("First","Customer","Credit Limit (LCY)","No.",$Y31)</t>
  </si>
  <si>
    <t>=NL("First","Customer","Balance","No.",$Y31)</t>
  </si>
  <si>
    <t>=IF(Z31=1,SUMIF($Y:$Y,$Y31,$V:$V)+AA31,SUMIF($Y:$Y,$Y31,$V:$V)+Z31+AA31)</t>
  </si>
  <si>
    <t>=NL("sum","Sales Header","Amount Including VAT","Sell-to Customer No.",$Y31)</t>
  </si>
  <si>
    <t>=NF($B31,AD$5)</t>
  </si>
  <si>
    <t>=NF($B31,AE$5)</t>
  </si>
  <si>
    <t>=NF($B31,AF$5)</t>
  </si>
  <si>
    <t>="""BC365 (SQL)"",""Somerset Timbers"",""36"",""1"",""Order"",""3"",""SG00448"""</t>
  </si>
  <si>
    <t>=NF($B32,"No.")</t>
  </si>
  <si>
    <t>=NF($B32,"Sell-to Customer Name")</t>
  </si>
  <si>
    <t>=NF($B32,H$5)</t>
  </si>
  <si>
    <t>=IF(S32="",@NL("first","Customer","Mobile Phone No.","No.",$Y32),IF(@NL("first","Ship-to Address","Phone No.","Code",$S32)="",@NL("first","Customer","Mobile Phone No.","No.",$Y32),@NL("first","Ship-to Address","Phone No.","Code",$S32)))</t>
  </si>
  <si>
    <t>=CONCATENATE(AD32," ,",AE32," ,",AF32)</t>
  </si>
  <si>
    <t>=IFERROR(NL("First","Area","Text","Code",$W32)," ")</t>
  </si>
  <si>
    <t>=NF($B32,P$5)</t>
  </si>
  <si>
    <t>=NF($B32,"Order Date")</t>
  </si>
  <si>
    <t>=NF($B32,"Transport Method")</t>
  </si>
  <si>
    <t>=NL("first","Sales Header","Ship-to Code","No.",$C32)</t>
  </si>
  <si>
    <t>=IF(@NF($B32,"Sell-to E-Mail")="",@NL("first","Customer","E-Mail.","No.",$Y32),@NF($B32,"Sell-to E-Mail"))</t>
  </si>
  <si>
    <t>=SUMIF(Weight!$C:$C,$C32,Weight!$I:$I)</t>
  </si>
  <si>
    <t>=NF($B32,"Amount Including VAT")</t>
  </si>
  <si>
    <t>=NF($B32,"Area")</t>
  </si>
  <si>
    <t>=NF($B32,"Salesperson Code")</t>
  </si>
  <si>
    <t>=NF($B32,"Bill-to Customer No.")</t>
  </si>
  <si>
    <t>=NL("First","Customer","Credit Limit (LCY)","No.",$Y32)</t>
  </si>
  <si>
    <t>=NL("First","Customer","Balance","No.",$Y32)</t>
  </si>
  <si>
    <t>=IF(Z32=1,SUMIF($Y:$Y,$Y32,$V:$V)+AA32,SUMIF($Y:$Y,$Y32,$V:$V)+Z32+AA32)</t>
  </si>
  <si>
    <t>=NL("sum","Sales Header","Amount Including VAT","Sell-to Customer No.",$Y32)</t>
  </si>
  <si>
    <t>=NF($B32,AD$5)</t>
  </si>
  <si>
    <t>=NF($B32,AE$5)</t>
  </si>
  <si>
    <t>=NF($B32,AF$5)</t>
  </si>
  <si>
    <t>="""BC365 (SQL)"",""Somerset Timbers"",""36"",""1"",""Order"",""3"",""SG00455"""</t>
  </si>
  <si>
    <t>=NF($B33,"No.")</t>
  </si>
  <si>
    <t>=NF($B33,"Sell-to Customer Name")</t>
  </si>
  <si>
    <t>=NF($B33,H$5)</t>
  </si>
  <si>
    <t>=IF(S33="",@NL("first","Customer","Mobile Phone No.","No.",$Y33),IF(@NL("first","Ship-to Address","Phone No.","Code",$S33)="",@NL("first","Customer","Mobile Phone No.","No.",$Y33),@NL("first","Ship-to Address","Phone No.","Code",$S33)))</t>
  </si>
  <si>
    <t>=CONCATENATE(AD33," ,",AE33," ,",AF33)</t>
  </si>
  <si>
    <t>=IFERROR(NL("First","Area","Text","Code",$W33)," ")</t>
  </si>
  <si>
    <t>=NF($B33,P$5)</t>
  </si>
  <si>
    <t>=NF($B33,"Order Date")</t>
  </si>
  <si>
    <t>=NF($B33,"Transport Method")</t>
  </si>
  <si>
    <t>=NL("first","Sales Header","Ship-to Code","No.",$C33)</t>
  </si>
  <si>
    <t>=IF(@NF($B33,"Sell-to E-Mail")="",@NL("first","Customer","E-Mail.","No.",$Y33),@NF($B33,"Sell-to E-Mail"))</t>
  </si>
  <si>
    <t>=SUMIF(Weight!$C:$C,$C33,Weight!$I:$I)</t>
  </si>
  <si>
    <t>=NF($B33,"Amount Including VAT")</t>
  </si>
  <si>
    <t>=NF($B33,"Area")</t>
  </si>
  <si>
    <t>=NF($B33,"Salesperson Code")</t>
  </si>
  <si>
    <t>=NF($B33,"Bill-to Customer No.")</t>
  </si>
  <si>
    <t>=NL("First","Customer","Credit Limit (LCY)","No.",$Y33)</t>
  </si>
  <si>
    <t>=NL("First","Customer","Balance","No.",$Y33)</t>
  </si>
  <si>
    <t>=IF(Z33=1,SUMIF($Y:$Y,$Y33,$V:$V)+AA33,SUMIF($Y:$Y,$Y33,$V:$V)+Z33+AA33)</t>
  </si>
  <si>
    <t>=NL("sum","Sales Header","Amount Including VAT","Sell-to Customer No.",$Y33)</t>
  </si>
  <si>
    <t>=NF($B33,AD$5)</t>
  </si>
  <si>
    <t>=NF($B33,AE$5)</t>
  </si>
  <si>
    <t>=NF($B33,AF$5)</t>
  </si>
  <si>
    <t>="""BC365 (SQL)"",""Somerset Timbers"",""36"",""1"",""Order"",""3"",""SG00708"""</t>
  </si>
  <si>
    <t>=NF($B34,"No.")</t>
  </si>
  <si>
    <t>=NF($B34,"Sell-to Customer Name")</t>
  </si>
  <si>
    <t>=NF($B34,H$5)</t>
  </si>
  <si>
    <t>=IF(S34="",@NL("first","Customer","Mobile Phone No.","No.",$Y34),IF(@NL("first","Ship-to Address","Phone No.","Code",$S34)="",@NL("first","Customer","Mobile Phone No.","No.",$Y34),@NL("first","Ship-to Address","Phone No.","Code",$S34)))</t>
  </si>
  <si>
    <t>=CONCATENATE(AD34," ,",AE34," ,",AF34)</t>
  </si>
  <si>
    <t>=IFERROR(NL("First","Area","Text","Code",$W34)," ")</t>
  </si>
  <si>
    <t>=NF($B34,P$5)</t>
  </si>
  <si>
    <t>=NF($B34,"Order Date")</t>
  </si>
  <si>
    <t>=NF($B34,"Transport Method")</t>
  </si>
  <si>
    <t>=NL("first","Sales Header","Ship-to Code","No.",$C34)</t>
  </si>
  <si>
    <t>=IF(@NF($B34,"Sell-to E-Mail")="",@NL("first","Customer","E-Mail.","No.",$Y34),@NF($B34,"Sell-to E-Mail"))</t>
  </si>
  <si>
    <t>=SUMIF(Weight!$C:$C,$C34,Weight!$I:$I)</t>
  </si>
  <si>
    <t>=NF($B34,"Amount Including VAT")</t>
  </si>
  <si>
    <t>=NF($B34,"Area")</t>
  </si>
  <si>
    <t>=NF($B34,"Salesperson Code")</t>
  </si>
  <si>
    <t>=NF($B34,"Bill-to Customer No.")</t>
  </si>
  <si>
    <t>=NL("First","Customer","Credit Limit (LCY)","No.",$Y34)</t>
  </si>
  <si>
    <t>=NL("First","Customer","Balance","No.",$Y34)</t>
  </si>
  <si>
    <t>=IF(Z34=1,SUMIF($Y:$Y,$Y34,$V:$V)+AA34,SUMIF($Y:$Y,$Y34,$V:$V)+Z34+AA34)</t>
  </si>
  <si>
    <t>=NL("sum","Sales Header","Amount Including VAT","Sell-to Customer No.",$Y34)</t>
  </si>
  <si>
    <t>=NF($B34,AD$5)</t>
  </si>
  <si>
    <t>=NF($B34,AE$5)</t>
  </si>
  <si>
    <t>=NF($B34,AF$5)</t>
  </si>
  <si>
    <t>="""BC365 (SQL)"",""Somerset Timbers"",""36"",""1"",""Order"",""3"",""SG00828"""</t>
  </si>
  <si>
    <t>=NF($B35,"No.")</t>
  </si>
  <si>
    <t>=NF($B35,"Sell-to Customer Name")</t>
  </si>
  <si>
    <t>=NF($B35,H$5)</t>
  </si>
  <si>
    <t>=IF(S35="",@NL("first","Customer","Mobile Phone No.","No.",$Y35),IF(@NL("first","Ship-to Address","Phone No.","Code",$S35)="",@NL("first","Customer","Mobile Phone No.","No.",$Y35),@NL("first","Ship-to Address","Phone No.","Code",$S35)))</t>
  </si>
  <si>
    <t>=CONCATENATE(AD35," ,",AE35," ,",AF35)</t>
  </si>
  <si>
    <t>=IFERROR(NL("First","Area","Text","Code",$W35)," ")</t>
  </si>
  <si>
    <t>=NF($B35,P$5)</t>
  </si>
  <si>
    <t>=NF($B35,"Order Date")</t>
  </si>
  <si>
    <t>=NF($B35,"Transport Method")</t>
  </si>
  <si>
    <t>=NL("first","Sales Header","Ship-to Code","No.",$C35)</t>
  </si>
  <si>
    <t>=IF(@NF($B35,"Sell-to E-Mail")="",@NL("first","Customer","E-Mail.","No.",$Y35),@NF($B35,"Sell-to E-Mail"))</t>
  </si>
  <si>
    <t>=SUMIF(Weight!$C:$C,$C35,Weight!$I:$I)</t>
  </si>
  <si>
    <t>=NF($B35,"Amount Including VAT")</t>
  </si>
  <si>
    <t>=NF($B35,"Area")</t>
  </si>
  <si>
    <t>=NF($B35,"Salesperson Code")</t>
  </si>
  <si>
    <t>=NF($B35,"Bill-to Customer No.")</t>
  </si>
  <si>
    <t>=NL("First","Customer","Credit Limit (LCY)","No.",$Y35)</t>
  </si>
  <si>
    <t>=NL("First","Customer","Balance","No.",$Y35)</t>
  </si>
  <si>
    <t>=IF(Z35=1,SUMIF($Y:$Y,$Y35,$V:$V)+AA35,SUMIF($Y:$Y,$Y35,$V:$V)+Z35+AA35)</t>
  </si>
  <si>
    <t>=NL("sum","Sales Header","Amount Including VAT","Sell-to Customer No.",$Y35)</t>
  </si>
  <si>
    <t>=NF($B35,AD$5)</t>
  </si>
  <si>
    <t>=NF($B35,AE$5)</t>
  </si>
  <si>
    <t>=NF($B35,AF$5)</t>
  </si>
  <si>
    <t>="""BC365 (SQL)"",""Somerset Timbers"",""36"",""1"",""Order"",""3"",""SG00984"""</t>
  </si>
  <si>
    <t>=NF($B36,"No.")</t>
  </si>
  <si>
    <t>=NF($B36,"Sell-to Customer Name")</t>
  </si>
  <si>
    <t>=NF($B36,H$5)</t>
  </si>
  <si>
    <t>=IF(S36="",@NL("first","Customer","Mobile Phone No.","No.",$Y36),IF(@NL("first","Ship-to Address","Phone No.","Code",$S36)="",@NL("first","Customer","Mobile Phone No.","No.",$Y36),@NL("first","Ship-to Address","Phone No.","Code",$S36)))</t>
  </si>
  <si>
    <t>=CONCATENATE(AD36," ,",AE36," ,",AF36)</t>
  </si>
  <si>
    <t>=IFERROR(NL("First","Area","Text","Code",$W36)," ")</t>
  </si>
  <si>
    <t>=NF($B36,P$5)</t>
  </si>
  <si>
    <t>=NF($B36,"Order Date")</t>
  </si>
  <si>
    <t>=NF($B36,"Transport Method")</t>
  </si>
  <si>
    <t>=NL("first","Sales Header","Ship-to Code","No.",$C36)</t>
  </si>
  <si>
    <t>=IF(@NF($B36,"Sell-to E-Mail")="",@NL("first","Customer","E-Mail.","No.",$Y36),@NF($B36,"Sell-to E-Mail"))</t>
  </si>
  <si>
    <t>=SUMIF(Weight!$C:$C,$C36,Weight!$I:$I)</t>
  </si>
  <si>
    <t>=NF($B36,"Amount Including VAT")</t>
  </si>
  <si>
    <t>=NF($B36,"Area")</t>
  </si>
  <si>
    <t>=NF($B36,"Salesperson Code")</t>
  </si>
  <si>
    <t>=NF($B36,"Bill-to Customer No.")</t>
  </si>
  <si>
    <t>=NL("First","Customer","Credit Limit (LCY)","No.",$Y36)</t>
  </si>
  <si>
    <t>=NL("First","Customer","Balance","No.",$Y36)</t>
  </si>
  <si>
    <t>=IF(Z36=1,SUMIF($Y:$Y,$Y36,$V:$V)+AA36,SUMIF($Y:$Y,$Y36,$V:$V)+Z36+AA36)</t>
  </si>
  <si>
    <t>=NL("sum","Sales Header","Amount Including VAT","Sell-to Customer No.",$Y36)</t>
  </si>
  <si>
    <t>=NF($B36,AD$5)</t>
  </si>
  <si>
    <t>=NF($B36,AE$5)</t>
  </si>
  <si>
    <t>=NF($B36,AF$5)</t>
  </si>
  <si>
    <t>="""BC365 (SQL)"",""Somerset Timbers"",""36"",""1"",""Order"",""3"",""SG00985"""</t>
  </si>
  <si>
    <t>=NF($B37,"No.")</t>
  </si>
  <si>
    <t>=NF($B37,"Sell-to Customer Name")</t>
  </si>
  <si>
    <t>=NF($B37,H$5)</t>
  </si>
  <si>
    <t>=IF(S37="",@NL("first","Customer","Mobile Phone No.","No.",$Y37),IF(@NL("first","Ship-to Address","Phone No.","Code",$S37)="",@NL("first","Customer","Mobile Phone No.","No.",$Y37),@NL("first","Ship-to Address","Phone No.","Code",$S37)))</t>
  </si>
  <si>
    <t>=CONCATENATE(AD37," ,",AE37," ,",AF37)</t>
  </si>
  <si>
    <t>=IFERROR(NL("First","Area","Text","Code",$W37)," ")</t>
  </si>
  <si>
    <t>=NF($B37,P$5)</t>
  </si>
  <si>
    <t>=NF($B37,"Order Date")</t>
  </si>
  <si>
    <t>=NF($B37,"Transport Method")</t>
  </si>
  <si>
    <t>=NL("first","Sales Header","Ship-to Code","No.",$C37)</t>
  </si>
  <si>
    <t>=IF(@NF($B37,"Sell-to E-Mail")="",@NL("first","Customer","E-Mail.","No.",$Y37),@NF($B37,"Sell-to E-Mail"))</t>
  </si>
  <si>
    <t>=SUMIF(Weight!$C:$C,$C37,Weight!$I:$I)</t>
  </si>
  <si>
    <t>=NF($B37,"Amount Including VAT")</t>
  </si>
  <si>
    <t>=NF($B37,"Area")</t>
  </si>
  <si>
    <t>=NF($B37,"Salesperson Code")</t>
  </si>
  <si>
    <t>=NF($B37,"Bill-to Customer No.")</t>
  </si>
  <si>
    <t>=NL("First","Customer","Credit Limit (LCY)","No.",$Y37)</t>
  </si>
  <si>
    <t>=NL("First","Customer","Balance","No.",$Y37)</t>
  </si>
  <si>
    <t>=IF(Z37=1,SUMIF($Y:$Y,$Y37,$V:$V)+AA37,SUMIF($Y:$Y,$Y37,$V:$V)+Z37+AA37)</t>
  </si>
  <si>
    <t>=NL("sum","Sales Header","Amount Including VAT","Sell-to Customer No.",$Y37)</t>
  </si>
  <si>
    <t>=NF($B37,AD$5)</t>
  </si>
  <si>
    <t>=NF($B37,AE$5)</t>
  </si>
  <si>
    <t>=NF($B37,AF$5)</t>
  </si>
  <si>
    <t>="""BC365 (SQL)"",""Somerset Timbers"",""36"",""1"",""Order"",""3"",""SG01029"""</t>
  </si>
  <si>
    <t>=NF($B38,"No.")</t>
  </si>
  <si>
    <t>=NF($B38,"Sell-to Customer Name")</t>
  </si>
  <si>
    <t>=NF($B38,H$5)</t>
  </si>
  <si>
    <t>=IF(S38="",@NL("first","Customer","Mobile Phone No.","No.",$Y38),IF(@NL("first","Ship-to Address","Phone No.","Code",$S38)="",@NL("first","Customer","Mobile Phone No.","No.",$Y38),@NL("first","Ship-to Address","Phone No.","Code",$S38)))</t>
  </si>
  <si>
    <t>=CONCATENATE(AD38," ,",AE38," ,",AF38)</t>
  </si>
  <si>
    <t>=IFERROR(NL("First","Area","Text","Code",$W38)," ")</t>
  </si>
  <si>
    <t>=NF($B38,P$5)</t>
  </si>
  <si>
    <t>=NF($B38,"Order Date")</t>
  </si>
  <si>
    <t>=NF($B38,"Transport Method")</t>
  </si>
  <si>
    <t>=NL("first","Sales Header","Ship-to Code","No.",$C38)</t>
  </si>
  <si>
    <t>=IF(@NF($B38,"Sell-to E-Mail")="",@NL("first","Customer","E-Mail.","No.",$Y38),@NF($B38,"Sell-to E-Mail"))</t>
  </si>
  <si>
    <t>=SUMIF(Weight!$C:$C,$C38,Weight!$I:$I)</t>
  </si>
  <si>
    <t>=NF($B38,"Amount Including VAT")</t>
  </si>
  <si>
    <t>=NF($B38,"Area")</t>
  </si>
  <si>
    <t>=NF($B38,"Salesperson Code")</t>
  </si>
  <si>
    <t>=NF($B38,"Bill-to Customer No.")</t>
  </si>
  <si>
    <t>=NL("First","Customer","Credit Limit (LCY)","No.",$Y38)</t>
  </si>
  <si>
    <t>=NL("First","Customer","Balance","No.",$Y38)</t>
  </si>
  <si>
    <t>=IF(Z38=1,SUMIF($Y:$Y,$Y38,$V:$V)+AA38,SUMIF($Y:$Y,$Y38,$V:$V)+Z38+AA38)</t>
  </si>
  <si>
    <t>=NL("sum","Sales Header","Amount Including VAT","Sell-to Customer No.",$Y38)</t>
  </si>
  <si>
    <t>=NF($B38,AD$5)</t>
  </si>
  <si>
    <t>=NF($B38,AE$5)</t>
  </si>
  <si>
    <t>=NF($B38,AF$5)</t>
  </si>
  <si>
    <t>="""BC365 (SQL)"",""Somerset Timbers"",""36"",""1"",""Order"",""3"",""SG01060"""</t>
  </si>
  <si>
    <t>=NF($B39,"No.")</t>
  </si>
  <si>
    <t>=NF($B39,"Sell-to Customer Name")</t>
  </si>
  <si>
    <t>=NF($B39,H$5)</t>
  </si>
  <si>
    <t>=IF(S39="",@NL("first","Customer","Mobile Phone No.","No.",$Y39),IF(@NL("first","Ship-to Address","Phone No.","Code",$S39)="",@NL("first","Customer","Mobile Phone No.","No.",$Y39),@NL("first","Ship-to Address","Phone No.","Code",$S39)))</t>
  </si>
  <si>
    <t>=CONCATENATE(AD39," ,",AE39," ,",AF39)</t>
  </si>
  <si>
    <t>=IFERROR(NL("First","Area","Text","Code",$W39)," ")</t>
  </si>
  <si>
    <t>=NF($B39,P$5)</t>
  </si>
  <si>
    <t>=NF($B39,"Order Date")</t>
  </si>
  <si>
    <t>=NF($B39,"Transport Method")</t>
  </si>
  <si>
    <t>=NL("first","Sales Header","Ship-to Code","No.",$C39)</t>
  </si>
  <si>
    <t>=IF(@NF($B39,"Sell-to E-Mail")="",@NL("first","Customer","E-Mail.","No.",$Y39),@NF($B39,"Sell-to E-Mail"))</t>
  </si>
  <si>
    <t>=SUMIF(Weight!$C:$C,$C39,Weight!$I:$I)</t>
  </si>
  <si>
    <t>=NF($B39,"Amount Including VAT")</t>
  </si>
  <si>
    <t>=NF($B39,"Area")</t>
  </si>
  <si>
    <t>=NF($B39,"Salesperson Code")</t>
  </si>
  <si>
    <t>=NF($B39,"Bill-to Customer No.")</t>
  </si>
  <si>
    <t>=NL("First","Customer","Credit Limit (LCY)","No.",$Y39)</t>
  </si>
  <si>
    <t>=NL("First","Customer","Balance","No.",$Y39)</t>
  </si>
  <si>
    <t>=IF(Z39=1,SUMIF($Y:$Y,$Y39,$V:$V)+AA39,SUMIF($Y:$Y,$Y39,$V:$V)+Z39+AA39)</t>
  </si>
  <si>
    <t>=NL("sum","Sales Header","Amount Including VAT","Sell-to Customer No.",$Y39)</t>
  </si>
  <si>
    <t>=NF($B39,AD$5)</t>
  </si>
  <si>
    <t>=NF($B39,AE$5)</t>
  </si>
  <si>
    <t>=NF($B39,AF$5)</t>
  </si>
  <si>
    <t>="""BC365 (SQL)"",""Somerset Timbers"",""36"",""1"",""Order"",""3"",""SG01064"""</t>
  </si>
  <si>
    <t>=NF($B40,"No.")</t>
  </si>
  <si>
    <t>=NF($B40,"Sell-to Customer Name")</t>
  </si>
  <si>
    <t>=NF($B40,H$5)</t>
  </si>
  <si>
    <t>=IF(S40="",@NL("first","Customer","Mobile Phone No.","No.",$Y40),IF(@NL("first","Ship-to Address","Phone No.","Code",$S40)="",@NL("first","Customer","Mobile Phone No.","No.",$Y40),@NL("first","Ship-to Address","Phone No.","Code",$S40)))</t>
  </si>
  <si>
    <t>=CONCATENATE(AD40," ,",AE40," ,",AF40)</t>
  </si>
  <si>
    <t>=IFERROR(NL("First","Area","Text","Code",$W40)," ")</t>
  </si>
  <si>
    <t>=NF($B40,P$5)</t>
  </si>
  <si>
    <t>=NF($B40,"Order Date")</t>
  </si>
  <si>
    <t>=NF($B40,"Transport Method")</t>
  </si>
  <si>
    <t>=NL("first","Sales Header","Ship-to Code","No.",$C40)</t>
  </si>
  <si>
    <t>=IF(@NF($B40,"Sell-to E-Mail")="",@NL("first","Customer","E-Mail.","No.",$Y40),@NF($B40,"Sell-to E-Mail"))</t>
  </si>
  <si>
    <t>=SUMIF(Weight!$C:$C,$C40,Weight!$I:$I)</t>
  </si>
  <si>
    <t>=NF($B40,"Amount Including VAT")</t>
  </si>
  <si>
    <t>=NF($B40,"Area")</t>
  </si>
  <si>
    <t>=NF($B40,"Salesperson Code")</t>
  </si>
  <si>
    <t>=NF($B40,"Bill-to Customer No.")</t>
  </si>
  <si>
    <t>=NL("First","Customer","Credit Limit (LCY)","No.",$Y40)</t>
  </si>
  <si>
    <t>=NL("First","Customer","Balance","No.",$Y40)</t>
  </si>
  <si>
    <t>=IF(Z40=1,SUMIF($Y:$Y,$Y40,$V:$V)+AA40,SUMIF($Y:$Y,$Y40,$V:$V)+Z40+AA40)</t>
  </si>
  <si>
    <t>=NL("sum","Sales Header","Amount Including VAT","Sell-to Customer No.",$Y40)</t>
  </si>
  <si>
    <t>=NF($B40,AD$5)</t>
  </si>
  <si>
    <t>=NF($B40,AE$5)</t>
  </si>
  <si>
    <t>=NF($B40,AF$5)</t>
  </si>
  <si>
    <t>="""BC365 (SQL)"",""Somerset Timbers"",""36"",""1"",""Order"",""3"",""SG01070"""</t>
  </si>
  <si>
    <t>=NF($B41,"No.")</t>
  </si>
  <si>
    <t>=NF($B41,"Sell-to Customer Name")</t>
  </si>
  <si>
    <t>=NF($B41,H$5)</t>
  </si>
  <si>
    <t>=IF(S41="",@NL("first","Customer","Mobile Phone No.","No.",$Y41),IF(@NL("first","Ship-to Address","Phone No.","Code",$S41)="",@NL("first","Customer","Mobile Phone No.","No.",$Y41),@NL("first","Ship-to Address","Phone No.","Code",$S41)))</t>
  </si>
  <si>
    <t>=CONCATENATE(AD41," ,",AE41," ,",AF41)</t>
  </si>
  <si>
    <t>=IFERROR(NL("First","Area","Text","Code",$W41)," ")</t>
  </si>
  <si>
    <t>=NF($B41,P$5)</t>
  </si>
  <si>
    <t>=NF($B41,"Order Date")</t>
  </si>
  <si>
    <t>=NF($B41,"Transport Method")</t>
  </si>
  <si>
    <t>=NL("first","Sales Header","Ship-to Code","No.",$C41)</t>
  </si>
  <si>
    <t>=IF(@NF($B41,"Sell-to E-Mail")="",@NL("first","Customer","E-Mail.","No.",$Y41),@NF($B41,"Sell-to E-Mail"))</t>
  </si>
  <si>
    <t>=SUMIF(Weight!$C:$C,$C41,Weight!$I:$I)</t>
  </si>
  <si>
    <t>=NF($B41,"Amount Including VAT")</t>
  </si>
  <si>
    <t>=NF($B41,"Area")</t>
  </si>
  <si>
    <t>=NF($B41,"Salesperson Code")</t>
  </si>
  <si>
    <t>=NF($B41,"Bill-to Customer No.")</t>
  </si>
  <si>
    <t>=NL("First","Customer","Credit Limit (LCY)","No.",$Y41)</t>
  </si>
  <si>
    <t>=NL("First","Customer","Balance","No.",$Y41)</t>
  </si>
  <si>
    <t>=IF(Z41=1,SUMIF($Y:$Y,$Y41,$V:$V)+AA41,SUMIF($Y:$Y,$Y41,$V:$V)+Z41+AA41)</t>
  </si>
  <si>
    <t>=NL("sum","Sales Header","Amount Including VAT","Sell-to Customer No.",$Y41)</t>
  </si>
  <si>
    <t>=NF($B41,AD$5)</t>
  </si>
  <si>
    <t>=NF($B41,AE$5)</t>
  </si>
  <si>
    <t>=NF($B41,AF$5)</t>
  </si>
  <si>
    <t>="""BC365 (SQL)"",""Somerset Timbers"",""36"",""1"",""Order"",""3"",""SG01071"""</t>
  </si>
  <si>
    <t>=NF($B42,"No.")</t>
  </si>
  <si>
    <t>=NF($B42,"Sell-to Customer Name")</t>
  </si>
  <si>
    <t>=NF($B42,H$5)</t>
  </si>
  <si>
    <t>=IF(S42="",@NL("first","Customer","Mobile Phone No.","No.",$Y42),IF(@NL("first","Ship-to Address","Phone No.","Code",$S42)="",@NL("first","Customer","Mobile Phone No.","No.",$Y42),@NL("first","Ship-to Address","Phone No.","Code",$S42)))</t>
  </si>
  <si>
    <t>=CONCATENATE(AD42," ,",AE42," ,",AF42)</t>
  </si>
  <si>
    <t>=IFERROR(NL("First","Area","Text","Code",$W42)," ")</t>
  </si>
  <si>
    <t>=NF($B42,P$5)</t>
  </si>
  <si>
    <t>=NF($B42,"Order Date")</t>
  </si>
  <si>
    <t>=NF($B42,"Transport Method")</t>
  </si>
  <si>
    <t>=NL("first","Sales Header","Ship-to Code","No.",$C42)</t>
  </si>
  <si>
    <t>=IF(@NF($B42,"Sell-to E-Mail")="",@NL("first","Customer","E-Mail.","No.",$Y42),@NF($B42,"Sell-to E-Mail"))</t>
  </si>
  <si>
    <t>=SUMIF(Weight!$C:$C,$C42,Weight!$I:$I)</t>
  </si>
  <si>
    <t>=NF($B42,"Amount Including VAT")</t>
  </si>
  <si>
    <t>=NF($B42,"Area")</t>
  </si>
  <si>
    <t>=NF($B42,"Salesperson Code")</t>
  </si>
  <si>
    <t>=NF($B42,"Bill-to Customer No.")</t>
  </si>
  <si>
    <t>=NL("First","Customer","Credit Limit (LCY)","No.",$Y42)</t>
  </si>
  <si>
    <t>=NL("First","Customer","Balance","No.",$Y42)</t>
  </si>
  <si>
    <t>=IF(Z42=1,SUMIF($Y:$Y,$Y42,$V:$V)+AA42,SUMIF($Y:$Y,$Y42,$V:$V)+Z42+AA42)</t>
  </si>
  <si>
    <t>=NL("sum","Sales Header","Amount Including VAT","Sell-to Customer No.",$Y42)</t>
  </si>
  <si>
    <t>=NF($B42,AD$5)</t>
  </si>
  <si>
    <t>=NF($B42,AE$5)</t>
  </si>
  <si>
    <t>=NF($B42,AF$5)</t>
  </si>
  <si>
    <t>="""BC365 (SQL)"",""Somerset Timbers"",""36"",""1"",""Order"",""3"",""SG01083"""</t>
  </si>
  <si>
    <t>=NF($B43,"No.")</t>
  </si>
  <si>
    <t>=NF($B43,"Sell-to Customer Name")</t>
  </si>
  <si>
    <t>=NF($B43,H$5)</t>
  </si>
  <si>
    <t>=IF(S43="",@NL("first","Customer","Mobile Phone No.","No.",$Y43),IF(@NL("first","Ship-to Address","Phone No.","Code",$S43)="",@NL("first","Customer","Mobile Phone No.","No.",$Y43),@NL("first","Ship-to Address","Phone No.","Code",$S43)))</t>
  </si>
  <si>
    <t>=CONCATENATE(AD43," ,",AE43," ,",AF43)</t>
  </si>
  <si>
    <t>=IFERROR(NL("First","Area","Text","Code",$W43)," ")</t>
  </si>
  <si>
    <t>=NF($B43,P$5)</t>
  </si>
  <si>
    <t>=NF($B43,"Order Date")</t>
  </si>
  <si>
    <t>=NF($B43,"Transport Method")</t>
  </si>
  <si>
    <t>=NL("first","Sales Header","Ship-to Code","No.",$C43)</t>
  </si>
  <si>
    <t>=IF(@NF($B43,"Sell-to E-Mail")="",@NL("first","Customer","E-Mail.","No.",$Y43),@NF($B43,"Sell-to E-Mail"))</t>
  </si>
  <si>
    <t>=SUMIF(Weight!$C:$C,$C43,Weight!$I:$I)</t>
  </si>
  <si>
    <t>=NF($B43,"Amount Including VAT")</t>
  </si>
  <si>
    <t>=NF($B43,"Area")</t>
  </si>
  <si>
    <t>=NF($B43,"Salesperson Code")</t>
  </si>
  <si>
    <t>=NF($B43,"Bill-to Customer No.")</t>
  </si>
  <si>
    <t>=NL("First","Customer","Credit Limit (LCY)","No.",$Y43)</t>
  </si>
  <si>
    <t>=NL("First","Customer","Balance","No.",$Y43)</t>
  </si>
  <si>
    <t>=IF(Z43=1,SUMIF($Y:$Y,$Y43,$V:$V)+AA43,SUMIF($Y:$Y,$Y43,$V:$V)+Z43+AA43)</t>
  </si>
  <si>
    <t>=NL("sum","Sales Header","Amount Including VAT","Sell-to Customer No.",$Y43)</t>
  </si>
  <si>
    <t>=NF($B43,AD$5)</t>
  </si>
  <si>
    <t>=NF($B43,AE$5)</t>
  </si>
  <si>
    <t>=NF($B43,AF$5)</t>
  </si>
  <si>
    <t>="""BC365 (SQL)"",""Somerset Timbers"",""36"",""1"",""Order"",""3"",""SG01112"""</t>
  </si>
  <si>
    <t>=NF($B44,"No.")</t>
  </si>
  <si>
    <t>=NF($B44,"Sell-to Customer Name")</t>
  </si>
  <si>
    <t>=NF($B44,H$5)</t>
  </si>
  <si>
    <t>=IF(S44="",@NL("first","Customer","Mobile Phone No.","No.",$Y44),IF(@NL("first","Ship-to Address","Phone No.","Code",$S44)="",@NL("first","Customer","Mobile Phone No.","No.",$Y44),@NL("first","Ship-to Address","Phone No.","Code",$S44)))</t>
  </si>
  <si>
    <t>=CONCATENATE(AD44," ,",AE44," ,",AF44)</t>
  </si>
  <si>
    <t>=IFERROR(NL("First","Area","Text","Code",$W44)," ")</t>
  </si>
  <si>
    <t>=NF($B44,P$5)</t>
  </si>
  <si>
    <t>=NF($B44,"Order Date")</t>
  </si>
  <si>
    <t>=NF($B44,"Transport Method")</t>
  </si>
  <si>
    <t>=NL("first","Sales Header","Ship-to Code","No.",$C44)</t>
  </si>
  <si>
    <t>=IF(@NF($B44,"Sell-to E-Mail")="",@NL("first","Customer","E-Mail.","No.",$Y44),@NF($B44,"Sell-to E-Mail"))</t>
  </si>
  <si>
    <t>=SUMIF(Weight!$C:$C,$C44,Weight!$I:$I)</t>
  </si>
  <si>
    <t>=NF($B44,"Amount Including VAT")</t>
  </si>
  <si>
    <t>=NF($B44,"Area")</t>
  </si>
  <si>
    <t>=NF($B44,"Salesperson Code")</t>
  </si>
  <si>
    <t>=NF($B44,"Bill-to Customer No.")</t>
  </si>
  <si>
    <t>=NL("First","Customer","Credit Limit (LCY)","No.",$Y44)</t>
  </si>
  <si>
    <t>=NL("First","Customer","Balance","No.",$Y44)</t>
  </si>
  <si>
    <t>=IF(Z44=1,SUMIF($Y:$Y,$Y44,$V:$V)+AA44,SUMIF($Y:$Y,$Y44,$V:$V)+Z44+AA44)</t>
  </si>
  <si>
    <t>=NL("sum","Sales Header","Amount Including VAT","Sell-to Customer No.",$Y44)</t>
  </si>
  <si>
    <t>=NF($B44,AD$5)</t>
  </si>
  <si>
    <t>=NF($B44,AE$5)</t>
  </si>
  <si>
    <t>=NF($B44,AF$5)</t>
  </si>
  <si>
    <t>="""BC365 (SQL)"",""Somerset Timbers"",""36"",""1"",""Order"",""3"",""SG01124"""</t>
  </si>
  <si>
    <t>=NF($B45,"No.")</t>
  </si>
  <si>
    <t>=NF($B45,"Sell-to Customer Name")</t>
  </si>
  <si>
    <t>=NF($B45,H$5)</t>
  </si>
  <si>
    <t>=IF(S45="",@NL("first","Customer","Mobile Phone No.","No.",$Y45),IF(@NL("first","Ship-to Address","Phone No.","Code",$S45)="",@NL("first","Customer","Mobile Phone No.","No.",$Y45),@NL("first","Ship-to Address","Phone No.","Code",$S45)))</t>
  </si>
  <si>
    <t>=CONCATENATE(AD45," ,",AE45," ,",AF45)</t>
  </si>
  <si>
    <t>=IFERROR(NL("First","Area","Text","Code",$W45)," ")</t>
  </si>
  <si>
    <t>=NF($B45,P$5)</t>
  </si>
  <si>
    <t>=NF($B45,"Order Date")</t>
  </si>
  <si>
    <t>=NF($B45,"Transport Method")</t>
  </si>
  <si>
    <t>=NL("first","Sales Header","Ship-to Code","No.",$C45)</t>
  </si>
  <si>
    <t>=IF(@NF($B45,"Sell-to E-Mail")="",@NL("first","Customer","E-Mail.","No.",$Y45),@NF($B45,"Sell-to E-Mail"))</t>
  </si>
  <si>
    <t>=SUMIF(Weight!$C:$C,$C45,Weight!$I:$I)</t>
  </si>
  <si>
    <t>=NF($B45,"Amount Including VAT")</t>
  </si>
  <si>
    <t>=NF($B45,"Area")</t>
  </si>
  <si>
    <t>=NF($B45,"Salesperson Code")</t>
  </si>
  <si>
    <t>=NF($B45,"Bill-to Customer No.")</t>
  </si>
  <si>
    <t>=NL("First","Customer","Credit Limit (LCY)","No.",$Y45)</t>
  </si>
  <si>
    <t>=NL("First","Customer","Balance","No.",$Y45)</t>
  </si>
  <si>
    <t>=IF(Z45=1,SUMIF($Y:$Y,$Y45,$V:$V)+AA45,SUMIF($Y:$Y,$Y45,$V:$V)+Z45+AA45)</t>
  </si>
  <si>
    <t>=NL("sum","Sales Header","Amount Including VAT","Sell-to Customer No.",$Y45)</t>
  </si>
  <si>
    <t>=NF($B45,AD$5)</t>
  </si>
  <si>
    <t>=NF($B45,AE$5)</t>
  </si>
  <si>
    <t>=NF($B45,AF$5)</t>
  </si>
  <si>
    <t>="""BC365 (SQL)"",""Somerset Timbers"",""36"",""1"",""Order"",""3"",""SG01128"""</t>
  </si>
  <si>
    <t>=NF($B46,"No.")</t>
  </si>
  <si>
    <t>=NF($B46,"Sell-to Customer Name")</t>
  </si>
  <si>
    <t>=NF($B46,H$5)</t>
  </si>
  <si>
    <t>=IF(S46="",@NL("first","Customer","Mobile Phone No.","No.",$Y46),IF(@NL("first","Ship-to Address","Phone No.","Code",$S46)="",@NL("first","Customer","Mobile Phone No.","No.",$Y46),@NL("first","Ship-to Address","Phone No.","Code",$S46)))</t>
  </si>
  <si>
    <t>=CONCATENATE(AD46," ,",AE46," ,",AF46)</t>
  </si>
  <si>
    <t>=IFERROR(NL("First","Area","Text","Code",$W46)," ")</t>
  </si>
  <si>
    <t>=NF($B46,P$5)</t>
  </si>
  <si>
    <t>=NF($B46,"Order Date")</t>
  </si>
  <si>
    <t>=NF($B46,"Transport Method")</t>
  </si>
  <si>
    <t>=NL("first","Sales Header","Ship-to Code","No.",$C46)</t>
  </si>
  <si>
    <t>=IF(@NF($B46,"Sell-to E-Mail")="",@NL("first","Customer","E-Mail.","No.",$Y46),@NF($B46,"Sell-to E-Mail"))</t>
  </si>
  <si>
    <t>=SUMIF(Weight!$C:$C,$C46,Weight!$I:$I)</t>
  </si>
  <si>
    <t>=NF($B46,"Amount Including VAT")</t>
  </si>
  <si>
    <t>=NF($B46,"Area")</t>
  </si>
  <si>
    <t>=NF($B46,"Salesperson Code")</t>
  </si>
  <si>
    <t>=NF($B46,"Bill-to Customer No.")</t>
  </si>
  <si>
    <t>=NL("First","Customer","Credit Limit (LCY)","No.",$Y46)</t>
  </si>
  <si>
    <t>=NL("First","Customer","Balance","No.",$Y46)</t>
  </si>
  <si>
    <t>=IF(Z46=1,SUMIF($Y:$Y,$Y46,$V:$V)+AA46,SUMIF($Y:$Y,$Y46,$V:$V)+Z46+AA46)</t>
  </si>
  <si>
    <t>=NL("sum","Sales Header","Amount Including VAT","Sell-to Customer No.",$Y46)</t>
  </si>
  <si>
    <t>=NF($B46,AD$5)</t>
  </si>
  <si>
    <t>=NF($B46,AE$5)</t>
  </si>
  <si>
    <t>=NF($B46,AF$5)</t>
  </si>
  <si>
    <t>="""BC365 (SQL)"",""Somerset Timbers"",""36"",""1"",""Order"",""3"",""SG01129"""</t>
  </si>
  <si>
    <t>=NF($B47,"No.")</t>
  </si>
  <si>
    <t>=NF($B47,"Sell-to Customer Name")</t>
  </si>
  <si>
    <t>=NF($B47,H$5)</t>
  </si>
  <si>
    <t>=IF(S47="",@NL("first","Customer","Mobile Phone No.","No.",$Y47),IF(@NL("first","Ship-to Address","Phone No.","Code",$S47)="",@NL("first","Customer","Mobile Phone No.","No.",$Y47),@NL("first","Ship-to Address","Phone No.","Code",$S47)))</t>
  </si>
  <si>
    <t>=CONCATENATE(AD47," ,",AE47," ,",AF47)</t>
  </si>
  <si>
    <t>=IFERROR(NL("First","Area","Text","Code",$W47)," ")</t>
  </si>
  <si>
    <t>=NF($B47,P$5)</t>
  </si>
  <si>
    <t>=NF($B47,"Order Date")</t>
  </si>
  <si>
    <t>=NF($B47,"Transport Method")</t>
  </si>
  <si>
    <t>=NL("first","Sales Header","Ship-to Code","No.",$C47)</t>
  </si>
  <si>
    <t>=IF(@NF($B47,"Sell-to E-Mail")="",@NL("first","Customer","E-Mail.","No.",$Y47),@NF($B47,"Sell-to E-Mail"))</t>
  </si>
  <si>
    <t>=SUMIF(Weight!$C:$C,$C47,Weight!$I:$I)</t>
  </si>
  <si>
    <t>=NF($B47,"Amount Including VAT")</t>
  </si>
  <si>
    <t>=NF($B47,"Area")</t>
  </si>
  <si>
    <t>=NF($B47,"Salesperson Code")</t>
  </si>
  <si>
    <t>=NF($B47,"Bill-to Customer No.")</t>
  </si>
  <si>
    <t>=NL("First","Customer","Credit Limit (LCY)","No.",$Y47)</t>
  </si>
  <si>
    <t>=NL("First","Customer","Balance","No.",$Y47)</t>
  </si>
  <si>
    <t>=IF(Z47=1,SUMIF($Y:$Y,$Y47,$V:$V)+AA47,SUMIF($Y:$Y,$Y47,$V:$V)+Z47+AA47)</t>
  </si>
  <si>
    <t>=NL("sum","Sales Header","Amount Including VAT","Sell-to Customer No.",$Y47)</t>
  </si>
  <si>
    <t>=NF($B47,AD$5)</t>
  </si>
  <si>
    <t>=NF($B47,AE$5)</t>
  </si>
  <si>
    <t>=NF($B47,AF$5)</t>
  </si>
  <si>
    <t>="""BC365 (SQL)"",""Somerset Timbers"",""36"",""1"",""Order"",""3"",""SG01132"""</t>
  </si>
  <si>
    <t>=NF($B48,"No.")</t>
  </si>
  <si>
    <t>=NF($B48,"Sell-to Customer Name")</t>
  </si>
  <si>
    <t>=NF($B48,H$5)</t>
  </si>
  <si>
    <t>=IF(S48="",@NL("first","Customer","Mobile Phone No.","No.",$Y48),IF(@NL("first","Ship-to Address","Phone No.","Code",$S48)="",@NL("first","Customer","Mobile Phone No.","No.",$Y48),@NL("first","Ship-to Address","Phone No.","Code",$S48)))</t>
  </si>
  <si>
    <t>=CONCATENATE(AD48," ,",AE48," ,",AF48)</t>
  </si>
  <si>
    <t>=IFERROR(NL("First","Area","Text","Code",$W48)," ")</t>
  </si>
  <si>
    <t>=NF($B48,P$5)</t>
  </si>
  <si>
    <t>=NF($B48,"Order Date")</t>
  </si>
  <si>
    <t>=NF($B48,"Transport Method")</t>
  </si>
  <si>
    <t>=NL("first","Sales Header","Ship-to Code","No.",$C48)</t>
  </si>
  <si>
    <t>=IF(@NF($B48,"Sell-to E-Mail")="",@NL("first","Customer","E-Mail.","No.",$Y48),@NF($B48,"Sell-to E-Mail"))</t>
  </si>
  <si>
    <t>=SUMIF(Weight!$C:$C,$C48,Weight!$I:$I)</t>
  </si>
  <si>
    <t>=NF($B48,"Amount Including VAT")</t>
  </si>
  <si>
    <t>=NF($B48,"Area")</t>
  </si>
  <si>
    <t>=NF($B48,"Salesperson Code")</t>
  </si>
  <si>
    <t>=NF($B48,"Bill-to Customer No.")</t>
  </si>
  <si>
    <t>=NL("First","Customer","Credit Limit (LCY)","No.",$Y48)</t>
  </si>
  <si>
    <t>=NL("First","Customer","Balance","No.",$Y48)</t>
  </si>
  <si>
    <t>=IF(Z48=1,SUMIF($Y:$Y,$Y48,$V:$V)+AA48,SUMIF($Y:$Y,$Y48,$V:$V)+Z48+AA48)</t>
  </si>
  <si>
    <t>=NL("sum","Sales Header","Amount Including VAT","Sell-to Customer No.",$Y48)</t>
  </si>
  <si>
    <t>=NF($B48,AD$5)</t>
  </si>
  <si>
    <t>=NF($B48,AE$5)</t>
  </si>
  <si>
    <t>=NF($B48,AF$5)</t>
  </si>
  <si>
    <t>="""BC365 (SQL)"",""Somerset Timbers"",""36"",""1"",""Order"",""3"",""SG01195"""</t>
  </si>
  <si>
    <t>=NF($B49,"No.")</t>
  </si>
  <si>
    <t>=NF($B49,"Sell-to Customer Name")</t>
  </si>
  <si>
    <t>=NF($B49,H$5)</t>
  </si>
  <si>
    <t>=IF(S49="",@NL("first","Customer","Mobile Phone No.","No.",$Y49),IF(@NL("first","Ship-to Address","Phone No.","Code",$S49)="",@NL("first","Customer","Mobile Phone No.","No.",$Y49),@NL("first","Ship-to Address","Phone No.","Code",$S49)))</t>
  </si>
  <si>
    <t>=CONCATENATE(AD49," ,",AE49," ,",AF49)</t>
  </si>
  <si>
    <t>=IFERROR(NL("First","Area","Text","Code",$W49)," ")</t>
  </si>
  <si>
    <t>=NF($B49,P$5)</t>
  </si>
  <si>
    <t>=NF($B49,"Order Date")</t>
  </si>
  <si>
    <t>=NF($B49,"Transport Method")</t>
  </si>
  <si>
    <t>=NL("first","Sales Header","Ship-to Code","No.",$C49)</t>
  </si>
  <si>
    <t>=IF(@NF($B49,"Sell-to E-Mail")="",@NL("first","Customer","E-Mail.","No.",$Y49),@NF($B49,"Sell-to E-Mail"))</t>
  </si>
  <si>
    <t>=SUMIF(Weight!$C:$C,$C49,Weight!$I:$I)</t>
  </si>
  <si>
    <t>=NF($B49,"Amount Including VAT")</t>
  </si>
  <si>
    <t>=NF($B49,"Area")</t>
  </si>
  <si>
    <t>=NF($B49,"Salesperson Code")</t>
  </si>
  <si>
    <t>=NF($B49,"Bill-to Customer No.")</t>
  </si>
  <si>
    <t>=NL("First","Customer","Credit Limit (LCY)","No.",$Y49)</t>
  </si>
  <si>
    <t>=NL("First","Customer","Balance","No.",$Y49)</t>
  </si>
  <si>
    <t>=IF(Z49=1,SUMIF($Y:$Y,$Y49,$V:$V)+AA49,SUMIF($Y:$Y,$Y49,$V:$V)+Z49+AA49)</t>
  </si>
  <si>
    <t>=NL("sum","Sales Header","Amount Including VAT","Sell-to Customer No.",$Y49)</t>
  </si>
  <si>
    <t>=NF($B49,AD$5)</t>
  </si>
  <si>
    <t>=NF($B49,AE$5)</t>
  </si>
  <si>
    <t>=NF($B49,AF$5)</t>
  </si>
  <si>
    <t>="""BC365 (SQL)"",""Somerset Timbers"",""36"",""1"",""Order"",""3"",""SG01196"""</t>
  </si>
  <si>
    <t>=NF($B50,"No.")</t>
  </si>
  <si>
    <t>=NF($B50,"Sell-to Customer Name")</t>
  </si>
  <si>
    <t>=NF($B50,H$5)</t>
  </si>
  <si>
    <t>=IF(S50="",@NL("first","Customer","Mobile Phone No.","No.",$Y50),IF(@NL("first","Ship-to Address","Phone No.","Code",$S50)="",@NL("first","Customer","Mobile Phone No.","No.",$Y50),@NL("first","Ship-to Address","Phone No.","Code",$S50)))</t>
  </si>
  <si>
    <t>=CONCATENATE(AD50," ,",AE50," ,",AF50)</t>
  </si>
  <si>
    <t>=IFERROR(NL("First","Area","Text","Code",$W50)," ")</t>
  </si>
  <si>
    <t>=NF($B50,P$5)</t>
  </si>
  <si>
    <t>=NF($B50,"Order Date")</t>
  </si>
  <si>
    <t>=NF($B50,"Transport Method")</t>
  </si>
  <si>
    <t>=NL("first","Sales Header","Ship-to Code","No.",$C50)</t>
  </si>
  <si>
    <t>=IF(@NF($B50,"Sell-to E-Mail")="",@NL("first","Customer","E-Mail.","No.",$Y50),@NF($B50,"Sell-to E-Mail"))</t>
  </si>
  <si>
    <t>=SUMIF(Weight!$C:$C,$C50,Weight!$I:$I)</t>
  </si>
  <si>
    <t>=NF($B50,"Amount Including VAT")</t>
  </si>
  <si>
    <t>=NF($B50,"Area")</t>
  </si>
  <si>
    <t>=NF($B50,"Salesperson Code")</t>
  </si>
  <si>
    <t>=NF($B50,"Bill-to Customer No.")</t>
  </si>
  <si>
    <t>=NL("First","Customer","Credit Limit (LCY)","No.",$Y50)</t>
  </si>
  <si>
    <t>=NL("First","Customer","Balance","No.",$Y50)</t>
  </si>
  <si>
    <t>=IF(Z50=1,SUMIF($Y:$Y,$Y50,$V:$V)+AA50,SUMIF($Y:$Y,$Y50,$V:$V)+Z50+AA50)</t>
  </si>
  <si>
    <t>=NL("sum","Sales Header","Amount Including VAT","Sell-to Customer No.",$Y50)</t>
  </si>
  <si>
    <t>=NF($B50,AD$5)</t>
  </si>
  <si>
    <t>=NF($B50,AE$5)</t>
  </si>
  <si>
    <t>=NF($B50,AF$5)</t>
  </si>
  <si>
    <t>="""BC365 (SQL)"",""Somerset Timbers"",""36"",""1"",""Order"",""3"",""SG01220"""</t>
  </si>
  <si>
    <t>=NF($B51,"No.")</t>
  </si>
  <si>
    <t>=NF($B51,"Sell-to Customer Name")</t>
  </si>
  <si>
    <t>=NF($B51,H$5)</t>
  </si>
  <si>
    <t>=IF(S51="",@NL("first","Customer","Mobile Phone No.","No.",$Y51),IF(@NL("first","Ship-to Address","Phone No.","Code",$S51)="",@NL("first","Customer","Mobile Phone No.","No.",$Y51),@NL("first","Ship-to Address","Phone No.","Code",$S51)))</t>
  </si>
  <si>
    <t>=CONCATENATE(AD51," ,",AE51," ,",AF51)</t>
  </si>
  <si>
    <t>=IFERROR(NL("First","Area","Text","Code",$W51)," ")</t>
  </si>
  <si>
    <t>=NF($B51,P$5)</t>
  </si>
  <si>
    <t>=NF($B51,"Order Date")</t>
  </si>
  <si>
    <t>=NF($B51,"Transport Method")</t>
  </si>
  <si>
    <t>=NL("first","Sales Header","Ship-to Code","No.",$C51)</t>
  </si>
  <si>
    <t>=IF(@NF($B51,"Sell-to E-Mail")="",@NL("first","Customer","E-Mail.","No.",$Y51),@NF($B51,"Sell-to E-Mail"))</t>
  </si>
  <si>
    <t>=SUMIF(Weight!$C:$C,$C51,Weight!$I:$I)</t>
  </si>
  <si>
    <t>=NF($B51,"Amount Including VAT")</t>
  </si>
  <si>
    <t>=NF($B51,"Area")</t>
  </si>
  <si>
    <t>=NF($B51,"Salesperson Code")</t>
  </si>
  <si>
    <t>=NF($B51,"Bill-to Customer No.")</t>
  </si>
  <si>
    <t>=NL("First","Customer","Credit Limit (LCY)","No.",$Y51)</t>
  </si>
  <si>
    <t>=NL("First","Customer","Balance","No.",$Y51)</t>
  </si>
  <si>
    <t>=IF(Z51=1,SUMIF($Y:$Y,$Y51,$V:$V)+AA51,SUMIF($Y:$Y,$Y51,$V:$V)+Z51+AA51)</t>
  </si>
  <si>
    <t>=NL("sum","Sales Header","Amount Including VAT","Sell-to Customer No.",$Y51)</t>
  </si>
  <si>
    <t>=NF($B51,AD$5)</t>
  </si>
  <si>
    <t>=NF($B51,AE$5)</t>
  </si>
  <si>
    <t>=NF($B51,AF$5)</t>
  </si>
  <si>
    <t>="""BC365 (SQL)"",""Somerset Timbers"",""36"",""1"",""Order"",""3"",""SG01248"""</t>
  </si>
  <si>
    <t>=NF($B52,"No.")</t>
  </si>
  <si>
    <t>=NF($B52,"Sell-to Customer Name")</t>
  </si>
  <si>
    <t>=NF($B52,H$5)</t>
  </si>
  <si>
    <t>=IF(S52="",@NL("first","Customer","Mobile Phone No.","No.",$Y52),IF(@NL("first","Ship-to Address","Phone No.","Code",$S52)="",@NL("first","Customer","Mobile Phone No.","No.",$Y52),@NL("first","Ship-to Address","Phone No.","Code",$S52)))</t>
  </si>
  <si>
    <t>=CONCATENATE(AD52," ,",AE52," ,",AF52)</t>
  </si>
  <si>
    <t>=IFERROR(NL("First","Area","Text","Code",$W52)," ")</t>
  </si>
  <si>
    <t>=NF($B52,P$5)</t>
  </si>
  <si>
    <t>=NF($B52,"Order Date")</t>
  </si>
  <si>
    <t>=NF($B52,"Transport Method")</t>
  </si>
  <si>
    <t>=NL("first","Sales Header","Ship-to Code","No.",$C52)</t>
  </si>
  <si>
    <t>=IF(@NF($B52,"Sell-to E-Mail")="",@NL("first","Customer","E-Mail.","No.",$Y52),@NF($B52,"Sell-to E-Mail"))</t>
  </si>
  <si>
    <t>=SUMIF(Weight!$C:$C,$C52,Weight!$I:$I)</t>
  </si>
  <si>
    <t>=NF($B52,"Amount Including VAT")</t>
  </si>
  <si>
    <t>=NF($B52,"Area")</t>
  </si>
  <si>
    <t>=NF($B52,"Salesperson Code")</t>
  </si>
  <si>
    <t>=NF($B52,"Bill-to Customer No.")</t>
  </si>
  <si>
    <t>=NL("First","Customer","Credit Limit (LCY)","No.",$Y52)</t>
  </si>
  <si>
    <t>=NL("First","Customer","Balance","No.",$Y52)</t>
  </si>
  <si>
    <t>=IF(Z52=1,SUMIF($Y:$Y,$Y52,$V:$V)+AA52,SUMIF($Y:$Y,$Y52,$V:$V)+Z52+AA52)</t>
  </si>
  <si>
    <t>=NL("sum","Sales Header","Amount Including VAT","Sell-to Customer No.",$Y52)</t>
  </si>
  <si>
    <t>=NF($B52,AD$5)</t>
  </si>
  <si>
    <t>=NF($B52,AE$5)</t>
  </si>
  <si>
    <t>=NF($B52,AF$5)</t>
  </si>
  <si>
    <t>="""BC365 (SQL)"",""Somerset Timbers"",""36"",""1"",""Order"",""3"",""SG01251"""</t>
  </si>
  <si>
    <t>=NF($B53,"No.")</t>
  </si>
  <si>
    <t>=NF($B53,"Sell-to Customer Name")</t>
  </si>
  <si>
    <t>=NF($B53,H$5)</t>
  </si>
  <si>
    <t>=IF(S53="",@NL("first","Customer","Mobile Phone No.","No.",$Y53),IF(@NL("first","Ship-to Address","Phone No.","Code",$S53)="",@NL("first","Customer","Mobile Phone No.","No.",$Y53),@NL("first","Ship-to Address","Phone No.","Code",$S53)))</t>
  </si>
  <si>
    <t>=CONCATENATE(AD53," ,",AE53," ,",AF53)</t>
  </si>
  <si>
    <t>=IFERROR(NL("First","Area","Text","Code",$W53)," ")</t>
  </si>
  <si>
    <t>=NF($B53,P$5)</t>
  </si>
  <si>
    <t>=NF($B53,"Order Date")</t>
  </si>
  <si>
    <t>=NF($B53,"Transport Method")</t>
  </si>
  <si>
    <t>=NL("first","Sales Header","Ship-to Code","No.",$C53)</t>
  </si>
  <si>
    <t>=IF(@NF($B53,"Sell-to E-Mail")="",@NL("first","Customer","E-Mail.","No.",$Y53),@NF($B53,"Sell-to E-Mail"))</t>
  </si>
  <si>
    <t>=SUMIF(Weight!$C:$C,$C53,Weight!$I:$I)</t>
  </si>
  <si>
    <t>=NF($B53,"Amount Including VAT")</t>
  </si>
  <si>
    <t>=NF($B53,"Area")</t>
  </si>
  <si>
    <t>=NF($B53,"Salesperson Code")</t>
  </si>
  <si>
    <t>=NF($B53,"Bill-to Customer No.")</t>
  </si>
  <si>
    <t>=NL("First","Customer","Credit Limit (LCY)","No.",$Y53)</t>
  </si>
  <si>
    <t>=NL("First","Customer","Balance","No.",$Y53)</t>
  </si>
  <si>
    <t>=IF(Z53=1,SUMIF($Y:$Y,$Y53,$V:$V)+AA53,SUMIF($Y:$Y,$Y53,$V:$V)+Z53+AA53)</t>
  </si>
  <si>
    <t>=NL("sum","Sales Header","Amount Including VAT","Sell-to Customer No.",$Y53)</t>
  </si>
  <si>
    <t>=NF($B53,AD$5)</t>
  </si>
  <si>
    <t>=NF($B53,AE$5)</t>
  </si>
  <si>
    <t>=NF($B53,AF$5)</t>
  </si>
  <si>
    <t>="""BC365 (SQL)"",""Somerset Timbers"",""36"",""1"",""Order"",""3"",""SG01264"""</t>
  </si>
  <si>
    <t>=NF($B54,"No.")</t>
  </si>
  <si>
    <t>=NF($B54,"Sell-to Customer Name")</t>
  </si>
  <si>
    <t>=NF($B54,H$5)</t>
  </si>
  <si>
    <t>=IF(S54="",@NL("first","Customer","Mobile Phone No.","No.",$Y54),IF(@NL("first","Ship-to Address","Phone No.","Code",$S54)="",@NL("first","Customer","Mobile Phone No.","No.",$Y54),@NL("first","Ship-to Address","Phone No.","Code",$S54)))</t>
  </si>
  <si>
    <t>=CONCATENATE(AD54," ,",AE54," ,",AF54)</t>
  </si>
  <si>
    <t>=IFERROR(NL("First","Area","Text","Code",$W54)," ")</t>
  </si>
  <si>
    <t>=NF($B54,P$5)</t>
  </si>
  <si>
    <t>=NF($B54,"Order Date")</t>
  </si>
  <si>
    <t>=NF($B54,"Transport Method")</t>
  </si>
  <si>
    <t>=NL("first","Sales Header","Ship-to Code","No.",$C54)</t>
  </si>
  <si>
    <t>=IF(@NF($B54,"Sell-to E-Mail")="",@NL("first","Customer","E-Mail.","No.",$Y54),@NF($B54,"Sell-to E-Mail"))</t>
  </si>
  <si>
    <t>=SUMIF(Weight!$C:$C,$C54,Weight!$I:$I)</t>
  </si>
  <si>
    <t>=NF($B54,"Amount Including VAT")</t>
  </si>
  <si>
    <t>=NF($B54,"Area")</t>
  </si>
  <si>
    <t>=NF($B54,"Salesperson Code")</t>
  </si>
  <si>
    <t>=NF($B54,"Bill-to Customer No.")</t>
  </si>
  <si>
    <t>=NL("First","Customer","Credit Limit (LCY)","No.",$Y54)</t>
  </si>
  <si>
    <t>=NL("First","Customer","Balance","No.",$Y54)</t>
  </si>
  <si>
    <t>=IF(Z54=1,SUMIF($Y:$Y,$Y54,$V:$V)+AA54,SUMIF($Y:$Y,$Y54,$V:$V)+Z54+AA54)</t>
  </si>
  <si>
    <t>=NL("sum","Sales Header","Amount Including VAT","Sell-to Customer No.",$Y54)</t>
  </si>
  <si>
    <t>=NF($B54,AD$5)</t>
  </si>
  <si>
    <t>=NF($B54,AE$5)</t>
  </si>
  <si>
    <t>=NF($B54,AF$5)</t>
  </si>
  <si>
    <t>="""BC365 (SQL)"",""Somerset Timbers"",""36"",""1"",""Order"",""3"",""SG01267"""</t>
  </si>
  <si>
    <t>=NF($B55,"No.")</t>
  </si>
  <si>
    <t>=NF($B55,"Sell-to Customer Name")</t>
  </si>
  <si>
    <t>=NF($B55,H$5)</t>
  </si>
  <si>
    <t>=IF(S55="",@NL("first","Customer","Mobile Phone No.","No.",$Y55),IF(@NL("first","Ship-to Address","Phone No.","Code",$S55)="",@NL("first","Customer","Mobile Phone No.","No.",$Y55),@NL("first","Ship-to Address","Phone No.","Code",$S55)))</t>
  </si>
  <si>
    <t>=CONCATENATE(AD55," ,",AE55," ,",AF55)</t>
  </si>
  <si>
    <t>=IFERROR(NL("First","Area","Text","Code",$W55)," ")</t>
  </si>
  <si>
    <t>=NF($B55,P$5)</t>
  </si>
  <si>
    <t>=NF($B55,"Order Date")</t>
  </si>
  <si>
    <t>=NF($B55,"Transport Method")</t>
  </si>
  <si>
    <t>=NL("first","Sales Header","Ship-to Code","No.",$C55)</t>
  </si>
  <si>
    <t>=IF(@NF($B55,"Sell-to E-Mail")="",@NL("first","Customer","E-Mail.","No.",$Y55),@NF($B55,"Sell-to E-Mail"))</t>
  </si>
  <si>
    <t>=SUMIF(Weight!$C:$C,$C55,Weight!$I:$I)</t>
  </si>
  <si>
    <t>=NF($B55,"Amount Including VAT")</t>
  </si>
  <si>
    <t>=NF($B55,"Area")</t>
  </si>
  <si>
    <t>=NF($B55,"Salesperson Code")</t>
  </si>
  <si>
    <t>=NF($B55,"Bill-to Customer No.")</t>
  </si>
  <si>
    <t>=NL("First","Customer","Credit Limit (LCY)","No.",$Y55)</t>
  </si>
  <si>
    <t>=NL("First","Customer","Balance","No.",$Y55)</t>
  </si>
  <si>
    <t>=IF(Z55=1,SUMIF($Y:$Y,$Y55,$V:$V)+AA55,SUMIF($Y:$Y,$Y55,$V:$V)+Z55+AA55)</t>
  </si>
  <si>
    <t>=NL("sum","Sales Header","Amount Including VAT","Sell-to Customer No.",$Y55)</t>
  </si>
  <si>
    <t>=NF($B55,AD$5)</t>
  </si>
  <si>
    <t>=NF($B55,AE$5)</t>
  </si>
  <si>
    <t>=NF($B55,AF$5)</t>
  </si>
  <si>
    <t>="""BC365 (SQL)"",""Somerset Timbers"",""36"",""1"",""Order"",""3"",""SG01270"""</t>
  </si>
  <si>
    <t>=NF($B56,"No.")</t>
  </si>
  <si>
    <t>=NF($B56,"Sell-to Customer Name")</t>
  </si>
  <si>
    <t>=NF($B56,H$5)</t>
  </si>
  <si>
    <t>=IF(S56="",@NL("first","Customer","Mobile Phone No.","No.",$Y56),IF(@NL("first","Ship-to Address","Phone No.","Code",$S56)="",@NL("first","Customer","Mobile Phone No.","No.",$Y56),@NL("first","Ship-to Address","Phone No.","Code",$S56)))</t>
  </si>
  <si>
    <t>=CONCATENATE(AD56," ,",AE56," ,",AF56)</t>
  </si>
  <si>
    <t>=IFERROR(NL("First","Area","Text","Code",$W56)," ")</t>
  </si>
  <si>
    <t>=NF($B56,P$5)</t>
  </si>
  <si>
    <t>=NF($B56,"Order Date")</t>
  </si>
  <si>
    <t>=NF($B56,"Transport Method")</t>
  </si>
  <si>
    <t>=NL("first","Sales Header","Ship-to Code","No.",$C56)</t>
  </si>
  <si>
    <t>=IF(@NF($B56,"Sell-to E-Mail")="",@NL("first","Customer","E-Mail.","No.",$Y56),@NF($B56,"Sell-to E-Mail"))</t>
  </si>
  <si>
    <t>=SUMIF(Weight!$C:$C,$C56,Weight!$I:$I)</t>
  </si>
  <si>
    <t>=NF($B56,"Amount Including VAT")</t>
  </si>
  <si>
    <t>=NF($B56,"Area")</t>
  </si>
  <si>
    <t>=NF($B56,"Salesperson Code")</t>
  </si>
  <si>
    <t>=NF($B56,"Bill-to Customer No.")</t>
  </si>
  <si>
    <t>=NL("First","Customer","Credit Limit (LCY)","No.",$Y56)</t>
  </si>
  <si>
    <t>=NL("First","Customer","Balance","No.",$Y56)</t>
  </si>
  <si>
    <t>=IF(Z56=1,SUMIF($Y:$Y,$Y56,$V:$V)+AA56,SUMIF($Y:$Y,$Y56,$V:$V)+Z56+AA56)</t>
  </si>
  <si>
    <t>=NL("sum","Sales Header","Amount Including VAT","Sell-to Customer No.",$Y56)</t>
  </si>
  <si>
    <t>=NF($B56,AD$5)</t>
  </si>
  <si>
    <t>=NF($B56,AE$5)</t>
  </si>
  <si>
    <t>=NF($B56,AF$5)</t>
  </si>
  <si>
    <t>="""BC365 (SQL)"",""Somerset Timbers"",""36"",""1"",""Order"",""3"",""SG01283"""</t>
  </si>
  <si>
    <t>=NF($B57,"No.")</t>
  </si>
  <si>
    <t>=NF($B57,"Sell-to Customer Name")</t>
  </si>
  <si>
    <t>=NF($B57,H$5)</t>
  </si>
  <si>
    <t>=IF(S57="",@NL("first","Customer","Mobile Phone No.","No.",$Y57),IF(@NL("first","Ship-to Address","Phone No.","Code",$S57)="",@NL("first","Customer","Mobile Phone No.","No.",$Y57),@NL("first","Ship-to Address","Phone No.","Code",$S57)))</t>
  </si>
  <si>
    <t>=CONCATENATE(AD57," ,",AE57," ,",AF57)</t>
  </si>
  <si>
    <t>=IFERROR(NL("First","Area","Text","Code",$W57)," ")</t>
  </si>
  <si>
    <t>=NF($B57,P$5)</t>
  </si>
  <si>
    <t>=NF($B57,"Order Date")</t>
  </si>
  <si>
    <t>=NF($B57,"Transport Method")</t>
  </si>
  <si>
    <t>=NL("first","Sales Header","Ship-to Code","No.",$C57)</t>
  </si>
  <si>
    <t>=IF(@NF($B57,"Sell-to E-Mail")="",@NL("first","Customer","E-Mail.","No.",$Y57),@NF($B57,"Sell-to E-Mail"))</t>
  </si>
  <si>
    <t>=SUMIF(Weight!$C:$C,$C57,Weight!$I:$I)</t>
  </si>
  <si>
    <t>=NF($B57,"Amount Including VAT")</t>
  </si>
  <si>
    <t>=NF($B57,"Area")</t>
  </si>
  <si>
    <t>=NF($B57,"Salesperson Code")</t>
  </si>
  <si>
    <t>=NF($B57,"Bill-to Customer No.")</t>
  </si>
  <si>
    <t>=NL("First","Customer","Credit Limit (LCY)","No.",$Y57)</t>
  </si>
  <si>
    <t>=NL("First","Customer","Balance","No.",$Y57)</t>
  </si>
  <si>
    <t>=IF(Z57=1,SUMIF($Y:$Y,$Y57,$V:$V)+AA57,SUMIF($Y:$Y,$Y57,$V:$V)+Z57+AA57)</t>
  </si>
  <si>
    <t>=NL("sum","Sales Header","Amount Including VAT","Sell-to Customer No.",$Y57)</t>
  </si>
  <si>
    <t>=NF($B57,AD$5)</t>
  </si>
  <si>
    <t>=NF($B57,AE$5)</t>
  </si>
  <si>
    <t>=NF($B57,AF$5)</t>
  </si>
  <si>
    <t>="""BC365 (SQL)"",""Somerset Timbers"",""36"",""1"",""Order"",""3"",""SG01300"""</t>
  </si>
  <si>
    <t>=NF($B58,"No.")</t>
  </si>
  <si>
    <t>=NF($B58,"Sell-to Customer Name")</t>
  </si>
  <si>
    <t>=NF($B58,H$5)</t>
  </si>
  <si>
    <t>=IF(S58="",@NL("first","Customer","Mobile Phone No.","No.",$Y58),IF(@NL("first","Ship-to Address","Phone No.","Code",$S58)="",@NL("first","Customer","Mobile Phone No.","No.",$Y58),@NL("first","Ship-to Address","Phone No.","Code",$S58)))</t>
  </si>
  <si>
    <t>=CONCATENATE(AD58," ,",AE58," ,",AF58)</t>
  </si>
  <si>
    <t>=IFERROR(NL("First","Area","Text","Code",$W58)," ")</t>
  </si>
  <si>
    <t>=NF($B58,P$5)</t>
  </si>
  <si>
    <t>=NF($B58,"Order Date")</t>
  </si>
  <si>
    <t>=NF($B58,"Transport Method")</t>
  </si>
  <si>
    <t>=NL("first","Sales Header","Ship-to Code","No.",$C58)</t>
  </si>
  <si>
    <t>=IF(@NF($B58,"Sell-to E-Mail")="",@NL("first","Customer","E-Mail.","No.",$Y58),@NF($B58,"Sell-to E-Mail"))</t>
  </si>
  <si>
    <t>=SUMIF(Weight!$C:$C,$C58,Weight!$I:$I)</t>
  </si>
  <si>
    <t>=NF($B58,"Amount Including VAT")</t>
  </si>
  <si>
    <t>=NF($B58,"Area")</t>
  </si>
  <si>
    <t>=NF($B58,"Salesperson Code")</t>
  </si>
  <si>
    <t>=NF($B58,"Bill-to Customer No.")</t>
  </si>
  <si>
    <t>=NL("First","Customer","Credit Limit (LCY)","No.",$Y58)</t>
  </si>
  <si>
    <t>=NL("First","Customer","Balance","No.",$Y58)</t>
  </si>
  <si>
    <t>=IF(Z58=1,SUMIF($Y:$Y,$Y58,$V:$V)+AA58,SUMIF($Y:$Y,$Y58,$V:$V)+Z58+AA58)</t>
  </si>
  <si>
    <t>=NL("sum","Sales Header","Amount Including VAT","Sell-to Customer No.",$Y58)</t>
  </si>
  <si>
    <t>=NF($B58,AD$5)</t>
  </si>
  <si>
    <t>=NF($B58,AE$5)</t>
  </si>
  <si>
    <t>=NF($B58,AF$5)</t>
  </si>
  <si>
    <t>="""BC365 (SQL)"",""Somerset Timbers"",""36"",""1"",""Order"",""3"",""SG01308"""</t>
  </si>
  <si>
    <t>=NF($B59,"No.")</t>
  </si>
  <si>
    <t>=NF($B59,"Sell-to Customer Name")</t>
  </si>
  <si>
    <t>=NF($B59,H$5)</t>
  </si>
  <si>
    <t>=IF(S59="",@NL("first","Customer","Mobile Phone No.","No.",$Y59),IF(@NL("first","Ship-to Address","Phone No.","Code",$S59)="",@NL("first","Customer","Mobile Phone No.","No.",$Y59),@NL("first","Ship-to Address","Phone No.","Code",$S59)))</t>
  </si>
  <si>
    <t>=CONCATENATE(AD59," ,",AE59," ,",AF59)</t>
  </si>
  <si>
    <t>=IFERROR(NL("First","Area","Text","Code",$W59)," ")</t>
  </si>
  <si>
    <t>=NF($B59,P$5)</t>
  </si>
  <si>
    <t>=NF($B59,"Order Date")</t>
  </si>
  <si>
    <t>=NF($B59,"Transport Method")</t>
  </si>
  <si>
    <t>=NL("first","Sales Header","Ship-to Code","No.",$C59)</t>
  </si>
  <si>
    <t>=IF(@NF($B59,"Sell-to E-Mail")="",@NL("first","Customer","E-Mail.","No.",$Y59),@NF($B59,"Sell-to E-Mail"))</t>
  </si>
  <si>
    <t>=SUMIF(Weight!$C:$C,$C59,Weight!$I:$I)</t>
  </si>
  <si>
    <t>=NF($B59,"Amount Including VAT")</t>
  </si>
  <si>
    <t>=NF($B59,"Area")</t>
  </si>
  <si>
    <t>=NF($B59,"Salesperson Code")</t>
  </si>
  <si>
    <t>=NF($B59,"Bill-to Customer No.")</t>
  </si>
  <si>
    <t>=NL("First","Customer","Credit Limit (LCY)","No.",$Y59)</t>
  </si>
  <si>
    <t>=NL("First","Customer","Balance","No.",$Y59)</t>
  </si>
  <si>
    <t>=IF(Z59=1,SUMIF($Y:$Y,$Y59,$V:$V)+AA59,SUMIF($Y:$Y,$Y59,$V:$V)+Z59+AA59)</t>
  </si>
  <si>
    <t>=NL("sum","Sales Header","Amount Including VAT","Sell-to Customer No.",$Y59)</t>
  </si>
  <si>
    <t>=NF($B59,AD$5)</t>
  </si>
  <si>
    <t>=NF($B59,AE$5)</t>
  </si>
  <si>
    <t>=NF($B59,AF$5)</t>
  </si>
  <si>
    <t>="""BC365 (SQL)"",""Somerset Timbers"",""36"",""1"",""Order"",""3"",""SG01328"""</t>
  </si>
  <si>
    <t>=NF($B60,"No.")</t>
  </si>
  <si>
    <t>=NF($B60,"Sell-to Customer Name")</t>
  </si>
  <si>
    <t>=NF($B60,H$5)</t>
  </si>
  <si>
    <t>=IF(S60="",@NL("first","Customer","Mobile Phone No.","No.",$Y60),IF(@NL("first","Ship-to Address","Phone No.","Code",$S60)="",@NL("first","Customer","Mobile Phone No.","No.",$Y60),@NL("first","Ship-to Address","Phone No.","Code",$S60)))</t>
  </si>
  <si>
    <t>=CONCATENATE(AD60," ,",AE60," ,",AF60)</t>
  </si>
  <si>
    <t>=IFERROR(NL("First","Area","Text","Code",$W60)," ")</t>
  </si>
  <si>
    <t>=NF($B60,P$5)</t>
  </si>
  <si>
    <t>=NF($B60,"Order Date")</t>
  </si>
  <si>
    <t>=NF($B60,"Transport Method")</t>
  </si>
  <si>
    <t>=NL("first","Sales Header","Ship-to Code","No.",$C60)</t>
  </si>
  <si>
    <t>=IF(@NF($B60,"Sell-to E-Mail")="",@NL("first","Customer","E-Mail.","No.",$Y60),@NF($B60,"Sell-to E-Mail"))</t>
  </si>
  <si>
    <t>=SUMIF(Weight!$C:$C,$C60,Weight!$I:$I)</t>
  </si>
  <si>
    <t>=NF($B60,"Amount Including VAT")</t>
  </si>
  <si>
    <t>=NF($B60,"Area")</t>
  </si>
  <si>
    <t>=NF($B60,"Salesperson Code")</t>
  </si>
  <si>
    <t>=NF($B60,"Bill-to Customer No.")</t>
  </si>
  <si>
    <t>=NL("First","Customer","Credit Limit (LCY)","No.",$Y60)</t>
  </si>
  <si>
    <t>=NL("First","Customer","Balance","No.",$Y60)</t>
  </si>
  <si>
    <t>=IF(Z60=1,SUMIF($Y:$Y,$Y60,$V:$V)+AA60,SUMIF($Y:$Y,$Y60,$V:$V)+Z60+AA60)</t>
  </si>
  <si>
    <t>=NL("sum","Sales Header","Amount Including VAT","Sell-to Customer No.",$Y60)</t>
  </si>
  <si>
    <t>=NF($B60,AD$5)</t>
  </si>
  <si>
    <t>=NF($B60,AE$5)</t>
  </si>
  <si>
    <t>=NF($B60,AF$5)</t>
  </si>
  <si>
    <t>="""BC365 (SQL)"",""Somerset Timbers"",""36"",""1"",""Order"",""3"",""SG01349"""</t>
  </si>
  <si>
    <t>=NF($B61,"No.")</t>
  </si>
  <si>
    <t>=NF($B61,"Sell-to Customer Name")</t>
  </si>
  <si>
    <t>=NF($B61,H$5)</t>
  </si>
  <si>
    <t>=IF(S61="",@NL("first","Customer","Mobile Phone No.","No.",$Y61),IF(@NL("first","Ship-to Address","Phone No.","Code",$S61)="",@NL("first","Customer","Mobile Phone No.","No.",$Y61),@NL("first","Ship-to Address","Phone No.","Code",$S61)))</t>
  </si>
  <si>
    <t>=CONCATENATE(AD61," ,",AE61," ,",AF61)</t>
  </si>
  <si>
    <t>=IFERROR(NL("First","Area","Text","Code",$W61)," ")</t>
  </si>
  <si>
    <t>=NF($B61,P$5)</t>
  </si>
  <si>
    <t>=NF($B61,"Order Date")</t>
  </si>
  <si>
    <t>=NF($B61,"Transport Method")</t>
  </si>
  <si>
    <t>=NL("first","Sales Header","Ship-to Code","No.",$C61)</t>
  </si>
  <si>
    <t>=IF(@NF($B61,"Sell-to E-Mail")="",@NL("first","Customer","E-Mail.","No.",$Y61),@NF($B61,"Sell-to E-Mail"))</t>
  </si>
  <si>
    <t>=SUMIF(Weight!$C:$C,$C61,Weight!$I:$I)</t>
  </si>
  <si>
    <t>=NF($B61,"Amount Including VAT")</t>
  </si>
  <si>
    <t>=NF($B61,"Area")</t>
  </si>
  <si>
    <t>=NF($B61,"Salesperson Code")</t>
  </si>
  <si>
    <t>=NF($B61,"Bill-to Customer No.")</t>
  </si>
  <si>
    <t>=NL("First","Customer","Credit Limit (LCY)","No.",$Y61)</t>
  </si>
  <si>
    <t>=NL("First","Customer","Balance","No.",$Y61)</t>
  </si>
  <si>
    <t>=IF(Z61=1,SUMIF($Y:$Y,$Y61,$V:$V)+AA61,SUMIF($Y:$Y,$Y61,$V:$V)+Z61+AA61)</t>
  </si>
  <si>
    <t>=NL("sum","Sales Header","Amount Including VAT","Sell-to Customer No.",$Y61)</t>
  </si>
  <si>
    <t>=NF($B61,AD$5)</t>
  </si>
  <si>
    <t>=NF($B61,AE$5)</t>
  </si>
  <si>
    <t>=NF($B61,AF$5)</t>
  </si>
  <si>
    <t>="""BC365 (SQL)"",""Somerset Timbers"",""36"",""1"",""Order"",""3"",""SG01357"""</t>
  </si>
  <si>
    <t>=NF($B62,"No.")</t>
  </si>
  <si>
    <t>=NF($B62,"Sell-to Customer Name")</t>
  </si>
  <si>
    <t>=NF($B62,H$5)</t>
  </si>
  <si>
    <t>=IF(S62="",@NL("first","Customer","Mobile Phone No.","No.",$Y62),IF(@NL("first","Ship-to Address","Phone No.","Code",$S62)="",@NL("first","Customer","Mobile Phone No.","No.",$Y62),@NL("first","Ship-to Address","Phone No.","Code",$S62)))</t>
  </si>
  <si>
    <t>=CONCATENATE(AD62," ,",AE62," ,",AF62)</t>
  </si>
  <si>
    <t>=IFERROR(NL("First","Area","Text","Code",$W62)," ")</t>
  </si>
  <si>
    <t>=NF($B62,P$5)</t>
  </si>
  <si>
    <t>=NF($B62,"Order Date")</t>
  </si>
  <si>
    <t>=NF($B62,"Transport Method")</t>
  </si>
  <si>
    <t>=NL("first","Sales Header","Ship-to Code","No.",$C62)</t>
  </si>
  <si>
    <t>=IF(@NF($B62,"Sell-to E-Mail")="",@NL("first","Customer","E-Mail.","No.",$Y62),@NF($B62,"Sell-to E-Mail"))</t>
  </si>
  <si>
    <t>=SUMIF(Weight!$C:$C,$C62,Weight!$I:$I)</t>
  </si>
  <si>
    <t>=NF($B62,"Amount Including VAT")</t>
  </si>
  <si>
    <t>=NF($B62,"Area")</t>
  </si>
  <si>
    <t>=NF($B62,"Salesperson Code")</t>
  </si>
  <si>
    <t>=NF($B62,"Bill-to Customer No.")</t>
  </si>
  <si>
    <t>=NL("First","Customer","Credit Limit (LCY)","No.",$Y62)</t>
  </si>
  <si>
    <t>=NL("First","Customer","Balance","No.",$Y62)</t>
  </si>
  <si>
    <t>=IF(Z62=1,SUMIF($Y:$Y,$Y62,$V:$V)+AA62,SUMIF($Y:$Y,$Y62,$V:$V)+Z62+AA62)</t>
  </si>
  <si>
    <t>=NL("sum","Sales Header","Amount Including VAT","Sell-to Customer No.",$Y62)</t>
  </si>
  <si>
    <t>=NF($B62,AD$5)</t>
  </si>
  <si>
    <t>=NF($B62,AE$5)</t>
  </si>
  <si>
    <t>=NF($B62,AF$5)</t>
  </si>
  <si>
    <t>="""BC365 (SQL)"",""Somerset Timbers"",""36"",""1"",""Order"",""3"",""SG01360"""</t>
  </si>
  <si>
    <t>=NF($B63,"No.")</t>
  </si>
  <si>
    <t>=NF($B63,"Sell-to Customer Name")</t>
  </si>
  <si>
    <t>=NF($B63,H$5)</t>
  </si>
  <si>
    <t>=IF(S63="",@NL("first","Customer","Mobile Phone No.","No.",$Y63),IF(@NL("first","Ship-to Address","Phone No.","Code",$S63)="",@NL("first","Customer","Mobile Phone No.","No.",$Y63),@NL("first","Ship-to Address","Phone No.","Code",$S63)))</t>
  </si>
  <si>
    <t>=CONCATENATE(AD63," ,",AE63," ,",AF63)</t>
  </si>
  <si>
    <t>=IFERROR(NL("First","Area","Text","Code",$W63)," ")</t>
  </si>
  <si>
    <t>=NF($B63,P$5)</t>
  </si>
  <si>
    <t>=NF($B63,"Order Date")</t>
  </si>
  <si>
    <t>=NF($B63,"Transport Method")</t>
  </si>
  <si>
    <t>=NL("first","Sales Header","Ship-to Code","No.",$C63)</t>
  </si>
  <si>
    <t>=IF(@NF($B63,"Sell-to E-Mail")="",@NL("first","Customer","E-Mail.","No.",$Y63),@NF($B63,"Sell-to E-Mail"))</t>
  </si>
  <si>
    <t>=SUMIF(Weight!$C:$C,$C63,Weight!$I:$I)</t>
  </si>
  <si>
    <t>=NF($B63,"Amount Including VAT")</t>
  </si>
  <si>
    <t>=NF($B63,"Area")</t>
  </si>
  <si>
    <t>=NF($B63,"Salesperson Code")</t>
  </si>
  <si>
    <t>=NF($B63,"Bill-to Customer No.")</t>
  </si>
  <si>
    <t>=NL("First","Customer","Credit Limit (LCY)","No.",$Y63)</t>
  </si>
  <si>
    <t>=NL("First","Customer","Balance","No.",$Y63)</t>
  </si>
  <si>
    <t>=IF(Z63=1,SUMIF($Y:$Y,$Y63,$V:$V)+AA63,SUMIF($Y:$Y,$Y63,$V:$V)+Z63+AA63)</t>
  </si>
  <si>
    <t>=NL("sum","Sales Header","Amount Including VAT","Sell-to Customer No.",$Y63)</t>
  </si>
  <si>
    <t>=NF($B63,AD$5)</t>
  </si>
  <si>
    <t>=NF($B63,AE$5)</t>
  </si>
  <si>
    <t>=NF($B63,AF$5)</t>
  </si>
  <si>
    <t>="""BC365 (SQL)"",""Somerset Timbers"",""36"",""1"",""Order"",""3"",""SG01371"""</t>
  </si>
  <si>
    <t>=NF($B64,"No.")</t>
  </si>
  <si>
    <t>=NF($B64,"Sell-to Customer Name")</t>
  </si>
  <si>
    <t>=NF($B64,H$5)</t>
  </si>
  <si>
    <t>=IF(S64="",@NL("first","Customer","Mobile Phone No.","No.",$Y64),IF(@NL("first","Ship-to Address","Phone No.","Code",$S64)="",@NL("first","Customer","Mobile Phone No.","No.",$Y64),@NL("first","Ship-to Address","Phone No.","Code",$S64)))</t>
  </si>
  <si>
    <t>=CONCATENATE(AD64," ,",AE64," ,",AF64)</t>
  </si>
  <si>
    <t>=IFERROR(NL("First","Area","Text","Code",$W64)," ")</t>
  </si>
  <si>
    <t>=NF($B64,P$5)</t>
  </si>
  <si>
    <t>=NF($B64,"Order Date")</t>
  </si>
  <si>
    <t>=NF($B64,"Transport Method")</t>
  </si>
  <si>
    <t>=NL("first","Sales Header","Ship-to Code","No.",$C64)</t>
  </si>
  <si>
    <t>=IF(@NF($B64,"Sell-to E-Mail")="",@NL("first","Customer","E-Mail.","No.",$Y64),@NF($B64,"Sell-to E-Mail"))</t>
  </si>
  <si>
    <t>=SUMIF(Weight!$C:$C,$C64,Weight!$I:$I)</t>
  </si>
  <si>
    <t>=NF($B64,"Amount Including VAT")</t>
  </si>
  <si>
    <t>=NF($B64,"Area")</t>
  </si>
  <si>
    <t>=NF($B64,"Salesperson Code")</t>
  </si>
  <si>
    <t>=NF($B64,"Bill-to Customer No.")</t>
  </si>
  <si>
    <t>=NL("First","Customer","Credit Limit (LCY)","No.",$Y64)</t>
  </si>
  <si>
    <t>=NL("First","Customer","Balance","No.",$Y64)</t>
  </si>
  <si>
    <t>=IF(Z64=1,SUMIF($Y:$Y,$Y64,$V:$V)+AA64,SUMIF($Y:$Y,$Y64,$V:$V)+Z64+AA64)</t>
  </si>
  <si>
    <t>=NL("sum","Sales Header","Amount Including VAT","Sell-to Customer No.",$Y64)</t>
  </si>
  <si>
    <t>=NF($B64,AD$5)</t>
  </si>
  <si>
    <t>=NF($B64,AE$5)</t>
  </si>
  <si>
    <t>=NF($B64,AF$5)</t>
  </si>
  <si>
    <t>="""BC365 (SQL)"",""Somerset Timbers"",""36"",""1"",""Order"",""3"",""SG01375"""</t>
  </si>
  <si>
    <t>=NF($B65,"No.")</t>
  </si>
  <si>
    <t>=NF($B65,"Sell-to Customer Name")</t>
  </si>
  <si>
    <t>=NF($B65,H$5)</t>
  </si>
  <si>
    <t>=IF(S65="",@NL("first","Customer","Mobile Phone No.","No.",$Y65),IF(@NL("first","Ship-to Address","Phone No.","Code",$S65)="",@NL("first","Customer","Mobile Phone No.","No.",$Y65),@NL("first","Ship-to Address","Phone No.","Code",$S65)))</t>
  </si>
  <si>
    <t>=CONCATENATE(AD65," ,",AE65," ,",AF65)</t>
  </si>
  <si>
    <t>=IFERROR(NL("First","Area","Text","Code",$W65)," ")</t>
  </si>
  <si>
    <t>=NF($B65,P$5)</t>
  </si>
  <si>
    <t>=NF($B65,"Order Date")</t>
  </si>
  <si>
    <t>=NF($B65,"Transport Method")</t>
  </si>
  <si>
    <t>=NL("first","Sales Header","Ship-to Code","No.",$C65)</t>
  </si>
  <si>
    <t>=IF(@NF($B65,"Sell-to E-Mail")="",@NL("first","Customer","E-Mail.","No.",$Y65),@NF($B65,"Sell-to E-Mail"))</t>
  </si>
  <si>
    <t>=SUMIF(Weight!$C:$C,$C65,Weight!$I:$I)</t>
  </si>
  <si>
    <t>=NF($B65,"Amount Including VAT")</t>
  </si>
  <si>
    <t>=NF($B65,"Area")</t>
  </si>
  <si>
    <t>=NF($B65,"Salesperson Code")</t>
  </si>
  <si>
    <t>=NF($B65,"Bill-to Customer No.")</t>
  </si>
  <si>
    <t>=NL("First","Customer","Credit Limit (LCY)","No.",$Y65)</t>
  </si>
  <si>
    <t>=NL("First","Customer","Balance","No.",$Y65)</t>
  </si>
  <si>
    <t>=IF(Z65=1,SUMIF($Y:$Y,$Y65,$V:$V)+AA65,SUMIF($Y:$Y,$Y65,$V:$V)+Z65+AA65)</t>
  </si>
  <si>
    <t>=NL("sum","Sales Header","Amount Including VAT","Sell-to Customer No.",$Y65)</t>
  </si>
  <si>
    <t>=NF($B65,AD$5)</t>
  </si>
  <si>
    <t>=NF($B65,AE$5)</t>
  </si>
  <si>
    <t>=NF($B65,AF$5)</t>
  </si>
  <si>
    <t>Auto+Hide+Values+Formulas=Sheet6,Sheet3,Sheet4+FormulasOnly</t>
  </si>
  <si>
    <t>="""BC365 (SQL)"",""Somerset Timbers"",""37"",""1"",""Order"",""3"",""SF27876"",""4"",""20000"""</t>
  </si>
  <si>
    <t>=NF($B7,"Document No.")</t>
  </si>
  <si>
    <t>=NF($B7,"Sell-to Customer No.")</t>
  </si>
  <si>
    <t>=NF($B7,"Description")</t>
  </si>
  <si>
    <t>=NF($B7,"Qty. to Ship")</t>
  </si>
  <si>
    <t>=NF($B7,"Net Weight")</t>
  </si>
  <si>
    <t>=G7*H7</t>
  </si>
  <si>
    <t>="""BC365 (SQL)"",""Somerset Timbers"",""37"",""1"",""Order"",""3"",""SF27876"",""4"",""30000"""</t>
  </si>
  <si>
    <t>=NF($B8,"Document No.")</t>
  </si>
  <si>
    <t>=NF($B8,"Sell-to Customer No.")</t>
  </si>
  <si>
    <t>=NF($B8,"Description")</t>
  </si>
  <si>
    <t>=NF($B8,"Qty. to Ship")</t>
  </si>
  <si>
    <t>=NF($B8,"Net Weight")</t>
  </si>
  <si>
    <t>=G8*H8</t>
  </si>
  <si>
    <t>="""BC365 (SQL)"",""Somerset Timbers"",""37"",""1"",""Order"",""3"",""SF27876"",""4"",""40000"""</t>
  </si>
  <si>
    <t>=NF($B9,"Document No.")</t>
  </si>
  <si>
    <t>=NF($B9,"Sell-to Customer No.")</t>
  </si>
  <si>
    <t>=NF($B9,"Description")</t>
  </si>
  <si>
    <t>=NF($B9,"Qty. to Ship")</t>
  </si>
  <si>
    <t>=NF($B9,"Net Weight")</t>
  </si>
  <si>
    <t>=G9*H9</t>
  </si>
  <si>
    <t>="""BC365 (SQL)"",""Somerset Timbers"",""37"",""1"",""Order"",""3"",""SF27876"",""4"",""50000"""</t>
  </si>
  <si>
    <t>=NF($B10,"Document No.")</t>
  </si>
  <si>
    <t>=NF($B10,"Sell-to Customer No.")</t>
  </si>
  <si>
    <t>=NF($B10,"Description")</t>
  </si>
  <si>
    <t>=NF($B10,"Qty. to Ship")</t>
  </si>
  <si>
    <t>=NF($B10,"Net Weight")</t>
  </si>
  <si>
    <t>=G10*H10</t>
  </si>
  <si>
    <t>="""BC365 (SQL)"",""Somerset Timbers"",""37"",""1"",""Order"",""3"",""SF27876"",""4"",""70000"""</t>
  </si>
  <si>
    <t>=NF($B11,"Document No.")</t>
  </si>
  <si>
    <t>=NF($B11,"Sell-to Customer No.")</t>
  </si>
  <si>
    <t>=NF($B11,"Description")</t>
  </si>
  <si>
    <t>=NF($B11,"Qty. to Ship")</t>
  </si>
  <si>
    <t>=NF($B11,"Net Weight")</t>
  </si>
  <si>
    <t>=G11*H11</t>
  </si>
  <si>
    <t>="""BC365 (SQL)"",""Somerset Timbers"",""37"",""1"",""Order"",""3"",""SF27876"",""4"",""80000"""</t>
  </si>
  <si>
    <t>=NF($B12,"Document No.")</t>
  </si>
  <si>
    <t>=NF($B12,"Sell-to Customer No.")</t>
  </si>
  <si>
    <t>=NF($B12,"Description")</t>
  </si>
  <si>
    <t>=NF($B12,"Qty. to Ship")</t>
  </si>
  <si>
    <t>=NF($B12,"Net Weight")</t>
  </si>
  <si>
    <t>=G12*H12</t>
  </si>
  <si>
    <t>="""BC365 (SQL)"",""Somerset Timbers"",""37"",""1"",""Order"",""3"",""SF27876"",""4"",""90000"""</t>
  </si>
  <si>
    <t>=NF($B13,"Document No.")</t>
  </si>
  <si>
    <t>=NF($B13,"Sell-to Customer No.")</t>
  </si>
  <si>
    <t>=NF($B13,"Description")</t>
  </si>
  <si>
    <t>=NF($B13,"Qty. to Ship")</t>
  </si>
  <si>
    <t>=NF($B13,"Net Weight")</t>
  </si>
  <si>
    <t>=G13*H13</t>
  </si>
  <si>
    <t>="""BC365 (SQL)"",""Somerset Timbers"",""37"",""1"",""Order"",""3"",""SF29041"",""4"",""10000"""</t>
  </si>
  <si>
    <t>=NF($B14,"Document No.")</t>
  </si>
  <si>
    <t>=NF($B14,"Sell-to Customer No.")</t>
  </si>
  <si>
    <t>=NF($B14,"Description")</t>
  </si>
  <si>
    <t>=NF($B14,"Qty. to Ship")</t>
  </si>
  <si>
    <t>=NF($B14,"Net Weight")</t>
  </si>
  <si>
    <t>=G14*H14</t>
  </si>
  <si>
    <t>="""BC365 (SQL)"",""Somerset Timbers"",""37"",""1"",""Order"",""3"",""SF29041"",""4"",""20000"""</t>
  </si>
  <si>
    <t>=NF($B15,"Document No.")</t>
  </si>
  <si>
    <t>=NF($B15,"Sell-to Customer No.")</t>
  </si>
  <si>
    <t>=NF($B15,"Description")</t>
  </si>
  <si>
    <t>=NF($B15,"Qty. to Ship")</t>
  </si>
  <si>
    <t>=NF($B15,"Net Weight")</t>
  </si>
  <si>
    <t>=G15*H15</t>
  </si>
  <si>
    <t>="""BC365 (SQL)"",""Somerset Timbers"",""37"",""1"",""Order"",""3"",""SF29041"",""4"",""30000"""</t>
  </si>
  <si>
    <t>=NF($B16,"Document No.")</t>
  </si>
  <si>
    <t>=NF($B16,"Sell-to Customer No.")</t>
  </si>
  <si>
    <t>=NF($B16,"Description")</t>
  </si>
  <si>
    <t>=NF($B16,"Qty. to Ship")</t>
  </si>
  <si>
    <t>=NF($B16,"Net Weight")</t>
  </si>
  <si>
    <t>=G16*H16</t>
  </si>
  <si>
    <t>="""BC365 (SQL)"",""Somerset Timbers"",""37"",""1"",""Order"",""3"",""SF29041"",""4"",""40000"""</t>
  </si>
  <si>
    <t>=NF($B17,"Document No.")</t>
  </si>
  <si>
    <t>=NF($B17,"Sell-to Customer No.")</t>
  </si>
  <si>
    <t>=NF($B17,"Description")</t>
  </si>
  <si>
    <t>=NF($B17,"Qty. to Ship")</t>
  </si>
  <si>
    <t>=NF($B17,"Net Weight")</t>
  </si>
  <si>
    <t>=G17*H17</t>
  </si>
  <si>
    <t>="""BC365 (SQL)"",""Somerset Timbers"",""37"",""1"",""Order"",""3"",""SF29041"",""4"",""50000"""</t>
  </si>
  <si>
    <t>=NF($B18,"Document No.")</t>
  </si>
  <si>
    <t>=NF($B18,"Sell-to Customer No.")</t>
  </si>
  <si>
    <t>=NF($B18,"Description")</t>
  </si>
  <si>
    <t>=NF($B18,"Qty. to Ship")</t>
  </si>
  <si>
    <t>=NF($B18,"Net Weight")</t>
  </si>
  <si>
    <t>=G18*H18</t>
  </si>
  <si>
    <t>="""BC365 (SQL)"",""Somerset Timbers"",""37"",""1"",""Order"",""3"",""SF29825"",""4"",""10000"""</t>
  </si>
  <si>
    <t>=NF($B19,"Document No.")</t>
  </si>
  <si>
    <t>=NF($B19,"Sell-to Customer No.")</t>
  </si>
  <si>
    <t>=NF($B19,"Description")</t>
  </si>
  <si>
    <t>=NF($B19,"Qty. to Ship")</t>
  </si>
  <si>
    <t>=NF($B19,"Net Weight")</t>
  </si>
  <si>
    <t>=G19*H19</t>
  </si>
  <si>
    <t>="""BC365 (SQL)"",""Somerset Timbers"",""37"",""1"",""Order"",""3"",""SF29825"",""4"",""20000"""</t>
  </si>
  <si>
    <t>=NF($B20,"Document No.")</t>
  </si>
  <si>
    <t>=NF($B20,"Sell-to Customer No.")</t>
  </si>
  <si>
    <t>=NF($B20,"Description")</t>
  </si>
  <si>
    <t>=NF($B20,"Qty. to Ship")</t>
  </si>
  <si>
    <t>=NF($B20,"Net Weight")</t>
  </si>
  <si>
    <t>=G20*H20</t>
  </si>
  <si>
    <t>="""BC365 (SQL)"",""Somerset Timbers"",""37"",""1"",""Order"",""3"",""SF29825"",""4"",""50000"""</t>
  </si>
  <si>
    <t>=NF($B21,"Document No.")</t>
  </si>
  <si>
    <t>=NF($B21,"Sell-to Customer No.")</t>
  </si>
  <si>
    <t>=NF($B21,"Description")</t>
  </si>
  <si>
    <t>=NF($B21,"Qty. to Ship")</t>
  </si>
  <si>
    <t>=NF($B21,"Net Weight")</t>
  </si>
  <si>
    <t>=G21*H21</t>
  </si>
  <si>
    <t>="""BC365 (SQL)"",""Somerset Timbers"",""37"",""1"",""Order"",""3"",""SF29825"",""4"",""60000"""</t>
  </si>
  <si>
    <t>=NF($B22,"Document No.")</t>
  </si>
  <si>
    <t>=NF($B22,"Sell-to Customer No.")</t>
  </si>
  <si>
    <t>=NF($B22,"Description")</t>
  </si>
  <si>
    <t>=NF($B22,"Qty. to Ship")</t>
  </si>
  <si>
    <t>=NF($B22,"Net Weight")</t>
  </si>
  <si>
    <t>=G22*H22</t>
  </si>
  <si>
    <t>="""BC365 (SQL)"",""Somerset Timbers"",""37"",""1"",""Order"",""3"",""SF30116"",""4"",""10000"""</t>
  </si>
  <si>
    <t>=NF($B23,"Document No.")</t>
  </si>
  <si>
    <t>=NF($B23,"Sell-to Customer No.")</t>
  </si>
  <si>
    <t>=NF($B23,"Description")</t>
  </si>
  <si>
    <t>=NF($B23,"Qty. to Ship")</t>
  </si>
  <si>
    <t>=NF($B23,"Net Weight")</t>
  </si>
  <si>
    <t>=G23*H23</t>
  </si>
  <si>
    <t>="""BC365 (SQL)"",""Somerset Timbers"",""37"",""1"",""Order"",""3"",""SF30116"",""4"",""20000"""</t>
  </si>
  <si>
    <t>=NF($B24,"Document No.")</t>
  </si>
  <si>
    <t>=NF($B24,"Sell-to Customer No.")</t>
  </si>
  <si>
    <t>=NF($B24,"Description")</t>
  </si>
  <si>
    <t>=NF($B24,"Qty. to Ship")</t>
  </si>
  <si>
    <t>=NF($B24,"Net Weight")</t>
  </si>
  <si>
    <t>=G24*H24</t>
  </si>
  <si>
    <t>="""BC365 (SQL)"",""Somerset Timbers"",""37"",""1"",""Order"",""3"",""SF30116"",""4"",""30000"""</t>
  </si>
  <si>
    <t>=NF($B25,"Document No.")</t>
  </si>
  <si>
    <t>=NF($B25,"Sell-to Customer No.")</t>
  </si>
  <si>
    <t>=NF($B25,"Description")</t>
  </si>
  <si>
    <t>=NF($B25,"Qty. to Ship")</t>
  </si>
  <si>
    <t>=NF($B25,"Net Weight")</t>
  </si>
  <si>
    <t>=G25*H25</t>
  </si>
  <si>
    <t>="""BC365 (SQL)"",""Somerset Timbers"",""37"",""1"",""Order"",""3"",""SF30116"",""4"",""40000"""</t>
  </si>
  <si>
    <t>=NF($B26,"Document No.")</t>
  </si>
  <si>
    <t>=NF($B26,"Sell-to Customer No.")</t>
  </si>
  <si>
    <t>=NF($B26,"Description")</t>
  </si>
  <si>
    <t>=NF($B26,"Qty. to Ship")</t>
  </si>
  <si>
    <t>=NF($B26,"Net Weight")</t>
  </si>
  <si>
    <t>=G26*H26</t>
  </si>
  <si>
    <t>="""BC365 (SQL)"",""Somerset Timbers"",""37"",""1"",""Order"",""3"",""SF30116"",""4"",""50000"""</t>
  </si>
  <si>
    <t>=NF($B27,"Document No.")</t>
  </si>
  <si>
    <t>=NF($B27,"Sell-to Customer No.")</t>
  </si>
  <si>
    <t>=NF($B27,"Description")</t>
  </si>
  <si>
    <t>=NF($B27,"Qty. to Ship")</t>
  </si>
  <si>
    <t>=NF($B27,"Net Weight")</t>
  </si>
  <si>
    <t>=G27*H27</t>
  </si>
  <si>
    <t>="""BC365 (SQL)"",""Somerset Timbers"",""37"",""1"",""Order"",""3"",""SF30116"",""4"",""60000"""</t>
  </si>
  <si>
    <t>=NF($B28,"Document No.")</t>
  </si>
  <si>
    <t>=NF($B28,"Sell-to Customer No.")</t>
  </si>
  <si>
    <t>=NF($B28,"Description")</t>
  </si>
  <si>
    <t>=NF($B28,"Qty. to Ship")</t>
  </si>
  <si>
    <t>=NF($B28,"Net Weight")</t>
  </si>
  <si>
    <t>=G28*H28</t>
  </si>
  <si>
    <t>="""BC365 (SQL)"",""Somerset Timbers"",""37"",""1"",""Order"",""3"",""SF30116"",""4"",""70000"""</t>
  </si>
  <si>
    <t>=NF($B29,"Document No.")</t>
  </si>
  <si>
    <t>=NF($B29,"Sell-to Customer No.")</t>
  </si>
  <si>
    <t>=NF($B29,"Description")</t>
  </si>
  <si>
    <t>=NF($B29,"Qty. to Ship")</t>
  </si>
  <si>
    <t>=NF($B29,"Net Weight")</t>
  </si>
  <si>
    <t>=G29*H29</t>
  </si>
  <si>
    <t>="""BC365 (SQL)"",""Somerset Timbers"",""37"",""1"",""Order"",""3"",""SF30116"",""4"",""80000"""</t>
  </si>
  <si>
    <t>=NF($B30,"Document No.")</t>
  </si>
  <si>
    <t>=NF($B30,"Sell-to Customer No.")</t>
  </si>
  <si>
    <t>=NF($B30,"Description")</t>
  </si>
  <si>
    <t>=NF($B30,"Qty. to Ship")</t>
  </si>
  <si>
    <t>=NF($B30,"Net Weight")</t>
  </si>
  <si>
    <t>=G30*H30</t>
  </si>
  <si>
    <t>="""BC365 (SQL)"",""Somerset Timbers"",""37"",""1"",""Order"",""3"",""SF30116"",""4"",""90000"""</t>
  </si>
  <si>
    <t>=NF($B31,"Document No.")</t>
  </si>
  <si>
    <t>=NF($B31,"Sell-to Customer No.")</t>
  </si>
  <si>
    <t>=NF($B31,"Description")</t>
  </si>
  <si>
    <t>=NF($B31,"Qty. to Ship")</t>
  </si>
  <si>
    <t>=NF($B31,"Net Weight")</t>
  </si>
  <si>
    <t>=G31*H31</t>
  </si>
  <si>
    <t>="""BC365 (SQL)"",""Somerset Timbers"",""37"",""1"",""Order"",""3"",""SF30116"",""4"",""100000"""</t>
  </si>
  <si>
    <t>=NF($B32,"Document No.")</t>
  </si>
  <si>
    <t>=NF($B32,"Sell-to Customer No.")</t>
  </si>
  <si>
    <t>=NF($B32,"Description")</t>
  </si>
  <si>
    <t>=NF($B32,"Qty. to Ship")</t>
  </si>
  <si>
    <t>=NF($B32,"Net Weight")</t>
  </si>
  <si>
    <t>=G32*H32</t>
  </si>
  <si>
    <t>="""BC365 (SQL)"",""Somerset Timbers"",""37"",""1"",""Order"",""3"",""SF33849"",""4"",""10000"""</t>
  </si>
  <si>
    <t>=NF($B33,"Document No.")</t>
  </si>
  <si>
    <t>=NF($B33,"Sell-to Customer No.")</t>
  </si>
  <si>
    <t>=NF($B33,"Description")</t>
  </si>
  <si>
    <t>=NF($B33,"Qty. to Ship")</t>
  </si>
  <si>
    <t>=NF($B33,"Net Weight")</t>
  </si>
  <si>
    <t>=G33*H33</t>
  </si>
  <si>
    <t>="""BC365 (SQL)"",""Somerset Timbers"",""37"",""1"",""Order"",""3"",""SF33849"",""4"",""20000"""</t>
  </si>
  <si>
    <t>=NF($B34,"Document No.")</t>
  </si>
  <si>
    <t>=NF($B34,"Sell-to Customer No.")</t>
  </si>
  <si>
    <t>=NF($B34,"Description")</t>
  </si>
  <si>
    <t>=NF($B34,"Qty. to Ship")</t>
  </si>
  <si>
    <t>=NF($B34,"Net Weight")</t>
  </si>
  <si>
    <t>=G34*H34</t>
  </si>
  <si>
    <t>="""BC365 (SQL)"",""Somerset Timbers"",""37"",""1"",""Order"",""3"",""SF33849"",""4"",""30000"""</t>
  </si>
  <si>
    <t>=NF($B35,"Document No.")</t>
  </si>
  <si>
    <t>=NF($B35,"Sell-to Customer No.")</t>
  </si>
  <si>
    <t>=NF($B35,"Description")</t>
  </si>
  <si>
    <t>=NF($B35,"Qty. to Ship")</t>
  </si>
  <si>
    <t>=NF($B35,"Net Weight")</t>
  </si>
  <si>
    <t>=G35*H35</t>
  </si>
  <si>
    <t>="""BC365 (SQL)"",""Somerset Timbers"",""37"",""1"",""Order"",""3"",""SF35493"",""4"",""10000"""</t>
  </si>
  <si>
    <t>=NF($B36,"Document No.")</t>
  </si>
  <si>
    <t>=NF($B36,"Sell-to Customer No.")</t>
  </si>
  <si>
    <t>=NF($B36,"Description")</t>
  </si>
  <si>
    <t>=NF($B36,"Qty. to Ship")</t>
  </si>
  <si>
    <t>=NF($B36,"Net Weight")</t>
  </si>
  <si>
    <t>=G36*H36</t>
  </si>
  <si>
    <t>="""BC365 (SQL)"",""Somerset Timbers"",""37"",""1"",""Order"",""3"",""SF35493"",""4"",""20000"""</t>
  </si>
  <si>
    <t>=NF($B37,"Document No.")</t>
  </si>
  <si>
    <t>=NF($B37,"Sell-to Customer No.")</t>
  </si>
  <si>
    <t>=NF($B37,"Description")</t>
  </si>
  <si>
    <t>=NF($B37,"Qty. to Ship")</t>
  </si>
  <si>
    <t>=NF($B37,"Net Weight")</t>
  </si>
  <si>
    <t>=G37*H37</t>
  </si>
  <si>
    <t>="""BC365 (SQL)"",""Somerset Timbers"",""37"",""1"",""Order"",""3"",""SF35493"",""4"",""30000"""</t>
  </si>
  <si>
    <t>=NF($B38,"Document No.")</t>
  </si>
  <si>
    <t>=NF($B38,"Sell-to Customer No.")</t>
  </si>
  <si>
    <t>=NF($B38,"Description")</t>
  </si>
  <si>
    <t>=NF($B38,"Qty. to Ship")</t>
  </si>
  <si>
    <t>=NF($B38,"Net Weight")</t>
  </si>
  <si>
    <t>=G38*H38</t>
  </si>
  <si>
    <t>="""BC365 (SQL)"",""Somerset Timbers"",""37"",""1"",""Order"",""3"",""SF35493"",""4"",""40000"""</t>
  </si>
  <si>
    <t>=NF($B39,"Document No.")</t>
  </si>
  <si>
    <t>=NF($B39,"Sell-to Customer No.")</t>
  </si>
  <si>
    <t>=NF($B39,"Description")</t>
  </si>
  <si>
    <t>=NF($B39,"Qty. to Ship")</t>
  </si>
  <si>
    <t>=NF($B39,"Net Weight")</t>
  </si>
  <si>
    <t>=G39*H39</t>
  </si>
  <si>
    <t>="""BC365 (SQL)"",""Somerset Timbers"",""37"",""1"",""Order"",""3"",""SF35493"",""4"",""50000"""</t>
  </si>
  <si>
    <t>=NF($B40,"Document No.")</t>
  </si>
  <si>
    <t>=NF($B40,"Sell-to Customer No.")</t>
  </si>
  <si>
    <t>=NF($B40,"Description")</t>
  </si>
  <si>
    <t>=NF($B40,"Qty. to Ship")</t>
  </si>
  <si>
    <t>=NF($B40,"Net Weight")</t>
  </si>
  <si>
    <t>=G40*H40</t>
  </si>
  <si>
    <t>="""BC365 (SQL)"",""Somerset Timbers"",""37"",""1"",""Order"",""3"",""SF35567"",""4"",""10000"""</t>
  </si>
  <si>
    <t>=NF($B41,"Document No.")</t>
  </si>
  <si>
    <t>=NF($B41,"Sell-to Customer No.")</t>
  </si>
  <si>
    <t>=NF($B41,"Description")</t>
  </si>
  <si>
    <t>=NF($B41,"Qty. to Ship")</t>
  </si>
  <si>
    <t>=NF($B41,"Net Weight")</t>
  </si>
  <si>
    <t>=G41*H41</t>
  </si>
  <si>
    <t>="""BC365 (SQL)"",""Somerset Timbers"",""37"",""1"",""Order"",""3"",""SF35567"",""4"",""20000"""</t>
  </si>
  <si>
    <t>=NF($B42,"Document No.")</t>
  </si>
  <si>
    <t>=NF($B42,"Sell-to Customer No.")</t>
  </si>
  <si>
    <t>=NF($B42,"Description")</t>
  </si>
  <si>
    <t>=NF($B42,"Qty. to Ship")</t>
  </si>
  <si>
    <t>=NF($B42,"Net Weight")</t>
  </si>
  <si>
    <t>=G42*H42</t>
  </si>
  <si>
    <t>="""BC365 (SQL)"",""Somerset Timbers"",""37"",""1"",""Order"",""3"",""SF35567"",""4"",""30000"""</t>
  </si>
  <si>
    <t>=NF($B43,"Document No.")</t>
  </si>
  <si>
    <t>=NF($B43,"Sell-to Customer No.")</t>
  </si>
  <si>
    <t>=NF($B43,"Description")</t>
  </si>
  <si>
    <t>=NF($B43,"Qty. to Ship")</t>
  </si>
  <si>
    <t>=NF($B43,"Net Weight")</t>
  </si>
  <si>
    <t>=G43*H43</t>
  </si>
  <si>
    <t>="""BC365 (SQL)"",""Somerset Timbers"",""37"",""1"",""Order"",""3"",""SF35567"",""4"",""40000"""</t>
  </si>
  <si>
    <t>=NF($B44,"Document No.")</t>
  </si>
  <si>
    <t>=NF($B44,"Sell-to Customer No.")</t>
  </si>
  <si>
    <t>=NF($B44,"Description")</t>
  </si>
  <si>
    <t>=NF($B44,"Qty. to Ship")</t>
  </si>
  <si>
    <t>=NF($B44,"Net Weight")</t>
  </si>
  <si>
    <t>=G44*H44</t>
  </si>
  <si>
    <t>="""BC365 (SQL)"",""Somerset Timbers"",""37"",""1"",""Order"",""3"",""SF35567"",""4"",""50000"""</t>
  </si>
  <si>
    <t>=NF($B45,"Document No.")</t>
  </si>
  <si>
    <t>=NF($B45,"Sell-to Customer No.")</t>
  </si>
  <si>
    <t>=NF($B45,"Description")</t>
  </si>
  <si>
    <t>=NF($B45,"Qty. to Ship")</t>
  </si>
  <si>
    <t>=NF($B45,"Net Weight")</t>
  </si>
  <si>
    <t>=G45*H45</t>
  </si>
  <si>
    <t>="""BC365 (SQL)"",""Somerset Timbers"",""37"",""1"",""Order"",""3"",""SF35567"",""4"",""60000"""</t>
  </si>
  <si>
    <t>=NF($B46,"Document No.")</t>
  </si>
  <si>
    <t>=NF($B46,"Sell-to Customer No.")</t>
  </si>
  <si>
    <t>=NF($B46,"Description")</t>
  </si>
  <si>
    <t>=NF($B46,"Qty. to Ship")</t>
  </si>
  <si>
    <t>=NF($B46,"Net Weight")</t>
  </si>
  <si>
    <t>=G46*H46</t>
  </si>
  <si>
    <t>="""BC365 (SQL)"",""Somerset Timbers"",""37"",""1"",""Order"",""3"",""SF35567"",""4"",""70000"""</t>
  </si>
  <si>
    <t>=NF($B47,"Document No.")</t>
  </si>
  <si>
    <t>=NF($B47,"Sell-to Customer No.")</t>
  </si>
  <si>
    <t>=NF($B47,"Description")</t>
  </si>
  <si>
    <t>=NF($B47,"Qty. to Ship")</t>
  </si>
  <si>
    <t>=NF($B47,"Net Weight")</t>
  </si>
  <si>
    <t>=G47*H47</t>
  </si>
  <si>
    <t>="""BC365 (SQL)"",""Somerset Timbers"",""37"",""1"",""Order"",""3"",""SF35567"",""4"",""90000"""</t>
  </si>
  <si>
    <t>=NF($B48,"Document No.")</t>
  </si>
  <si>
    <t>=NF($B48,"Sell-to Customer No.")</t>
  </si>
  <si>
    <t>=NF($B48,"Description")</t>
  </si>
  <si>
    <t>=NF($B48,"Qty. to Ship")</t>
  </si>
  <si>
    <t>=NF($B48,"Net Weight")</t>
  </si>
  <si>
    <t>=G48*H48</t>
  </si>
  <si>
    <t>="""BC365 (SQL)"",""Somerset Timbers"",""37"",""1"",""Order"",""3"",""SF36362"",""4"",""30000"""</t>
  </si>
  <si>
    <t>=NF($B49,"Document No.")</t>
  </si>
  <si>
    <t>=NF($B49,"Sell-to Customer No.")</t>
  </si>
  <si>
    <t>=NF($B49,"Description")</t>
  </si>
  <si>
    <t>=NF($B49,"Qty. to Ship")</t>
  </si>
  <si>
    <t>=NF($B49,"Net Weight")</t>
  </si>
  <si>
    <t>=G49*H49</t>
  </si>
  <si>
    <t>="""BC365 (SQL)"",""Somerset Timbers"",""37"",""1"",""Order"",""3"",""SF36362"",""4"",""50000"""</t>
  </si>
  <si>
    <t>=NF($B50,"Document No.")</t>
  </si>
  <si>
    <t>=NF($B50,"Sell-to Customer No.")</t>
  </si>
  <si>
    <t>=NF($B50,"Description")</t>
  </si>
  <si>
    <t>=NF($B50,"Qty. to Ship")</t>
  </si>
  <si>
    <t>=NF($B50,"Net Weight")</t>
  </si>
  <si>
    <t>=G50*H50</t>
  </si>
  <si>
    <t>="""BC365 (SQL)"",""Somerset Timbers"",""37"",""1"",""Order"",""3"",""SF36362"",""4"",""60000"""</t>
  </si>
  <si>
    <t>=NF($B51,"Document No.")</t>
  </si>
  <si>
    <t>=NF($B51,"Sell-to Customer No.")</t>
  </si>
  <si>
    <t>=NF($B51,"Description")</t>
  </si>
  <si>
    <t>=NF($B51,"Qty. to Ship")</t>
  </si>
  <si>
    <t>=NF($B51,"Net Weight")</t>
  </si>
  <si>
    <t>=G51*H51</t>
  </si>
  <si>
    <t>="""BC365 (SQL)"",""Somerset Timbers"",""37"",""1"",""Order"",""3"",""SF36362"",""4"",""70000"""</t>
  </si>
  <si>
    <t>=NF($B52,"Document No.")</t>
  </si>
  <si>
    <t>=NF($B52,"Sell-to Customer No.")</t>
  </si>
  <si>
    <t>=NF($B52,"Description")</t>
  </si>
  <si>
    <t>=NF($B52,"Qty. to Ship")</t>
  </si>
  <si>
    <t>=NF($B52,"Net Weight")</t>
  </si>
  <si>
    <t>=G52*H52</t>
  </si>
  <si>
    <t>="""BC365 (SQL)"",""Somerset Timbers"",""37"",""1"",""Order"",""3"",""SF36362"",""4"",""80000"""</t>
  </si>
  <si>
    <t>=NF($B53,"Document No.")</t>
  </si>
  <si>
    <t>=NF($B53,"Sell-to Customer No.")</t>
  </si>
  <si>
    <t>=NF($B53,"Description")</t>
  </si>
  <si>
    <t>=NF($B53,"Qty. to Ship")</t>
  </si>
  <si>
    <t>=NF($B53,"Net Weight")</t>
  </si>
  <si>
    <t>=G53*H53</t>
  </si>
  <si>
    <t>="""BC365 (SQL)"",""Somerset Timbers"",""37"",""1"",""Order"",""3"",""SF36362"",""4"",""90000"""</t>
  </si>
  <si>
    <t>=NF($B54,"Document No.")</t>
  </si>
  <si>
    <t>=NF($B54,"Sell-to Customer No.")</t>
  </si>
  <si>
    <t>=NF($B54,"Description")</t>
  </si>
  <si>
    <t>=NF($B54,"Qty. to Ship")</t>
  </si>
  <si>
    <t>=NF($B54,"Net Weight")</t>
  </si>
  <si>
    <t>=G54*H54</t>
  </si>
  <si>
    <t>="""BC365 (SQL)"",""Somerset Timbers"",""37"",""1"",""Order"",""3"",""SF36362"",""4"",""100000"""</t>
  </si>
  <si>
    <t>=NF($B55,"Document No.")</t>
  </si>
  <si>
    <t>=NF($B55,"Sell-to Customer No.")</t>
  </si>
  <si>
    <t>=NF($B55,"Description")</t>
  </si>
  <si>
    <t>=NF($B55,"Qty. to Ship")</t>
  </si>
  <si>
    <t>=NF($B55,"Net Weight")</t>
  </si>
  <si>
    <t>=G55*H55</t>
  </si>
  <si>
    <t>="""BC365 (SQL)"",""Somerset Timbers"",""37"",""1"",""Order"",""3"",""SF36362"",""4"",""110000"""</t>
  </si>
  <si>
    <t>=NF($B56,"Document No.")</t>
  </si>
  <si>
    <t>=NF($B56,"Sell-to Customer No.")</t>
  </si>
  <si>
    <t>=NF($B56,"Description")</t>
  </si>
  <si>
    <t>=NF($B56,"Qty. to Ship")</t>
  </si>
  <si>
    <t>=NF($B56,"Net Weight")</t>
  </si>
  <si>
    <t>=G56*H56</t>
  </si>
  <si>
    <t>="""BC365 (SQL)"",""Somerset Timbers"",""37"",""1"",""Order"",""3"",""SF36362"",""4"",""120000"""</t>
  </si>
  <si>
    <t>=NF($B57,"Document No.")</t>
  </si>
  <si>
    <t>=NF($B57,"Sell-to Customer No.")</t>
  </si>
  <si>
    <t>=NF($B57,"Description")</t>
  </si>
  <si>
    <t>=NF($B57,"Qty. to Ship")</t>
  </si>
  <si>
    <t>=NF($B57,"Net Weight")</t>
  </si>
  <si>
    <t>=G57*H57</t>
  </si>
  <si>
    <t>="""BC365 (SQL)"",""Somerset Timbers"",""37"",""1"",""Order"",""3"",""SF36362"",""4"",""130000"""</t>
  </si>
  <si>
    <t>=NF($B58,"Document No.")</t>
  </si>
  <si>
    <t>=NF($B58,"Sell-to Customer No.")</t>
  </si>
  <si>
    <t>=NF($B58,"Description")</t>
  </si>
  <si>
    <t>=NF($B58,"Qty. to Ship")</t>
  </si>
  <si>
    <t>=NF($B58,"Net Weight")</t>
  </si>
  <si>
    <t>=G58*H58</t>
  </si>
  <si>
    <t>="""BC365 (SQL)"",""Somerset Timbers"",""37"",""1"",""Order"",""3"",""SF36362"",""4"",""140000"""</t>
  </si>
  <si>
    <t>=NF($B59,"Document No.")</t>
  </si>
  <si>
    <t>=NF($B59,"Sell-to Customer No.")</t>
  </si>
  <si>
    <t>=NF($B59,"Description")</t>
  </si>
  <si>
    <t>=NF($B59,"Qty. to Ship")</t>
  </si>
  <si>
    <t>=NF($B59,"Net Weight")</t>
  </si>
  <si>
    <t>=G59*H59</t>
  </si>
  <si>
    <t>="""BC365 (SQL)"",""Somerset Timbers"",""37"",""1"",""Order"",""3"",""SF36362"",""4"",""150000"""</t>
  </si>
  <si>
    <t>=NF($B60,"Document No.")</t>
  </si>
  <si>
    <t>=NF($B60,"Sell-to Customer No.")</t>
  </si>
  <si>
    <t>=NF($B60,"Description")</t>
  </si>
  <si>
    <t>=NF($B60,"Qty. to Ship")</t>
  </si>
  <si>
    <t>=NF($B60,"Net Weight")</t>
  </si>
  <si>
    <t>=G60*H60</t>
  </si>
  <si>
    <t>="""BC365 (SQL)"",""Somerset Timbers"",""37"",""1"",""Order"",""3"",""SF38043"",""4"",""10000"""</t>
  </si>
  <si>
    <t>=NF($B61,"Document No.")</t>
  </si>
  <si>
    <t>=NF($B61,"Sell-to Customer No.")</t>
  </si>
  <si>
    <t>=NF($B61,"Description")</t>
  </si>
  <si>
    <t>=NF($B61,"Qty. to Ship")</t>
  </si>
  <si>
    <t>=NF($B61,"Net Weight")</t>
  </si>
  <si>
    <t>=G61*H61</t>
  </si>
  <si>
    <t>="""BC365 (SQL)"",""Somerset Timbers"",""37"",""1"",""Order"",""3"",""SF38043"",""4"",""20000"""</t>
  </si>
  <si>
    <t>=NF($B62,"Document No.")</t>
  </si>
  <si>
    <t>=NF($B62,"Sell-to Customer No.")</t>
  </si>
  <si>
    <t>=NF($B62,"Description")</t>
  </si>
  <si>
    <t>=NF($B62,"Qty. to Ship")</t>
  </si>
  <si>
    <t>=NF($B62,"Net Weight")</t>
  </si>
  <si>
    <t>=G62*H62</t>
  </si>
  <si>
    <t>="""BC365 (SQL)"",""Somerset Timbers"",""37"",""1"",""Order"",""3"",""SF38043"",""4"",""30000"""</t>
  </si>
  <si>
    <t>=NF($B63,"Document No.")</t>
  </si>
  <si>
    <t>=NF($B63,"Sell-to Customer No.")</t>
  </si>
  <si>
    <t>=NF($B63,"Description")</t>
  </si>
  <si>
    <t>=NF($B63,"Qty. to Ship")</t>
  </si>
  <si>
    <t>=NF($B63,"Net Weight")</t>
  </si>
  <si>
    <t>=G63*H63</t>
  </si>
  <si>
    <t>="""BC365 (SQL)"",""Somerset Timbers"",""37"",""1"",""Order"",""3"",""SF38043"",""4"",""40000"""</t>
  </si>
  <si>
    <t>=NF($B64,"Document No.")</t>
  </si>
  <si>
    <t>=NF($B64,"Sell-to Customer No.")</t>
  </si>
  <si>
    <t>=NF($B64,"Description")</t>
  </si>
  <si>
    <t>=NF($B64,"Qty. to Ship")</t>
  </si>
  <si>
    <t>=NF($B64,"Net Weight")</t>
  </si>
  <si>
    <t>=G64*H64</t>
  </si>
  <si>
    <t>="""BC365 (SQL)"",""Somerset Timbers"",""37"",""1"",""Order"",""3"",""SF38043"",""4"",""50000"""</t>
  </si>
  <si>
    <t>=NF($B65,"Document No.")</t>
  </si>
  <si>
    <t>=NF($B65,"Sell-to Customer No.")</t>
  </si>
  <si>
    <t>=NF($B65,"Description")</t>
  </si>
  <si>
    <t>=NF($B65,"Qty. to Ship")</t>
  </si>
  <si>
    <t>=NF($B65,"Net Weight")</t>
  </si>
  <si>
    <t>=G65*H65</t>
  </si>
  <si>
    <t>="""BC365 (SQL)"",""Somerset Timbers"",""37"",""1"",""Order"",""3"",""SF38043"",""4"",""60000"""</t>
  </si>
  <si>
    <t>=NF($B66,"Document No.")</t>
  </si>
  <si>
    <t>=NF($B66,"Sell-to Customer No.")</t>
  </si>
  <si>
    <t>=NF($B66,"No.")</t>
  </si>
  <si>
    <t>=NF($B66,"Description")</t>
  </si>
  <si>
    <t>=NF($B66,"Qty. to Ship")</t>
  </si>
  <si>
    <t>=NF($B66,"Net Weight")</t>
  </si>
  <si>
    <t>=G66*H66</t>
  </si>
  <si>
    <t>="""BC365 (SQL)"",""Somerset Timbers"",""37"",""1"",""Order"",""3"",""SF38043"",""4"",""70000"""</t>
  </si>
  <si>
    <t>=NF($B67,"Document No.")</t>
  </si>
  <si>
    <t>=NF($B67,"Sell-to Customer No.")</t>
  </si>
  <si>
    <t>=NF($B67,"No.")</t>
  </si>
  <si>
    <t>=NF($B67,"Description")</t>
  </si>
  <si>
    <t>=NF($B67,"Qty. to Ship")</t>
  </si>
  <si>
    <t>=NF($B67,"Net Weight")</t>
  </si>
  <si>
    <t>=G67*H67</t>
  </si>
  <si>
    <t>="""BC365 (SQL)"",""Somerset Timbers"",""37"",""1"",""Order"",""3"",""SF38043"",""4"",""85000"""</t>
  </si>
  <si>
    <t>=NF($B68,"Document No.")</t>
  </si>
  <si>
    <t>=NF($B68,"Sell-to Customer No.")</t>
  </si>
  <si>
    <t>=NF($B68,"No.")</t>
  </si>
  <si>
    <t>=NF($B68,"Description")</t>
  </si>
  <si>
    <t>=NF($B68,"Qty. to Ship")</t>
  </si>
  <si>
    <t>=NF($B68,"Net Weight")</t>
  </si>
  <si>
    <t>=G68*H68</t>
  </si>
  <si>
    <t>="""BC365 (SQL)"",""Somerset Timbers"",""37"",""1"",""Order"",""3"",""SF38043"",""4"",""87500"""</t>
  </si>
  <si>
    <t>=NF($B69,"Document No.")</t>
  </si>
  <si>
    <t>=NF($B69,"Sell-to Customer No.")</t>
  </si>
  <si>
    <t>=NF($B69,"No.")</t>
  </si>
  <si>
    <t>=NF($B69,"Description")</t>
  </si>
  <si>
    <t>=NF($B69,"Qty. to Ship")</t>
  </si>
  <si>
    <t>=NF($B69,"Net Weight")</t>
  </si>
  <si>
    <t>=G69*H69</t>
  </si>
  <si>
    <t>="""BC365 (SQL)"",""Somerset Timbers"",""37"",""1"",""Order"",""3"",""SF38043"",""4"",""88750"""</t>
  </si>
  <si>
    <t>=NF($B70,"Document No.")</t>
  </si>
  <si>
    <t>=NF($B70,"Sell-to Customer No.")</t>
  </si>
  <si>
    <t>=NF($B70,"No.")</t>
  </si>
  <si>
    <t>=NF($B70,"Description")</t>
  </si>
  <si>
    <t>=NF($B70,"Qty. to Ship")</t>
  </si>
  <si>
    <t>=NF($B70,"Net Weight")</t>
  </si>
  <si>
    <t>=G70*H70</t>
  </si>
  <si>
    <t>="""BC365 (SQL)"",""Somerset Timbers"",""37"",""1"",""Order"",""3"",""SF38070"",""4"",""10000"""</t>
  </si>
  <si>
    <t>=NF($B71,"Document No.")</t>
  </si>
  <si>
    <t>=NF($B71,"Sell-to Customer No.")</t>
  </si>
  <si>
    <t>=NF($B71,"No.")</t>
  </si>
  <si>
    <t>=NF($B71,"Description")</t>
  </si>
  <si>
    <t>=NF($B71,"Qty. to Ship")</t>
  </si>
  <si>
    <t>=NF($B71,"Net Weight")</t>
  </si>
  <si>
    <t>=G71*H71</t>
  </si>
  <si>
    <t>="""BC365 (SQL)"",""Somerset Timbers"",""37"",""1"",""Order"",""3"",""SF38070"",""4"",""20000"""</t>
  </si>
  <si>
    <t>=NF($B72,"Document No.")</t>
  </si>
  <si>
    <t>=NF($B72,"Sell-to Customer No.")</t>
  </si>
  <si>
    <t>=NF($B72,"No.")</t>
  </si>
  <si>
    <t>=NF($B72,"Description")</t>
  </si>
  <si>
    <t>=NF($B72,"Qty. to Ship")</t>
  </si>
  <si>
    <t>=NF($B72,"Net Weight")</t>
  </si>
  <si>
    <t>=G72*H72</t>
  </si>
  <si>
    <t>="""BC365 (SQL)"",""Somerset Timbers"",""37"",""1"",""Order"",""3"",""SF38070"",""4"",""30000"""</t>
  </si>
  <si>
    <t>=NF($B73,"Document No.")</t>
  </si>
  <si>
    <t>=NF($B73,"Sell-to Customer No.")</t>
  </si>
  <si>
    <t>=NF($B73,"No.")</t>
  </si>
  <si>
    <t>=NF($B73,"Description")</t>
  </si>
  <si>
    <t>=NF($B73,"Qty. to Ship")</t>
  </si>
  <si>
    <t>=NF($B73,"Net Weight")</t>
  </si>
  <si>
    <t>=G73*H73</t>
  </si>
  <si>
    <t>="""BC365 (SQL)"",""Somerset Timbers"",""37"",""1"",""Order"",""3"",""SF38070"",""4"",""50000"""</t>
  </si>
  <si>
    <t>=NF($B74,"Document No.")</t>
  </si>
  <si>
    <t>=NF($B74,"Sell-to Customer No.")</t>
  </si>
  <si>
    <t>=NF($B74,"No.")</t>
  </si>
  <si>
    <t>=NF($B74,"Description")</t>
  </si>
  <si>
    <t>=NF($B74,"Qty. to Ship")</t>
  </si>
  <si>
    <t>=NF($B74,"Net Weight")</t>
  </si>
  <si>
    <t>=G74*H74</t>
  </si>
  <si>
    <t>="""BC365 (SQL)"",""Somerset Timbers"",""37"",""1"",""Order"",""3"",""SF38070"",""4"",""60000"""</t>
  </si>
  <si>
    <t>=NF($B75,"Document No.")</t>
  </si>
  <si>
    <t>=NF($B75,"Sell-to Customer No.")</t>
  </si>
  <si>
    <t>=NF($B75,"No.")</t>
  </si>
  <si>
    <t>=NF($B75,"Description")</t>
  </si>
  <si>
    <t>=NF($B75,"Qty. to Ship")</t>
  </si>
  <si>
    <t>=NF($B75,"Net Weight")</t>
  </si>
  <si>
    <t>=G75*H75</t>
  </si>
  <si>
    <t>="""BC365 (SQL)"",""Somerset Timbers"",""37"",""1"",""Order"",""3"",""SF38105"",""4"",""10000"""</t>
  </si>
  <si>
    <t>=NF($B76,"Document No.")</t>
  </si>
  <si>
    <t>=NF($B76,"Sell-to Customer No.")</t>
  </si>
  <si>
    <t>=NF($B76,"No.")</t>
  </si>
  <si>
    <t>=NF($B76,"Description")</t>
  </si>
  <si>
    <t>=NF($B76,"Qty. to Ship")</t>
  </si>
  <si>
    <t>=NF($B76,"Net Weight")</t>
  </si>
  <si>
    <t>=G76*H76</t>
  </si>
  <si>
    <t>="""BC365 (SQL)"",""Somerset Timbers"",""37"",""1"",""Order"",""3"",""SF38105"",""4"",""20000"""</t>
  </si>
  <si>
    <t>=NF($B77,"Document No.")</t>
  </si>
  <si>
    <t>=NF($B77,"Sell-to Customer No.")</t>
  </si>
  <si>
    <t>=NF($B77,"No.")</t>
  </si>
  <si>
    <t>=NF($B77,"Description")</t>
  </si>
  <si>
    <t>=NF($B77,"Qty. to Ship")</t>
  </si>
  <si>
    <t>=NF($B77,"Net Weight")</t>
  </si>
  <si>
    <t>=G77*H77</t>
  </si>
  <si>
    <t>="""BC365 (SQL)"",""Somerset Timbers"",""37"",""1"",""Order"",""3"",""SF38134"",""4"",""10000"""</t>
  </si>
  <si>
    <t>=NF($B78,"Document No.")</t>
  </si>
  <si>
    <t>=NF($B78,"Sell-to Customer No.")</t>
  </si>
  <si>
    <t>=NF($B78,"No.")</t>
  </si>
  <si>
    <t>=NF($B78,"Description")</t>
  </si>
  <si>
    <t>=NF($B78,"Qty. to Ship")</t>
  </si>
  <si>
    <t>=NF($B78,"Net Weight")</t>
  </si>
  <si>
    <t>=G78*H78</t>
  </si>
  <si>
    <t>="""BC365 (SQL)"",""Somerset Timbers"",""37"",""1"",""Order"",""3"",""SF38134"",""4"",""30000"""</t>
  </si>
  <si>
    <t>=NF($B79,"Document No.")</t>
  </si>
  <si>
    <t>=NF($B79,"Sell-to Customer No.")</t>
  </si>
  <si>
    <t>=NF($B79,"No.")</t>
  </si>
  <si>
    <t>=NF($B79,"Description")</t>
  </si>
  <si>
    <t>=NF($B79,"Qty. to Ship")</t>
  </si>
  <si>
    <t>=NF($B79,"Net Weight")</t>
  </si>
  <si>
    <t>=G79*H79</t>
  </si>
  <si>
    <t>="""BC365 (SQL)"",""Somerset Timbers"",""37"",""1"",""Order"",""3"",""SF38310"",""4"",""10000"""</t>
  </si>
  <si>
    <t>=NF($B80,"Document No.")</t>
  </si>
  <si>
    <t>=NF($B80,"Sell-to Customer No.")</t>
  </si>
  <si>
    <t>=NF($B80,"No.")</t>
  </si>
  <si>
    <t>=NF($B80,"Description")</t>
  </si>
  <si>
    <t>=NF($B80,"Qty. to Ship")</t>
  </si>
  <si>
    <t>=NF($B80,"Net Weight")</t>
  </si>
  <si>
    <t>=G80*H80</t>
  </si>
  <si>
    <t>="""BC365 (SQL)"",""Somerset Timbers"",""37"",""1"",""Order"",""3"",""SF38310"",""4"",""20000"""</t>
  </si>
  <si>
    <t>=NF($B81,"Document No.")</t>
  </si>
  <si>
    <t>=NF($B81,"Sell-to Customer No.")</t>
  </si>
  <si>
    <t>=NF($B81,"No.")</t>
  </si>
  <si>
    <t>=NF($B81,"Description")</t>
  </si>
  <si>
    <t>=NF($B81,"Qty. to Ship")</t>
  </si>
  <si>
    <t>=NF($B81,"Net Weight")</t>
  </si>
  <si>
    <t>=G81*H81</t>
  </si>
  <si>
    <t>="""BC365 (SQL)"",""Somerset Timbers"",""37"",""1"",""Order"",""3"",""SF38310"",""4"",""40000"""</t>
  </si>
  <si>
    <t>=NF($B82,"Document No.")</t>
  </si>
  <si>
    <t>=NF($B82,"Sell-to Customer No.")</t>
  </si>
  <si>
    <t>=NF($B82,"No.")</t>
  </si>
  <si>
    <t>=NF($B82,"Description")</t>
  </si>
  <si>
    <t>=NF($B82,"Qty. to Ship")</t>
  </si>
  <si>
    <t>=NF($B82,"Net Weight")</t>
  </si>
  <si>
    <t>=G82*H82</t>
  </si>
  <si>
    <t>="""BC365 (SQL)"",""Somerset Timbers"",""37"",""1"",""Order"",""3"",""SF38310"",""4"",""50000"""</t>
  </si>
  <si>
    <t>=NF($B83,"Document No.")</t>
  </si>
  <si>
    <t>=NF($B83,"Sell-to Customer No.")</t>
  </si>
  <si>
    <t>=NF($B83,"No.")</t>
  </si>
  <si>
    <t>=NF($B83,"Description")</t>
  </si>
  <si>
    <t>=NF($B83,"Qty. to Ship")</t>
  </si>
  <si>
    <t>=NF($B83,"Net Weight")</t>
  </si>
  <si>
    <t>=G83*H83</t>
  </si>
  <si>
    <t>="""BC365 (SQL)"",""Somerset Timbers"",""37"",""1"",""Order"",""3"",""SF38310"",""4"",""60000"""</t>
  </si>
  <si>
    <t>=NF($B84,"Document No.")</t>
  </si>
  <si>
    <t>=NF($B84,"Sell-to Customer No.")</t>
  </si>
  <si>
    <t>=NF($B84,"No.")</t>
  </si>
  <si>
    <t>=NF($B84,"Description")</t>
  </si>
  <si>
    <t>=NF($B84,"Qty. to Ship")</t>
  </si>
  <si>
    <t>=NF($B84,"Net Weight")</t>
  </si>
  <si>
    <t>=G84*H84</t>
  </si>
  <si>
    <t>="""BC365 (SQL)"",""Somerset Timbers"",""37"",""1"",""Order"",""3"",""SF38695"",""4"",""10000"""</t>
  </si>
  <si>
    <t>=NF($B85,"Document No.")</t>
  </si>
  <si>
    <t>=NF($B85,"Sell-to Customer No.")</t>
  </si>
  <si>
    <t>=NF($B85,"No.")</t>
  </si>
  <si>
    <t>=NF($B85,"Description")</t>
  </si>
  <si>
    <t>=NF($B85,"Qty. to Ship")</t>
  </si>
  <si>
    <t>=NF($B85,"Net Weight")</t>
  </si>
  <si>
    <t>=G85*H85</t>
  </si>
  <si>
    <t>="""BC365 (SQL)"",""Somerset Timbers"",""37"",""1"",""Order"",""3"",""SF38695"",""4"",""20000"""</t>
  </si>
  <si>
    <t>=NF($B86,"Document No.")</t>
  </si>
  <si>
    <t>=NF($B86,"Sell-to Customer No.")</t>
  </si>
  <si>
    <t>=NF($B86,"No.")</t>
  </si>
  <si>
    <t>=NF($B86,"Description")</t>
  </si>
  <si>
    <t>=NF($B86,"Qty. to Ship")</t>
  </si>
  <si>
    <t>=NF($B86,"Net Weight")</t>
  </si>
  <si>
    <t>=G86*H86</t>
  </si>
  <si>
    <t>="""BC365 (SQL)"",""Somerset Timbers"",""37"",""1"",""Order"",""3"",""SF38695"",""4"",""30000"""</t>
  </si>
  <si>
    <t>=NF($B87,"Document No.")</t>
  </si>
  <si>
    <t>=NF($B87,"Sell-to Customer No.")</t>
  </si>
  <si>
    <t>=NF($B87,"No.")</t>
  </si>
  <si>
    <t>=NF($B87,"Description")</t>
  </si>
  <si>
    <t>=NF($B87,"Qty. to Ship")</t>
  </si>
  <si>
    <t>=NF($B87,"Net Weight")</t>
  </si>
  <si>
    <t>=G87*H87</t>
  </si>
  <si>
    <t>="""BC365 (SQL)"",""Somerset Timbers"",""37"",""1"",""Order"",""3"",""SF38695"",""4"",""40000"""</t>
  </si>
  <si>
    <t>=NF($B88,"Document No.")</t>
  </si>
  <si>
    <t>=NF($B88,"Sell-to Customer No.")</t>
  </si>
  <si>
    <t>=NF($B88,"No.")</t>
  </si>
  <si>
    <t>=NF($B88,"Description")</t>
  </si>
  <si>
    <t>=NF($B88,"Qty. to Ship")</t>
  </si>
  <si>
    <t>=NF($B88,"Net Weight")</t>
  </si>
  <si>
    <t>=G88*H88</t>
  </si>
  <si>
    <t>="""BC365 (SQL)"",""Somerset Timbers"",""37"",""1"",""Order"",""3"",""SF38695"",""4"",""50000"""</t>
  </si>
  <si>
    <t>=NF($B89,"Document No.")</t>
  </si>
  <si>
    <t>=NF($B89,"Sell-to Customer No.")</t>
  </si>
  <si>
    <t>=NF($B89,"No.")</t>
  </si>
  <si>
    <t>=NF($B89,"Description")</t>
  </si>
  <si>
    <t>=NF($B89,"Qty. to Ship")</t>
  </si>
  <si>
    <t>=NF($B89,"Net Weight")</t>
  </si>
  <si>
    <t>=G89*H89</t>
  </si>
  <si>
    <t>="""BC365 (SQL)"",""Somerset Timbers"",""37"",""1"",""Order"",""3"",""SF38695"",""4"",""60000"""</t>
  </si>
  <si>
    <t>=NF($B90,"Document No.")</t>
  </si>
  <si>
    <t>=NF($B90,"Sell-to Customer No.")</t>
  </si>
  <si>
    <t>=NF($B90,"No.")</t>
  </si>
  <si>
    <t>=NF($B90,"Description")</t>
  </si>
  <si>
    <t>=NF($B90,"Qty. to Ship")</t>
  </si>
  <si>
    <t>=NF($B90,"Net Weight")</t>
  </si>
  <si>
    <t>=G90*H90</t>
  </si>
  <si>
    <t>="""BC365 (SQL)"",""Somerset Timbers"",""37"",""1"",""Order"",""3"",""SF38695"",""4"",""70000"""</t>
  </si>
  <si>
    <t>=NF($B91,"Document No.")</t>
  </si>
  <si>
    <t>=NF($B91,"Sell-to Customer No.")</t>
  </si>
  <si>
    <t>=NF($B91,"No.")</t>
  </si>
  <si>
    <t>=NF($B91,"Description")</t>
  </si>
  <si>
    <t>=NF($B91,"Qty. to Ship")</t>
  </si>
  <si>
    <t>=NF($B91,"Net Weight")</t>
  </si>
  <si>
    <t>=G91*H91</t>
  </si>
  <si>
    <t>="""BC365 (SQL)"",""Somerset Timbers"",""37"",""1"",""Order"",""3"",""SF38695"",""4"",""80000"""</t>
  </si>
  <si>
    <t>=NF($B92,"Document No.")</t>
  </si>
  <si>
    <t>=NF($B92,"Sell-to Customer No.")</t>
  </si>
  <si>
    <t>=NF($B92,"No.")</t>
  </si>
  <si>
    <t>=NF($B92,"Description")</t>
  </si>
  <si>
    <t>=NF($B92,"Qty. to Ship")</t>
  </si>
  <si>
    <t>=NF($B92,"Net Weight")</t>
  </si>
  <si>
    <t>=G92*H92</t>
  </si>
  <si>
    <t>="""BC365 (SQL)"",""Somerset Timbers"",""37"",""1"",""Order"",""3"",""SF38695"",""4"",""90000"""</t>
  </si>
  <si>
    <t>=NF($B93,"Document No.")</t>
  </si>
  <si>
    <t>=NF($B93,"Sell-to Customer No.")</t>
  </si>
  <si>
    <t>=NF($B93,"No.")</t>
  </si>
  <si>
    <t>=NF($B93,"Description")</t>
  </si>
  <si>
    <t>=NF($B93,"Qty. to Ship")</t>
  </si>
  <si>
    <t>=NF($B93,"Net Weight")</t>
  </si>
  <si>
    <t>=G93*H93</t>
  </si>
  <si>
    <t>="""BC365 (SQL)"",""Somerset Timbers"",""37"",""1"",""Order"",""3"",""SF38695"",""4"",""100000"""</t>
  </si>
  <si>
    <t>=NF($B94,"Document No.")</t>
  </si>
  <si>
    <t>=NF($B94,"Sell-to Customer No.")</t>
  </si>
  <si>
    <t>=NF($B94,"No.")</t>
  </si>
  <si>
    <t>=NF($B94,"Description")</t>
  </si>
  <si>
    <t>=NF($B94,"Qty. to Ship")</t>
  </si>
  <si>
    <t>=NF($B94,"Net Weight")</t>
  </si>
  <si>
    <t>=G94*H94</t>
  </si>
  <si>
    <t>="""BC365 (SQL)"",""Somerset Timbers"",""37"",""1"",""Order"",""3"",""SF38695"",""4"",""110000"""</t>
  </si>
  <si>
    <t>=NF($B95,"Document No.")</t>
  </si>
  <si>
    <t>=NF($B95,"Sell-to Customer No.")</t>
  </si>
  <si>
    <t>=NF($B95,"No.")</t>
  </si>
  <si>
    <t>=NF($B95,"Description")</t>
  </si>
  <si>
    <t>=NF($B95,"Qty. to Ship")</t>
  </si>
  <si>
    <t>=NF($B95,"Net Weight")</t>
  </si>
  <si>
    <t>=G95*H95</t>
  </si>
  <si>
    <t>="""BC365 (SQL)"",""Somerset Timbers"",""37"",""1"",""Order"",""3"",""SF38695"",""4"",""120000"""</t>
  </si>
  <si>
    <t>=NF($B96,"Document No.")</t>
  </si>
  <si>
    <t>=NF($B96,"Sell-to Customer No.")</t>
  </si>
  <si>
    <t>=NF($B96,"No.")</t>
  </si>
  <si>
    <t>=NF($B96,"Description")</t>
  </si>
  <si>
    <t>=NF($B96,"Qty. to Ship")</t>
  </si>
  <si>
    <t>=NF($B96,"Net Weight")</t>
  </si>
  <si>
    <t>=G96*H96</t>
  </si>
  <si>
    <t>="""BC365 (SQL)"",""Somerset Timbers"",""37"",""1"",""Order"",""3"",""SF38695"",""4"",""130000"""</t>
  </si>
  <si>
    <t>=NF($B97,"Document No.")</t>
  </si>
  <si>
    <t>=NF($B97,"Sell-to Customer No.")</t>
  </si>
  <si>
    <t>=NF($B97,"No.")</t>
  </si>
  <si>
    <t>=NF($B97,"Description")</t>
  </si>
  <si>
    <t>=NF($B97,"Qty. to Ship")</t>
  </si>
  <si>
    <t>=NF($B97,"Net Weight")</t>
  </si>
  <si>
    <t>=G97*H97</t>
  </si>
  <si>
    <t>="""BC365 (SQL)"",""Somerset Timbers"",""37"",""1"",""Order"",""3"",""SF38695"",""4"",""140000"""</t>
  </si>
  <si>
    <t>=NF($B98,"Document No.")</t>
  </si>
  <si>
    <t>=NF($B98,"Sell-to Customer No.")</t>
  </si>
  <si>
    <t>=NF($B98,"No.")</t>
  </si>
  <si>
    <t>=NF($B98,"Description")</t>
  </si>
  <si>
    <t>=NF($B98,"Qty. to Ship")</t>
  </si>
  <si>
    <t>=NF($B98,"Net Weight")</t>
  </si>
  <si>
    <t>=G98*H98</t>
  </si>
  <si>
    <t>="""BC365 (SQL)"",""Somerset Timbers"",""37"",""1"",""Order"",""3"",""SF38695"",""4"",""150000"""</t>
  </si>
  <si>
    <t>=NF($B99,"Document No.")</t>
  </si>
  <si>
    <t>=NF($B99,"Sell-to Customer No.")</t>
  </si>
  <si>
    <t>=NF($B99,"No.")</t>
  </si>
  <si>
    <t>=NF($B99,"Description")</t>
  </si>
  <si>
    <t>=NF($B99,"Qty. to Ship")</t>
  </si>
  <si>
    <t>=NF($B99,"Net Weight")</t>
  </si>
  <si>
    <t>=G99*H99</t>
  </si>
  <si>
    <t>="""BC365 (SQL)"",""Somerset Timbers"",""37"",""1"",""Order"",""3"",""SF38695"",""4"",""160000"""</t>
  </si>
  <si>
    <t>=NF($B100,"Document No.")</t>
  </si>
  <si>
    <t>=NF($B100,"Sell-to Customer No.")</t>
  </si>
  <si>
    <t>=NF($B100,"No.")</t>
  </si>
  <si>
    <t>=NF($B100,"Description")</t>
  </si>
  <si>
    <t>=NF($B100,"Qty. to Ship")</t>
  </si>
  <si>
    <t>=NF($B100,"Net Weight")</t>
  </si>
  <si>
    <t>=G100*H100</t>
  </si>
  <si>
    <t>="""BC365 (SQL)"",""Somerset Timbers"",""37"",""1"",""Order"",""3"",""SF38695"",""4"",""170000"""</t>
  </si>
  <si>
    <t>=NF($B101,"Document No.")</t>
  </si>
  <si>
    <t>=NF($B101,"Sell-to Customer No.")</t>
  </si>
  <si>
    <t>=NF($B101,"No.")</t>
  </si>
  <si>
    <t>=NF($B101,"Description")</t>
  </si>
  <si>
    <t>=NF($B101,"Qty. to Ship")</t>
  </si>
  <si>
    <t>=NF($B101,"Net Weight")</t>
  </si>
  <si>
    <t>=G101*H101</t>
  </si>
  <si>
    <t>="""BC365 (SQL)"",""Somerset Timbers"",""37"",""1"",""Order"",""3"",""SF38695"",""4"",""180000"""</t>
  </si>
  <si>
    <t>=NF($B102,"Document No.")</t>
  </si>
  <si>
    <t>=NF($B102,"Sell-to Customer No.")</t>
  </si>
  <si>
    <t>=NF($B102,"No.")</t>
  </si>
  <si>
    <t>=NF($B102,"Description")</t>
  </si>
  <si>
    <t>=NF($B102,"Qty. to Ship")</t>
  </si>
  <si>
    <t>=NF($B102,"Net Weight")</t>
  </si>
  <si>
    <t>=G102*H102</t>
  </si>
  <si>
    <t>="""BC365 (SQL)"",""Somerset Timbers"",""37"",""1"",""Order"",""3"",""SF38695"",""4"",""190000"""</t>
  </si>
  <si>
    <t>=NF($B103,"Document No.")</t>
  </si>
  <si>
    <t>=NF($B103,"Sell-to Customer No.")</t>
  </si>
  <si>
    <t>=NF($B103,"No.")</t>
  </si>
  <si>
    <t>=NF($B103,"Description")</t>
  </si>
  <si>
    <t>=NF($B103,"Qty. to Ship")</t>
  </si>
  <si>
    <t>=NF($B103,"Net Weight")</t>
  </si>
  <si>
    <t>=G103*H103</t>
  </si>
  <si>
    <t>="""BC365 (SQL)"",""Somerset Timbers"",""37"",""1"",""Order"",""3"",""SF38695"",""4"",""200000"""</t>
  </si>
  <si>
    <t>=NF($B104,"Document No.")</t>
  </si>
  <si>
    <t>=NF($B104,"Sell-to Customer No.")</t>
  </si>
  <si>
    <t>=NF($B104,"No.")</t>
  </si>
  <si>
    <t>=NF($B104,"Description")</t>
  </si>
  <si>
    <t>=NF($B104,"Qty. to Ship")</t>
  </si>
  <si>
    <t>=NF($B104,"Net Weight")</t>
  </si>
  <si>
    <t>=G104*H104</t>
  </si>
  <si>
    <t>="""BC365 (SQL)"",""Somerset Timbers"",""37"",""1"",""Order"",""3"",""SF38695"",""4"",""230000"""</t>
  </si>
  <si>
    <t>=NF($B105,"Document No.")</t>
  </si>
  <si>
    <t>=NF($B105,"Sell-to Customer No.")</t>
  </si>
  <si>
    <t>=NF($B105,"No.")</t>
  </si>
  <si>
    <t>=NF($B105,"Description")</t>
  </si>
  <si>
    <t>=NF($B105,"Qty. to Ship")</t>
  </si>
  <si>
    <t>=NF($B105,"Net Weight")</t>
  </si>
  <si>
    <t>=G105*H105</t>
  </si>
  <si>
    <t>="""BC365 (SQL)"",""Somerset Timbers"",""37"",""1"",""Order"",""3"",""SF38695"",""4"",""240000"""</t>
  </si>
  <si>
    <t>=NF($B106,"Document No.")</t>
  </si>
  <si>
    <t>=NF($B106,"Sell-to Customer No.")</t>
  </si>
  <si>
    <t>=NF($B106,"No.")</t>
  </si>
  <si>
    <t>=NF($B106,"Description")</t>
  </si>
  <si>
    <t>=NF($B106,"Qty. to Ship")</t>
  </si>
  <si>
    <t>=NF($B106,"Net Weight")</t>
  </si>
  <si>
    <t>=G106*H106</t>
  </si>
  <si>
    <t>="""BC365 (SQL)"",""Somerset Timbers"",""37"",""1"",""Order"",""3"",""SF38695"",""4"",""250000"""</t>
  </si>
  <si>
    <t>=NF($B107,"Document No.")</t>
  </si>
  <si>
    <t>=NF($B107,"Sell-to Customer No.")</t>
  </si>
  <si>
    <t>=NF($B107,"No.")</t>
  </si>
  <si>
    <t>=NF($B107,"Description")</t>
  </si>
  <si>
    <t>=NF($B107,"Qty. to Ship")</t>
  </si>
  <si>
    <t>=NF($B107,"Net Weight")</t>
  </si>
  <si>
    <t>=G107*H107</t>
  </si>
  <si>
    <t>="""BC365 (SQL)"",""Somerset Timbers"",""37"",""1"",""Order"",""3"",""SF38695"",""4"",""260000"""</t>
  </si>
  <si>
    <t>=NF($B108,"Document No.")</t>
  </si>
  <si>
    <t>=NF($B108,"Sell-to Customer No.")</t>
  </si>
  <si>
    <t>=NF($B108,"No.")</t>
  </si>
  <si>
    <t>=NF($B108,"Description")</t>
  </si>
  <si>
    <t>=NF($B108,"Qty. to Ship")</t>
  </si>
  <si>
    <t>=NF($B108,"Net Weight")</t>
  </si>
  <si>
    <t>=G108*H108</t>
  </si>
  <si>
    <t>="""BC365 (SQL)"",""Somerset Timbers"",""37"",""1"",""Order"",""3"",""SF38695"",""4"",""280000"""</t>
  </si>
  <si>
    <t>=NF($B109,"Document No.")</t>
  </si>
  <si>
    <t>=NF($B109,"Sell-to Customer No.")</t>
  </si>
  <si>
    <t>=NF($B109,"No.")</t>
  </si>
  <si>
    <t>=NF($B109,"Description")</t>
  </si>
  <si>
    <t>=NF($B109,"Qty. to Ship")</t>
  </si>
  <si>
    <t>=NF($B109,"Net Weight")</t>
  </si>
  <si>
    <t>=G109*H109</t>
  </si>
  <si>
    <t>="""BC365 (SQL)"",""Somerset Timbers"",""37"",""1"",""Order"",""3"",""SF38695"",""4"",""290000"""</t>
  </si>
  <si>
    <t>=NF($B110,"Document No.")</t>
  </si>
  <si>
    <t>=NF($B110,"Sell-to Customer No.")</t>
  </si>
  <si>
    <t>=NF($B110,"No.")</t>
  </si>
  <si>
    <t>=NF($B110,"Description")</t>
  </si>
  <si>
    <t>=NF($B110,"Qty. to Ship")</t>
  </si>
  <si>
    <t>=NF($B110,"Net Weight")</t>
  </si>
  <si>
    <t>=G110*H110</t>
  </si>
  <si>
    <t>="""BC365 (SQL)"",""Somerset Timbers"",""37"",""1"",""Order"",""3"",""SF38695"",""4"",""300000"""</t>
  </si>
  <si>
    <t>=NF($B111,"Document No.")</t>
  </si>
  <si>
    <t>=NF($B111,"Sell-to Customer No.")</t>
  </si>
  <si>
    <t>=NF($B111,"No.")</t>
  </si>
  <si>
    <t>=NF($B111,"Description")</t>
  </si>
  <si>
    <t>=NF($B111,"Qty. to Ship")</t>
  </si>
  <si>
    <t>=NF($B111,"Net Weight")</t>
  </si>
  <si>
    <t>=G111*H111</t>
  </si>
  <si>
    <t>="""BC365 (SQL)"",""Somerset Timbers"",""37"",""1"",""Order"",""3"",""SF38695"",""4"",""310000"""</t>
  </si>
  <si>
    <t>=NF($B112,"Document No.")</t>
  </si>
  <si>
    <t>=NF($B112,"Sell-to Customer No.")</t>
  </si>
  <si>
    <t>=NF($B112,"No.")</t>
  </si>
  <si>
    <t>=NF($B112,"Description")</t>
  </si>
  <si>
    <t>=NF($B112,"Qty. to Ship")</t>
  </si>
  <si>
    <t>=NF($B112,"Net Weight")</t>
  </si>
  <si>
    <t>=G112*H112</t>
  </si>
  <si>
    <t>="""BC365 (SQL)"",""Somerset Timbers"",""37"",""1"",""Order"",""3"",""SF38695"",""4"",""320000"""</t>
  </si>
  <si>
    <t>=NF($B113,"Document No.")</t>
  </si>
  <si>
    <t>=NF($B113,"Sell-to Customer No.")</t>
  </si>
  <si>
    <t>=NF($B113,"No.")</t>
  </si>
  <si>
    <t>=NF($B113,"Description")</t>
  </si>
  <si>
    <t>=NF($B113,"Qty. to Ship")</t>
  </si>
  <si>
    <t>=NF($B113,"Net Weight")</t>
  </si>
  <si>
    <t>=G113*H113</t>
  </si>
  <si>
    <t>="""BC365 (SQL)"",""Somerset Timbers"",""37"",""1"",""Order"",""3"",""SF38695"",""4"",""330000"""</t>
  </si>
  <si>
    <t>=NF($B114,"Document No.")</t>
  </si>
  <si>
    <t>=NF($B114,"Sell-to Customer No.")</t>
  </si>
  <si>
    <t>=NF($B114,"No.")</t>
  </si>
  <si>
    <t>=NF($B114,"Description")</t>
  </si>
  <si>
    <t>=NF($B114,"Qty. to Ship")</t>
  </si>
  <si>
    <t>=NF($B114,"Net Weight")</t>
  </si>
  <si>
    <t>=G114*H114</t>
  </si>
  <si>
    <t>="""BC365 (SQL)"",""Somerset Timbers"",""37"",""1"",""Order"",""3"",""SF38838"",""4"",""10000"""</t>
  </si>
  <si>
    <t>=NF($B115,"Document No.")</t>
  </si>
  <si>
    <t>=NF($B115,"Sell-to Customer No.")</t>
  </si>
  <si>
    <t>=NF($B115,"No.")</t>
  </si>
  <si>
    <t>=NF($B115,"Description")</t>
  </si>
  <si>
    <t>=NF($B115,"Qty. to Ship")</t>
  </si>
  <si>
    <t>=NF($B115,"Net Weight")</t>
  </si>
  <si>
    <t>=G115*H115</t>
  </si>
  <si>
    <t>="""BC365 (SQL)"",""Somerset Timbers"",""37"",""1"",""Order"",""3"",""SF38838"",""4"",""20000"""</t>
  </si>
  <si>
    <t>=NF($B116,"Document No.")</t>
  </si>
  <si>
    <t>=NF($B116,"Sell-to Customer No.")</t>
  </si>
  <si>
    <t>=NF($B116,"No.")</t>
  </si>
  <si>
    <t>=NF($B116,"Description")</t>
  </si>
  <si>
    <t>=NF($B116,"Qty. to Ship")</t>
  </si>
  <si>
    <t>=NF($B116,"Net Weight")</t>
  </si>
  <si>
    <t>=G116*H116</t>
  </si>
  <si>
    <t>="""BC365 (SQL)"",""Somerset Timbers"",""37"",""1"",""Order"",""3"",""SF38956"",""4"",""10000"""</t>
  </si>
  <si>
    <t>=NF($B117,"Document No.")</t>
  </si>
  <si>
    <t>=NF($B117,"Sell-to Customer No.")</t>
  </si>
  <si>
    <t>=NF($B117,"No.")</t>
  </si>
  <si>
    <t>=NF($B117,"Description")</t>
  </si>
  <si>
    <t>=NF($B117,"Qty. to Ship")</t>
  </si>
  <si>
    <t>=NF($B117,"Net Weight")</t>
  </si>
  <si>
    <t>=G117*H117</t>
  </si>
  <si>
    <t>="""BC365 (SQL)"",""Somerset Timbers"",""37"",""1"",""Order"",""3"",""SF38956"",""4"",""20000"""</t>
  </si>
  <si>
    <t>=NF($B118,"Document No.")</t>
  </si>
  <si>
    <t>=NF($B118,"Sell-to Customer No.")</t>
  </si>
  <si>
    <t>=NF($B118,"No.")</t>
  </si>
  <si>
    <t>=NF($B118,"Description")</t>
  </si>
  <si>
    <t>=NF($B118,"Qty. to Ship")</t>
  </si>
  <si>
    <t>=NF($B118,"Net Weight")</t>
  </si>
  <si>
    <t>=G118*H118</t>
  </si>
  <si>
    <t>="""BC365 (SQL)"",""Somerset Timbers"",""37"",""1"",""Order"",""3"",""SF38956"",""4"",""30000"""</t>
  </si>
  <si>
    <t>=NF($B119,"Document No.")</t>
  </si>
  <si>
    <t>=NF($B119,"Sell-to Customer No.")</t>
  </si>
  <si>
    <t>=NF($B119,"No.")</t>
  </si>
  <si>
    <t>=NF($B119,"Description")</t>
  </si>
  <si>
    <t>=NF($B119,"Qty. to Ship")</t>
  </si>
  <si>
    <t>=NF($B119,"Net Weight")</t>
  </si>
  <si>
    <t>=G119*H119</t>
  </si>
  <si>
    <t>="""BC365 (SQL)"",""Somerset Timbers"",""37"",""1"",""Order"",""3"",""SF38956"",""4"",""40000"""</t>
  </si>
  <si>
    <t>=NF($B120,"Document No.")</t>
  </si>
  <si>
    <t>=NF($B120,"Sell-to Customer No.")</t>
  </si>
  <si>
    <t>=NF($B120,"No.")</t>
  </si>
  <si>
    <t>=NF($B120,"Description")</t>
  </si>
  <si>
    <t>=NF($B120,"Qty. to Ship")</t>
  </si>
  <si>
    <t>=NF($B120,"Net Weight")</t>
  </si>
  <si>
    <t>=G120*H120</t>
  </si>
  <si>
    <t>="""BC365 (SQL)"",""Somerset Timbers"",""37"",""1"",""Order"",""3"",""SF38956"",""4"",""50000"""</t>
  </si>
  <si>
    <t>=NF($B121,"Document No.")</t>
  </si>
  <si>
    <t>=NF($B121,"Sell-to Customer No.")</t>
  </si>
  <si>
    <t>=NF($B121,"No.")</t>
  </si>
  <si>
    <t>=NF($B121,"Description")</t>
  </si>
  <si>
    <t>=NF($B121,"Qty. to Ship")</t>
  </si>
  <si>
    <t>=NF($B121,"Net Weight")</t>
  </si>
  <si>
    <t>=G121*H121</t>
  </si>
  <si>
    <t>="""BC365 (SQL)"",""Somerset Timbers"",""37"",""1"",""Order"",""3"",""SF38980"",""4"",""10000"""</t>
  </si>
  <si>
    <t>=NF($B122,"Document No.")</t>
  </si>
  <si>
    <t>=NF($B122,"Sell-to Customer No.")</t>
  </si>
  <si>
    <t>=NF($B122,"No.")</t>
  </si>
  <si>
    <t>=NF($B122,"Description")</t>
  </si>
  <si>
    <t>=NF($B122,"Qty. to Ship")</t>
  </si>
  <si>
    <t>=NF($B122,"Net Weight")</t>
  </si>
  <si>
    <t>=G122*H122</t>
  </si>
  <si>
    <t>="""BC365 (SQL)"",""Somerset Timbers"",""37"",""1"",""Order"",""3"",""SF38980"",""4"",""20000"""</t>
  </si>
  <si>
    <t>=NF($B123,"Document No.")</t>
  </si>
  <si>
    <t>=NF($B123,"Sell-to Customer No.")</t>
  </si>
  <si>
    <t>=NF($B123,"No.")</t>
  </si>
  <si>
    <t>=NF($B123,"Description")</t>
  </si>
  <si>
    <t>=NF($B123,"Qty. to Ship")</t>
  </si>
  <si>
    <t>=NF($B123,"Net Weight")</t>
  </si>
  <si>
    <t>=G123*H123</t>
  </si>
  <si>
    <t>="""BC365 (SQL)"",""Somerset Timbers"",""37"",""1"",""Order"",""3"",""SF38980"",""4"",""30000"""</t>
  </si>
  <si>
    <t>=NF($B124,"Document No.")</t>
  </si>
  <si>
    <t>=NF($B124,"Sell-to Customer No.")</t>
  </si>
  <si>
    <t>=NF($B124,"No.")</t>
  </si>
  <si>
    <t>=NF($B124,"Description")</t>
  </si>
  <si>
    <t>=NF($B124,"Qty. to Ship")</t>
  </si>
  <si>
    <t>=NF($B124,"Net Weight")</t>
  </si>
  <si>
    <t>=G124*H124</t>
  </si>
  <si>
    <t>="""BC365 (SQL)"",""Somerset Timbers"",""37"",""1"",""Order"",""3"",""SF38980"",""4"",""40000"""</t>
  </si>
  <si>
    <t>=NF($B125,"Document No.")</t>
  </si>
  <si>
    <t>=NF($B125,"Sell-to Customer No.")</t>
  </si>
  <si>
    <t>=NF($B125,"No.")</t>
  </si>
  <si>
    <t>=NF($B125,"Description")</t>
  </si>
  <si>
    <t>=NF($B125,"Qty. to Ship")</t>
  </si>
  <si>
    <t>=NF($B125,"Net Weight")</t>
  </si>
  <si>
    <t>=G125*H125</t>
  </si>
  <si>
    <t>="""BC365 (SQL)"",""Somerset Timbers"",""37"",""1"",""Order"",""3"",""SF38980"",""4"",""50000"""</t>
  </si>
  <si>
    <t>=NF($B126,"Document No.")</t>
  </si>
  <si>
    <t>=NF($B126,"Sell-to Customer No.")</t>
  </si>
  <si>
    <t>=NF($B126,"No.")</t>
  </si>
  <si>
    <t>=NF($B126,"Description")</t>
  </si>
  <si>
    <t>=NF($B126,"Qty. to Ship")</t>
  </si>
  <si>
    <t>=NF($B126,"Net Weight")</t>
  </si>
  <si>
    <t>=G126*H126</t>
  </si>
  <si>
    <t>="""BC365 (SQL)"",""Somerset Timbers"",""37"",""1"",""Order"",""3"",""SF39125"",""4"",""10000"""</t>
  </si>
  <si>
    <t>=NF($B127,"Document No.")</t>
  </si>
  <si>
    <t>=NF($B127,"Sell-to Customer No.")</t>
  </si>
  <si>
    <t>=NF($B127,"No.")</t>
  </si>
  <si>
    <t>=NF($B127,"Description")</t>
  </si>
  <si>
    <t>=NF($B127,"Qty. to Ship")</t>
  </si>
  <si>
    <t>=NF($B127,"Net Weight")</t>
  </si>
  <si>
    <t>=G127*H127</t>
  </si>
  <si>
    <t>="""BC365 (SQL)"",""Somerset Timbers"",""37"",""1"",""Order"",""3"",""SF39125"",""4"",""20000"""</t>
  </si>
  <si>
    <t>=NF($B128,"Document No.")</t>
  </si>
  <si>
    <t>=NF($B128,"Sell-to Customer No.")</t>
  </si>
  <si>
    <t>=NF($B128,"No.")</t>
  </si>
  <si>
    <t>=NF($B128,"Description")</t>
  </si>
  <si>
    <t>=NF($B128,"Qty. to Ship")</t>
  </si>
  <si>
    <t>=NF($B128,"Net Weight")</t>
  </si>
  <si>
    <t>=G128*H128</t>
  </si>
  <si>
    <t>="""BC365 (SQL)"",""Somerset Timbers"",""37"",""1"",""Order"",""3"",""SF39125"",""4"",""30000"""</t>
  </si>
  <si>
    <t>=NF($B129,"Document No.")</t>
  </si>
  <si>
    <t>=NF($B129,"Sell-to Customer No.")</t>
  </si>
  <si>
    <t>=NF($B129,"No.")</t>
  </si>
  <si>
    <t>=NF($B129,"Description")</t>
  </si>
  <si>
    <t>=NF($B129,"Qty. to Ship")</t>
  </si>
  <si>
    <t>=NF($B129,"Net Weight")</t>
  </si>
  <si>
    <t>=G129*H129</t>
  </si>
  <si>
    <t>="""BC365 (SQL)"",""Somerset Timbers"",""37"",""1"",""Order"",""3"",""SF39125"",""4"",""40000"""</t>
  </si>
  <si>
    <t>=NF($B130,"Document No.")</t>
  </si>
  <si>
    <t>=NF($B130,"Sell-to Customer No.")</t>
  </si>
  <si>
    <t>=NF($B130,"No.")</t>
  </si>
  <si>
    <t>=NF($B130,"Description")</t>
  </si>
  <si>
    <t>=NF($B130,"Qty. to Ship")</t>
  </si>
  <si>
    <t>=NF($B130,"Net Weight")</t>
  </si>
  <si>
    <t>=G130*H130</t>
  </si>
  <si>
    <t>="""BC365 (SQL)"",""Somerset Timbers"",""37"",""1"",""Order"",""3"",""SF39125"",""4"",""50000"""</t>
  </si>
  <si>
    <t>=NF($B131,"Document No.")</t>
  </si>
  <si>
    <t>=NF($B131,"Sell-to Customer No.")</t>
  </si>
  <si>
    <t>=NF($B131,"No.")</t>
  </si>
  <si>
    <t>=NF($B131,"Description")</t>
  </si>
  <si>
    <t>=NF($B131,"Qty. to Ship")</t>
  </si>
  <si>
    <t>=NF($B131,"Net Weight")</t>
  </si>
  <si>
    <t>=G131*H131</t>
  </si>
  <si>
    <t>="""BC365 (SQL)"",""Somerset Timbers"",""37"",""1"",""Order"",""3"",""SF39125"",""4"",""60000"""</t>
  </si>
  <si>
    <t>=NF($B132,"Document No.")</t>
  </si>
  <si>
    <t>=NF($B132,"Sell-to Customer No.")</t>
  </si>
  <si>
    <t>=NF($B132,"No.")</t>
  </si>
  <si>
    <t>=NF($B132,"Description")</t>
  </si>
  <si>
    <t>=NF($B132,"Qty. to Ship")</t>
  </si>
  <si>
    <t>=NF($B132,"Net Weight")</t>
  </si>
  <si>
    <t>=G132*H132</t>
  </si>
  <si>
    <t>="""BC365 (SQL)"",""Somerset Timbers"",""37"",""1"",""Order"",""3"",""SF39125"",""4"",""70000"""</t>
  </si>
  <si>
    <t>=NF($B133,"Document No.")</t>
  </si>
  <si>
    <t>=NF($B133,"Sell-to Customer No.")</t>
  </si>
  <si>
    <t>=NF($B133,"No.")</t>
  </si>
  <si>
    <t>=NF($B133,"Description")</t>
  </si>
  <si>
    <t>=NF($B133,"Qty. to Ship")</t>
  </si>
  <si>
    <t>=NF($B133,"Net Weight")</t>
  </si>
  <si>
    <t>=G133*H133</t>
  </si>
  <si>
    <t>="""BC365 (SQL)"",""Somerset Timbers"",""37"",""1"",""Order"",""3"",""SF39125"",""4"",""80000"""</t>
  </si>
  <si>
    <t>=NF($B134,"Document No.")</t>
  </si>
  <si>
    <t>=NF($B134,"Sell-to Customer No.")</t>
  </si>
  <si>
    <t>=NF($B134,"No.")</t>
  </si>
  <si>
    <t>=NF($B134,"Description")</t>
  </si>
  <si>
    <t>=NF($B134,"Qty. to Ship")</t>
  </si>
  <si>
    <t>=NF($B134,"Net Weight")</t>
  </si>
  <si>
    <t>=G134*H134</t>
  </si>
  <si>
    <t>="""BC365 (SQL)"",""Somerset Timbers"",""37"",""1"",""Order"",""3"",""SF39125"",""4"",""90000"""</t>
  </si>
  <si>
    <t>=NF($B135,"Document No.")</t>
  </si>
  <si>
    <t>=NF($B135,"Sell-to Customer No.")</t>
  </si>
  <si>
    <t>=NF($B135,"No.")</t>
  </si>
  <si>
    <t>=NF($B135,"Description")</t>
  </si>
  <si>
    <t>=NF($B135,"Qty. to Ship")</t>
  </si>
  <si>
    <t>=NF($B135,"Net Weight")</t>
  </si>
  <si>
    <t>=G135*H135</t>
  </si>
  <si>
    <t>="""BC365 (SQL)"",""Somerset Timbers"",""37"",""1"",""Order"",""3"",""SF39125"",""4"",""100000"""</t>
  </si>
  <si>
    <t>=NF($B136,"Document No.")</t>
  </si>
  <si>
    <t>=NF($B136,"Sell-to Customer No.")</t>
  </si>
  <si>
    <t>=NF($B136,"No.")</t>
  </si>
  <si>
    <t>=NF($B136,"Description")</t>
  </si>
  <si>
    <t>=NF($B136,"Qty. to Ship")</t>
  </si>
  <si>
    <t>=NF($B136,"Net Weight")</t>
  </si>
  <si>
    <t>=G136*H136</t>
  </si>
  <si>
    <t>="""BC365 (SQL)"",""Somerset Timbers"",""37"",""1"",""Order"",""3"",""SF39125"",""4"",""105000"""</t>
  </si>
  <si>
    <t>=NF($B137,"Document No.")</t>
  </si>
  <si>
    <t>=NF($B137,"Sell-to Customer No.")</t>
  </si>
  <si>
    <t>=NF($B137,"No.")</t>
  </si>
  <si>
    <t>=NF($B137,"Description")</t>
  </si>
  <si>
    <t>=NF($B137,"Qty. to Ship")</t>
  </si>
  <si>
    <t>=NF($B137,"Net Weight")</t>
  </si>
  <si>
    <t>=G137*H137</t>
  </si>
  <si>
    <t>="""BC365 (SQL)"",""Somerset Timbers"",""37"",""1"",""Order"",""3"",""SF39125"",""4"",""110000"""</t>
  </si>
  <si>
    <t>=NF($B138,"Document No.")</t>
  </si>
  <si>
    <t>=NF($B138,"Sell-to Customer No.")</t>
  </si>
  <si>
    <t>=NF($B138,"No.")</t>
  </si>
  <si>
    <t>=NF($B138,"Description")</t>
  </si>
  <si>
    <t>=NF($B138,"Qty. to Ship")</t>
  </si>
  <si>
    <t>=NF($B138,"Net Weight")</t>
  </si>
  <si>
    <t>=G138*H138</t>
  </si>
  <si>
    <t>="""BC365 (SQL)"",""Somerset Timbers"",""37"",""1"",""Order"",""3"",""SF39125"",""4"",""120000"""</t>
  </si>
  <si>
    <t>=NF($B139,"Document No.")</t>
  </si>
  <si>
    <t>=NF($B139,"Sell-to Customer No.")</t>
  </si>
  <si>
    <t>=NF($B139,"No.")</t>
  </si>
  <si>
    <t>=NF($B139,"Description")</t>
  </si>
  <si>
    <t>=NF($B139,"Qty. to Ship")</t>
  </si>
  <si>
    <t>=NF($B139,"Net Weight")</t>
  </si>
  <si>
    <t>=G139*H139</t>
  </si>
  <si>
    <t>="""BC365 (SQL)"",""Somerset Timbers"",""37"",""1"",""Order"",""3"",""SF39125"",""4"",""130000"""</t>
  </si>
  <si>
    <t>=NF($B140,"Document No.")</t>
  </si>
  <si>
    <t>=NF($B140,"Sell-to Customer No.")</t>
  </si>
  <si>
    <t>=NF($B140,"No.")</t>
  </si>
  <si>
    <t>=NF($B140,"Description")</t>
  </si>
  <si>
    <t>=NF($B140,"Qty. to Ship")</t>
  </si>
  <si>
    <t>=NF($B140,"Net Weight")</t>
  </si>
  <si>
    <t>=G140*H140</t>
  </si>
  <si>
    <t>="""BC365 (SQL)"",""Somerset Timbers"",""37"",""1"",""Order"",""3"",""SF39521"",""4"",""10000"""</t>
  </si>
  <si>
    <t>=NF($B141,"Document No.")</t>
  </si>
  <si>
    <t>=NF($B141,"Sell-to Customer No.")</t>
  </si>
  <si>
    <t>=NF($B141,"No.")</t>
  </si>
  <si>
    <t>=NF($B141,"Description")</t>
  </si>
  <si>
    <t>=NF($B141,"Qty. to Ship")</t>
  </si>
  <si>
    <t>=NF($B141,"Net Weight")</t>
  </si>
  <si>
    <t>=G141*H141</t>
  </si>
  <si>
    <t>="""BC365 (SQL)"",""Somerset Timbers"",""37"",""1"",""Order"",""3"",""SF39521"",""4"",""30000"""</t>
  </si>
  <si>
    <t>=NF($B142,"Document No.")</t>
  </si>
  <si>
    <t>=NF($B142,"Sell-to Customer No.")</t>
  </si>
  <si>
    <t>=NF($B142,"No.")</t>
  </si>
  <si>
    <t>=NF($B142,"Description")</t>
  </si>
  <si>
    <t>=NF($B142,"Qty. to Ship")</t>
  </si>
  <si>
    <t>=NF($B142,"Net Weight")</t>
  </si>
  <si>
    <t>=G142*H142</t>
  </si>
  <si>
    <t>="""BC365 (SQL)"",""Somerset Timbers"",""37"",""1"",""Order"",""3"",""SF39521"",""4"",""40000"""</t>
  </si>
  <si>
    <t>=NF($B143,"Document No.")</t>
  </si>
  <si>
    <t>=NF($B143,"Sell-to Customer No.")</t>
  </si>
  <si>
    <t>=NF($B143,"No.")</t>
  </si>
  <si>
    <t>=NF($B143,"Description")</t>
  </si>
  <si>
    <t>=NF($B143,"Qty. to Ship")</t>
  </si>
  <si>
    <t>=NF($B143,"Net Weight")</t>
  </si>
  <si>
    <t>=G143*H143</t>
  </si>
  <si>
    <t>="""BC365 (SQL)"",""Somerset Timbers"",""37"",""1"",""Order"",""3"",""SF39521"",""4"",""50000"""</t>
  </si>
  <si>
    <t>=NF($B144,"Document No.")</t>
  </si>
  <si>
    <t>=NF($B144,"Sell-to Customer No.")</t>
  </si>
  <si>
    <t>=NF($B144,"No.")</t>
  </si>
  <si>
    <t>=NF($B144,"Description")</t>
  </si>
  <si>
    <t>=NF($B144,"Qty. to Ship")</t>
  </si>
  <si>
    <t>=NF($B144,"Net Weight")</t>
  </si>
  <si>
    <t>=G144*H144</t>
  </si>
  <si>
    <t>="""BC365 (SQL)"",""Somerset Timbers"",""37"",""1"",""Order"",""3"",""SF39538"",""4"",""10000"""</t>
  </si>
  <si>
    <t>=NF($B145,"Document No.")</t>
  </si>
  <si>
    <t>=NF($B145,"Sell-to Customer No.")</t>
  </si>
  <si>
    <t>=NF($B145,"No.")</t>
  </si>
  <si>
    <t>=NF($B145,"Description")</t>
  </si>
  <si>
    <t>=NF($B145,"Qty. to Ship")</t>
  </si>
  <si>
    <t>=NF($B145,"Net Weight")</t>
  </si>
  <si>
    <t>=G145*H145</t>
  </si>
  <si>
    <t>="""BC365 (SQL)"",""Somerset Timbers"",""37"",""1"",""Order"",""3"",""SF39538"",""4"",""20000"""</t>
  </si>
  <si>
    <t>=NF($B146,"Document No.")</t>
  </si>
  <si>
    <t>=NF($B146,"Sell-to Customer No.")</t>
  </si>
  <si>
    <t>=NF($B146,"No.")</t>
  </si>
  <si>
    <t>=NF($B146,"Description")</t>
  </si>
  <si>
    <t>=NF($B146,"Qty. to Ship")</t>
  </si>
  <si>
    <t>=NF($B146,"Net Weight")</t>
  </si>
  <si>
    <t>=G146*H146</t>
  </si>
  <si>
    <t>="""BC365 (SQL)"",""Somerset Timbers"",""37"",""1"",""Order"",""3"",""SF39559"",""4"",""10000"""</t>
  </si>
  <si>
    <t>=NF($B147,"Document No.")</t>
  </si>
  <si>
    <t>=NF($B147,"Sell-to Customer No.")</t>
  </si>
  <si>
    <t>=NF($B147,"No.")</t>
  </si>
  <si>
    <t>=NF($B147,"Description")</t>
  </si>
  <si>
    <t>=NF($B147,"Qty. to Ship")</t>
  </si>
  <si>
    <t>=NF($B147,"Net Weight")</t>
  </si>
  <si>
    <t>=G147*H147</t>
  </si>
  <si>
    <t>="""BC365 (SQL)"",""Somerset Timbers"",""37"",""1"",""Order"",""3"",""SF39559"",""4"",""20000"""</t>
  </si>
  <si>
    <t>=NF($B148,"Document No.")</t>
  </si>
  <si>
    <t>=NF($B148,"Sell-to Customer No.")</t>
  </si>
  <si>
    <t>=NF($B148,"No.")</t>
  </si>
  <si>
    <t>=NF($B148,"Description")</t>
  </si>
  <si>
    <t>=NF($B148,"Qty. to Ship")</t>
  </si>
  <si>
    <t>=NF($B148,"Net Weight")</t>
  </si>
  <si>
    <t>=G148*H148</t>
  </si>
  <si>
    <t>="""BC365 (SQL)"",""Somerset Timbers"",""37"",""1"",""Order"",""3"",""SF39559"",""4"",""30000"""</t>
  </si>
  <si>
    <t>=NF($B149,"Document No.")</t>
  </si>
  <si>
    <t>=NF($B149,"Sell-to Customer No.")</t>
  </si>
  <si>
    <t>=NF($B149,"No.")</t>
  </si>
  <si>
    <t>=NF($B149,"Description")</t>
  </si>
  <si>
    <t>=NF($B149,"Qty. to Ship")</t>
  </si>
  <si>
    <t>=NF($B149,"Net Weight")</t>
  </si>
  <si>
    <t>=G149*H149</t>
  </si>
  <si>
    <t>="""BC365 (SQL)"",""Somerset Timbers"",""37"",""1"",""Order"",""3"",""SF39559"",""4"",""40000"""</t>
  </si>
  <si>
    <t>=NF($B150,"Document No.")</t>
  </si>
  <si>
    <t>=NF($B150,"Sell-to Customer No.")</t>
  </si>
  <si>
    <t>=NF($B150,"No.")</t>
  </si>
  <si>
    <t>=NF($B150,"Description")</t>
  </si>
  <si>
    <t>=NF($B150,"Qty. to Ship")</t>
  </si>
  <si>
    <t>=NF($B150,"Net Weight")</t>
  </si>
  <si>
    <t>=G150*H150</t>
  </si>
  <si>
    <t>="""BC365 (SQL)"",""Somerset Timbers"",""37"",""1"",""Order"",""3"",""SF39633"",""4"",""10000"""</t>
  </si>
  <si>
    <t>=NF($B151,"Document No.")</t>
  </si>
  <si>
    <t>=NF($B151,"Sell-to Customer No.")</t>
  </si>
  <si>
    <t>=NF($B151,"No.")</t>
  </si>
  <si>
    <t>=NF($B151,"Description")</t>
  </si>
  <si>
    <t>=NF($B151,"Qty. to Ship")</t>
  </si>
  <si>
    <t>=NF($B151,"Net Weight")</t>
  </si>
  <si>
    <t>=G151*H151</t>
  </si>
  <si>
    <t>="""BC365 (SQL)"",""Somerset Timbers"",""37"",""1"",""Order"",""3"",""SF39633"",""4"",""20000"""</t>
  </si>
  <si>
    <t>=NF($B152,"Document No.")</t>
  </si>
  <si>
    <t>=NF($B152,"Sell-to Customer No.")</t>
  </si>
  <si>
    <t>=NF($B152,"No.")</t>
  </si>
  <si>
    <t>=NF($B152,"Description")</t>
  </si>
  <si>
    <t>=NF($B152,"Qty. to Ship")</t>
  </si>
  <si>
    <t>=NF($B152,"Net Weight")</t>
  </si>
  <si>
    <t>=G152*H152</t>
  </si>
  <si>
    <t>="""BC365 (SQL)"",""Somerset Timbers"",""37"",""1"",""Order"",""3"",""SF39633"",""4"",""30000"""</t>
  </si>
  <si>
    <t>=NF($B153,"Document No.")</t>
  </si>
  <si>
    <t>=NF($B153,"Sell-to Customer No.")</t>
  </si>
  <si>
    <t>=NF($B153,"No.")</t>
  </si>
  <si>
    <t>=NF($B153,"Description")</t>
  </si>
  <si>
    <t>=NF($B153,"Qty. to Ship")</t>
  </si>
  <si>
    <t>=NF($B153,"Net Weight")</t>
  </si>
  <si>
    <t>=G153*H153</t>
  </si>
  <si>
    <t>="""BC365 (SQL)"",""Somerset Timbers"",""37"",""1"",""Order"",""3"",""SF39633"",""4"",""40000"""</t>
  </si>
  <si>
    <t>=NF($B154,"Document No.")</t>
  </si>
  <si>
    <t>=NF($B154,"Sell-to Customer No.")</t>
  </si>
  <si>
    <t>=NF($B154,"No.")</t>
  </si>
  <si>
    <t>=NF($B154,"Description")</t>
  </si>
  <si>
    <t>=NF($B154,"Qty. to Ship")</t>
  </si>
  <si>
    <t>=NF($B154,"Net Weight")</t>
  </si>
  <si>
    <t>=G154*H154</t>
  </si>
  <si>
    <t>="""BC365 (SQL)"",""Somerset Timbers"",""37"",""1"",""Order"",""3"",""SF39633"",""4"",""50000"""</t>
  </si>
  <si>
    <t>=NF($B155,"Document No.")</t>
  </si>
  <si>
    <t>=NF($B155,"Sell-to Customer No.")</t>
  </si>
  <si>
    <t>=NF($B155,"No.")</t>
  </si>
  <si>
    <t>=NF($B155,"Description")</t>
  </si>
  <si>
    <t>=NF($B155,"Qty. to Ship")</t>
  </si>
  <si>
    <t>=NF($B155,"Net Weight")</t>
  </si>
  <si>
    <t>=G155*H155</t>
  </si>
  <si>
    <t>="""BC365 (SQL)"",""Somerset Timbers"",""37"",""1"",""Order"",""3"",""SF40113"",""4"",""10000"""</t>
  </si>
  <si>
    <t>=NF($B156,"Document No.")</t>
  </si>
  <si>
    <t>=NF($B156,"Sell-to Customer No.")</t>
  </si>
  <si>
    <t>=NF($B156,"No.")</t>
  </si>
  <si>
    <t>=NF($B156,"Description")</t>
  </si>
  <si>
    <t>=NF($B156,"Qty. to Ship")</t>
  </si>
  <si>
    <t>=NF($B156,"Net Weight")</t>
  </si>
  <si>
    <t>=G156*H156</t>
  </si>
  <si>
    <t>="""BC365 (SQL)"",""Somerset Timbers"",""37"",""1"",""Order"",""3"",""SF40113"",""4"",""20000"""</t>
  </si>
  <si>
    <t>=NF($B157,"Document No.")</t>
  </si>
  <si>
    <t>=NF($B157,"Sell-to Customer No.")</t>
  </si>
  <si>
    <t>=NF($B157,"No.")</t>
  </si>
  <si>
    <t>=NF($B157,"Description")</t>
  </si>
  <si>
    <t>=NF($B157,"Qty. to Ship")</t>
  </si>
  <si>
    <t>=NF($B157,"Net Weight")</t>
  </si>
  <si>
    <t>=G157*H157</t>
  </si>
  <si>
    <t>="""BC365 (SQL)"",""Somerset Timbers"",""37"",""1"",""Order"",""3"",""SF40605"",""4"",""40000"""</t>
  </si>
  <si>
    <t>=NF($B158,"Document No.")</t>
  </si>
  <si>
    <t>=NF($B158,"Sell-to Customer No.")</t>
  </si>
  <si>
    <t>=NF($B158,"No.")</t>
  </si>
  <si>
    <t>=NF($B158,"Description")</t>
  </si>
  <si>
    <t>=NF($B158,"Qty. to Ship")</t>
  </si>
  <si>
    <t>=NF($B158,"Net Weight")</t>
  </si>
  <si>
    <t>=G158*H158</t>
  </si>
  <si>
    <t>="""BC365 (SQL)"",""Somerset Timbers"",""37"",""1"",""Order"",""3"",""SF40605"",""4"",""50000"""</t>
  </si>
  <si>
    <t>=NF($B159,"Document No.")</t>
  </si>
  <si>
    <t>=NF($B159,"Sell-to Customer No.")</t>
  </si>
  <si>
    <t>=NF($B159,"No.")</t>
  </si>
  <si>
    <t>=NF($B159,"Description")</t>
  </si>
  <si>
    <t>=NF($B159,"Qty. to Ship")</t>
  </si>
  <si>
    <t>=NF($B159,"Net Weight")</t>
  </si>
  <si>
    <t>=G159*H159</t>
  </si>
  <si>
    <t>="""BC365 (SQL)"",""Somerset Timbers"",""37"",""1"",""Order"",""3"",""SF40605"",""4"",""60000"""</t>
  </si>
  <si>
    <t>=NF($B160,"Document No.")</t>
  </si>
  <si>
    <t>=NF($B160,"Sell-to Customer No.")</t>
  </si>
  <si>
    <t>=NF($B160,"No.")</t>
  </si>
  <si>
    <t>=NF($B160,"Description")</t>
  </si>
  <si>
    <t>=NF($B160,"Qty. to Ship")</t>
  </si>
  <si>
    <t>=NF($B160,"Net Weight")</t>
  </si>
  <si>
    <t>=G160*H160</t>
  </si>
  <si>
    <t>="""BC365 (SQL)"",""Somerset Timbers"",""37"",""1"",""Order"",""3"",""SF40605"",""4"",""70000"""</t>
  </si>
  <si>
    <t>=NF($B161,"Document No.")</t>
  </si>
  <si>
    <t>=NF($B161,"Sell-to Customer No.")</t>
  </si>
  <si>
    <t>=NF($B161,"No.")</t>
  </si>
  <si>
    <t>=NF($B161,"Description")</t>
  </si>
  <si>
    <t>=NF($B161,"Qty. to Ship")</t>
  </si>
  <si>
    <t>=NF($B161,"Net Weight")</t>
  </si>
  <si>
    <t>=G161*H161</t>
  </si>
  <si>
    <t>="""BC365 (SQL)"",""Somerset Timbers"",""37"",""1"",""Order"",""3"",""SF40605"",""4"",""80000"""</t>
  </si>
  <si>
    <t>=NF($B162,"Document No.")</t>
  </si>
  <si>
    <t>=NF($B162,"Sell-to Customer No.")</t>
  </si>
  <si>
    <t>=NF($B162,"No.")</t>
  </si>
  <si>
    <t>=NF($B162,"Description")</t>
  </si>
  <si>
    <t>=NF($B162,"Qty. to Ship")</t>
  </si>
  <si>
    <t>=NF($B162,"Net Weight")</t>
  </si>
  <si>
    <t>=G162*H162</t>
  </si>
  <si>
    <t>="""BC365 (SQL)"",""Somerset Timbers"",""37"",""1"",""Order"",""3"",""SG00002"",""4"",""10000"""</t>
  </si>
  <si>
    <t>=NF($B163,"Document No.")</t>
  </si>
  <si>
    <t>=NF($B163,"Sell-to Customer No.")</t>
  </si>
  <si>
    <t>=NF($B163,"No.")</t>
  </si>
  <si>
    <t>=NF($B163,"Description")</t>
  </si>
  <si>
    <t>=NF($B163,"Qty. to Ship")</t>
  </si>
  <si>
    <t>=NF($B163,"Net Weight")</t>
  </si>
  <si>
    <t>=G163*H163</t>
  </si>
  <si>
    <t>="""BC365 (SQL)"",""Somerset Timbers"",""37"",""1"",""Order"",""3"",""SG00002"",""4"",""20000"""</t>
  </si>
  <si>
    <t>=NF($B164,"Document No.")</t>
  </si>
  <si>
    <t>=NF($B164,"Sell-to Customer No.")</t>
  </si>
  <si>
    <t>=NF($B164,"No.")</t>
  </si>
  <si>
    <t>=NF($B164,"Description")</t>
  </si>
  <si>
    <t>=NF($B164,"Qty. to Ship")</t>
  </si>
  <si>
    <t>=NF($B164,"Net Weight")</t>
  </si>
  <si>
    <t>=G164*H164</t>
  </si>
  <si>
    <t>="""BC365 (SQL)"",""Somerset Timbers"",""37"",""1"",""Order"",""3"",""SG00002"",""4"",""30000"""</t>
  </si>
  <si>
    <t>=NF($B165,"Document No.")</t>
  </si>
  <si>
    <t>=NF($B165,"Sell-to Customer No.")</t>
  </si>
  <si>
    <t>=NF($B165,"No.")</t>
  </si>
  <si>
    <t>=NF($B165,"Description")</t>
  </si>
  <si>
    <t>=NF($B165,"Qty. to Ship")</t>
  </si>
  <si>
    <t>=NF($B165,"Net Weight")</t>
  </si>
  <si>
    <t>=G165*H165</t>
  </si>
  <si>
    <t>="""BC365 (SQL)"",""Somerset Timbers"",""37"",""1"",""Order"",""3"",""SG00002"",""4"",""40000"""</t>
  </si>
  <si>
    <t>=NF($B166,"Document No.")</t>
  </si>
  <si>
    <t>=NF($B166,"Sell-to Customer No.")</t>
  </si>
  <si>
    <t>=NF($B166,"No.")</t>
  </si>
  <si>
    <t>=NF($B166,"Description")</t>
  </si>
  <si>
    <t>=NF($B166,"Qty. to Ship")</t>
  </si>
  <si>
    <t>=NF($B166,"Net Weight")</t>
  </si>
  <si>
    <t>=G166*H166</t>
  </si>
  <si>
    <t>="""BC365 (SQL)"",""Somerset Timbers"",""37"",""1"",""Order"",""3"",""SG00002"",""4"",""50000"""</t>
  </si>
  <si>
    <t>=NF($B167,"Document No.")</t>
  </si>
  <si>
    <t>=NF($B167,"Sell-to Customer No.")</t>
  </si>
  <si>
    <t>=NF($B167,"No.")</t>
  </si>
  <si>
    <t>=NF($B167,"Description")</t>
  </si>
  <si>
    <t>=NF($B167,"Qty. to Ship")</t>
  </si>
  <si>
    <t>=NF($B167,"Net Weight")</t>
  </si>
  <si>
    <t>=G167*H167</t>
  </si>
  <si>
    <t>="""BC365 (SQL)"",""Somerset Timbers"",""37"",""1"",""Order"",""3"",""SG00002"",""4"",""60000"""</t>
  </si>
  <si>
    <t>=NF($B168,"Document No.")</t>
  </si>
  <si>
    <t>=NF($B168,"Sell-to Customer No.")</t>
  </si>
  <si>
    <t>=NF($B168,"No.")</t>
  </si>
  <si>
    <t>=NF($B168,"Description")</t>
  </si>
  <si>
    <t>=NF($B168,"Qty. to Ship")</t>
  </si>
  <si>
    <t>=NF($B168,"Net Weight")</t>
  </si>
  <si>
    <t>=G168*H168</t>
  </si>
  <si>
    <t>="""BC365 (SQL)"",""Somerset Timbers"",""37"",""1"",""Order"",""3"",""SG00002"",""4"",""70000"""</t>
  </si>
  <si>
    <t>=NF($B169,"Document No.")</t>
  </si>
  <si>
    <t>=NF($B169,"Sell-to Customer No.")</t>
  </si>
  <si>
    <t>=NF($B169,"No.")</t>
  </si>
  <si>
    <t>=NF($B169,"Description")</t>
  </si>
  <si>
    <t>=NF($B169,"Qty. to Ship")</t>
  </si>
  <si>
    <t>=NF($B169,"Net Weight")</t>
  </si>
  <si>
    <t>=G169*H169</t>
  </si>
  <si>
    <t>="""BC365 (SQL)"",""Somerset Timbers"",""37"",""1"",""Order"",""3"",""SG00002"",""4"",""80000"""</t>
  </si>
  <si>
    <t>=NF($B170,"Document No.")</t>
  </si>
  <si>
    <t>=NF($B170,"Sell-to Customer No.")</t>
  </si>
  <si>
    <t>=NF($B170,"No.")</t>
  </si>
  <si>
    <t>=NF($B170,"Description")</t>
  </si>
  <si>
    <t>=NF($B170,"Qty. to Ship")</t>
  </si>
  <si>
    <t>=NF($B170,"Net Weight")</t>
  </si>
  <si>
    <t>=G170*H170</t>
  </si>
  <si>
    <t>="""BC365 (SQL)"",""Somerset Timbers"",""37"",""1"",""Order"",""3"",""SG00002"",""4"",""90000"""</t>
  </si>
  <si>
    <t>=NF($B171,"Document No.")</t>
  </si>
  <si>
    <t>=NF($B171,"Sell-to Customer No.")</t>
  </si>
  <si>
    <t>=NF($B171,"No.")</t>
  </si>
  <si>
    <t>=NF($B171,"Description")</t>
  </si>
  <si>
    <t>=NF($B171,"Qty. to Ship")</t>
  </si>
  <si>
    <t>=NF($B171,"Net Weight")</t>
  </si>
  <si>
    <t>=G171*H171</t>
  </si>
  <si>
    <t>="""BC365 (SQL)"",""Somerset Timbers"",""37"",""1"",""Order"",""3"",""SG00002"",""4"",""100000"""</t>
  </si>
  <si>
    <t>=NF($B172,"Document No.")</t>
  </si>
  <si>
    <t>=NF($B172,"Sell-to Customer No.")</t>
  </si>
  <si>
    <t>=NF($B172,"No.")</t>
  </si>
  <si>
    <t>=NF($B172,"Description")</t>
  </si>
  <si>
    <t>=NF($B172,"Qty. to Ship")</t>
  </si>
  <si>
    <t>=NF($B172,"Net Weight")</t>
  </si>
  <si>
    <t>=G172*H172</t>
  </si>
  <si>
    <t>="""BC365 (SQL)"",""Somerset Timbers"",""37"",""1"",""Order"",""3"",""SG00002"",""4"",""110000"""</t>
  </si>
  <si>
    <t>=NF($B173,"Document No.")</t>
  </si>
  <si>
    <t>=NF($B173,"Sell-to Customer No.")</t>
  </si>
  <si>
    <t>=NF($B173,"No.")</t>
  </si>
  <si>
    <t>=NF($B173,"Description")</t>
  </si>
  <si>
    <t>=NF($B173,"Qty. to Ship")</t>
  </si>
  <si>
    <t>=NF($B173,"Net Weight")</t>
  </si>
  <si>
    <t>=G173*H173</t>
  </si>
  <si>
    <t>="""BC365 (SQL)"",""Somerset Timbers"",""37"",""1"",""Order"",""3"",""SG00002"",""4"",""120000"""</t>
  </si>
  <si>
    <t>=NF($B174,"Document No.")</t>
  </si>
  <si>
    <t>=NF($B174,"Sell-to Customer No.")</t>
  </si>
  <si>
    <t>=NF($B174,"No.")</t>
  </si>
  <si>
    <t>=NF($B174,"Description")</t>
  </si>
  <si>
    <t>=NF($B174,"Qty. to Ship")</t>
  </si>
  <si>
    <t>=NF($B174,"Net Weight")</t>
  </si>
  <si>
    <t>=G174*H174</t>
  </si>
  <si>
    <t>="""BC365 (SQL)"",""Somerset Timbers"",""37"",""1"",""Order"",""3"",""SG00002"",""4"",""130000"""</t>
  </si>
  <si>
    <t>=NF($B175,"Document No.")</t>
  </si>
  <si>
    <t>=NF($B175,"Sell-to Customer No.")</t>
  </si>
  <si>
    <t>=NF($B175,"No.")</t>
  </si>
  <si>
    <t>=NF($B175,"Description")</t>
  </si>
  <si>
    <t>=NF($B175,"Qty. to Ship")</t>
  </si>
  <si>
    <t>=NF($B175,"Net Weight")</t>
  </si>
  <si>
    <t>=G175*H175</t>
  </si>
  <si>
    <t>="""BC365 (SQL)"",""Somerset Timbers"",""37"",""1"",""Order"",""3"",""SG00230"",""4"",""10000"""</t>
  </si>
  <si>
    <t>=NF($B176,"Document No.")</t>
  </si>
  <si>
    <t>=NF($B176,"Sell-to Customer No.")</t>
  </si>
  <si>
    <t>=NF($B176,"No.")</t>
  </si>
  <si>
    <t>=NF($B176,"Description")</t>
  </si>
  <si>
    <t>=NF($B176,"Qty. to Ship")</t>
  </si>
  <si>
    <t>=NF($B176,"Net Weight")</t>
  </si>
  <si>
    <t>=G176*H176</t>
  </si>
  <si>
    <t>="""BC365 (SQL)"",""Somerset Timbers"",""37"",""1"",""Order"",""3"",""SG00230"",""4"",""20000"""</t>
  </si>
  <si>
    <t>=NF($B177,"Document No.")</t>
  </si>
  <si>
    <t>=NF($B177,"Sell-to Customer No.")</t>
  </si>
  <si>
    <t>=NF($B177,"No.")</t>
  </si>
  <si>
    <t>=NF($B177,"Description")</t>
  </si>
  <si>
    <t>=NF($B177,"Qty. to Ship")</t>
  </si>
  <si>
    <t>=NF($B177,"Net Weight")</t>
  </si>
  <si>
    <t>=G177*H177</t>
  </si>
  <si>
    <t>="""BC365 (SQL)"",""Somerset Timbers"",""37"",""1"",""Order"",""3"",""SG00230"",""4"",""30000"""</t>
  </si>
  <si>
    <t>=NF($B178,"Document No.")</t>
  </si>
  <si>
    <t>=NF($B178,"Sell-to Customer No.")</t>
  </si>
  <si>
    <t>=NF($B178,"No.")</t>
  </si>
  <si>
    <t>=NF($B178,"Description")</t>
  </si>
  <si>
    <t>=NF($B178,"Qty. to Ship")</t>
  </si>
  <si>
    <t>=NF($B178,"Net Weight")</t>
  </si>
  <si>
    <t>=G178*H178</t>
  </si>
  <si>
    <t>="""BC365 (SQL)"",""Somerset Timbers"",""37"",""1"",""Order"",""3"",""SG00230"",""4"",""50000"""</t>
  </si>
  <si>
    <t>=NF($B179,"Document No.")</t>
  </si>
  <si>
    <t>=NF($B179,"Sell-to Customer No.")</t>
  </si>
  <si>
    <t>=NF($B179,"No.")</t>
  </si>
  <si>
    <t>=NF($B179,"Description")</t>
  </si>
  <si>
    <t>=NF($B179,"Qty. to Ship")</t>
  </si>
  <si>
    <t>=NF($B179,"Net Weight")</t>
  </si>
  <si>
    <t>=G179*H179</t>
  </si>
  <si>
    <t>="""BC365 (SQL)"",""Somerset Timbers"",""37"",""1"",""Order"",""3"",""SG00230"",""4"",""80000"""</t>
  </si>
  <si>
    <t>=NF($B180,"Document No.")</t>
  </si>
  <si>
    <t>=NF($B180,"Sell-to Customer No.")</t>
  </si>
  <si>
    <t>=NF($B180,"No.")</t>
  </si>
  <si>
    <t>=NF($B180,"Description")</t>
  </si>
  <si>
    <t>=NF($B180,"Qty. to Ship")</t>
  </si>
  <si>
    <t>=NF($B180,"Net Weight")</t>
  </si>
  <si>
    <t>=G180*H180</t>
  </si>
  <si>
    <t>="""BC365 (SQL)"",""Somerset Timbers"",""37"",""1"",""Order"",""3"",""SG00448"",""4"",""10000"""</t>
  </si>
  <si>
    <t>=NF($B181,"Document No.")</t>
  </si>
  <si>
    <t>=NF($B181,"Sell-to Customer No.")</t>
  </si>
  <si>
    <t>=NF($B181,"No.")</t>
  </si>
  <si>
    <t>=NF($B181,"Description")</t>
  </si>
  <si>
    <t>=NF($B181,"Qty. to Ship")</t>
  </si>
  <si>
    <t>=NF($B181,"Net Weight")</t>
  </si>
  <si>
    <t>=G181*H181</t>
  </si>
  <si>
    <t>="""BC365 (SQL)"",""Somerset Timbers"",""37"",""1"",""Order"",""3"",""SG00448"",""4"",""20000"""</t>
  </si>
  <si>
    <t>=NF($B182,"Document No.")</t>
  </si>
  <si>
    <t>=NF($B182,"Sell-to Customer No.")</t>
  </si>
  <si>
    <t>=NF($B182,"No.")</t>
  </si>
  <si>
    <t>=NF($B182,"Description")</t>
  </si>
  <si>
    <t>=NF($B182,"Qty. to Ship")</t>
  </si>
  <si>
    <t>=NF($B182,"Net Weight")</t>
  </si>
  <si>
    <t>=G182*H182</t>
  </si>
  <si>
    <t>="""BC365 (SQL)"",""Somerset Timbers"",""37"",""1"",""Order"",""3"",""SG00448"",""4"",""30000"""</t>
  </si>
  <si>
    <t>=NF($B183,"Document No.")</t>
  </si>
  <si>
    <t>=NF($B183,"Sell-to Customer No.")</t>
  </si>
  <si>
    <t>=NF($B183,"No.")</t>
  </si>
  <si>
    <t>=NF($B183,"Description")</t>
  </si>
  <si>
    <t>=NF($B183,"Qty. to Ship")</t>
  </si>
  <si>
    <t>=NF($B183,"Net Weight")</t>
  </si>
  <si>
    <t>=G183*H183</t>
  </si>
  <si>
    <t>="""BC365 (SQL)"",""Somerset Timbers"",""37"",""1"",""Order"",""3"",""SG00448"",""4"",""40000"""</t>
  </si>
  <si>
    <t>=NF($B184,"Document No.")</t>
  </si>
  <si>
    <t>=NF($B184,"Sell-to Customer No.")</t>
  </si>
  <si>
    <t>=NF($B184,"No.")</t>
  </si>
  <si>
    <t>=NF($B184,"Description")</t>
  </si>
  <si>
    <t>=NF($B184,"Qty. to Ship")</t>
  </si>
  <si>
    <t>=NF($B184,"Net Weight")</t>
  </si>
  <si>
    <t>=G184*H184</t>
  </si>
  <si>
    <t>="""BC365 (SQL)"",""Somerset Timbers"",""37"",""1"",""Order"",""3"",""SG00448"",""4"",""50000"""</t>
  </si>
  <si>
    <t>=NF($B185,"Document No.")</t>
  </si>
  <si>
    <t>=NF($B185,"Sell-to Customer No.")</t>
  </si>
  <si>
    <t>=NF($B185,"No.")</t>
  </si>
  <si>
    <t>=NF($B185,"Description")</t>
  </si>
  <si>
    <t>=NF($B185,"Qty. to Ship")</t>
  </si>
  <si>
    <t>=NF($B185,"Net Weight")</t>
  </si>
  <si>
    <t>=G185*H185</t>
  </si>
  <si>
    <t>="""BC365 (SQL)"",""Somerset Timbers"",""37"",""1"",""Order"",""3"",""SG00448"",""4"",""60000"""</t>
  </si>
  <si>
    <t>=NF($B186,"Document No.")</t>
  </si>
  <si>
    <t>=NF($B186,"Sell-to Customer No.")</t>
  </si>
  <si>
    <t>=NF($B186,"No.")</t>
  </si>
  <si>
    <t>=NF($B186,"Description")</t>
  </si>
  <si>
    <t>=NF($B186,"Qty. to Ship")</t>
  </si>
  <si>
    <t>=NF($B186,"Net Weight")</t>
  </si>
  <si>
    <t>=G186*H186</t>
  </si>
  <si>
    <t>="""BC365 (SQL)"",""Somerset Timbers"",""37"",""1"",""Order"",""3"",""SG00448"",""4"",""70000"""</t>
  </si>
  <si>
    <t>=NF($B187,"Document No.")</t>
  </si>
  <si>
    <t>=NF($B187,"Sell-to Customer No.")</t>
  </si>
  <si>
    <t>=NF($B187,"No.")</t>
  </si>
  <si>
    <t>=NF($B187,"Description")</t>
  </si>
  <si>
    <t>=NF($B187,"Qty. to Ship")</t>
  </si>
  <si>
    <t>=NF($B187,"Net Weight")</t>
  </si>
  <si>
    <t>=G187*H187</t>
  </si>
  <si>
    <t>="""BC365 (SQL)"",""Somerset Timbers"",""37"",""1"",""Order"",""3"",""SG00448"",""4"",""80000"""</t>
  </si>
  <si>
    <t>=NF($B188,"Document No.")</t>
  </si>
  <si>
    <t>=NF($B188,"Sell-to Customer No.")</t>
  </si>
  <si>
    <t>=NF($B188,"No.")</t>
  </si>
  <si>
    <t>=NF($B188,"Description")</t>
  </si>
  <si>
    <t>=NF($B188,"Qty. to Ship")</t>
  </si>
  <si>
    <t>=NF($B188,"Net Weight")</t>
  </si>
  <si>
    <t>=G188*H188</t>
  </si>
  <si>
    <t>="""BC365 (SQL)"",""Somerset Timbers"",""37"",""1"",""Order"",""3"",""SG00448"",""4"",""90000"""</t>
  </si>
  <si>
    <t>=NF($B189,"Document No.")</t>
  </si>
  <si>
    <t>=NF($B189,"Sell-to Customer No.")</t>
  </si>
  <si>
    <t>=NF($B189,"No.")</t>
  </si>
  <si>
    <t>=NF($B189,"Description")</t>
  </si>
  <si>
    <t>=NF($B189,"Qty. to Ship")</t>
  </si>
  <si>
    <t>=NF($B189,"Net Weight")</t>
  </si>
  <si>
    <t>=G189*H189</t>
  </si>
  <si>
    <t>="""BC365 (SQL)"",""Somerset Timbers"",""37"",""1"",""Order"",""3"",""SG00448"",""4"",""100000"""</t>
  </si>
  <si>
    <t>=NF($B190,"Document No.")</t>
  </si>
  <si>
    <t>=NF($B190,"Sell-to Customer No.")</t>
  </si>
  <si>
    <t>=NF($B190,"No.")</t>
  </si>
  <si>
    <t>=NF($B190,"Description")</t>
  </si>
  <si>
    <t>=NF($B190,"Qty. to Ship")</t>
  </si>
  <si>
    <t>=NF($B190,"Net Weight")</t>
  </si>
  <si>
    <t>=G190*H190</t>
  </si>
  <si>
    <t>="""BC365 (SQL)"",""Somerset Timbers"",""37"",""1"",""Order"",""3"",""SG00448"",""4"",""110000"""</t>
  </si>
  <si>
    <t>=NF($B191,"Document No.")</t>
  </si>
  <si>
    <t>=NF($B191,"Sell-to Customer No.")</t>
  </si>
  <si>
    <t>=NF($B191,"No.")</t>
  </si>
  <si>
    <t>=NF($B191,"Description")</t>
  </si>
  <si>
    <t>=NF($B191,"Qty. to Ship")</t>
  </si>
  <si>
    <t>=NF($B191,"Net Weight")</t>
  </si>
  <si>
    <t>=G191*H191</t>
  </si>
  <si>
    <t>="""BC365 (SQL)"",""Somerset Timbers"",""37"",""1"",""Order"",""3"",""SG00448"",""4"",""120000"""</t>
  </si>
  <si>
    <t>=NF($B192,"Document No.")</t>
  </si>
  <si>
    <t>=NF($B192,"Sell-to Customer No.")</t>
  </si>
  <si>
    <t>=NF($B192,"No.")</t>
  </si>
  <si>
    <t>=NF($B192,"Description")</t>
  </si>
  <si>
    <t>=NF($B192,"Qty. to Ship")</t>
  </si>
  <si>
    <t>=NF($B192,"Net Weight")</t>
  </si>
  <si>
    <t>=G192*H192</t>
  </si>
  <si>
    <t>="""BC365 (SQL)"",""Somerset Timbers"",""37"",""1"",""Order"",""3"",""SG00448"",""4"",""130000"""</t>
  </si>
  <si>
    <t>=NF($B193,"Document No.")</t>
  </si>
  <si>
    <t>=NF($B193,"Sell-to Customer No.")</t>
  </si>
  <si>
    <t>=NF($B193,"No.")</t>
  </si>
  <si>
    <t>=NF($B193,"Description")</t>
  </si>
  <si>
    <t>=NF($B193,"Qty. to Ship")</t>
  </si>
  <si>
    <t>=NF($B193,"Net Weight")</t>
  </si>
  <si>
    <t>=G193*H193</t>
  </si>
  <si>
    <t>="""BC365 (SQL)"",""Somerset Timbers"",""37"",""1"",""Order"",""3"",""SG00455"",""4"",""10000"""</t>
  </si>
  <si>
    <t>=NF($B194,"Document No.")</t>
  </si>
  <si>
    <t>=NF($B194,"Sell-to Customer No.")</t>
  </si>
  <si>
    <t>=NF($B194,"No.")</t>
  </si>
  <si>
    <t>=NF($B194,"Description")</t>
  </si>
  <si>
    <t>=NF($B194,"Qty. to Ship")</t>
  </si>
  <si>
    <t>=NF($B194,"Net Weight")</t>
  </si>
  <si>
    <t>=G194*H194</t>
  </si>
  <si>
    <t>="""BC365 (SQL)"",""Somerset Timbers"",""37"",""1"",""Order"",""3"",""SG00455"",""4"",""20000"""</t>
  </si>
  <si>
    <t>=NF($B195,"Document No.")</t>
  </si>
  <si>
    <t>=NF($B195,"Sell-to Customer No.")</t>
  </si>
  <si>
    <t>=NF($B195,"No.")</t>
  </si>
  <si>
    <t>=NF($B195,"Description")</t>
  </si>
  <si>
    <t>=NF($B195,"Qty. to Ship")</t>
  </si>
  <si>
    <t>=NF($B195,"Net Weight")</t>
  </si>
  <si>
    <t>=G195*H195</t>
  </si>
  <si>
    <t>="""BC365 (SQL)"",""Somerset Timbers"",""37"",""1"",""Order"",""3"",""SG00455"",""4"",""30000"""</t>
  </si>
  <si>
    <t>=NF($B196,"Document No.")</t>
  </si>
  <si>
    <t>=NF($B196,"Sell-to Customer No.")</t>
  </si>
  <si>
    <t>=NF($B196,"No.")</t>
  </si>
  <si>
    <t>=NF($B196,"Description")</t>
  </si>
  <si>
    <t>=NF($B196,"Qty. to Ship")</t>
  </si>
  <si>
    <t>=NF($B196,"Net Weight")</t>
  </si>
  <si>
    <t>=G196*H196</t>
  </si>
  <si>
    <t>="""BC365 (SQL)"",""Somerset Timbers"",""37"",""1"",""Order"",""3"",""SG00455"",""4"",""40000"""</t>
  </si>
  <si>
    <t>=NF($B197,"Document No.")</t>
  </si>
  <si>
    <t>=NF($B197,"Sell-to Customer No.")</t>
  </si>
  <si>
    <t>=NF($B197,"No.")</t>
  </si>
  <si>
    <t>=NF($B197,"Description")</t>
  </si>
  <si>
    <t>=NF($B197,"Qty. to Ship")</t>
  </si>
  <si>
    <t>=NF($B197,"Net Weight")</t>
  </si>
  <si>
    <t>=G197*H197</t>
  </si>
  <si>
    <t>="""BC365 (SQL)"",""Somerset Timbers"",""37"",""1"",""Order"",""3"",""SG00455"",""4"",""50000"""</t>
  </si>
  <si>
    <t>=NF($B198,"Document No.")</t>
  </si>
  <si>
    <t>=NF($B198,"Sell-to Customer No.")</t>
  </si>
  <si>
    <t>=NF($B198,"No.")</t>
  </si>
  <si>
    <t>=NF($B198,"Description")</t>
  </si>
  <si>
    <t>=NF($B198,"Qty. to Ship")</t>
  </si>
  <si>
    <t>=NF($B198,"Net Weight")</t>
  </si>
  <si>
    <t>=G198*H198</t>
  </si>
  <si>
    <t>="""BC365 (SQL)"",""Somerset Timbers"",""37"",""1"",""Order"",""3"",""SG00455"",""4"",""60000"""</t>
  </si>
  <si>
    <t>=NF($B199,"Document No.")</t>
  </si>
  <si>
    <t>=NF($B199,"Sell-to Customer No.")</t>
  </si>
  <si>
    <t>=NF($B199,"No.")</t>
  </si>
  <si>
    <t>=NF($B199,"Description")</t>
  </si>
  <si>
    <t>=NF($B199,"Qty. to Ship")</t>
  </si>
  <si>
    <t>=NF($B199,"Net Weight")</t>
  </si>
  <si>
    <t>=G199*H199</t>
  </si>
  <si>
    <t>="""BC365 (SQL)"",""Somerset Timbers"",""37"",""1"",""Order"",""3"",""SG00455"",""4"",""70000"""</t>
  </si>
  <si>
    <t>=NF($B200,"Document No.")</t>
  </si>
  <si>
    <t>=NF($B200,"Sell-to Customer No.")</t>
  </si>
  <si>
    <t>=NF($B200,"No.")</t>
  </si>
  <si>
    <t>=NF($B200,"Description")</t>
  </si>
  <si>
    <t>=NF($B200,"Qty. to Ship")</t>
  </si>
  <si>
    <t>=NF($B200,"Net Weight")</t>
  </si>
  <si>
    <t>=G200*H200</t>
  </si>
  <si>
    <t>="""BC365 (SQL)"",""Somerset Timbers"",""37"",""1"",""Order"",""3"",""SG00455"",""4"",""80000"""</t>
  </si>
  <si>
    <t>=NF($B201,"Document No.")</t>
  </si>
  <si>
    <t>=NF($B201,"Sell-to Customer No.")</t>
  </si>
  <si>
    <t>=NF($B201,"No.")</t>
  </si>
  <si>
    <t>=NF($B201,"Description")</t>
  </si>
  <si>
    <t>=NF($B201,"Qty. to Ship")</t>
  </si>
  <si>
    <t>=NF($B201,"Net Weight")</t>
  </si>
  <si>
    <t>=G201*H201</t>
  </si>
  <si>
    <t>="""BC365 (SQL)"",""Somerset Timbers"",""37"",""1"",""Order"",""3"",""SG00455"",""4"",""90000"""</t>
  </si>
  <si>
    <t>=NF($B202,"Document No.")</t>
  </si>
  <si>
    <t>=NF($B202,"Sell-to Customer No.")</t>
  </si>
  <si>
    <t>=NF($B202,"No.")</t>
  </si>
  <si>
    <t>=NF($B202,"Description")</t>
  </si>
  <si>
    <t>=NF($B202,"Qty. to Ship")</t>
  </si>
  <si>
    <t>=NF($B202,"Net Weight")</t>
  </si>
  <si>
    <t>=G202*H202</t>
  </si>
  <si>
    <t>="""BC365 (SQL)"",""Somerset Timbers"",""37"",""1"",""Order"",""3"",""SG00455"",""4"",""100000"""</t>
  </si>
  <si>
    <t>=NF($B203,"Document No.")</t>
  </si>
  <si>
    <t>=NF($B203,"Sell-to Customer No.")</t>
  </si>
  <si>
    <t>=NF($B203,"No.")</t>
  </si>
  <si>
    <t>=NF($B203,"Description")</t>
  </si>
  <si>
    <t>=NF($B203,"Qty. to Ship")</t>
  </si>
  <si>
    <t>=NF($B203,"Net Weight")</t>
  </si>
  <si>
    <t>=G203*H203</t>
  </si>
  <si>
    <t>="""BC365 (SQL)"",""Somerset Timbers"",""37"",""1"",""Order"",""3"",""SG00455"",""4"",""110000"""</t>
  </si>
  <si>
    <t>=NF($B204,"Document No.")</t>
  </si>
  <si>
    <t>=NF($B204,"Sell-to Customer No.")</t>
  </si>
  <si>
    <t>=NF($B204,"No.")</t>
  </si>
  <si>
    <t>=NF($B204,"Description")</t>
  </si>
  <si>
    <t>=NF($B204,"Qty. to Ship")</t>
  </si>
  <si>
    <t>=NF($B204,"Net Weight")</t>
  </si>
  <si>
    <t>=G204*H204</t>
  </si>
  <si>
    <t>="""BC365 (SQL)"",""Somerset Timbers"",""37"",""1"",""Order"",""3"",""SG00455"",""4"",""120000"""</t>
  </si>
  <si>
    <t>=NF($B205,"Document No.")</t>
  </si>
  <si>
    <t>=NF($B205,"Sell-to Customer No.")</t>
  </si>
  <si>
    <t>=NF($B205,"No.")</t>
  </si>
  <si>
    <t>=NF($B205,"Description")</t>
  </si>
  <si>
    <t>=NF($B205,"Qty. to Ship")</t>
  </si>
  <si>
    <t>=NF($B205,"Net Weight")</t>
  </si>
  <si>
    <t>=G205*H205</t>
  </si>
  <si>
    <t>="""BC365 (SQL)"",""Somerset Timbers"",""37"",""1"",""Order"",""3"",""SG00455"",""4"",""130000"""</t>
  </si>
  <si>
    <t>=NF($B206,"Document No.")</t>
  </si>
  <si>
    <t>=NF($B206,"Sell-to Customer No.")</t>
  </si>
  <si>
    <t>=NF($B206,"No.")</t>
  </si>
  <si>
    <t>=NF($B206,"Description")</t>
  </si>
  <si>
    <t>=NF($B206,"Qty. to Ship")</t>
  </si>
  <si>
    <t>=NF($B206,"Net Weight")</t>
  </si>
  <si>
    <t>=G206*H206</t>
  </si>
  <si>
    <t>="""BC365 (SQL)"",""Somerset Timbers"",""37"",""1"",""Order"",""3"",""SG00708"",""4"",""10000"""</t>
  </si>
  <si>
    <t>=NF($B207,"Document No.")</t>
  </si>
  <si>
    <t>=NF($B207,"Sell-to Customer No.")</t>
  </si>
  <si>
    <t>=NF($B207,"No.")</t>
  </si>
  <si>
    <t>=NF($B207,"Description")</t>
  </si>
  <si>
    <t>=NF($B207,"Qty. to Ship")</t>
  </si>
  <si>
    <t>=NF($B207,"Net Weight")</t>
  </si>
  <si>
    <t>=G207*H207</t>
  </si>
  <si>
    <t>="""BC365 (SQL)"",""Somerset Timbers"",""37"",""1"",""Order"",""3"",""SG00708"",""4"",""30000"""</t>
  </si>
  <si>
    <t>=NF($B208,"Document No.")</t>
  </si>
  <si>
    <t>=NF($B208,"Sell-to Customer No.")</t>
  </si>
  <si>
    <t>=NF($B208,"No.")</t>
  </si>
  <si>
    <t>=NF($B208,"Description")</t>
  </si>
  <si>
    <t>=NF($B208,"Qty. to Ship")</t>
  </si>
  <si>
    <t>=NF($B208,"Net Weight")</t>
  </si>
  <si>
    <t>=G208*H208</t>
  </si>
  <si>
    <t>="""BC365 (SQL)"",""Somerset Timbers"",""37"",""1"",""Order"",""3"",""SG00708"",""4"",""40000"""</t>
  </si>
  <si>
    <t>=NF($B209,"Document No.")</t>
  </si>
  <si>
    <t>=NF($B209,"Sell-to Customer No.")</t>
  </si>
  <si>
    <t>=NF($B209,"No.")</t>
  </si>
  <si>
    <t>=NF($B209,"Description")</t>
  </si>
  <si>
    <t>=NF($B209,"Qty. to Ship")</t>
  </si>
  <si>
    <t>=NF($B209,"Net Weight")</t>
  </si>
  <si>
    <t>=G209*H209</t>
  </si>
  <si>
    <t>="""BC365 (SQL)"",""Somerset Timbers"",""37"",""1"",""Order"",""3"",""SG00708"",""4"",""50000"""</t>
  </si>
  <si>
    <t>=NF($B210,"Document No.")</t>
  </si>
  <si>
    <t>=NF($B210,"Sell-to Customer No.")</t>
  </si>
  <si>
    <t>=NF($B210,"No.")</t>
  </si>
  <si>
    <t>=NF($B210,"Description")</t>
  </si>
  <si>
    <t>=NF($B210,"Qty. to Ship")</t>
  </si>
  <si>
    <t>=NF($B210,"Net Weight")</t>
  </si>
  <si>
    <t>=G210*H210</t>
  </si>
  <si>
    <t>="""BC365 (SQL)"",""Somerset Timbers"",""37"",""1"",""Order"",""3"",""SG00708"",""4"",""60000"""</t>
  </si>
  <si>
    <t>=NF($B211,"Document No.")</t>
  </si>
  <si>
    <t>=NF($B211,"Sell-to Customer No.")</t>
  </si>
  <si>
    <t>=NF($B211,"No.")</t>
  </si>
  <si>
    <t>=NF($B211,"Description")</t>
  </si>
  <si>
    <t>=NF($B211,"Qty. to Ship")</t>
  </si>
  <si>
    <t>=NF($B211,"Net Weight")</t>
  </si>
  <si>
    <t>=G211*H211</t>
  </si>
  <si>
    <t>="""BC365 (SQL)"",""Somerset Timbers"",""37"",""1"",""Order"",""3"",""SG00708"",""4"",""70000"""</t>
  </si>
  <si>
    <t>=NF($B212,"Document No.")</t>
  </si>
  <si>
    <t>=NF($B212,"Sell-to Customer No.")</t>
  </si>
  <si>
    <t>=NF($B212,"No.")</t>
  </si>
  <si>
    <t>=NF($B212,"Description")</t>
  </si>
  <si>
    <t>=NF($B212,"Qty. to Ship")</t>
  </si>
  <si>
    <t>=NF($B212,"Net Weight")</t>
  </si>
  <si>
    <t>=G212*H212</t>
  </si>
  <si>
    <t>="""BC365 (SQL)"",""Somerset Timbers"",""37"",""1"",""Order"",""3"",""SG00708"",""4"",""80000"""</t>
  </si>
  <si>
    <t>=NF($B213,"Document No.")</t>
  </si>
  <si>
    <t>=NF($B213,"Sell-to Customer No.")</t>
  </si>
  <si>
    <t>=NF($B213,"No.")</t>
  </si>
  <si>
    <t>=NF($B213,"Description")</t>
  </si>
  <si>
    <t>=NF($B213,"Qty. to Ship")</t>
  </si>
  <si>
    <t>=NF($B213,"Net Weight")</t>
  </si>
  <si>
    <t>=G213*H213</t>
  </si>
  <si>
    <t>="""BC365 (SQL)"",""Somerset Timbers"",""37"",""1"",""Order"",""3"",""SG00708"",""4"",""90000"""</t>
  </si>
  <si>
    <t>=NF($B214,"Document No.")</t>
  </si>
  <si>
    <t>=NF($B214,"Sell-to Customer No.")</t>
  </si>
  <si>
    <t>=NF($B214,"No.")</t>
  </si>
  <si>
    <t>=NF($B214,"Description")</t>
  </si>
  <si>
    <t>=NF($B214,"Qty. to Ship")</t>
  </si>
  <si>
    <t>=NF($B214,"Net Weight")</t>
  </si>
  <si>
    <t>=G214*H214</t>
  </si>
  <si>
    <t>="""BC365 (SQL)"",""Somerset Timbers"",""37"",""1"",""Order"",""3"",""SG00708"",""4"",""100000"""</t>
  </si>
  <si>
    <t>=NF($B215,"Document No.")</t>
  </si>
  <si>
    <t>=NF($B215,"Sell-to Customer No.")</t>
  </si>
  <si>
    <t>=NF($B215,"No.")</t>
  </si>
  <si>
    <t>=NF($B215,"Description")</t>
  </si>
  <si>
    <t>=NF($B215,"Qty. to Ship")</t>
  </si>
  <si>
    <t>=NF($B215,"Net Weight")</t>
  </si>
  <si>
    <t>=G215*H215</t>
  </si>
  <si>
    <t>="""BC365 (SQL)"",""Somerset Timbers"",""37"",""1"",""Order"",""3"",""SG00708"",""4"",""110000"""</t>
  </si>
  <si>
    <t>=NF($B216,"Document No.")</t>
  </si>
  <si>
    <t>=NF($B216,"Sell-to Customer No.")</t>
  </si>
  <si>
    <t>=NF($B216,"No.")</t>
  </si>
  <si>
    <t>=NF($B216,"Description")</t>
  </si>
  <si>
    <t>=NF($B216,"Qty. to Ship")</t>
  </si>
  <si>
    <t>=NF($B216,"Net Weight")</t>
  </si>
  <si>
    <t>=G216*H216</t>
  </si>
  <si>
    <t>="""BC365 (SQL)"",""Somerset Timbers"",""37"",""1"",""Order"",""3"",""SG00708"",""4"",""120000"""</t>
  </si>
  <si>
    <t>=NF($B217,"Document No.")</t>
  </si>
  <si>
    <t>=NF($B217,"Sell-to Customer No.")</t>
  </si>
  <si>
    <t>=NF($B217,"No.")</t>
  </si>
  <si>
    <t>=NF($B217,"Description")</t>
  </si>
  <si>
    <t>=NF($B217,"Qty. to Ship")</t>
  </si>
  <si>
    <t>=NF($B217,"Net Weight")</t>
  </si>
  <si>
    <t>=G217*H217</t>
  </si>
  <si>
    <t>="""BC365 (SQL)"",""Somerset Timbers"",""37"",""1"",""Order"",""3"",""SG00708"",""4"",""130000"""</t>
  </si>
  <si>
    <t>=NF($B218,"Document No.")</t>
  </si>
  <si>
    <t>=NF($B218,"Sell-to Customer No.")</t>
  </si>
  <si>
    <t>=NF($B218,"No.")</t>
  </si>
  <si>
    <t>=NF($B218,"Description")</t>
  </si>
  <si>
    <t>=NF($B218,"Qty. to Ship")</t>
  </si>
  <si>
    <t>=NF($B218,"Net Weight")</t>
  </si>
  <si>
    <t>=G218*H218</t>
  </si>
  <si>
    <t>="""BC365 (SQL)"",""Somerset Timbers"",""37"",""1"",""Order"",""3"",""SG00708"",""4"",""140000"""</t>
  </si>
  <si>
    <t>=NF($B219,"Document No.")</t>
  </si>
  <si>
    <t>=NF($B219,"Sell-to Customer No.")</t>
  </si>
  <si>
    <t>=NF($B219,"No.")</t>
  </si>
  <si>
    <t>=NF($B219,"Description")</t>
  </si>
  <si>
    <t>=NF($B219,"Qty. to Ship")</t>
  </si>
  <si>
    <t>=NF($B219,"Net Weight")</t>
  </si>
  <si>
    <t>=G219*H219</t>
  </si>
  <si>
    <t>="""BC365 (SQL)"",""Somerset Timbers"",""37"",""1"",""Order"",""3"",""SG00708"",""4"",""150000"""</t>
  </si>
  <si>
    <t>=NF($B220,"Document No.")</t>
  </si>
  <si>
    <t>=NF($B220,"Sell-to Customer No.")</t>
  </si>
  <si>
    <t>=NF($B220,"No.")</t>
  </si>
  <si>
    <t>=NF($B220,"Description")</t>
  </si>
  <si>
    <t>=NF($B220,"Qty. to Ship")</t>
  </si>
  <si>
    <t>=NF($B220,"Net Weight")</t>
  </si>
  <si>
    <t>=G220*H220</t>
  </si>
  <si>
    <t>="""BC365 (SQL)"",""Somerset Timbers"",""37"",""1"",""Order"",""3"",""SG00828"",""4"",""10000"""</t>
  </si>
  <si>
    <t>=NF($B221,"Document No.")</t>
  </si>
  <si>
    <t>=NF($B221,"Sell-to Customer No.")</t>
  </si>
  <si>
    <t>=NF($B221,"No.")</t>
  </si>
  <si>
    <t>=NF($B221,"Description")</t>
  </si>
  <si>
    <t>=NF($B221,"Qty. to Ship")</t>
  </si>
  <si>
    <t>=NF($B221,"Net Weight")</t>
  </si>
  <si>
    <t>=G221*H221</t>
  </si>
  <si>
    <t>="""BC365 (SQL)"",""Somerset Timbers"",""37"",""1"",""Order"",""3"",""SG00828"",""4"",""20000"""</t>
  </si>
  <si>
    <t>=NF($B222,"Document No.")</t>
  </si>
  <si>
    <t>=NF($B222,"Sell-to Customer No.")</t>
  </si>
  <si>
    <t>=NF($B222,"No.")</t>
  </si>
  <si>
    <t>=NF($B222,"Description")</t>
  </si>
  <si>
    <t>=NF($B222,"Qty. to Ship")</t>
  </si>
  <si>
    <t>=NF($B222,"Net Weight")</t>
  </si>
  <si>
    <t>=G222*H222</t>
  </si>
  <si>
    <t>="""BC365 (SQL)"",""Somerset Timbers"",""37"",""1"",""Order"",""3"",""SG00984"",""4"",""10000"""</t>
  </si>
  <si>
    <t>=NF($B223,"Document No.")</t>
  </si>
  <si>
    <t>=NF($B223,"Sell-to Customer No.")</t>
  </si>
  <si>
    <t>=NF($B223,"No.")</t>
  </si>
  <si>
    <t>=NF($B223,"Description")</t>
  </si>
  <si>
    <t>=NF($B223,"Qty. to Ship")</t>
  </si>
  <si>
    <t>=NF($B223,"Net Weight")</t>
  </si>
  <si>
    <t>=G223*H223</t>
  </si>
  <si>
    <t>="""BC365 (SQL)"",""Somerset Timbers"",""37"",""1"",""Order"",""3"",""SG00984"",""4"",""20000"""</t>
  </si>
  <si>
    <t>=NF($B224,"Document No.")</t>
  </si>
  <si>
    <t>=NF($B224,"Sell-to Customer No.")</t>
  </si>
  <si>
    <t>=NF($B224,"No.")</t>
  </si>
  <si>
    <t>=NF($B224,"Description")</t>
  </si>
  <si>
    <t>=NF($B224,"Qty. to Ship")</t>
  </si>
  <si>
    <t>=NF($B224,"Net Weight")</t>
  </si>
  <si>
    <t>=G224*H224</t>
  </si>
  <si>
    <t>="""BC365 (SQL)"",""Somerset Timbers"",""37"",""1"",""Order"",""3"",""SG00984"",""4"",""30000"""</t>
  </si>
  <si>
    <t>=NF($B225,"Document No.")</t>
  </si>
  <si>
    <t>=NF($B225,"Sell-to Customer No.")</t>
  </si>
  <si>
    <t>=NF($B225,"No.")</t>
  </si>
  <si>
    <t>=NF($B225,"Description")</t>
  </si>
  <si>
    <t>=NF($B225,"Qty. to Ship")</t>
  </si>
  <si>
    <t>=NF($B225,"Net Weight")</t>
  </si>
  <si>
    <t>=G225*H225</t>
  </si>
  <si>
    <t>="""BC365 (SQL)"",""Somerset Timbers"",""37"",""1"",""Order"",""3"",""SG00984"",""4"",""40000"""</t>
  </si>
  <si>
    <t>=NF($B226,"Document No.")</t>
  </si>
  <si>
    <t>=NF($B226,"Sell-to Customer No.")</t>
  </si>
  <si>
    <t>=NF($B226,"No.")</t>
  </si>
  <si>
    <t>=NF($B226,"Description")</t>
  </si>
  <si>
    <t>=NF($B226,"Qty. to Ship")</t>
  </si>
  <si>
    <t>=NF($B226,"Net Weight")</t>
  </si>
  <si>
    <t>=G226*H226</t>
  </si>
  <si>
    <t>="""BC365 (SQL)"",""Somerset Timbers"",""37"",""1"",""Order"",""3"",""SG00985"",""4"",""10000"""</t>
  </si>
  <si>
    <t>=NF($B227,"Document No.")</t>
  </si>
  <si>
    <t>=NF($B227,"Sell-to Customer No.")</t>
  </si>
  <si>
    <t>=NF($B227,"No.")</t>
  </si>
  <si>
    <t>=NF($B227,"Description")</t>
  </si>
  <si>
    <t>=NF($B227,"Qty. to Ship")</t>
  </si>
  <si>
    <t>=NF($B227,"Net Weight")</t>
  </si>
  <si>
    <t>=G227*H227</t>
  </si>
  <si>
    <t>="""BC365 (SQL)"",""Somerset Timbers"",""37"",""1"",""Order"",""3"",""SG00985"",""4"",""30000"""</t>
  </si>
  <si>
    <t>=NF($B228,"Document No.")</t>
  </si>
  <si>
    <t>=NF($B228,"Sell-to Customer No.")</t>
  </si>
  <si>
    <t>=NF($B228,"No.")</t>
  </si>
  <si>
    <t>=NF($B228,"Description")</t>
  </si>
  <si>
    <t>=NF($B228,"Qty. to Ship")</t>
  </si>
  <si>
    <t>=NF($B228,"Net Weight")</t>
  </si>
  <si>
    <t>=G228*H228</t>
  </si>
  <si>
    <t>="""BC365 (SQL)"",""Somerset Timbers"",""37"",""1"",""Order"",""3"",""SG00985"",""4"",""40000"""</t>
  </si>
  <si>
    <t>=NF($B229,"Document No.")</t>
  </si>
  <si>
    <t>=NF($B229,"Sell-to Customer No.")</t>
  </si>
  <si>
    <t>=NF($B229,"No.")</t>
  </si>
  <si>
    <t>=NF($B229,"Description")</t>
  </si>
  <si>
    <t>=NF($B229,"Qty. to Ship")</t>
  </si>
  <si>
    <t>=NF($B229,"Net Weight")</t>
  </si>
  <si>
    <t>=G229*H229</t>
  </si>
  <si>
    <t>="""BC365 (SQL)"",""Somerset Timbers"",""37"",""1"",""Order"",""3"",""SG00985"",""4"",""50000"""</t>
  </si>
  <si>
    <t>=NF($B230,"Document No.")</t>
  </si>
  <si>
    <t>=NF($B230,"Sell-to Customer No.")</t>
  </si>
  <si>
    <t>=NF($B230,"No.")</t>
  </si>
  <si>
    <t>=NF($B230,"Description")</t>
  </si>
  <si>
    <t>=NF($B230,"Qty. to Ship")</t>
  </si>
  <si>
    <t>=NF($B230,"Net Weight")</t>
  </si>
  <si>
    <t>=G230*H230</t>
  </si>
  <si>
    <t>="""BC365 (SQL)"",""Somerset Timbers"",""37"",""1"",""Order"",""3"",""SG00985"",""4"",""60000"""</t>
  </si>
  <si>
    <t>=NF($B231,"Document No.")</t>
  </si>
  <si>
    <t>=NF($B231,"Sell-to Customer No.")</t>
  </si>
  <si>
    <t>=NF($B231,"No.")</t>
  </si>
  <si>
    <t>=NF($B231,"Description")</t>
  </si>
  <si>
    <t>=NF($B231,"Qty. to Ship")</t>
  </si>
  <si>
    <t>=NF($B231,"Net Weight")</t>
  </si>
  <si>
    <t>=G231*H231</t>
  </si>
  <si>
    <t>="""BC365 (SQL)"",""Somerset Timbers"",""37"",""1"",""Order"",""3"",""SG00985"",""4"",""70000"""</t>
  </si>
  <si>
    <t>=NF($B232,"Document No.")</t>
  </si>
  <si>
    <t>=NF($B232,"Sell-to Customer No.")</t>
  </si>
  <si>
    <t>=NF($B232,"No.")</t>
  </si>
  <si>
    <t>=NF($B232,"Description")</t>
  </si>
  <si>
    <t>=NF($B232,"Qty. to Ship")</t>
  </si>
  <si>
    <t>=NF($B232,"Net Weight")</t>
  </si>
  <si>
    <t>=G232*H232</t>
  </si>
  <si>
    <t>="""BC365 (SQL)"",""Somerset Timbers"",""37"",""1"",""Order"",""3"",""SG01029"",""4"",""10000"""</t>
  </si>
  <si>
    <t>=NF($B233,"Document No.")</t>
  </si>
  <si>
    <t>=NF($B233,"Sell-to Customer No.")</t>
  </si>
  <si>
    <t>=NF($B233,"No.")</t>
  </si>
  <si>
    <t>=NF($B233,"Description")</t>
  </si>
  <si>
    <t>=NF($B233,"Qty. to Ship")</t>
  </si>
  <si>
    <t>=NF($B233,"Net Weight")</t>
  </si>
  <si>
    <t>=G233*H233</t>
  </si>
  <si>
    <t>="""BC365 (SQL)"",""Somerset Timbers"",""37"",""1"",""Order"",""3"",""SG01029"",""4"",""20000"""</t>
  </si>
  <si>
    <t>=NF($B234,"Document No.")</t>
  </si>
  <si>
    <t>=NF($B234,"Sell-to Customer No.")</t>
  </si>
  <si>
    <t>=NF($B234,"No.")</t>
  </si>
  <si>
    <t>=NF($B234,"Description")</t>
  </si>
  <si>
    <t>=NF($B234,"Qty. to Ship")</t>
  </si>
  <si>
    <t>=NF($B234,"Net Weight")</t>
  </si>
  <si>
    <t>=G234*H234</t>
  </si>
  <si>
    <t>="""BC365 (SQL)"",""Somerset Timbers"",""37"",""1"",""Order"",""3"",""SG01060"",""4"",""10000"""</t>
  </si>
  <si>
    <t>=NF($B235,"Document No.")</t>
  </si>
  <si>
    <t>=NF($B235,"Sell-to Customer No.")</t>
  </si>
  <si>
    <t>=NF($B235,"No.")</t>
  </si>
  <si>
    <t>=NF($B235,"Description")</t>
  </si>
  <si>
    <t>=NF($B235,"Qty. to Ship")</t>
  </si>
  <si>
    <t>=NF($B235,"Net Weight")</t>
  </si>
  <si>
    <t>=G235*H235</t>
  </si>
  <si>
    <t>="""BC365 (SQL)"",""Somerset Timbers"",""37"",""1"",""Order"",""3"",""SG01060"",""4"",""20000"""</t>
  </si>
  <si>
    <t>=NF($B236,"Document No.")</t>
  </si>
  <si>
    <t>=NF($B236,"Sell-to Customer No.")</t>
  </si>
  <si>
    <t>=NF($B236,"No.")</t>
  </si>
  <si>
    <t>=NF($B236,"Description")</t>
  </si>
  <si>
    <t>=NF($B236,"Qty. to Ship")</t>
  </si>
  <si>
    <t>=NF($B236,"Net Weight")</t>
  </si>
  <si>
    <t>=G236*H236</t>
  </si>
  <si>
    <t>="""BC365 (SQL)"",""Somerset Timbers"",""37"",""1"",""Order"",""3"",""SG01060"",""4"",""30000"""</t>
  </si>
  <si>
    <t>=NF($B237,"Document No.")</t>
  </si>
  <si>
    <t>=NF($B237,"Sell-to Customer No.")</t>
  </si>
  <si>
    <t>=NF($B237,"No.")</t>
  </si>
  <si>
    <t>=NF($B237,"Description")</t>
  </si>
  <si>
    <t>=NF($B237,"Qty. to Ship")</t>
  </si>
  <si>
    <t>=NF($B237,"Net Weight")</t>
  </si>
  <si>
    <t>=G237*H237</t>
  </si>
  <si>
    <t>="""BC365 (SQL)"",""Somerset Timbers"",""37"",""1"",""Order"",""3"",""SG01060"",""4"",""40000"""</t>
  </si>
  <si>
    <t>=NF($B238,"Document No.")</t>
  </si>
  <si>
    <t>=NF($B238,"Sell-to Customer No.")</t>
  </si>
  <si>
    <t>=NF($B238,"No.")</t>
  </si>
  <si>
    <t>=NF($B238,"Description")</t>
  </si>
  <si>
    <t>=NF($B238,"Qty. to Ship")</t>
  </si>
  <si>
    <t>=NF($B238,"Net Weight")</t>
  </si>
  <si>
    <t>=G238*H238</t>
  </si>
  <si>
    <t>="""BC365 (SQL)"",""Somerset Timbers"",""37"",""1"",""Order"",""3"",""SG01064"",""4"",""10000"""</t>
  </si>
  <si>
    <t>=NF($B239,"Document No.")</t>
  </si>
  <si>
    <t>=NF($B239,"Sell-to Customer No.")</t>
  </si>
  <si>
    <t>=NF($B239,"No.")</t>
  </si>
  <si>
    <t>=NF($B239,"Description")</t>
  </si>
  <si>
    <t>=NF($B239,"Qty. to Ship")</t>
  </si>
  <si>
    <t>=NF($B239,"Net Weight")</t>
  </si>
  <si>
    <t>=G239*H239</t>
  </si>
  <si>
    <t>="""BC365 (SQL)"",""Somerset Timbers"",""37"",""1"",""Order"",""3"",""SG01064"",""4"",""40000"""</t>
  </si>
  <si>
    <t>=NF($B240,"Document No.")</t>
  </si>
  <si>
    <t>=NF($B240,"Sell-to Customer No.")</t>
  </si>
  <si>
    <t>=NF($B240,"No.")</t>
  </si>
  <si>
    <t>=NF($B240,"Description")</t>
  </si>
  <si>
    <t>=NF($B240,"Qty. to Ship")</t>
  </si>
  <si>
    <t>=NF($B240,"Net Weight")</t>
  </si>
  <si>
    <t>=G240*H240</t>
  </si>
  <si>
    <t>="""BC365 (SQL)"",""Somerset Timbers"",""37"",""1"",""Order"",""3"",""SG01064"",""4"",""50000"""</t>
  </si>
  <si>
    <t>=NF($B241,"Document No.")</t>
  </si>
  <si>
    <t>=NF($B241,"Sell-to Customer No.")</t>
  </si>
  <si>
    <t>=NF($B241,"No.")</t>
  </si>
  <si>
    <t>=NF($B241,"Description")</t>
  </si>
  <si>
    <t>=NF($B241,"Qty. to Ship")</t>
  </si>
  <si>
    <t>=NF($B241,"Net Weight")</t>
  </si>
  <si>
    <t>=G241*H241</t>
  </si>
  <si>
    <t>="""BC365 (SQL)"",""Somerset Timbers"",""37"",""1"",""Order"",""3"",""SG01064"",""4"",""60000"""</t>
  </si>
  <si>
    <t>=NF($B242,"Document No.")</t>
  </si>
  <si>
    <t>=NF($B242,"Sell-to Customer No.")</t>
  </si>
  <si>
    <t>=NF($B242,"No.")</t>
  </si>
  <si>
    <t>=NF($B242,"Description")</t>
  </si>
  <si>
    <t>=NF($B242,"Qty. to Ship")</t>
  </si>
  <si>
    <t>=NF($B242,"Net Weight")</t>
  </si>
  <si>
    <t>=G242*H242</t>
  </si>
  <si>
    <t>="""BC365 (SQL)"",""Somerset Timbers"",""37"",""1"",""Order"",""3"",""SG01064"",""4"",""70000"""</t>
  </si>
  <si>
    <t>=NF($B243,"Document No.")</t>
  </si>
  <si>
    <t>=NF($B243,"Sell-to Customer No.")</t>
  </si>
  <si>
    <t>=NF($B243,"No.")</t>
  </si>
  <si>
    <t>=NF($B243,"Description")</t>
  </si>
  <si>
    <t>=NF($B243,"Qty. to Ship")</t>
  </si>
  <si>
    <t>=NF($B243,"Net Weight")</t>
  </si>
  <si>
    <t>=G243*H243</t>
  </si>
  <si>
    <t>="""BC365 (SQL)"",""Somerset Timbers"",""37"",""1"",""Order"",""3"",""SG01070"",""4"",""10000"""</t>
  </si>
  <si>
    <t>=NF($B244,"Document No.")</t>
  </si>
  <si>
    <t>=NF($B244,"Sell-to Customer No.")</t>
  </si>
  <si>
    <t>=NF($B244,"No.")</t>
  </si>
  <si>
    <t>=NF($B244,"Description")</t>
  </si>
  <si>
    <t>=NF($B244,"Qty. to Ship")</t>
  </si>
  <si>
    <t>=NF($B244,"Net Weight")</t>
  </si>
  <si>
    <t>=G244*H244</t>
  </si>
  <si>
    <t>="""BC365 (SQL)"",""Somerset Timbers"",""37"",""1"",""Order"",""3"",""SG01070"",""4"",""20000"""</t>
  </si>
  <si>
    <t>=NF($B245,"Document No.")</t>
  </si>
  <si>
    <t>=NF($B245,"Sell-to Customer No.")</t>
  </si>
  <si>
    <t>=NF($B245,"No.")</t>
  </si>
  <si>
    <t>=NF($B245,"Description")</t>
  </si>
  <si>
    <t>=NF($B245,"Qty. to Ship")</t>
  </si>
  <si>
    <t>=NF($B245,"Net Weight")</t>
  </si>
  <si>
    <t>=G245*H245</t>
  </si>
  <si>
    <t>="""BC365 (SQL)"",""Somerset Timbers"",""37"",""1"",""Order"",""3"",""SG01071"",""4"",""10000"""</t>
  </si>
  <si>
    <t>=NF($B246,"Document No.")</t>
  </si>
  <si>
    <t>=NF($B246,"Sell-to Customer No.")</t>
  </si>
  <si>
    <t>=NF($B246,"No.")</t>
  </si>
  <si>
    <t>=NF($B246,"Description")</t>
  </si>
  <si>
    <t>=NF($B246,"Qty. to Ship")</t>
  </si>
  <si>
    <t>=NF($B246,"Net Weight")</t>
  </si>
  <si>
    <t>=G246*H246</t>
  </si>
  <si>
    <t>="""BC365 (SQL)"",""Somerset Timbers"",""37"",""1"",""Order"",""3"",""SG01071"",""4"",""20000"""</t>
  </si>
  <si>
    <t>=NF($B247,"Document No.")</t>
  </si>
  <si>
    <t>=NF($B247,"Sell-to Customer No.")</t>
  </si>
  <si>
    <t>=NF($B247,"No.")</t>
  </si>
  <si>
    <t>=NF($B247,"Description")</t>
  </si>
  <si>
    <t>=NF($B247,"Qty. to Ship")</t>
  </si>
  <si>
    <t>=NF($B247,"Net Weight")</t>
  </si>
  <si>
    <t>=G247*H247</t>
  </si>
  <si>
    <t>="""BC365 (SQL)"",""Somerset Timbers"",""37"",""1"",""Order"",""3"",""SG01083"",""4"",""10000"""</t>
  </si>
  <si>
    <t>=NF($B248,"Document No.")</t>
  </si>
  <si>
    <t>=NF($B248,"Sell-to Customer No.")</t>
  </si>
  <si>
    <t>=NF($B248,"No.")</t>
  </si>
  <si>
    <t>=NF($B248,"Description")</t>
  </si>
  <si>
    <t>=NF($B248,"Qty. to Ship")</t>
  </si>
  <si>
    <t>=NF($B248,"Net Weight")</t>
  </si>
  <si>
    <t>=G248*H248</t>
  </si>
  <si>
    <t>="""BC365 (SQL)"",""Somerset Timbers"",""37"",""1"",""Order"",""3"",""SG01083"",""4"",""20000"""</t>
  </si>
  <si>
    <t>=NF($B249,"Document No.")</t>
  </si>
  <si>
    <t>=NF($B249,"Sell-to Customer No.")</t>
  </si>
  <si>
    <t>=NF($B249,"No.")</t>
  </si>
  <si>
    <t>=NF($B249,"Description")</t>
  </si>
  <si>
    <t>=NF($B249,"Qty. to Ship")</t>
  </si>
  <si>
    <t>=NF($B249,"Net Weight")</t>
  </si>
  <si>
    <t>=G249*H249</t>
  </si>
  <si>
    <t>="""BC365 (SQL)"",""Somerset Timbers"",""37"",""1"",""Order"",""3"",""SG01083"",""4"",""30000"""</t>
  </si>
  <si>
    <t>=NF($B250,"Document No.")</t>
  </si>
  <si>
    <t>=NF($B250,"Sell-to Customer No.")</t>
  </si>
  <si>
    <t>=NF($B250,"No.")</t>
  </si>
  <si>
    <t>=NF($B250,"Description")</t>
  </si>
  <si>
    <t>=NF($B250,"Qty. to Ship")</t>
  </si>
  <si>
    <t>=NF($B250,"Net Weight")</t>
  </si>
  <si>
    <t>=G250*H250</t>
  </si>
  <si>
    <t>="""BC365 (SQL)"",""Somerset Timbers"",""37"",""1"",""Order"",""3"",""SG01083"",""4"",""40000"""</t>
  </si>
  <si>
    <t>=NF($B251,"Document No.")</t>
  </si>
  <si>
    <t>=NF($B251,"Sell-to Customer No.")</t>
  </si>
  <si>
    <t>=NF($B251,"No.")</t>
  </si>
  <si>
    <t>=NF($B251,"Description")</t>
  </si>
  <si>
    <t>=NF($B251,"Qty. to Ship")</t>
  </si>
  <si>
    <t>=NF($B251,"Net Weight")</t>
  </si>
  <si>
    <t>=G251*H251</t>
  </si>
  <si>
    <t>="""BC365 (SQL)"",""Somerset Timbers"",""37"",""1"",""Order"",""3"",""SG01083"",""4"",""50000"""</t>
  </si>
  <si>
    <t>=NF($B252,"Document No.")</t>
  </si>
  <si>
    <t>=NF($B252,"Sell-to Customer No.")</t>
  </si>
  <si>
    <t>=NF($B252,"No.")</t>
  </si>
  <si>
    <t>=NF($B252,"Description")</t>
  </si>
  <si>
    <t>=NF($B252,"Qty. to Ship")</t>
  </si>
  <si>
    <t>=NF($B252,"Net Weight")</t>
  </si>
  <si>
    <t>=G252*H252</t>
  </si>
  <si>
    <t>="""BC365 (SQL)"",""Somerset Timbers"",""37"",""1"",""Order"",""3"",""SG01083"",""4"",""70000"""</t>
  </si>
  <si>
    <t>=NF($B253,"Document No.")</t>
  </si>
  <si>
    <t>=NF($B253,"Sell-to Customer No.")</t>
  </si>
  <si>
    <t>=NF($B253,"No.")</t>
  </si>
  <si>
    <t>=NF($B253,"Description")</t>
  </si>
  <si>
    <t>=NF($B253,"Qty. to Ship")</t>
  </si>
  <si>
    <t>=NF($B253,"Net Weight")</t>
  </si>
  <si>
    <t>=G253*H253</t>
  </si>
  <si>
    <t>="""BC365 (SQL)"",""Somerset Timbers"",""37"",""1"",""Order"",""3"",""SG01083"",""4"",""80000"""</t>
  </si>
  <si>
    <t>=NF($B254,"Document No.")</t>
  </si>
  <si>
    <t>=NF($B254,"Sell-to Customer No.")</t>
  </si>
  <si>
    <t>=NF($B254,"No.")</t>
  </si>
  <si>
    <t>=NF($B254,"Description")</t>
  </si>
  <si>
    <t>=NF($B254,"Qty. to Ship")</t>
  </si>
  <si>
    <t>=NF($B254,"Net Weight")</t>
  </si>
  <si>
    <t>=G254*H254</t>
  </si>
  <si>
    <t>="""BC365 (SQL)"",""Somerset Timbers"",""37"",""1"",""Order"",""3"",""SG01112"",""4"",""20000"""</t>
  </si>
  <si>
    <t>=NF($B255,"Document No.")</t>
  </si>
  <si>
    <t>=NF($B255,"Sell-to Customer No.")</t>
  </si>
  <si>
    <t>=NF($B255,"No.")</t>
  </si>
  <si>
    <t>=NF($B255,"Description")</t>
  </si>
  <si>
    <t>=NF($B255,"Qty. to Ship")</t>
  </si>
  <si>
    <t>=NF($B255,"Net Weight")</t>
  </si>
  <si>
    <t>=G255*H255</t>
  </si>
  <si>
    <t>="""BC365 (SQL)"",""Somerset Timbers"",""37"",""1"",""Order"",""3"",""SG01112"",""4"",""30000"""</t>
  </si>
  <si>
    <t>=NF($B256,"Document No.")</t>
  </si>
  <si>
    <t>=NF($B256,"Sell-to Customer No.")</t>
  </si>
  <si>
    <t>=NF($B256,"No.")</t>
  </si>
  <si>
    <t>=NF($B256,"Description")</t>
  </si>
  <si>
    <t>=NF($B256,"Qty. to Ship")</t>
  </si>
  <si>
    <t>=NF($B256,"Net Weight")</t>
  </si>
  <si>
    <t>=G256*H256</t>
  </si>
  <si>
    <t>="""BC365 (SQL)"",""Somerset Timbers"",""37"",""1"",""Order"",""3"",""SG01112"",""4"",""50000"""</t>
  </si>
  <si>
    <t>=NF($B257,"Document No.")</t>
  </si>
  <si>
    <t>=NF($B257,"Sell-to Customer No.")</t>
  </si>
  <si>
    <t>=NF($B257,"No.")</t>
  </si>
  <si>
    <t>=NF($B257,"Description")</t>
  </si>
  <si>
    <t>=NF($B257,"Qty. to Ship")</t>
  </si>
  <si>
    <t>=NF($B257,"Net Weight")</t>
  </si>
  <si>
    <t>=G257*H257</t>
  </si>
  <si>
    <t>="""BC365 (SQL)"",""Somerset Timbers"",""37"",""1"",""Order"",""3"",""SG01124"",""4"",""10000"""</t>
  </si>
  <si>
    <t>=NF($B258,"Document No.")</t>
  </si>
  <si>
    <t>=NF($B258,"Sell-to Customer No.")</t>
  </si>
  <si>
    <t>=NF($B258,"No.")</t>
  </si>
  <si>
    <t>=NF($B258,"Description")</t>
  </si>
  <si>
    <t>=NF($B258,"Qty. to Ship")</t>
  </si>
  <si>
    <t>=NF($B258,"Net Weight")</t>
  </si>
  <si>
    <t>=G258*H258</t>
  </si>
  <si>
    <t>="""BC365 (SQL)"",""Somerset Timbers"",""37"",""1"",""Order"",""3"",""SG01124"",""4"",""20000"""</t>
  </si>
  <si>
    <t>=NF($B259,"Document No.")</t>
  </si>
  <si>
    <t>=NF($B259,"Sell-to Customer No.")</t>
  </si>
  <si>
    <t>=NF($B259,"No.")</t>
  </si>
  <si>
    <t>=NF($B259,"Description")</t>
  </si>
  <si>
    <t>=NF($B259,"Qty. to Ship")</t>
  </si>
  <si>
    <t>=NF($B259,"Net Weight")</t>
  </si>
  <si>
    <t>=G259*H259</t>
  </si>
  <si>
    <t>="""BC365 (SQL)"",""Somerset Timbers"",""37"",""1"",""Order"",""3"",""SG01128"",""4"",""10000"""</t>
  </si>
  <si>
    <t>=NF($B260,"Document No.")</t>
  </si>
  <si>
    <t>=NF($B260,"Sell-to Customer No.")</t>
  </si>
  <si>
    <t>=NF($B260,"No.")</t>
  </si>
  <si>
    <t>=NF($B260,"Description")</t>
  </si>
  <si>
    <t>=NF($B260,"Qty. to Ship")</t>
  </si>
  <si>
    <t>=NF($B260,"Net Weight")</t>
  </si>
  <si>
    <t>=G260*H260</t>
  </si>
  <si>
    <t>="""BC365 (SQL)"",""Somerset Timbers"",""37"",""1"",""Order"",""3"",""SG01128"",""4"",""20000"""</t>
  </si>
  <si>
    <t>=NF($B261,"Document No.")</t>
  </si>
  <si>
    <t>=NF($B261,"Sell-to Customer No.")</t>
  </si>
  <si>
    <t>=NF($B261,"No.")</t>
  </si>
  <si>
    <t>=NF($B261,"Description")</t>
  </si>
  <si>
    <t>=NF($B261,"Qty. to Ship")</t>
  </si>
  <si>
    <t>=NF($B261,"Net Weight")</t>
  </si>
  <si>
    <t>=G261*H261</t>
  </si>
  <si>
    <t>="""BC365 (SQL)"",""Somerset Timbers"",""37"",""1"",""Order"",""3"",""SG01128"",""4"",""30000"""</t>
  </si>
  <si>
    <t>=NF($B262,"Document No.")</t>
  </si>
  <si>
    <t>=NF($B262,"Sell-to Customer No.")</t>
  </si>
  <si>
    <t>=NF($B262,"No.")</t>
  </si>
  <si>
    <t>=NF($B262,"Description")</t>
  </si>
  <si>
    <t>=NF($B262,"Qty. to Ship")</t>
  </si>
  <si>
    <t>=NF($B262,"Net Weight")</t>
  </si>
  <si>
    <t>=G262*H262</t>
  </si>
  <si>
    <t>="""BC365 (SQL)"",""Somerset Timbers"",""37"",""1"",""Order"",""3"",""SG01128"",""4"",""40000"""</t>
  </si>
  <si>
    <t>=NF($B263,"Document No.")</t>
  </si>
  <si>
    <t>=NF($B263,"Sell-to Customer No.")</t>
  </si>
  <si>
    <t>=NF($B263,"No.")</t>
  </si>
  <si>
    <t>=NF($B263,"Description")</t>
  </si>
  <si>
    <t>=NF($B263,"Qty. to Ship")</t>
  </si>
  <si>
    <t>=NF($B263,"Net Weight")</t>
  </si>
  <si>
    <t>=G263*H263</t>
  </si>
  <si>
    <t>="""BC365 (SQL)"",""Somerset Timbers"",""37"",""1"",""Order"",""3"",""SG01128"",""4"",""50000"""</t>
  </si>
  <si>
    <t>=NF($B264,"Document No.")</t>
  </si>
  <si>
    <t>=NF($B264,"Sell-to Customer No.")</t>
  </si>
  <si>
    <t>=NF($B264,"No.")</t>
  </si>
  <si>
    <t>=NF($B264,"Description")</t>
  </si>
  <si>
    <t>=NF($B264,"Qty. to Ship")</t>
  </si>
  <si>
    <t>=NF($B264,"Net Weight")</t>
  </si>
  <si>
    <t>=G264*H264</t>
  </si>
  <si>
    <t>="""BC365 (SQL)"",""Somerset Timbers"",""37"",""1"",""Order"",""3"",""SG01128"",""4"",""60000"""</t>
  </si>
  <si>
    <t>=NF($B265,"Document No.")</t>
  </si>
  <si>
    <t>=NF($B265,"Sell-to Customer No.")</t>
  </si>
  <si>
    <t>=NF($B265,"No.")</t>
  </si>
  <si>
    <t>=NF($B265,"Description")</t>
  </si>
  <si>
    <t>=NF($B265,"Qty. to Ship")</t>
  </si>
  <si>
    <t>=NF($B265,"Net Weight")</t>
  </si>
  <si>
    <t>=G265*H265</t>
  </si>
  <si>
    <t>="""BC365 (SQL)"",""Somerset Timbers"",""37"",""1"",""Order"",""3"",""SG01128"",""4"",""70000"""</t>
  </si>
  <si>
    <t>=NF($B266,"Document No.")</t>
  </si>
  <si>
    <t>=NF($B266,"Sell-to Customer No.")</t>
  </si>
  <si>
    <t>=NF($B266,"No.")</t>
  </si>
  <si>
    <t>=NF($B266,"Description")</t>
  </si>
  <si>
    <t>=NF($B266,"Qty. to Ship")</t>
  </si>
  <si>
    <t>=NF($B266,"Net Weight")</t>
  </si>
  <si>
    <t>=G266*H266</t>
  </si>
  <si>
    <t>="""BC365 (SQL)"",""Somerset Timbers"",""37"",""1"",""Order"",""3"",""SG01128"",""4"",""80000"""</t>
  </si>
  <si>
    <t>=NF($B267,"Document No.")</t>
  </si>
  <si>
    <t>=NF($B267,"Sell-to Customer No.")</t>
  </si>
  <si>
    <t>=NF($B267,"No.")</t>
  </si>
  <si>
    <t>=NF($B267,"Description")</t>
  </si>
  <si>
    <t>=NF($B267,"Qty. to Ship")</t>
  </si>
  <si>
    <t>=NF($B267,"Net Weight")</t>
  </si>
  <si>
    <t>=G267*H267</t>
  </si>
  <si>
    <t>="""BC365 (SQL)"",""Somerset Timbers"",""37"",""1"",""Order"",""3"",""SG01128"",""4"",""90000"""</t>
  </si>
  <si>
    <t>=NF($B268,"Document No.")</t>
  </si>
  <si>
    <t>=NF($B268,"Sell-to Customer No.")</t>
  </si>
  <si>
    <t>=NF($B268,"No.")</t>
  </si>
  <si>
    <t>=NF($B268,"Description")</t>
  </si>
  <si>
    <t>=NF($B268,"Qty. to Ship")</t>
  </si>
  <si>
    <t>=NF($B268,"Net Weight")</t>
  </si>
  <si>
    <t>=G268*H268</t>
  </si>
  <si>
    <t>="""BC365 (SQL)"",""Somerset Timbers"",""37"",""1"",""Order"",""3"",""SG01128"",""4"",""100000"""</t>
  </si>
  <si>
    <t>=NF($B269,"Document No.")</t>
  </si>
  <si>
    <t>=NF($B269,"Sell-to Customer No.")</t>
  </si>
  <si>
    <t>=NF($B269,"No.")</t>
  </si>
  <si>
    <t>=NF($B269,"Description")</t>
  </si>
  <si>
    <t>=NF($B269,"Qty. to Ship")</t>
  </si>
  <si>
    <t>=NF($B269,"Net Weight")</t>
  </si>
  <si>
    <t>=G269*H269</t>
  </si>
  <si>
    <t>="""BC365 (SQL)"",""Somerset Timbers"",""37"",""1"",""Order"",""3"",""SG01129"",""4"",""10000"""</t>
  </si>
  <si>
    <t>=NF($B270,"Document No.")</t>
  </si>
  <si>
    <t>=NF($B270,"Sell-to Customer No.")</t>
  </si>
  <si>
    <t>=NF($B270,"No.")</t>
  </si>
  <si>
    <t>=NF($B270,"Description")</t>
  </si>
  <si>
    <t>=NF($B270,"Qty. to Ship")</t>
  </si>
  <si>
    <t>=NF($B270,"Net Weight")</t>
  </si>
  <si>
    <t>=G270*H270</t>
  </si>
  <si>
    <t>="""BC365 (SQL)"",""Somerset Timbers"",""37"",""1"",""Order"",""3"",""SG01129"",""4"",""20000"""</t>
  </si>
  <si>
    <t>=NF($B271,"Document No.")</t>
  </si>
  <si>
    <t>=NF($B271,"Sell-to Customer No.")</t>
  </si>
  <si>
    <t>=NF($B271,"No.")</t>
  </si>
  <si>
    <t>=NF($B271,"Description")</t>
  </si>
  <si>
    <t>=NF($B271,"Qty. to Ship")</t>
  </si>
  <si>
    <t>=NF($B271,"Net Weight")</t>
  </si>
  <si>
    <t>=G271*H271</t>
  </si>
  <si>
    <t>="""BC365 (SQL)"",""Somerset Timbers"",""37"",""1"",""Order"",""3"",""SG01132"",""4"",""10000"""</t>
  </si>
  <si>
    <t>=NF($B272,"Document No.")</t>
  </si>
  <si>
    <t>=NF($B272,"Sell-to Customer No.")</t>
  </si>
  <si>
    <t>=NF($B272,"No.")</t>
  </si>
  <si>
    <t>=NF($B272,"Description")</t>
  </si>
  <si>
    <t>=NF($B272,"Qty. to Ship")</t>
  </si>
  <si>
    <t>=NF($B272,"Net Weight")</t>
  </si>
  <si>
    <t>=G272*H272</t>
  </si>
  <si>
    <t>="""BC365 (SQL)"",""Somerset Timbers"",""37"",""1"",""Order"",""3"",""SG01132"",""4"",""20000"""</t>
  </si>
  <si>
    <t>=NF($B273,"Document No.")</t>
  </si>
  <si>
    <t>=NF($B273,"Sell-to Customer No.")</t>
  </si>
  <si>
    <t>=NF($B273,"No.")</t>
  </si>
  <si>
    <t>=NF($B273,"Description")</t>
  </si>
  <si>
    <t>=NF($B273,"Qty. to Ship")</t>
  </si>
  <si>
    <t>=NF($B273,"Net Weight")</t>
  </si>
  <si>
    <t>=G273*H273</t>
  </si>
  <si>
    <t>="""BC365 (SQL)"",""Somerset Timbers"",""37"",""1"",""Order"",""3"",""SG01195"",""4"",""10000"""</t>
  </si>
  <si>
    <t>=NF($B274,"Document No.")</t>
  </si>
  <si>
    <t>=NF($B274,"Sell-to Customer No.")</t>
  </si>
  <si>
    <t>=NF($B274,"No.")</t>
  </si>
  <si>
    <t>=NF($B274,"Description")</t>
  </si>
  <si>
    <t>=NF($B274,"Qty. to Ship")</t>
  </si>
  <si>
    <t>=NF($B274,"Net Weight")</t>
  </si>
  <si>
    <t>=G274*H274</t>
  </si>
  <si>
    <t>="""BC365 (SQL)"",""Somerset Timbers"",""37"",""1"",""Order"",""3"",""SG01195"",""4"",""30000"""</t>
  </si>
  <si>
    <t>=NF($B275,"Document No.")</t>
  </si>
  <si>
    <t>=NF($B275,"Sell-to Customer No.")</t>
  </si>
  <si>
    <t>=NF($B275,"No.")</t>
  </si>
  <si>
    <t>=NF($B275,"Description")</t>
  </si>
  <si>
    <t>=NF($B275,"Qty. to Ship")</t>
  </si>
  <si>
    <t>=NF($B275,"Net Weight")</t>
  </si>
  <si>
    <t>=G275*H275</t>
  </si>
  <si>
    <t>="""BC365 (SQL)"",""Somerset Timbers"",""37"",""1"",""Order"",""3"",""SG01196"",""4"",""10000"""</t>
  </si>
  <si>
    <t>=NF($B276,"Document No.")</t>
  </si>
  <si>
    <t>=NF($B276,"Sell-to Customer No.")</t>
  </si>
  <si>
    <t>=NF($B276,"No.")</t>
  </si>
  <si>
    <t>=NF($B276,"Description")</t>
  </si>
  <si>
    <t>=NF($B276,"Qty. to Ship")</t>
  </si>
  <si>
    <t>=NF($B276,"Net Weight")</t>
  </si>
  <si>
    <t>=G276*H276</t>
  </si>
  <si>
    <t>="""BC365 (SQL)"",""Somerset Timbers"",""37"",""1"",""Order"",""3"",""SG01196"",""4"",""20000"""</t>
  </si>
  <si>
    <t>=NF($B277,"Document No.")</t>
  </si>
  <si>
    <t>=NF($B277,"Sell-to Customer No.")</t>
  </si>
  <si>
    <t>=NF($B277,"No.")</t>
  </si>
  <si>
    <t>=NF($B277,"Description")</t>
  </si>
  <si>
    <t>=NF($B277,"Qty. to Ship")</t>
  </si>
  <si>
    <t>=NF($B277,"Net Weight")</t>
  </si>
  <si>
    <t>=G277*H277</t>
  </si>
  <si>
    <t>="""BC365 (SQL)"",""Somerset Timbers"",""37"",""1"",""Order"",""3"",""SG01196"",""4"",""30000"""</t>
  </si>
  <si>
    <t>=NF($B278,"Document No.")</t>
  </si>
  <si>
    <t>=NF($B278,"Sell-to Customer No.")</t>
  </si>
  <si>
    <t>=NF($B278,"No.")</t>
  </si>
  <si>
    <t>=NF($B278,"Description")</t>
  </si>
  <si>
    <t>=NF($B278,"Qty. to Ship")</t>
  </si>
  <si>
    <t>=NF($B278,"Net Weight")</t>
  </si>
  <si>
    <t>=G278*H278</t>
  </si>
  <si>
    <t>="""BC365 (SQL)"",""Somerset Timbers"",""37"",""1"",""Order"",""3"",""SG01196"",""4"",""40000"""</t>
  </si>
  <si>
    <t>=NF($B279,"Document No.")</t>
  </si>
  <si>
    <t>=NF($B279,"Sell-to Customer No.")</t>
  </si>
  <si>
    <t>=NF($B279,"No.")</t>
  </si>
  <si>
    <t>=NF($B279,"Description")</t>
  </si>
  <si>
    <t>=NF($B279,"Qty. to Ship")</t>
  </si>
  <si>
    <t>=NF($B279,"Net Weight")</t>
  </si>
  <si>
    <t>=G279*H279</t>
  </si>
  <si>
    <t>="""BC365 (SQL)"",""Somerset Timbers"",""37"",""1"",""Order"",""3"",""SG01196"",""4"",""50000"""</t>
  </si>
  <si>
    <t>=NF($B280,"Document No.")</t>
  </si>
  <si>
    <t>=NF($B280,"Sell-to Customer No.")</t>
  </si>
  <si>
    <t>=NF($B280,"No.")</t>
  </si>
  <si>
    <t>=NF($B280,"Description")</t>
  </si>
  <si>
    <t>=NF($B280,"Qty. to Ship")</t>
  </si>
  <si>
    <t>=NF($B280,"Net Weight")</t>
  </si>
  <si>
    <t>=G280*H280</t>
  </si>
  <si>
    <t>="""BC365 (SQL)"",""Somerset Timbers"",""37"",""1"",""Order"",""3"",""SG01196"",""4"",""60000"""</t>
  </si>
  <si>
    <t>=NF($B281,"Document No.")</t>
  </si>
  <si>
    <t>=NF($B281,"Sell-to Customer No.")</t>
  </si>
  <si>
    <t>=NF($B281,"No.")</t>
  </si>
  <si>
    <t>=NF($B281,"Description")</t>
  </si>
  <si>
    <t>=NF($B281,"Qty. to Ship")</t>
  </si>
  <si>
    <t>=NF($B281,"Net Weight")</t>
  </si>
  <si>
    <t>=G281*H281</t>
  </si>
  <si>
    <t>="""BC365 (SQL)"",""Somerset Timbers"",""37"",""1"",""Order"",""3"",""SG01196"",""4"",""70000"""</t>
  </si>
  <si>
    <t>=NF($B282,"Document No.")</t>
  </si>
  <si>
    <t>=NF($B282,"Sell-to Customer No.")</t>
  </si>
  <si>
    <t>=NF($B282,"No.")</t>
  </si>
  <si>
    <t>=NF($B282,"Description")</t>
  </si>
  <si>
    <t>=NF($B282,"Qty. to Ship")</t>
  </si>
  <si>
    <t>=NF($B282,"Net Weight")</t>
  </si>
  <si>
    <t>=G282*H282</t>
  </si>
  <si>
    <t>="""BC365 (SQL)"",""Somerset Timbers"",""37"",""1"",""Order"",""3"",""SG01196"",""4"",""80000"""</t>
  </si>
  <si>
    <t>=NF($B283,"Document No.")</t>
  </si>
  <si>
    <t>=NF($B283,"Sell-to Customer No.")</t>
  </si>
  <si>
    <t>=NF($B283,"No.")</t>
  </si>
  <si>
    <t>=NF($B283,"Description")</t>
  </si>
  <si>
    <t>=NF($B283,"Qty. to Ship")</t>
  </si>
  <si>
    <t>=NF($B283,"Net Weight")</t>
  </si>
  <si>
    <t>=G283*H283</t>
  </si>
  <si>
    <t>="""BC365 (SQL)"",""Somerset Timbers"",""37"",""1"",""Order"",""3"",""SG01220"",""4"",""10000"""</t>
  </si>
  <si>
    <t>=NF($B284,"Document No.")</t>
  </si>
  <si>
    <t>=NF($B284,"Sell-to Customer No.")</t>
  </si>
  <si>
    <t>=NF($B284,"No.")</t>
  </si>
  <si>
    <t>=NF($B284,"Description")</t>
  </si>
  <si>
    <t>=NF($B284,"Qty. to Ship")</t>
  </si>
  <si>
    <t>=NF($B284,"Net Weight")</t>
  </si>
  <si>
    <t>=G284*H284</t>
  </si>
  <si>
    <t>="""BC365 (SQL)"",""Somerset Timbers"",""37"",""1"",""Order"",""3"",""SG01220"",""4"",""20000"""</t>
  </si>
  <si>
    <t>=NF($B285,"Document No.")</t>
  </si>
  <si>
    <t>=NF($B285,"Sell-to Customer No.")</t>
  </si>
  <si>
    <t>=NF($B285,"No.")</t>
  </si>
  <si>
    <t>=NF($B285,"Description")</t>
  </si>
  <si>
    <t>=NF($B285,"Qty. to Ship")</t>
  </si>
  <si>
    <t>=NF($B285,"Net Weight")</t>
  </si>
  <si>
    <t>=G285*H285</t>
  </si>
  <si>
    <t>="""BC365 (SQL)"",""Somerset Timbers"",""37"",""1"",""Order"",""3"",""SG01220"",""4"",""30000"""</t>
  </si>
  <si>
    <t>=NF($B286,"Document No.")</t>
  </si>
  <si>
    <t>=NF($B286,"Sell-to Customer No.")</t>
  </si>
  <si>
    <t>=NF($B286,"No.")</t>
  </si>
  <si>
    <t>=NF($B286,"Description")</t>
  </si>
  <si>
    <t>=NF($B286,"Qty. to Ship")</t>
  </si>
  <si>
    <t>=NF($B286,"Net Weight")</t>
  </si>
  <si>
    <t>=G286*H286</t>
  </si>
  <si>
    <t>="""BC365 (SQL)"",""Somerset Timbers"",""37"",""1"",""Order"",""3"",""SG01248"",""4"",""10000"""</t>
  </si>
  <si>
    <t>=NF($B287,"Document No.")</t>
  </si>
  <si>
    <t>=NF($B287,"Sell-to Customer No.")</t>
  </si>
  <si>
    <t>=NF($B287,"No.")</t>
  </si>
  <si>
    <t>=NF($B287,"Description")</t>
  </si>
  <si>
    <t>=NF($B287,"Qty. to Ship")</t>
  </si>
  <si>
    <t>=NF($B287,"Net Weight")</t>
  </si>
  <si>
    <t>=G287*H287</t>
  </si>
  <si>
    <t>="""BC365 (SQL)"",""Somerset Timbers"",""37"",""1"",""Order"",""3"",""SG01248"",""4"",""20000"""</t>
  </si>
  <si>
    <t>=NF($B288,"Document No.")</t>
  </si>
  <si>
    <t>=NF($B288,"Sell-to Customer No.")</t>
  </si>
  <si>
    <t>=NF($B288,"No.")</t>
  </si>
  <si>
    <t>=NF($B288,"Description")</t>
  </si>
  <si>
    <t>=NF($B288,"Qty. to Ship")</t>
  </si>
  <si>
    <t>=NF($B288,"Net Weight")</t>
  </si>
  <si>
    <t>=G288*H288</t>
  </si>
  <si>
    <t>="""BC365 (SQL)"",""Somerset Timbers"",""37"",""1"",""Order"",""3"",""SG01248"",""4"",""30000"""</t>
  </si>
  <si>
    <t>=NF($B289,"Document No.")</t>
  </si>
  <si>
    <t>=NF($B289,"Sell-to Customer No.")</t>
  </si>
  <si>
    <t>=NF($B289,"No.")</t>
  </si>
  <si>
    <t>=NF($B289,"Description")</t>
  </si>
  <si>
    <t>=NF($B289,"Qty. to Ship")</t>
  </si>
  <si>
    <t>=NF($B289,"Net Weight")</t>
  </si>
  <si>
    <t>=G289*H289</t>
  </si>
  <si>
    <t>="""BC365 (SQL)"",""Somerset Timbers"",""37"",""1"",""Order"",""3"",""SG01248"",""4"",""40000"""</t>
  </si>
  <si>
    <t>=NF($B290,"Document No.")</t>
  </si>
  <si>
    <t>=NF($B290,"Sell-to Customer No.")</t>
  </si>
  <si>
    <t>=NF($B290,"No.")</t>
  </si>
  <si>
    <t>=NF($B290,"Description")</t>
  </si>
  <si>
    <t>=NF($B290,"Qty. to Ship")</t>
  </si>
  <si>
    <t>=NF($B290,"Net Weight")</t>
  </si>
  <si>
    <t>=G290*H290</t>
  </si>
  <si>
    <t>="""BC365 (SQL)"",""Somerset Timbers"",""37"",""1"",""Order"",""3"",""SG01251"",""4"",""10000"""</t>
  </si>
  <si>
    <t>=NF($B291,"Document No.")</t>
  </si>
  <si>
    <t>=NF($B291,"Sell-to Customer No.")</t>
  </si>
  <si>
    <t>=NF($B291,"No.")</t>
  </si>
  <si>
    <t>=NF($B291,"Description")</t>
  </si>
  <si>
    <t>=NF($B291,"Qty. to Ship")</t>
  </si>
  <si>
    <t>=NF($B291,"Net Weight")</t>
  </si>
  <si>
    <t>=G291*H291</t>
  </si>
  <si>
    <t>="""BC365 (SQL)"",""Somerset Timbers"",""37"",""1"",""Order"",""3"",""SG01251"",""4"",""20000"""</t>
  </si>
  <si>
    <t>=NF($B292,"Document No.")</t>
  </si>
  <si>
    <t>=NF($B292,"Sell-to Customer No.")</t>
  </si>
  <si>
    <t>=NF($B292,"No.")</t>
  </si>
  <si>
    <t>=NF($B292,"Description")</t>
  </si>
  <si>
    <t>=NF($B292,"Qty. to Ship")</t>
  </si>
  <si>
    <t>=NF($B292,"Net Weight")</t>
  </si>
  <si>
    <t>=G292*H292</t>
  </si>
  <si>
    <t>="""BC365 (SQL)"",""Somerset Timbers"",""37"",""1"",""Order"",""3"",""SG01251"",""4"",""30000"""</t>
  </si>
  <si>
    <t>=NF($B293,"Document No.")</t>
  </si>
  <si>
    <t>=NF($B293,"Sell-to Customer No.")</t>
  </si>
  <si>
    <t>=NF($B293,"No.")</t>
  </si>
  <si>
    <t>=NF($B293,"Description")</t>
  </si>
  <si>
    <t>=NF($B293,"Qty. to Ship")</t>
  </si>
  <si>
    <t>=NF($B293,"Net Weight")</t>
  </si>
  <si>
    <t>=G293*H293</t>
  </si>
  <si>
    <t>="""BC365 (SQL)"",""Somerset Timbers"",""37"",""1"",""Order"",""3"",""SG01251"",""4"",""40000"""</t>
  </si>
  <si>
    <t>=NF($B294,"Document No.")</t>
  </si>
  <si>
    <t>=NF($B294,"Sell-to Customer No.")</t>
  </si>
  <si>
    <t>=NF($B294,"No.")</t>
  </si>
  <si>
    <t>=NF($B294,"Description")</t>
  </si>
  <si>
    <t>=NF($B294,"Qty. to Ship")</t>
  </si>
  <si>
    <t>=NF($B294,"Net Weight")</t>
  </si>
  <si>
    <t>=G294*H294</t>
  </si>
  <si>
    <t>="""BC365 (SQL)"",""Somerset Timbers"",""37"",""1"",""Order"",""3"",""SG01251"",""4"",""50000"""</t>
  </si>
  <si>
    <t>=NF($B295,"Document No.")</t>
  </si>
  <si>
    <t>=NF($B295,"Sell-to Customer No.")</t>
  </si>
  <si>
    <t>=NF($B295,"No.")</t>
  </si>
  <si>
    <t>=NF($B295,"Description")</t>
  </si>
  <si>
    <t>=NF($B295,"Qty. to Ship")</t>
  </si>
  <si>
    <t>=NF($B295,"Net Weight")</t>
  </si>
  <si>
    <t>=G295*H295</t>
  </si>
  <si>
    <t>="""BC365 (SQL)"",""Somerset Timbers"",""37"",""1"",""Order"",""3"",""SG01251"",""4"",""60000"""</t>
  </si>
  <si>
    <t>=NF($B296,"Document No.")</t>
  </si>
  <si>
    <t>=NF($B296,"Sell-to Customer No.")</t>
  </si>
  <si>
    <t>=NF($B296,"No.")</t>
  </si>
  <si>
    <t>=NF($B296,"Description")</t>
  </si>
  <si>
    <t>=NF($B296,"Qty. to Ship")</t>
  </si>
  <si>
    <t>=NF($B296,"Net Weight")</t>
  </si>
  <si>
    <t>=G296*H296</t>
  </si>
  <si>
    <t>="""BC365 (SQL)"",""Somerset Timbers"",""37"",""1"",""Order"",""3"",""SG01251"",""4"",""70000"""</t>
  </si>
  <si>
    <t>=NF($B297,"Document No.")</t>
  </si>
  <si>
    <t>=NF($B297,"Sell-to Customer No.")</t>
  </si>
  <si>
    <t>=NF($B297,"No.")</t>
  </si>
  <si>
    <t>=NF($B297,"Description")</t>
  </si>
  <si>
    <t>=NF($B297,"Qty. to Ship")</t>
  </si>
  <si>
    <t>=NF($B297,"Net Weight")</t>
  </si>
  <si>
    <t>=G297*H297</t>
  </si>
  <si>
    <t>="""BC365 (SQL)"",""Somerset Timbers"",""37"",""1"",""Order"",""3"",""SG01264"",""4"",""10000"""</t>
  </si>
  <si>
    <t>=NF($B298,"Document No.")</t>
  </si>
  <si>
    <t>=NF($B298,"Sell-to Customer No.")</t>
  </si>
  <si>
    <t>=NF($B298,"No.")</t>
  </si>
  <si>
    <t>=NF($B298,"Description")</t>
  </si>
  <si>
    <t>=NF($B298,"Qty. to Ship")</t>
  </si>
  <si>
    <t>=NF($B298,"Net Weight")</t>
  </si>
  <si>
    <t>=G298*H298</t>
  </si>
  <si>
    <t>="""BC365 (SQL)"",""Somerset Timbers"",""37"",""1"",""Order"",""3"",""SG01264"",""4"",""20000"""</t>
  </si>
  <si>
    <t>=NF($B299,"Document No.")</t>
  </si>
  <si>
    <t>=NF($B299,"Sell-to Customer No.")</t>
  </si>
  <si>
    <t>=NF($B299,"No.")</t>
  </si>
  <si>
    <t>=NF($B299,"Description")</t>
  </si>
  <si>
    <t>=NF($B299,"Qty. to Ship")</t>
  </si>
  <si>
    <t>=NF($B299,"Net Weight")</t>
  </si>
  <si>
    <t>=G299*H299</t>
  </si>
  <si>
    <t>="""BC365 (SQL)"",""Somerset Timbers"",""37"",""1"",""Order"",""3"",""SG01264"",""4"",""30000"""</t>
  </si>
  <si>
    <t>=NF($B300,"Document No.")</t>
  </si>
  <si>
    <t>=NF($B300,"Sell-to Customer No.")</t>
  </si>
  <si>
    <t>=NF($B300,"No.")</t>
  </si>
  <si>
    <t>=NF($B300,"Description")</t>
  </si>
  <si>
    <t>=NF($B300,"Qty. to Ship")</t>
  </si>
  <si>
    <t>=NF($B300,"Net Weight")</t>
  </si>
  <si>
    <t>=G300*H300</t>
  </si>
  <si>
    <t>="""BC365 (SQL)"",""Somerset Timbers"",""37"",""1"",""Order"",""3"",""SG01264"",""4"",""40000"""</t>
  </si>
  <si>
    <t>=NF($B301,"Document No.")</t>
  </si>
  <si>
    <t>=NF($B301,"Sell-to Customer No.")</t>
  </si>
  <si>
    <t>=NF($B301,"No.")</t>
  </si>
  <si>
    <t>=NF($B301,"Description")</t>
  </si>
  <si>
    <t>=NF($B301,"Qty. to Ship")</t>
  </si>
  <si>
    <t>=NF($B301,"Net Weight")</t>
  </si>
  <si>
    <t>=G301*H301</t>
  </si>
  <si>
    <t>="""BC365 (SQL)"",""Somerset Timbers"",""37"",""1"",""Order"",""3"",""SG01264"",""4"",""50000"""</t>
  </si>
  <si>
    <t>=NF($B302,"Document No.")</t>
  </si>
  <si>
    <t>=NF($B302,"Sell-to Customer No.")</t>
  </si>
  <si>
    <t>=NF($B302,"No.")</t>
  </si>
  <si>
    <t>=NF($B302,"Description")</t>
  </si>
  <si>
    <t>=NF($B302,"Qty. to Ship")</t>
  </si>
  <si>
    <t>=NF($B302,"Net Weight")</t>
  </si>
  <si>
    <t>=G302*H302</t>
  </si>
  <si>
    <t>="""BC365 (SQL)"",""Somerset Timbers"",""37"",""1"",""Order"",""3"",""SG01264"",""4"",""60000"""</t>
  </si>
  <si>
    <t>=NF($B303,"Document No.")</t>
  </si>
  <si>
    <t>=NF($B303,"Sell-to Customer No.")</t>
  </si>
  <si>
    <t>=NF($B303,"No.")</t>
  </si>
  <si>
    <t>=NF($B303,"Description")</t>
  </si>
  <si>
    <t>=NF($B303,"Qty. to Ship")</t>
  </si>
  <si>
    <t>=NF($B303,"Net Weight")</t>
  </si>
  <si>
    <t>=G303*H303</t>
  </si>
  <si>
    <t>="""BC365 (SQL)"",""Somerset Timbers"",""37"",""1"",""Order"",""3"",""SG01264"",""4"",""70000"""</t>
  </si>
  <si>
    <t>=NF($B304,"Document No.")</t>
  </si>
  <si>
    <t>=NF($B304,"Sell-to Customer No.")</t>
  </si>
  <si>
    <t>=NF($B304,"No.")</t>
  </si>
  <si>
    <t>=NF($B304,"Description")</t>
  </si>
  <si>
    <t>=NF($B304,"Qty. to Ship")</t>
  </si>
  <si>
    <t>=NF($B304,"Net Weight")</t>
  </si>
  <si>
    <t>=G304*H304</t>
  </si>
  <si>
    <t>="""BC365 (SQL)"",""Somerset Timbers"",""37"",""1"",""Order"",""3"",""SG01264"",""4"",""80000"""</t>
  </si>
  <si>
    <t>=NF($B305,"Document No.")</t>
  </si>
  <si>
    <t>=NF($B305,"Sell-to Customer No.")</t>
  </si>
  <si>
    <t>=NF($B305,"No.")</t>
  </si>
  <si>
    <t>=NF($B305,"Description")</t>
  </si>
  <si>
    <t>=NF($B305,"Qty. to Ship")</t>
  </si>
  <si>
    <t>=NF($B305,"Net Weight")</t>
  </si>
  <si>
    <t>=G305*H305</t>
  </si>
  <si>
    <t>="""BC365 (SQL)"",""Somerset Timbers"",""37"",""1"",""Order"",""3"",""SG01267"",""4"",""10000"""</t>
  </si>
  <si>
    <t>=NF($B306,"Document No.")</t>
  </si>
  <si>
    <t>=NF($B306,"Sell-to Customer No.")</t>
  </si>
  <si>
    <t>=NF($B306,"No.")</t>
  </si>
  <si>
    <t>=NF($B306,"Description")</t>
  </si>
  <si>
    <t>=NF($B306,"Qty. to Ship")</t>
  </si>
  <si>
    <t>=NF($B306,"Net Weight")</t>
  </si>
  <si>
    <t>=G306*H306</t>
  </si>
  <si>
    <t>="""BC365 (SQL)"",""Somerset Timbers"",""37"",""1"",""Order"",""3"",""SG01267"",""4"",""20000"""</t>
  </si>
  <si>
    <t>=NF($B307,"Document No.")</t>
  </si>
  <si>
    <t>=NF($B307,"Sell-to Customer No.")</t>
  </si>
  <si>
    <t>=NF($B307,"No.")</t>
  </si>
  <si>
    <t>=NF($B307,"Description")</t>
  </si>
  <si>
    <t>=NF($B307,"Qty. to Ship")</t>
  </si>
  <si>
    <t>=NF($B307,"Net Weight")</t>
  </si>
  <si>
    <t>=G307*H307</t>
  </si>
  <si>
    <t>="""BC365 (SQL)"",""Somerset Timbers"",""37"",""1"",""Order"",""3"",""SG01267"",""4"",""30000"""</t>
  </si>
  <si>
    <t>=NF($B308,"Document No.")</t>
  </si>
  <si>
    <t>=NF($B308,"Sell-to Customer No.")</t>
  </si>
  <si>
    <t>=NF($B308,"No.")</t>
  </si>
  <si>
    <t>=NF($B308,"Description")</t>
  </si>
  <si>
    <t>=NF($B308,"Qty. to Ship")</t>
  </si>
  <si>
    <t>=NF($B308,"Net Weight")</t>
  </si>
  <si>
    <t>=G308*H308</t>
  </si>
  <si>
    <t>="""BC365 (SQL)"",""Somerset Timbers"",""37"",""1"",""Order"",""3"",""SG01267"",""4"",""40000"""</t>
  </si>
  <si>
    <t>=NF($B309,"Document No.")</t>
  </si>
  <si>
    <t>=NF($B309,"Sell-to Customer No.")</t>
  </si>
  <si>
    <t>=NF($B309,"No.")</t>
  </si>
  <si>
    <t>=NF($B309,"Description")</t>
  </si>
  <si>
    <t>=NF($B309,"Qty. to Ship")</t>
  </si>
  <si>
    <t>=NF($B309,"Net Weight")</t>
  </si>
  <si>
    <t>=G309*H309</t>
  </si>
  <si>
    <t>="""BC365 (SQL)"",""Somerset Timbers"",""37"",""1"",""Order"",""3"",""SG01267"",""4"",""50000"""</t>
  </si>
  <si>
    <t>=NF($B310,"Document No.")</t>
  </si>
  <si>
    <t>=NF($B310,"Sell-to Customer No.")</t>
  </si>
  <si>
    <t>=NF($B310,"No.")</t>
  </si>
  <si>
    <t>=NF($B310,"Description")</t>
  </si>
  <si>
    <t>=NF($B310,"Qty. to Ship")</t>
  </si>
  <si>
    <t>=NF($B310,"Net Weight")</t>
  </si>
  <si>
    <t>=G310*H310</t>
  </si>
  <si>
    <t>="""BC365 (SQL)"",""Somerset Timbers"",""37"",""1"",""Order"",""3"",""SG01270"",""4"",""10000"""</t>
  </si>
  <si>
    <t>=NF($B311,"Document No.")</t>
  </si>
  <si>
    <t>=NF($B311,"Sell-to Customer No.")</t>
  </si>
  <si>
    <t>=NF($B311,"No.")</t>
  </si>
  <si>
    <t>=NF($B311,"Description")</t>
  </si>
  <si>
    <t>=NF($B311,"Qty. to Ship")</t>
  </si>
  <si>
    <t>=NF($B311,"Net Weight")</t>
  </si>
  <si>
    <t>=G311*H311</t>
  </si>
  <si>
    <t>="""BC365 (SQL)"",""Somerset Timbers"",""37"",""1"",""Order"",""3"",""SG01270"",""4"",""20000"""</t>
  </si>
  <si>
    <t>=NF($B312,"Document No.")</t>
  </si>
  <si>
    <t>=NF($B312,"Sell-to Customer No.")</t>
  </si>
  <si>
    <t>=NF($B312,"No.")</t>
  </si>
  <si>
    <t>=NF($B312,"Description")</t>
  </si>
  <si>
    <t>=NF($B312,"Qty. to Ship")</t>
  </si>
  <si>
    <t>=NF($B312,"Net Weight")</t>
  </si>
  <si>
    <t>=G312*H312</t>
  </si>
  <si>
    <t>="""BC365 (SQL)"",""Somerset Timbers"",""37"",""1"",""Order"",""3"",""SG01270"",""4"",""30000"""</t>
  </si>
  <si>
    <t>=NF($B313,"Document No.")</t>
  </si>
  <si>
    <t>=NF($B313,"Sell-to Customer No.")</t>
  </si>
  <si>
    <t>=NF($B313,"No.")</t>
  </si>
  <si>
    <t>=NF($B313,"Description")</t>
  </si>
  <si>
    <t>=NF($B313,"Qty. to Ship")</t>
  </si>
  <si>
    <t>=NF($B313,"Net Weight")</t>
  </si>
  <si>
    <t>=G313*H313</t>
  </si>
  <si>
    <t>="""BC365 (SQL)"",""Somerset Timbers"",""37"",""1"",""Order"",""3"",""SG01270"",""4"",""40000"""</t>
  </si>
  <si>
    <t>=NF($B314,"Document No.")</t>
  </si>
  <si>
    <t>=NF($B314,"Sell-to Customer No.")</t>
  </si>
  <si>
    <t>=NF($B314,"No.")</t>
  </si>
  <si>
    <t>=NF($B314,"Description")</t>
  </si>
  <si>
    <t>=NF($B314,"Qty. to Ship")</t>
  </si>
  <si>
    <t>=NF($B314,"Net Weight")</t>
  </si>
  <si>
    <t>=G314*H314</t>
  </si>
  <si>
    <t>="""BC365 (SQL)"",""Somerset Timbers"",""37"",""1"",""Order"",""3"",""SG01270"",""4"",""50000"""</t>
  </si>
  <si>
    <t>=NF($B315,"Document No.")</t>
  </si>
  <si>
    <t>=NF($B315,"Sell-to Customer No.")</t>
  </si>
  <si>
    <t>=NF($B315,"No.")</t>
  </si>
  <si>
    <t>=NF($B315,"Description")</t>
  </si>
  <si>
    <t>=NF($B315,"Qty. to Ship")</t>
  </si>
  <si>
    <t>=NF($B315,"Net Weight")</t>
  </si>
  <si>
    <t>=G315*H315</t>
  </si>
  <si>
    <t>="""BC365 (SQL)"",""Somerset Timbers"",""37"",""1"",""Order"",""3"",""SG01270"",""4"",""60000"""</t>
  </si>
  <si>
    <t>=NF($B316,"Document No.")</t>
  </si>
  <si>
    <t>=NF($B316,"Sell-to Customer No.")</t>
  </si>
  <si>
    <t>=NF($B316,"No.")</t>
  </si>
  <si>
    <t>=NF($B316,"Description")</t>
  </si>
  <si>
    <t>=NF($B316,"Qty. to Ship")</t>
  </si>
  <si>
    <t>=NF($B316,"Net Weight")</t>
  </si>
  <si>
    <t>=G316*H316</t>
  </si>
  <si>
    <t>="""BC365 (SQL)"",""Somerset Timbers"",""37"",""1"",""Order"",""3"",""SG01283"",""4"",""10000"""</t>
  </si>
  <si>
    <t>=NF($B317,"Document No.")</t>
  </si>
  <si>
    <t>=NF($B317,"Sell-to Customer No.")</t>
  </si>
  <si>
    <t>=NF($B317,"No.")</t>
  </si>
  <si>
    <t>=NF($B317,"Description")</t>
  </si>
  <si>
    <t>=NF($B317,"Qty. to Ship")</t>
  </si>
  <si>
    <t>=NF($B317,"Net Weight")</t>
  </si>
  <si>
    <t>=G317*H317</t>
  </si>
  <si>
    <t>="""BC365 (SQL)"",""Somerset Timbers"",""37"",""1"",""Order"",""3"",""SG01283"",""4"",""20000"""</t>
  </si>
  <si>
    <t>=NF($B318,"Document No.")</t>
  </si>
  <si>
    <t>=NF($B318,"Sell-to Customer No.")</t>
  </si>
  <si>
    <t>=NF($B318,"No.")</t>
  </si>
  <si>
    <t>=NF($B318,"Description")</t>
  </si>
  <si>
    <t>=NF($B318,"Qty. to Ship")</t>
  </si>
  <si>
    <t>=NF($B318,"Net Weight")</t>
  </si>
  <si>
    <t>=G318*H318</t>
  </si>
  <si>
    <t>="""BC365 (SQL)"",""Somerset Timbers"",""37"",""1"",""Order"",""3"",""SG01283"",""4"",""30000"""</t>
  </si>
  <si>
    <t>=NF($B319,"Document No.")</t>
  </si>
  <si>
    <t>=NF($B319,"Sell-to Customer No.")</t>
  </si>
  <si>
    <t>=NF($B319,"No.")</t>
  </si>
  <si>
    <t>=NF($B319,"Description")</t>
  </si>
  <si>
    <t>=NF($B319,"Qty. to Ship")</t>
  </si>
  <si>
    <t>=NF($B319,"Net Weight")</t>
  </si>
  <si>
    <t>=G319*H319</t>
  </si>
  <si>
    <t>="""BC365 (SQL)"",""Somerset Timbers"",""37"",""1"",""Order"",""3"",""SG01283"",""4"",""40000"""</t>
  </si>
  <si>
    <t>=NF($B320,"Document No.")</t>
  </si>
  <si>
    <t>=NF($B320,"Sell-to Customer No.")</t>
  </si>
  <si>
    <t>=NF($B320,"No.")</t>
  </si>
  <si>
    <t>=NF($B320,"Description")</t>
  </si>
  <si>
    <t>=NF($B320,"Qty. to Ship")</t>
  </si>
  <si>
    <t>=NF($B320,"Net Weight")</t>
  </si>
  <si>
    <t>=G320*H320</t>
  </si>
  <si>
    <t>="""BC365 (SQL)"",""Somerset Timbers"",""37"",""1"",""Order"",""3"",""SG01300"",""4"",""10000"""</t>
  </si>
  <si>
    <t>=NF($B321,"Document No.")</t>
  </si>
  <si>
    <t>=NF($B321,"Sell-to Customer No.")</t>
  </si>
  <si>
    <t>=NF($B321,"No.")</t>
  </si>
  <si>
    <t>=NF($B321,"Description")</t>
  </si>
  <si>
    <t>=NF($B321,"Qty. to Ship")</t>
  </si>
  <si>
    <t>=NF($B321,"Net Weight")</t>
  </si>
  <si>
    <t>=G321*H321</t>
  </si>
  <si>
    <t>="""BC365 (SQL)"",""Somerset Timbers"",""37"",""1"",""Order"",""3"",""SG01300"",""4"",""20000"""</t>
  </si>
  <si>
    <t>=NF($B322,"Document No.")</t>
  </si>
  <si>
    <t>=NF($B322,"Sell-to Customer No.")</t>
  </si>
  <si>
    <t>=NF($B322,"No.")</t>
  </si>
  <si>
    <t>=NF($B322,"Description")</t>
  </si>
  <si>
    <t>=NF($B322,"Qty. to Ship")</t>
  </si>
  <si>
    <t>=NF($B322,"Net Weight")</t>
  </si>
  <si>
    <t>=G322*H322</t>
  </si>
  <si>
    <t>="""BC365 (SQL)"",""Somerset Timbers"",""37"",""1"",""Order"",""3"",""SG01300"",""4"",""30000"""</t>
  </si>
  <si>
    <t>=NF($B323,"Document No.")</t>
  </si>
  <si>
    <t>=NF($B323,"Sell-to Customer No.")</t>
  </si>
  <si>
    <t>=NF($B323,"No.")</t>
  </si>
  <si>
    <t>=NF($B323,"Description")</t>
  </si>
  <si>
    <t>=NF($B323,"Qty. to Ship")</t>
  </si>
  <si>
    <t>=NF($B323,"Net Weight")</t>
  </si>
  <si>
    <t>=G323*H323</t>
  </si>
  <si>
    <t>="""BC365 (SQL)"",""Somerset Timbers"",""37"",""1"",""Order"",""3"",""SG01300"",""4"",""40000"""</t>
  </si>
  <si>
    <t>=NF($B324,"Document No.")</t>
  </si>
  <si>
    <t>=NF($B324,"Sell-to Customer No.")</t>
  </si>
  <si>
    <t>=NF($B324,"No.")</t>
  </si>
  <si>
    <t>=NF($B324,"Description")</t>
  </si>
  <si>
    <t>=NF($B324,"Qty. to Ship")</t>
  </si>
  <si>
    <t>=NF($B324,"Net Weight")</t>
  </si>
  <si>
    <t>=G324*H324</t>
  </si>
  <si>
    <t>="""BC365 (SQL)"",""Somerset Timbers"",""37"",""1"",""Order"",""3"",""SG01300"",""4"",""50000"""</t>
  </si>
  <si>
    <t>=NF($B325,"Document No.")</t>
  </si>
  <si>
    <t>=NF($B325,"Sell-to Customer No.")</t>
  </si>
  <si>
    <t>=NF($B325,"No.")</t>
  </si>
  <si>
    <t>=NF($B325,"Description")</t>
  </si>
  <si>
    <t>=NF($B325,"Qty. to Ship")</t>
  </si>
  <si>
    <t>=NF($B325,"Net Weight")</t>
  </si>
  <si>
    <t>=G325*H325</t>
  </si>
  <si>
    <t>="""BC365 (SQL)"",""Somerset Timbers"",""37"",""1"",""Order"",""3"",""SG01308"",""4"",""10000"""</t>
  </si>
  <si>
    <t>=NF($B326,"Document No.")</t>
  </si>
  <si>
    <t>=NF($B326,"Sell-to Customer No.")</t>
  </si>
  <si>
    <t>=NF($B326,"No.")</t>
  </si>
  <si>
    <t>=NF($B326,"Description")</t>
  </si>
  <si>
    <t>=NF($B326,"Qty. to Ship")</t>
  </si>
  <si>
    <t>=NF($B326,"Net Weight")</t>
  </si>
  <si>
    <t>=G326*H326</t>
  </si>
  <si>
    <t>="""BC365 (SQL)"",""Somerset Timbers"",""37"",""1"",""Order"",""3"",""SG01308"",""4"",""20000"""</t>
  </si>
  <si>
    <t>=NF($B327,"Document No.")</t>
  </si>
  <si>
    <t>=NF($B327,"Sell-to Customer No.")</t>
  </si>
  <si>
    <t>=NF($B327,"No.")</t>
  </si>
  <si>
    <t>=NF($B327,"Description")</t>
  </si>
  <si>
    <t>=NF($B327,"Qty. to Ship")</t>
  </si>
  <si>
    <t>=NF($B327,"Net Weight")</t>
  </si>
  <si>
    <t>=G327*H327</t>
  </si>
  <si>
    <t>="""BC365 (SQL)"",""Somerset Timbers"",""37"",""1"",""Order"",""3"",""SG01328"",""4"",""10000"""</t>
  </si>
  <si>
    <t>=NF($B328,"Document No.")</t>
  </si>
  <si>
    <t>=NF($B328,"Sell-to Customer No.")</t>
  </si>
  <si>
    <t>=NF($B328,"No.")</t>
  </si>
  <si>
    <t>=NF($B328,"Description")</t>
  </si>
  <si>
    <t>=NF($B328,"Qty. to Ship")</t>
  </si>
  <si>
    <t>=NF($B328,"Net Weight")</t>
  </si>
  <si>
    <t>=G328*H328</t>
  </si>
  <si>
    <t>="""BC365 (SQL)"",""Somerset Timbers"",""37"",""1"",""Order"",""3"",""SG01328"",""4"",""20000"""</t>
  </si>
  <si>
    <t>=NF($B329,"Document No.")</t>
  </si>
  <si>
    <t>=NF($B329,"Sell-to Customer No.")</t>
  </si>
  <si>
    <t>=NF($B329,"No.")</t>
  </si>
  <si>
    <t>=NF($B329,"Description")</t>
  </si>
  <si>
    <t>=NF($B329,"Qty. to Ship")</t>
  </si>
  <si>
    <t>=NF($B329,"Net Weight")</t>
  </si>
  <si>
    <t>=G329*H329</t>
  </si>
  <si>
    <t>="""BC365 (SQL)"",""Somerset Timbers"",""37"",""1"",""Order"",""3"",""SG01328"",""4"",""30000"""</t>
  </si>
  <si>
    <t>=NF($B330,"Document No.")</t>
  </si>
  <si>
    <t>=NF($B330,"Sell-to Customer No.")</t>
  </si>
  <si>
    <t>=NF($B330,"No.")</t>
  </si>
  <si>
    <t>=NF($B330,"Description")</t>
  </si>
  <si>
    <t>=NF($B330,"Qty. to Ship")</t>
  </si>
  <si>
    <t>=NF($B330,"Net Weight")</t>
  </si>
  <si>
    <t>=G330*H330</t>
  </si>
  <si>
    <t>="""BC365 (SQL)"",""Somerset Timbers"",""37"",""1"",""Order"",""3"",""SG01328"",""4"",""40000"""</t>
  </si>
  <si>
    <t>=NF($B331,"Document No.")</t>
  </si>
  <si>
    <t>=NF($B331,"Sell-to Customer No.")</t>
  </si>
  <si>
    <t>=NF($B331,"No.")</t>
  </si>
  <si>
    <t>=NF($B331,"Description")</t>
  </si>
  <si>
    <t>=NF($B331,"Qty. to Ship")</t>
  </si>
  <si>
    <t>=NF($B331,"Net Weight")</t>
  </si>
  <si>
    <t>=G331*H331</t>
  </si>
  <si>
    <t>="""BC365 (SQL)"",""Somerset Timbers"",""37"",""1"",""Order"",""3"",""SG01328"",""4"",""50000"""</t>
  </si>
  <si>
    <t>=NF($B332,"Document No.")</t>
  </si>
  <si>
    <t>=NF($B332,"Sell-to Customer No.")</t>
  </si>
  <si>
    <t>=NF($B332,"No.")</t>
  </si>
  <si>
    <t>=NF($B332,"Description")</t>
  </si>
  <si>
    <t>=NF($B332,"Qty. to Ship")</t>
  </si>
  <si>
    <t>=NF($B332,"Net Weight")</t>
  </si>
  <si>
    <t>=G332*H332</t>
  </si>
  <si>
    <t>="""BC365 (SQL)"",""Somerset Timbers"",""37"",""1"",""Order"",""3"",""SG01328"",""4"",""60000"""</t>
  </si>
  <si>
    <t>=NF($B333,"Document No.")</t>
  </si>
  <si>
    <t>=NF($B333,"Sell-to Customer No.")</t>
  </si>
  <si>
    <t>=NF($B333,"No.")</t>
  </si>
  <si>
    <t>=NF($B333,"Description")</t>
  </si>
  <si>
    <t>=NF($B333,"Qty. to Ship")</t>
  </si>
  <si>
    <t>=NF($B333,"Net Weight")</t>
  </si>
  <si>
    <t>=G333*H333</t>
  </si>
  <si>
    <t>="""BC365 (SQL)"",""Somerset Timbers"",""37"",""1"",""Order"",""3"",""SG01349"",""4"",""10000"""</t>
  </si>
  <si>
    <t>=NF($B334,"Document No.")</t>
  </si>
  <si>
    <t>=NF($B334,"Sell-to Customer No.")</t>
  </si>
  <si>
    <t>=NF($B334,"No.")</t>
  </si>
  <si>
    <t>=NF($B334,"Description")</t>
  </si>
  <si>
    <t>=NF($B334,"Qty. to Ship")</t>
  </si>
  <si>
    <t>=NF($B334,"Net Weight")</t>
  </si>
  <si>
    <t>=G334*H334</t>
  </si>
  <si>
    <t>="""BC365 (SQL)"",""Somerset Timbers"",""37"",""1"",""Order"",""3"",""SG01349"",""4"",""20000"""</t>
  </si>
  <si>
    <t>=NF($B335,"Document No.")</t>
  </si>
  <si>
    <t>=NF($B335,"Sell-to Customer No.")</t>
  </si>
  <si>
    <t>=NF($B335,"No.")</t>
  </si>
  <si>
    <t>=NF($B335,"Description")</t>
  </si>
  <si>
    <t>=NF($B335,"Qty. to Ship")</t>
  </si>
  <si>
    <t>=NF($B335,"Net Weight")</t>
  </si>
  <si>
    <t>=G335*H335</t>
  </si>
  <si>
    <t>="""BC365 (SQL)"",""Somerset Timbers"",""37"",""1"",""Order"",""3"",""SG01357"",""4"",""10000"""</t>
  </si>
  <si>
    <t>=NF($B336,"Document No.")</t>
  </si>
  <si>
    <t>=NF($B336,"Sell-to Customer No.")</t>
  </si>
  <si>
    <t>=NF($B336,"No.")</t>
  </si>
  <si>
    <t>=NF($B336,"Description")</t>
  </si>
  <si>
    <t>=NF($B336,"Qty. to Ship")</t>
  </si>
  <si>
    <t>=NF($B336,"Net Weight")</t>
  </si>
  <si>
    <t>=G336*H336</t>
  </si>
  <si>
    <t>="""BC365 (SQL)"",""Somerset Timbers"",""37"",""1"",""Order"",""3"",""SG01357"",""4"",""20000"""</t>
  </si>
  <si>
    <t>=NF($B337,"Document No.")</t>
  </si>
  <si>
    <t>=NF($B337,"Sell-to Customer No.")</t>
  </si>
  <si>
    <t>=NF($B337,"No.")</t>
  </si>
  <si>
    <t>=NF($B337,"Description")</t>
  </si>
  <si>
    <t>=NF($B337,"Qty. to Ship")</t>
  </si>
  <si>
    <t>=NF($B337,"Net Weight")</t>
  </si>
  <si>
    <t>=G337*H337</t>
  </si>
  <si>
    <t>="""BC365 (SQL)"",""Somerset Timbers"",""37"",""1"",""Order"",""3"",""SG01357"",""4"",""30000"""</t>
  </si>
  <si>
    <t>=NF($B338,"Document No.")</t>
  </si>
  <si>
    <t>=NF($B338,"Sell-to Customer No.")</t>
  </si>
  <si>
    <t>=NF($B338,"No.")</t>
  </si>
  <si>
    <t>=NF($B338,"Description")</t>
  </si>
  <si>
    <t>=NF($B338,"Qty. to Ship")</t>
  </si>
  <si>
    <t>=NF($B338,"Net Weight")</t>
  </si>
  <si>
    <t>=G338*H338</t>
  </si>
  <si>
    <t>="""BC365 (SQL)"",""Somerset Timbers"",""37"",""1"",""Order"",""3"",""SG01357"",""4"",""40000"""</t>
  </si>
  <si>
    <t>=NF($B339,"Document No.")</t>
  </si>
  <si>
    <t>=NF($B339,"Sell-to Customer No.")</t>
  </si>
  <si>
    <t>=NF($B339,"No.")</t>
  </si>
  <si>
    <t>=NF($B339,"Description")</t>
  </si>
  <si>
    <t>=NF($B339,"Qty. to Ship")</t>
  </si>
  <si>
    <t>=NF($B339,"Net Weight")</t>
  </si>
  <si>
    <t>=G339*H339</t>
  </si>
  <si>
    <t>="""BC365 (SQL)"",""Somerset Timbers"",""37"",""1"",""Order"",""3"",""SG01357"",""4"",""50000"""</t>
  </si>
  <si>
    <t>=NF($B340,"Document No.")</t>
  </si>
  <si>
    <t>=NF($B340,"Sell-to Customer No.")</t>
  </si>
  <si>
    <t>=NF($B340,"No.")</t>
  </si>
  <si>
    <t>=NF($B340,"Description")</t>
  </si>
  <si>
    <t>=NF($B340,"Qty. to Ship")</t>
  </si>
  <si>
    <t>=NF($B340,"Net Weight")</t>
  </si>
  <si>
    <t>=G340*H340</t>
  </si>
  <si>
    <t>="""BC365 (SQL)"",""Somerset Timbers"",""37"",""1"",""Order"",""3"",""SG01357"",""4"",""60000"""</t>
  </si>
  <si>
    <t>=NF($B341,"Document No.")</t>
  </si>
  <si>
    <t>=NF($B341,"Sell-to Customer No.")</t>
  </si>
  <si>
    <t>=NF($B341,"No.")</t>
  </si>
  <si>
    <t>=NF($B341,"Description")</t>
  </si>
  <si>
    <t>=NF($B341,"Qty. to Ship")</t>
  </si>
  <si>
    <t>=NF($B341,"Net Weight")</t>
  </si>
  <si>
    <t>=G341*H341</t>
  </si>
  <si>
    <t>="""BC365 (SQL)"",""Somerset Timbers"",""37"",""1"",""Order"",""3"",""SG01357"",""4"",""70000"""</t>
  </si>
  <si>
    <t>=NF($B342,"Document No.")</t>
  </si>
  <si>
    <t>=NF($B342,"Sell-to Customer No.")</t>
  </si>
  <si>
    <t>=NF($B342,"No.")</t>
  </si>
  <si>
    <t>=NF($B342,"Description")</t>
  </si>
  <si>
    <t>=NF($B342,"Qty. to Ship")</t>
  </si>
  <si>
    <t>=NF($B342,"Net Weight")</t>
  </si>
  <si>
    <t>=G342*H342</t>
  </si>
  <si>
    <t>="""BC365 (SQL)"",""Somerset Timbers"",""37"",""1"",""Order"",""3"",""SG01360"",""4"",""10000"""</t>
  </si>
  <si>
    <t>=NF($B343,"Document No.")</t>
  </si>
  <si>
    <t>=NF($B343,"Sell-to Customer No.")</t>
  </si>
  <si>
    <t>=NF($B343,"No.")</t>
  </si>
  <si>
    <t>=NF($B343,"Description")</t>
  </si>
  <si>
    <t>=NF($B343,"Qty. to Ship")</t>
  </si>
  <si>
    <t>=NF($B343,"Net Weight")</t>
  </si>
  <si>
    <t>=G343*H343</t>
  </si>
  <si>
    <t>="""BC365 (SQL)"",""Somerset Timbers"",""37"",""1"",""Order"",""3"",""SG01360"",""4"",""20000"""</t>
  </si>
  <si>
    <t>=NF($B344,"Document No.")</t>
  </si>
  <si>
    <t>=NF($B344,"Sell-to Customer No.")</t>
  </si>
  <si>
    <t>=NF($B344,"No.")</t>
  </si>
  <si>
    <t>=NF($B344,"Description")</t>
  </si>
  <si>
    <t>=NF($B344,"Qty. to Ship")</t>
  </si>
  <si>
    <t>=NF($B344,"Net Weight")</t>
  </si>
  <si>
    <t>=G344*H344</t>
  </si>
  <si>
    <t>="""BC365 (SQL)"",""Somerset Timbers"",""37"",""1"",""Order"",""3"",""SG01360"",""4"",""30000"""</t>
  </si>
  <si>
    <t>=NF($B345,"Document No.")</t>
  </si>
  <si>
    <t>=NF($B345,"Sell-to Customer No.")</t>
  </si>
  <si>
    <t>=NF($B345,"No.")</t>
  </si>
  <si>
    <t>=NF($B345,"Description")</t>
  </si>
  <si>
    <t>=NF($B345,"Qty. to Ship")</t>
  </si>
  <si>
    <t>=NF($B345,"Net Weight")</t>
  </si>
  <si>
    <t>=G345*H345</t>
  </si>
  <si>
    <t>="""BC365 (SQL)"",""Somerset Timbers"",""37"",""1"",""Order"",""3"",""SG01360"",""4"",""40000"""</t>
  </si>
  <si>
    <t>=NF($B346,"Document No.")</t>
  </si>
  <si>
    <t>=NF($B346,"Sell-to Customer No.")</t>
  </si>
  <si>
    <t>=NF($B346,"No.")</t>
  </si>
  <si>
    <t>=NF($B346,"Description")</t>
  </si>
  <si>
    <t>=NF($B346,"Qty. to Ship")</t>
  </si>
  <si>
    <t>=NF($B346,"Net Weight")</t>
  </si>
  <si>
    <t>=G346*H346</t>
  </si>
  <si>
    <t>="""BC365 (SQL)"",""Somerset Timbers"",""37"",""1"",""Order"",""3"",""SG01371"",""4"",""10000"""</t>
  </si>
  <si>
    <t>=NF($B347,"Document No.")</t>
  </si>
  <si>
    <t>=NF($B347,"Sell-to Customer No.")</t>
  </si>
  <si>
    <t>=NF($B347,"No.")</t>
  </si>
  <si>
    <t>=NF($B347,"Description")</t>
  </si>
  <si>
    <t>=NF($B347,"Qty. to Ship")</t>
  </si>
  <si>
    <t>=NF($B347,"Net Weight")</t>
  </si>
  <si>
    <t>=G347*H347</t>
  </si>
  <si>
    <t>="""BC365 (SQL)"",""Somerset Timbers"",""37"",""1"",""Order"",""3"",""SG01371"",""4"",""20000"""</t>
  </si>
  <si>
    <t>=NF($B348,"Document No.")</t>
  </si>
  <si>
    <t>=NF($B348,"Sell-to Customer No.")</t>
  </si>
  <si>
    <t>=NF($B348,"No.")</t>
  </si>
  <si>
    <t>=NF($B348,"Description")</t>
  </si>
  <si>
    <t>=NF($B348,"Qty. to Ship")</t>
  </si>
  <si>
    <t>=NF($B348,"Net Weight")</t>
  </si>
  <si>
    <t>=G348*H348</t>
  </si>
  <si>
    <t>="""BC365 (SQL)"",""Somerset Timbers"",""37"",""1"",""Order"",""3"",""SG01371"",""4"",""30000"""</t>
  </si>
  <si>
    <t>=NF($B349,"Document No.")</t>
  </si>
  <si>
    <t>=NF($B349,"Sell-to Customer No.")</t>
  </si>
  <si>
    <t>=NF($B349,"No.")</t>
  </si>
  <si>
    <t>=NF($B349,"Description")</t>
  </si>
  <si>
    <t>=NF($B349,"Qty. to Ship")</t>
  </si>
  <si>
    <t>=NF($B349,"Net Weight")</t>
  </si>
  <si>
    <t>=G349*H349</t>
  </si>
  <si>
    <t>="""BC365 (SQL)"",""Somerset Timbers"",""37"",""1"",""Order"",""3"",""SG01375"",""4"",""10000"""</t>
  </si>
  <si>
    <t>=NF($B350,"Document No.")</t>
  </si>
  <si>
    <t>=NF($B350,"Sell-to Customer No.")</t>
  </si>
  <si>
    <t>=NF($B350,"No.")</t>
  </si>
  <si>
    <t>=NF($B350,"Description")</t>
  </si>
  <si>
    <t>=NF($B350,"Qty. to Ship")</t>
  </si>
  <si>
    <t>=NF($B350,"Net Weight")</t>
  </si>
  <si>
    <t>=G350*H350</t>
  </si>
  <si>
    <t>="""BC365 (SQL)"",""Somerset Timbers"",""37"",""1"",""Order"",""3"",""SG01375"",""4"",""20000"""</t>
  </si>
  <si>
    <t>=NF($B351,"Document No.")</t>
  </si>
  <si>
    <t>=NF($B351,"Sell-to Customer No.")</t>
  </si>
  <si>
    <t>=NF($B351,"No.")</t>
  </si>
  <si>
    <t>=NF($B351,"Description")</t>
  </si>
  <si>
    <t>=NF($B351,"Qty. to Ship")</t>
  </si>
  <si>
    <t>=NF($B351,"Net Weight")</t>
  </si>
  <si>
    <t>=G351*H351</t>
  </si>
  <si>
    <t>="""BC365 (SQL)"",""Somerset Timbers"",""37"",""1"",""Order"",""3"",""SG01375"",""4"",""30000"""</t>
  </si>
  <si>
    <t>=NF($B352,"Document No.")</t>
  </si>
  <si>
    <t>=NF($B352,"Sell-to Customer No.")</t>
  </si>
  <si>
    <t>=NF($B352,"No.")</t>
  </si>
  <si>
    <t>=NF($B352,"Description")</t>
  </si>
  <si>
    <t>=NF($B352,"Qty. to Ship")</t>
  </si>
  <si>
    <t>=NF($B352,"Net Weight")</t>
  </si>
  <si>
    <t>=G352*H352</t>
  </si>
  <si>
    <t>="""BC365 (SQL)"",""Somerset Timbers"",""37"",""1"",""Order"",""3"",""SG01375"",""4"",""40000"""</t>
  </si>
  <si>
    <t>=NF($B353,"Document No.")</t>
  </si>
  <si>
    <t>=NF($B353,"Sell-to Customer No.")</t>
  </si>
  <si>
    <t>=NF($B353,"No.")</t>
  </si>
  <si>
    <t>=NF($B353,"Description")</t>
  </si>
  <si>
    <t>=NF($B353,"Qty. to Ship")</t>
  </si>
  <si>
    <t>=NF($B353,"Net Weight")</t>
  </si>
  <si>
    <t>=G353*H353</t>
  </si>
  <si>
    <t>="""BC365 (SQL)"",""Somerset Timbers"",""37"",""1"",""Order"",""3"",""SG01375"",""4"",""50000"""</t>
  </si>
  <si>
    <t>=NF($B354,"Document No.")</t>
  </si>
  <si>
    <t>=NF($B354,"Sell-to Customer No.")</t>
  </si>
  <si>
    <t>=NF($B354,"No.")</t>
  </si>
  <si>
    <t>=NF($B354,"Description")</t>
  </si>
  <si>
    <t>=NF($B354,"Qty. to Ship")</t>
  </si>
  <si>
    <t>=NF($B354,"Net Weight")</t>
  </si>
  <si>
    <t>=G354*H354</t>
  </si>
  <si>
    <t>="""BC365 (SQL)"",""Somerset Timbers"",""37"",""1"",""Order"",""3"",""SG01375"",""4"",""60000"""</t>
  </si>
  <si>
    <t>=NF($B355,"Document No.")</t>
  </si>
  <si>
    <t>=NF($B355,"Sell-to Customer No.")</t>
  </si>
  <si>
    <t>=NF($B355,"No.")</t>
  </si>
  <si>
    <t>=NF($B355,"Description")</t>
  </si>
  <si>
    <t>=NF($B355,"Qty. to Ship")</t>
  </si>
  <si>
    <t>=NF($B355,"Net Weight")</t>
  </si>
  <si>
    <t>=G355*H355</t>
  </si>
  <si>
    <t>="""BC365 (SQL)"",""Somerset Timbers"",""37"",""1"",""Order"",""3"",""SG01375"",""4"",""70000"""</t>
  </si>
  <si>
    <t>=NF($B356,"Document No.")</t>
  </si>
  <si>
    <t>=NF($B356,"Sell-to Customer No.")</t>
  </si>
  <si>
    <t>=NF($B356,"No.")</t>
  </si>
  <si>
    <t>=NF($B356,"Description")</t>
  </si>
  <si>
    <t>=NF($B356,"Qty. to Ship")</t>
  </si>
  <si>
    <t>=NF($B356,"Net Weight")</t>
  </si>
  <si>
    <t>=G356*H356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</si>
</sst>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15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00CC"/>
      <name val="Arial"/>
    </font>
    <font>
      <b/>
      <sz val="10.0"/>
      <color rgb="FF595959"/>
      <name val="Arial"/>
    </font>
    <font>
      <b/>
      <sz val="10.0"/>
      <color rgb="FF7F7F7F"/>
      <name val="Arial"/>
    </font>
    <font>
      <color theme="1"/>
      <name val="Arial"/>
      <scheme val="minor"/>
    </font>
    <font>
      <sz val="9.0"/>
      <color rgb="FF0000CC"/>
      <name val="Arial"/>
    </font>
    <font>
      <sz val="10.0"/>
      <color theme="1"/>
      <name val="Arial"/>
    </font>
    <font>
      <sz val="10.0"/>
      <color rgb="FF0000CC"/>
      <name val="Arial"/>
    </font>
    <font>
      <sz val="9.0"/>
      <color rgb="FF92D050"/>
      <name val="Arial"/>
    </font>
    <font>
      <sz val="12.0"/>
      <color rgb="FF0000FF"/>
      <name val="Arial"/>
    </font>
    <font>
      <sz val="10.0"/>
      <color rgb="FF7F7F7F"/>
      <name val="Arial"/>
    </font>
    <font>
      <sz val="10.0"/>
      <color rgb="FF595959"/>
      <name val="Arial"/>
    </font>
    <font>
      <b/>
      <sz val="10.0"/>
      <color rgb="FFC0C0C0"/>
      <name val="Arial"/>
    </font>
    <font>
      <sz val="10.0"/>
      <color rgb="FFC0C0C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3" fontId="1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4" fontId="1" numFmtId="164" xfId="0" applyAlignment="1" applyBorder="1" applyFill="1" applyFont="1" applyNumberFormat="1">
      <alignment shrinkToFit="0" wrapText="1"/>
    </xf>
    <xf borderId="1" fillId="0" fontId="1" numFmtId="14" xfId="0" applyAlignment="1" applyBorder="1" applyFont="1" applyNumberFormat="1">
      <alignment shrinkToFit="0" wrapText="1"/>
    </xf>
    <xf borderId="1" fillId="0" fontId="1" numFmtId="164" xfId="0" applyAlignment="1" applyBorder="1" applyFont="1" applyNumberFormat="1">
      <alignment shrinkToFit="0" wrapText="1"/>
    </xf>
    <xf borderId="1" fillId="0" fontId="2" numFmtId="164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2" numFmtId="0" xfId="0" applyAlignment="1" applyFont="1">
      <alignment shrinkToFit="0" wrapText="1"/>
    </xf>
    <xf borderId="1" fillId="3" fontId="4" numFmtId="0" xfId="0" applyAlignment="1" applyBorder="1" applyFont="1">
      <alignment shrinkToFit="0" wrapText="1"/>
    </xf>
    <xf borderId="0" fillId="0" fontId="5" numFmtId="0" xfId="0" applyFont="1"/>
    <xf borderId="2" fillId="5" fontId="6" numFmtId="49" xfId="0" applyAlignment="1" applyBorder="1" applyFill="1" applyFont="1" applyNumberFormat="1">
      <alignment horizontal="left"/>
    </xf>
    <xf borderId="3" fillId="5" fontId="6" numFmtId="49" xfId="0" applyBorder="1" applyFont="1" applyNumberFormat="1"/>
    <xf borderId="0" fillId="3" fontId="7" numFmtId="164" xfId="0" applyFont="1" applyNumberFormat="1"/>
    <xf borderId="0" fillId="0" fontId="8" numFmtId="0" xfId="0" applyFont="1"/>
    <xf borderId="3" fillId="5" fontId="9" numFmtId="49" xfId="0" applyBorder="1" applyFont="1" applyNumberFormat="1"/>
    <xf borderId="3" fillId="5" fontId="10" numFmtId="49" xfId="0" applyBorder="1" applyFont="1" applyNumberFormat="1"/>
    <xf borderId="0" fillId="0" fontId="7" numFmtId="14" xfId="0" applyFont="1" applyNumberFormat="1"/>
    <xf borderId="0" fillId="0" fontId="11" numFmtId="0" xfId="0" applyFont="1"/>
    <xf borderId="4" fillId="3" fontId="7" numFmtId="164" xfId="0" applyBorder="1" applyFont="1" applyNumberFormat="1"/>
    <xf borderId="0" fillId="0" fontId="7" numFmtId="164" xfId="0" applyFont="1" applyNumberFormat="1"/>
    <xf borderId="0" fillId="0" fontId="8" numFmtId="164" xfId="0" applyFont="1" applyNumberFormat="1"/>
    <xf borderId="0" fillId="0" fontId="12" numFmtId="164" xfId="0" applyFont="1" applyNumberFormat="1"/>
    <xf borderId="0" fillId="0" fontId="1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4" fillId="3" fontId="1" numFmtId="0" xfId="0" applyAlignment="1" applyBorder="1" applyFont="1">
      <alignment shrinkToFit="0" wrapText="1"/>
    </xf>
    <xf borderId="0" fillId="0" fontId="14" numFmtId="0" xfId="0" applyFont="1"/>
    <xf quotePrefix="1"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21.25"/>
    <col customWidth="1" min="3" max="3" width="7.75"/>
    <col customWidth="1" min="4" max="4" width="13.13"/>
    <col customWidth="1" min="5" max="5" width="95.5"/>
    <col customWidth="1" min="6" max="6" width="13.38"/>
    <col customWidth="1" min="7" max="7" width="38.13"/>
    <col customWidth="1" min="8" max="8" width="33.13"/>
    <col customWidth="1" min="9" max="9" width="11.25"/>
    <col customWidth="1" min="10" max="10" width="15.38"/>
    <col customWidth="1" min="11" max="11" width="13.88"/>
    <col customWidth="1" min="12" max="12" width="5.63"/>
    <col customWidth="1" min="13" max="13" width="10.25"/>
    <col customWidth="1" min="14" max="14" width="35.13"/>
    <col customWidth="1" min="15" max="16" width="10.25"/>
    <col customWidth="1" min="17" max="18" width="12.88"/>
    <col customWidth="1" min="19" max="19" width="47.13"/>
    <col customWidth="1" min="20" max="20" width="13.13"/>
    <col customWidth="1" min="21" max="21" width="14.13"/>
    <col customWidth="1" min="22" max="22" width="6.0"/>
    <col customWidth="1" min="23" max="23" width="10.0"/>
    <col customWidth="1" min="24" max="24" width="10.13"/>
    <col customWidth="1" min="25" max="29" width="11.63"/>
    <col customWidth="1" min="30" max="30" width="32.13"/>
    <col customWidth="1" min="31" max="31" width="26.0"/>
    <col customWidth="1" min="32" max="32" width="16.88"/>
    <col customWidth="1" min="33" max="33" width="8.6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9" t="s">
        <v>14</v>
      </c>
      <c r="P1" s="9" t="s">
        <v>15</v>
      </c>
      <c r="Q1" s="7" t="s">
        <v>16</v>
      </c>
      <c r="R1" s="7" t="s">
        <v>17</v>
      </c>
      <c r="S1" s="7" t="s">
        <v>18</v>
      </c>
      <c r="T1" s="6" t="s">
        <v>19</v>
      </c>
      <c r="U1" s="10" t="s">
        <v>20</v>
      </c>
      <c r="V1" s="10" t="s">
        <v>21</v>
      </c>
      <c r="W1" s="10" t="s">
        <v>22</v>
      </c>
      <c r="X1" s="11" t="s">
        <v>23</v>
      </c>
      <c r="Y1" s="12" t="s">
        <v>24</v>
      </c>
      <c r="Z1" s="12" t="s">
        <v>25</v>
      </c>
      <c r="AA1" s="13"/>
      <c r="AB1" s="14" t="s">
        <v>26</v>
      </c>
      <c r="AC1" s="15" t="s">
        <v>27</v>
      </c>
      <c r="AD1" s="16" t="s">
        <v>28</v>
      </c>
      <c r="AE1" s="16" t="s">
        <v>29</v>
      </c>
      <c r="AF1" s="16" t="s">
        <v>29</v>
      </c>
    </row>
    <row r="2" ht="12.75" customHeight="1">
      <c r="A2" s="17" t="str">
        <f>"SF27876"</f>
        <v>SF27876</v>
      </c>
      <c r="B2" s="18" t="s">
        <v>30</v>
      </c>
      <c r="C2" s="19" t="s">
        <v>31</v>
      </c>
      <c r="D2" s="20">
        <f>SUMIF(Weight!$C:$C,$A2,Weight!$H:$H)</f>
        <v>57.2555</v>
      </c>
      <c r="E2" s="21" t="str">
        <f t="shared" ref="E2:E61" si="2">CONCATENATE(AC2," ,",AD2," ,",AE2)</f>
        <v>1 Paul Kruger Street , ,Stellenbosch</v>
      </c>
      <c r="F2" s="19" t="s">
        <v>31</v>
      </c>
      <c r="G2" s="17" t="str">
        <f t="shared" ref="G2:H2" si="1">"Remey Construction (Pty) Ltd"</f>
        <v>Remey Construction (Pty) Ltd</v>
      </c>
      <c r="H2" s="17" t="str">
        <f t="shared" si="1"/>
        <v>Remey Construction (Pty) Ltd</v>
      </c>
      <c r="I2" s="17" t="str">
        <f>"0218832616"</f>
        <v>0218832616</v>
      </c>
      <c r="J2" s="22" t="s">
        <v>32</v>
      </c>
      <c r="K2" s="22" t="s">
        <v>32</v>
      </c>
      <c r="L2" s="23" t="s">
        <v>33</v>
      </c>
      <c r="M2" s="22" t="s">
        <v>32</v>
      </c>
      <c r="N2" s="17" t="str">
        <f>"Clarens Drive - Tuesday Friday"</f>
        <v>Clarens Drive - Tuesday Friday</v>
      </c>
      <c r="O2" s="24" t="str">
        <f t="shared" ref="O2:O3" si="4">""</f>
        <v/>
      </c>
      <c r="P2" s="24">
        <v>44818.0</v>
      </c>
      <c r="Q2" s="17" t="str">
        <f t="shared" ref="Q2:Q61" si="5">"01"</f>
        <v>01</v>
      </c>
      <c r="R2" s="25" t="str">
        <f>"1 PAUL KRU"</f>
        <v>1 PAUL KRU</v>
      </c>
      <c r="S2" s="17" t="str">
        <f>"buyer@remey.co.za"</f>
        <v>buyer@remey.co.za</v>
      </c>
      <c r="T2" s="26">
        <f>SUMIF(Weight!$C:$C,$A2,Weight!$I:$I)</f>
        <v>0</v>
      </c>
      <c r="U2" s="27">
        <v>64985.04</v>
      </c>
      <c r="V2" s="17" t="str">
        <f>"F"</f>
        <v>F</v>
      </c>
      <c r="W2" s="17" t="str">
        <f>"SIMON"</f>
        <v>SIMON</v>
      </c>
      <c r="X2" s="28" t="str">
        <f>"C00310"</f>
        <v>C00310</v>
      </c>
      <c r="Y2" s="28">
        <v>80001.0</v>
      </c>
      <c r="Z2" s="28">
        <v>29773.07</v>
      </c>
      <c r="AA2" s="28">
        <f t="shared" ref="AA2:AA61" si="6">IF(Y2=1,SUMIF($X:$X,$X2,$U:$U)+Z2,SUMIF($X:$X,$X2,$U:$U)+Y2+Z2)</f>
        <v>174759.11</v>
      </c>
      <c r="AB2" s="29">
        <v>563785.13</v>
      </c>
      <c r="AC2" s="28" t="str">
        <f>"1 Paul Kruger Street"</f>
        <v>1 Paul Kruger Street</v>
      </c>
      <c r="AD2" s="25" t="str">
        <f t="shared" ref="AD2:AD3" si="7">""</f>
        <v/>
      </c>
      <c r="AE2" s="25" t="str">
        <f>"Stellenbosch"</f>
        <v>Stellenbosch</v>
      </c>
      <c r="AF2" s="25" t="str">
        <f t="shared" ref="AF2:AF5" si="8">""</f>
        <v/>
      </c>
    </row>
    <row r="3" ht="12.75" customHeight="1">
      <c r="A3" s="17" t="str">
        <f>"SF29041"</f>
        <v>SF29041</v>
      </c>
      <c r="B3" s="18" t="s">
        <v>30</v>
      </c>
      <c r="C3" s="19" t="s">
        <v>31</v>
      </c>
      <c r="D3" s="20">
        <f>SUMIF(Weight!$C:$C,$A3,Weight!$H:$H)</f>
        <v>17.95</v>
      </c>
      <c r="E3" s="21" t="str">
        <f t="shared" si="2"/>
        <v>5 Stanley Bay Drive , ,LLandudno</v>
      </c>
      <c r="F3" s="19" t="s">
        <v>31</v>
      </c>
      <c r="G3" s="17" t="str">
        <f t="shared" ref="G3:H3" si="3">"The Carpenters"</f>
        <v>The Carpenters</v>
      </c>
      <c r="H3" s="17" t="str">
        <f t="shared" si="3"/>
        <v>The Carpenters</v>
      </c>
      <c r="I3" s="17" t="str">
        <f>"0787169569"</f>
        <v>0787169569</v>
      </c>
      <c r="J3" s="22" t="s">
        <v>32</v>
      </c>
      <c r="K3" s="22" t="s">
        <v>32</v>
      </c>
      <c r="L3" s="23" t="s">
        <v>33</v>
      </c>
      <c r="M3" s="22" t="s">
        <v>32</v>
      </c>
      <c r="N3" s="17" t="str">
        <f>"Hout Bay - Monday Wednesday"</f>
        <v>Hout Bay - Monday Wednesday</v>
      </c>
      <c r="O3" s="24" t="str">
        <f t="shared" si="4"/>
        <v/>
      </c>
      <c r="P3" s="24">
        <v>44827.0</v>
      </c>
      <c r="Q3" s="17" t="str">
        <f t="shared" si="5"/>
        <v>01</v>
      </c>
      <c r="R3" s="25" t="str">
        <f>"STANLEY BA"</f>
        <v>STANLEY BA</v>
      </c>
      <c r="S3" s="17" t="str">
        <f>"contracts@carpenters.co.za"</f>
        <v>contracts@carpenters.co.za</v>
      </c>
      <c r="T3" s="26">
        <f>SUMIF(Weight!$C:$C,$A3,Weight!$I:$I)</f>
        <v>0</v>
      </c>
      <c r="U3" s="27">
        <v>166926.21</v>
      </c>
      <c r="V3" s="17" t="str">
        <f>"E"</f>
        <v>E</v>
      </c>
      <c r="W3" s="17" t="str">
        <f>"DEREK"</f>
        <v>DEREK</v>
      </c>
      <c r="X3" s="28" t="str">
        <f>"C05935"</f>
        <v>C05935</v>
      </c>
      <c r="Y3" s="28">
        <v>1.0</v>
      </c>
      <c r="Z3" s="28">
        <v>-26.470000000000002</v>
      </c>
      <c r="AA3" s="28">
        <f t="shared" si="6"/>
        <v>166899.74</v>
      </c>
      <c r="AB3" s="29">
        <v>193395.49</v>
      </c>
      <c r="AC3" s="28" t="str">
        <f>"5 Stanley Bay Drive"</f>
        <v>5 Stanley Bay Drive</v>
      </c>
      <c r="AD3" s="25" t="str">
        <f t="shared" si="7"/>
        <v/>
      </c>
      <c r="AE3" s="25" t="str">
        <f>"LLandudno"</f>
        <v>LLandudno</v>
      </c>
      <c r="AF3" s="25" t="str">
        <f t="shared" si="8"/>
        <v/>
      </c>
    </row>
    <row r="4" ht="12.75" customHeight="1">
      <c r="A4" s="17" t="str">
        <f>"SF29825"</f>
        <v>SF29825</v>
      </c>
      <c r="B4" s="18" t="s">
        <v>30</v>
      </c>
      <c r="C4" s="19" t="s">
        <v>31</v>
      </c>
      <c r="D4" s="20">
        <f>SUMIF(Weight!$C:$C,$A4,Weight!$H:$H)</f>
        <v>20.55</v>
      </c>
      <c r="E4" s="21" t="str">
        <f t="shared" si="2"/>
        <v>Klein Geluk Farm ,Off Waboomskloof Road ,Dassiesfontein / Caledon</v>
      </c>
      <c r="F4" s="19" t="s">
        <v>31</v>
      </c>
      <c r="G4" s="17" t="str">
        <f t="shared" ref="G4:H4" si="9">"Atmosphere Design"</f>
        <v>Atmosphere Design</v>
      </c>
      <c r="H4" s="17" t="str">
        <f t="shared" si="9"/>
        <v>Atmosphere Design</v>
      </c>
      <c r="I4" s="17" t="str">
        <f>"0823737119"</f>
        <v>0823737119</v>
      </c>
      <c r="J4" s="22" t="s">
        <v>32</v>
      </c>
      <c r="K4" s="22" t="s">
        <v>32</v>
      </c>
      <c r="L4" s="23" t="s">
        <v>33</v>
      </c>
      <c r="M4" s="22" t="s">
        <v>32</v>
      </c>
      <c r="N4" s="17" t="str">
        <f>" "</f>
        <v> </v>
      </c>
      <c r="O4" s="24">
        <v>44840.0</v>
      </c>
      <c r="P4" s="24">
        <v>44837.0</v>
      </c>
      <c r="Q4" s="17" t="str">
        <f t="shared" si="5"/>
        <v>01</v>
      </c>
      <c r="R4" s="25" t="str">
        <f>"CALEDON"</f>
        <v>CALEDON</v>
      </c>
      <c r="S4" s="17" t="str">
        <f>"ashley@atmospheredesign.co.za"</f>
        <v>ashley@atmospheredesign.co.za</v>
      </c>
      <c r="T4" s="26">
        <f>SUMIF(Weight!$C:$C,$A4,Weight!$I:$I)</f>
        <v>0</v>
      </c>
      <c r="U4" s="27">
        <v>11312.25</v>
      </c>
      <c r="V4" s="17" t="str">
        <f>""</f>
        <v/>
      </c>
      <c r="W4" s="17" t="str">
        <f t="shared" ref="W4:W5" si="10">"SIMON"</f>
        <v>SIMON</v>
      </c>
      <c r="X4" s="28" t="str">
        <f>"C12398"</f>
        <v>C12398</v>
      </c>
      <c r="Y4" s="28">
        <v>1.0</v>
      </c>
      <c r="Z4" s="28">
        <v>-377.17</v>
      </c>
      <c r="AA4" s="28">
        <f t="shared" si="6"/>
        <v>10935.08</v>
      </c>
      <c r="AB4" s="29">
        <v>23116.89</v>
      </c>
      <c r="AC4" s="28" t="str">
        <f>"Klein Geluk Farm"</f>
        <v>Klein Geluk Farm</v>
      </c>
      <c r="AD4" s="25" t="str">
        <f>"Off Waboomskloof Road"</f>
        <v>Off Waboomskloof Road</v>
      </c>
      <c r="AE4" s="25" t="str">
        <f>"Dassiesfontein / Caledon"</f>
        <v>Dassiesfontein / Caledon</v>
      </c>
      <c r="AF4" s="25" t="str">
        <f t="shared" si="8"/>
        <v/>
      </c>
    </row>
    <row r="5" ht="12.75" customHeight="1">
      <c r="A5" s="17" t="str">
        <f>"SF30116"</f>
        <v>SF30116</v>
      </c>
      <c r="B5" s="18" t="s">
        <v>30</v>
      </c>
      <c r="C5" s="19" t="s">
        <v>31</v>
      </c>
      <c r="D5" s="20">
        <f>SUMIF(Weight!$C:$C,$A5,Weight!$H:$H)</f>
        <v>223.275</v>
      </c>
      <c r="E5" s="21" t="str">
        <f t="shared" si="2"/>
        <v>Helshoogte Road ,Kylemore ,Stellenbosch</v>
      </c>
      <c r="F5" s="19" t="s">
        <v>31</v>
      </c>
      <c r="G5" s="17" t="str">
        <f>"Reside Properties (Pty) Ltd"</f>
        <v>Reside Properties (Pty) Ltd</v>
      </c>
      <c r="H5" s="17" t="str">
        <f>"Bethlehem Farm"</f>
        <v>Bethlehem Farm</v>
      </c>
      <c r="I5" s="17" t="str">
        <f>"0824666878"</f>
        <v>0824666878</v>
      </c>
      <c r="J5" s="22" t="s">
        <v>32</v>
      </c>
      <c r="K5" s="22" t="s">
        <v>32</v>
      </c>
      <c r="L5" s="23" t="s">
        <v>33</v>
      </c>
      <c r="M5" s="22" t="s">
        <v>32</v>
      </c>
      <c r="N5" s="17" t="str">
        <f>"Stellenbosch - Tuesday Thursday"</f>
        <v>Stellenbosch - Tuesday Thursday</v>
      </c>
      <c r="O5" s="24">
        <v>44854.0</v>
      </c>
      <c r="P5" s="24">
        <v>44831.0</v>
      </c>
      <c r="Q5" s="17" t="str">
        <f t="shared" si="5"/>
        <v>01</v>
      </c>
      <c r="R5" s="25" t="str">
        <f>"1"</f>
        <v>1</v>
      </c>
      <c r="S5" s="17" t="str">
        <f>"wynbass@gmail.com"</f>
        <v>wynbass@gmail.com</v>
      </c>
      <c r="T5" s="26">
        <f>SUMIF(Weight!$C:$C,$A5,Weight!$I:$I)</f>
        <v>0</v>
      </c>
      <c r="U5" s="27">
        <v>29776.8</v>
      </c>
      <c r="V5" s="17" t="str">
        <f>"B"</f>
        <v>B</v>
      </c>
      <c r="W5" s="17" t="str">
        <f t="shared" si="10"/>
        <v>SIMON</v>
      </c>
      <c r="X5" s="28" t="str">
        <f>"C18702"</f>
        <v>C18702</v>
      </c>
      <c r="Y5" s="28">
        <v>1.0</v>
      </c>
      <c r="Z5" s="28">
        <v>-131.91</v>
      </c>
      <c r="AA5" s="28">
        <f t="shared" si="6"/>
        <v>29644.89</v>
      </c>
      <c r="AB5" s="29">
        <v>29776.8</v>
      </c>
      <c r="AC5" s="28" t="str">
        <f>"Helshoogte Road"</f>
        <v>Helshoogte Road</v>
      </c>
      <c r="AD5" s="25" t="str">
        <f>"Kylemore"</f>
        <v>Kylemore</v>
      </c>
      <c r="AE5" s="25" t="str">
        <f>"Stellenbosch"</f>
        <v>Stellenbosch</v>
      </c>
      <c r="AF5" s="25" t="str">
        <f t="shared" si="8"/>
        <v/>
      </c>
    </row>
    <row r="6" ht="12.75" customHeight="1">
      <c r="A6" s="17" t="str">
        <f>"SF33849"</f>
        <v>SF33849</v>
      </c>
      <c r="B6" s="18" t="s">
        <v>30</v>
      </c>
      <c r="C6" s="19" t="s">
        <v>31</v>
      </c>
      <c r="D6" s="20">
        <f>SUMIF(Weight!$C:$C,$A6,Weight!$H:$H)</f>
        <v>12.05</v>
      </c>
      <c r="E6" s="21" t="str">
        <f t="shared" si="2"/>
        <v>74 Bofors Circle ,EPPING 2 ,</v>
      </c>
      <c r="F6" s="19" t="s">
        <v>31</v>
      </c>
      <c r="G6" s="17" t="str">
        <f t="shared" ref="G6:H6" si="11">"Thermocoil (Pty) Ltd"</f>
        <v>Thermocoil (Pty) Ltd</v>
      </c>
      <c r="H6" s="17" t="str">
        <f t="shared" si="11"/>
        <v>Thermocoil (Pty) Ltd</v>
      </c>
      <c r="I6" s="17" t="str">
        <f>"0761960504"</f>
        <v>0761960504</v>
      </c>
      <c r="J6" s="22" t="s">
        <v>32</v>
      </c>
      <c r="K6" s="22" t="s">
        <v>32</v>
      </c>
      <c r="L6" s="23" t="s">
        <v>33</v>
      </c>
      <c r="M6" s="22" t="s">
        <v>32</v>
      </c>
      <c r="N6" s="17" t="str">
        <f>""</f>
        <v/>
      </c>
      <c r="O6" s="24">
        <v>44964.0</v>
      </c>
      <c r="P6" s="24">
        <v>44867.0</v>
      </c>
      <c r="Q6" s="17" t="str">
        <f t="shared" si="5"/>
        <v>01</v>
      </c>
      <c r="R6" s="25" t="str">
        <f>"FACTORY"</f>
        <v>FACTORY</v>
      </c>
      <c r="S6" s="17" t="str">
        <f>"dnortje@thermocoil.co.za"</f>
        <v>dnortje@thermocoil.co.za</v>
      </c>
      <c r="T6" s="26">
        <f>SUMIF(Weight!$C:$C,$A6,Weight!$I:$I)</f>
        <v>17453</v>
      </c>
      <c r="U6" s="27">
        <v>120886.51</v>
      </c>
      <c r="V6" s="17" t="str">
        <f>"K"</f>
        <v>K</v>
      </c>
      <c r="W6" s="17" t="str">
        <f>"DOUGLAS"</f>
        <v>DOUGLAS</v>
      </c>
      <c r="X6" s="28" t="str">
        <f>"C00355"</f>
        <v>C00355</v>
      </c>
      <c r="Y6" s="28">
        <v>200001.0</v>
      </c>
      <c r="Z6" s="28">
        <v>157032.83000000002</v>
      </c>
      <c r="AA6" s="28">
        <f t="shared" si="6"/>
        <v>477920.34</v>
      </c>
      <c r="AB6" s="29">
        <v>120886.51</v>
      </c>
      <c r="AC6" s="28" t="str">
        <f>"74 Bofors Circle"</f>
        <v>74 Bofors Circle</v>
      </c>
      <c r="AD6" s="25" t="str">
        <f>"EPPING 2"</f>
        <v>EPPING 2</v>
      </c>
      <c r="AE6" s="25" t="str">
        <f t="shared" ref="AE6:AF6" si="12">""</f>
        <v/>
      </c>
      <c r="AF6" s="25" t="str">
        <f t="shared" si="12"/>
        <v/>
      </c>
    </row>
    <row r="7" ht="12.75" customHeight="1">
      <c r="A7" s="17" t="str">
        <f>"SF35493"</f>
        <v>SF35493</v>
      </c>
      <c r="B7" s="18" t="s">
        <v>30</v>
      </c>
      <c r="C7" s="19" t="s">
        <v>31</v>
      </c>
      <c r="D7" s="20">
        <f>SUMIF(Weight!$C:$C,$A7,Weight!$H:$H)</f>
        <v>38.0295</v>
      </c>
      <c r="E7" s="21" t="str">
        <f t="shared" si="2"/>
        <v>De Zeven Lodge, Zevenrivier Rd ,Bangoek ,Stellenbosch</v>
      </c>
      <c r="F7" s="19" t="s">
        <v>31</v>
      </c>
      <c r="G7" s="17" t="str">
        <f t="shared" ref="G7:H7" si="13">"MC Creations"</f>
        <v>MC Creations</v>
      </c>
      <c r="H7" s="17" t="str">
        <f t="shared" si="13"/>
        <v>MC Creations</v>
      </c>
      <c r="I7" s="17" t="str">
        <f>"0739869945"</f>
        <v>0739869945</v>
      </c>
      <c r="J7" s="22" t="s">
        <v>32</v>
      </c>
      <c r="K7" s="22" t="s">
        <v>32</v>
      </c>
      <c r="L7" s="23" t="s">
        <v>33</v>
      </c>
      <c r="M7" s="22" t="s">
        <v>32</v>
      </c>
      <c r="N7" s="17" t="str">
        <f>"Stellenbosch - Tuesday Thursday"</f>
        <v>Stellenbosch - Tuesday Thursday</v>
      </c>
      <c r="O7" s="24">
        <v>44882.0</v>
      </c>
      <c r="P7" s="24">
        <v>44875.0</v>
      </c>
      <c r="Q7" s="17" t="str">
        <f t="shared" si="5"/>
        <v>01</v>
      </c>
      <c r="R7" s="25" t="str">
        <f>"13"</f>
        <v>13</v>
      </c>
      <c r="S7" s="17" t="str">
        <f>"charmnialiry@gmail.com"</f>
        <v>charmnialiry@gmail.com</v>
      </c>
      <c r="T7" s="26">
        <f>SUMIF(Weight!$C:$C,$A7,Weight!$I:$I)</f>
        <v>0</v>
      </c>
      <c r="U7" s="27">
        <v>12466.230000000001</v>
      </c>
      <c r="V7" s="17" t="str">
        <f>"B"</f>
        <v>B</v>
      </c>
      <c r="W7" s="17" t="str">
        <f t="shared" ref="W7:W10" si="14">"SIMON"</f>
        <v>SIMON</v>
      </c>
      <c r="X7" s="28" t="str">
        <f>"C08059"</f>
        <v>C08059</v>
      </c>
      <c r="Y7" s="28">
        <v>1.0</v>
      </c>
      <c r="Z7" s="28">
        <v>0.0</v>
      </c>
      <c r="AA7" s="28">
        <f t="shared" si="6"/>
        <v>12466.23</v>
      </c>
      <c r="AB7" s="29">
        <v>208683.33</v>
      </c>
      <c r="AC7" s="28" t="str">
        <f>"De Zeven Lodge, Zevenrivier Rd"</f>
        <v>De Zeven Lodge, Zevenrivier Rd</v>
      </c>
      <c r="AD7" s="25" t="str">
        <f>"Bangoek"</f>
        <v>Bangoek</v>
      </c>
      <c r="AE7" s="25" t="str">
        <f>"Stellenbosch"</f>
        <v>Stellenbosch</v>
      </c>
      <c r="AF7" s="25" t="str">
        <f>""</f>
        <v/>
      </c>
    </row>
    <row r="8" ht="12.75" customHeight="1">
      <c r="A8" s="17" t="str">
        <f>"SF35567"</f>
        <v>SF35567</v>
      </c>
      <c r="B8" s="18" t="s">
        <v>30</v>
      </c>
      <c r="C8" s="19" t="s">
        <v>31</v>
      </c>
      <c r="D8" s="20">
        <f>SUMIF(Weight!$C:$C,$A8,Weight!$H:$H)</f>
        <v>52.52</v>
      </c>
      <c r="E8" s="21" t="str">
        <f t="shared" si="2"/>
        <v>76 Main Road ,Kleinmond ,</v>
      </c>
      <c r="F8" s="19" t="s">
        <v>31</v>
      </c>
      <c r="G8" s="17" t="str">
        <f>"Laaiplek Handelshuis (Pty) Ltd "</f>
        <v>Laaiplek Handelshuis (Pty) Ltd </v>
      </c>
      <c r="H8" s="17" t="str">
        <f>"Kleinmond Bouhandel"</f>
        <v>Kleinmond Bouhandel</v>
      </c>
      <c r="I8" s="17" t="str">
        <f t="shared" ref="I8:I10" si="16">"0824666878"</f>
        <v>0824666878</v>
      </c>
      <c r="J8" s="22" t="s">
        <v>32</v>
      </c>
      <c r="K8" s="22" t="s">
        <v>32</v>
      </c>
      <c r="L8" s="23" t="s">
        <v>33</v>
      </c>
      <c r="M8" s="22" t="s">
        <v>32</v>
      </c>
      <c r="N8" s="17" t="str">
        <f>""</f>
        <v/>
      </c>
      <c r="O8" s="24">
        <v>44887.0</v>
      </c>
      <c r="P8" s="24">
        <v>44880.0</v>
      </c>
      <c r="Q8" s="17" t="str">
        <f t="shared" si="5"/>
        <v>01</v>
      </c>
      <c r="R8" s="25" t="str">
        <f t="shared" ref="R8:R10" si="17">"1"</f>
        <v>1</v>
      </c>
      <c r="S8" s="17" t="str">
        <f>"bouhandel@vodamail.co.za"</f>
        <v>bouhandel@vodamail.co.za</v>
      </c>
      <c r="T8" s="26">
        <f>SUMIF(Weight!$C:$C,$A8,Weight!$I:$I)</f>
        <v>0</v>
      </c>
      <c r="U8" s="27">
        <v>12911.499999999998</v>
      </c>
      <c r="V8" s="17" t="str">
        <f>"L"</f>
        <v>L</v>
      </c>
      <c r="W8" s="17" t="str">
        <f t="shared" si="14"/>
        <v>SIMON</v>
      </c>
      <c r="X8" s="28" t="str">
        <f>"C00200"</f>
        <v>C00200</v>
      </c>
      <c r="Y8" s="28">
        <v>80001.0</v>
      </c>
      <c r="Z8" s="28">
        <v>47932.04</v>
      </c>
      <c r="AA8" s="28">
        <f t="shared" si="6"/>
        <v>144229.28</v>
      </c>
      <c r="AB8" s="29">
        <v>45590.82</v>
      </c>
      <c r="AC8" s="28" t="str">
        <f>"76 Main Road"</f>
        <v>76 Main Road</v>
      </c>
      <c r="AD8" s="25" t="str">
        <f>"Kleinmond"</f>
        <v>Kleinmond</v>
      </c>
      <c r="AE8" s="25" t="str">
        <f t="shared" ref="AE8:AF8" si="15">""</f>
        <v/>
      </c>
      <c r="AF8" s="25" t="str">
        <f t="shared" si="15"/>
        <v/>
      </c>
    </row>
    <row r="9" ht="12.75" customHeight="1">
      <c r="A9" s="17" t="str">
        <f>"SF36362"</f>
        <v>SF36362</v>
      </c>
      <c r="B9" s="18" t="s">
        <v>30</v>
      </c>
      <c r="C9" s="19" t="s">
        <v>31</v>
      </c>
      <c r="D9" s="20">
        <f>SUMIF(Weight!$C:$C,$A9,Weight!$H:$H)</f>
        <v>32.7775</v>
      </c>
      <c r="E9" s="21" t="str">
        <f t="shared" si="2"/>
        <v>4 Watsonia Street , ,Gordons Bay</v>
      </c>
      <c r="F9" s="19" t="s">
        <v>31</v>
      </c>
      <c r="G9" s="17" t="str">
        <f>"Mr David Mashao"</f>
        <v>Mr David Mashao</v>
      </c>
      <c r="H9" s="17" t="str">
        <f>"Ms Thabisa Xayimpi-Ebobola"</f>
        <v>Ms Thabisa Xayimpi-Ebobola</v>
      </c>
      <c r="I9" s="17" t="str">
        <f t="shared" si="16"/>
        <v>0824666878</v>
      </c>
      <c r="J9" s="22" t="s">
        <v>32</v>
      </c>
      <c r="K9" s="22" t="s">
        <v>32</v>
      </c>
      <c r="L9" s="23" t="s">
        <v>33</v>
      </c>
      <c r="M9" s="22" t="s">
        <v>32</v>
      </c>
      <c r="N9" s="17" t="str">
        <f t="shared" ref="N9:N10" si="19">"Helderberg - Monday Wednesday Friday"</f>
        <v>Helderberg - Monday Wednesday Friday</v>
      </c>
      <c r="O9" s="24">
        <v>44897.0</v>
      </c>
      <c r="P9" s="24">
        <v>44844.0</v>
      </c>
      <c r="Q9" s="17" t="str">
        <f t="shared" si="5"/>
        <v>01</v>
      </c>
      <c r="R9" s="25" t="str">
        <f t="shared" si="17"/>
        <v>1</v>
      </c>
      <c r="S9" s="17" t="str">
        <f>"davidmashao@gmail.com"</f>
        <v>davidmashao@gmail.com</v>
      </c>
      <c r="T9" s="26">
        <f>SUMIF(Weight!$C:$C,$A9,Weight!$I:$I)</f>
        <v>0</v>
      </c>
      <c r="U9" s="27">
        <v>31978.34</v>
      </c>
      <c r="V9" s="17" t="str">
        <f t="shared" ref="V9:V10" si="20">"A"</f>
        <v>A</v>
      </c>
      <c r="W9" s="17" t="str">
        <f t="shared" si="14"/>
        <v>SIMON</v>
      </c>
      <c r="X9" s="28" t="str">
        <f>"C31505"</f>
        <v>C31505</v>
      </c>
      <c r="Y9" s="28">
        <v>1.0</v>
      </c>
      <c r="Z9" s="28">
        <v>-1844.13</v>
      </c>
      <c r="AA9" s="28">
        <f t="shared" si="6"/>
        <v>30134.21</v>
      </c>
      <c r="AB9" s="29">
        <v>34879.76</v>
      </c>
      <c r="AC9" s="28" t="str">
        <f>"4 Watsonia Street"</f>
        <v>4 Watsonia Street</v>
      </c>
      <c r="AD9" s="25" t="str">
        <f t="shared" ref="AD9:AD10" si="21">""</f>
        <v/>
      </c>
      <c r="AE9" s="25" t="str">
        <f>"Gordons Bay"</f>
        <v>Gordons Bay</v>
      </c>
      <c r="AF9" s="25" t="str">
        <f t="shared" ref="AF9:AF10" si="22">""</f>
        <v/>
      </c>
    </row>
    <row r="10" ht="12.75" customHeight="1">
      <c r="A10" s="17" t="str">
        <f>"SF38043"</f>
        <v>SF38043</v>
      </c>
      <c r="B10" s="18" t="s">
        <v>30</v>
      </c>
      <c r="C10" s="19" t="s">
        <v>31</v>
      </c>
      <c r="D10" s="20">
        <f>SUMIF(Weight!$C:$C,$A10,Weight!$H:$H)</f>
        <v>100.05</v>
      </c>
      <c r="E10" s="21" t="str">
        <f t="shared" si="2"/>
        <v>14 Brinkhuis Street , ,Sir Lowry's Pass</v>
      </c>
      <c r="F10" s="19" t="s">
        <v>31</v>
      </c>
      <c r="G10" s="17" t="str">
        <f t="shared" ref="G10:H10" si="18">"SGS Matrocast Laboratories (Pty) Ltd"</f>
        <v>SGS Matrocast Laboratories (Pty) Ltd</v>
      </c>
      <c r="H10" s="17" t="str">
        <f t="shared" si="18"/>
        <v>SGS Matrocast Laboratories (Pty) Ltd</v>
      </c>
      <c r="I10" s="17" t="str">
        <f t="shared" si="16"/>
        <v>0824666878</v>
      </c>
      <c r="J10" s="22" t="s">
        <v>32</v>
      </c>
      <c r="K10" s="22" t="s">
        <v>32</v>
      </c>
      <c r="L10" s="23" t="s">
        <v>33</v>
      </c>
      <c r="M10" s="22" t="s">
        <v>32</v>
      </c>
      <c r="N10" s="17" t="str">
        <f t="shared" si="19"/>
        <v>Helderberg - Monday Wednesday Friday</v>
      </c>
      <c r="O10" s="24" t="str">
        <f>""</f>
        <v/>
      </c>
      <c r="P10" s="24">
        <v>44894.0</v>
      </c>
      <c r="Q10" s="17" t="str">
        <f t="shared" si="5"/>
        <v>01</v>
      </c>
      <c r="R10" s="25" t="str">
        <f t="shared" si="17"/>
        <v>1</v>
      </c>
      <c r="S10" s="17" t="str">
        <f>"gregory.bell@sgs.com"</f>
        <v>gregory.bell@sgs.com</v>
      </c>
      <c r="T10" s="26">
        <f>SUMIF(Weight!$C:$C,$A10,Weight!$I:$I)</f>
        <v>0</v>
      </c>
      <c r="U10" s="27">
        <v>8138.9</v>
      </c>
      <c r="V10" s="17" t="str">
        <f t="shared" si="20"/>
        <v>A</v>
      </c>
      <c r="W10" s="17" t="str">
        <f t="shared" si="14"/>
        <v>SIMON</v>
      </c>
      <c r="X10" s="28" t="str">
        <f>"C31629"</f>
        <v>C31629</v>
      </c>
      <c r="Y10" s="28">
        <v>1.0</v>
      </c>
      <c r="Z10" s="28">
        <v>0.0</v>
      </c>
      <c r="AA10" s="28">
        <f t="shared" si="6"/>
        <v>8138.9</v>
      </c>
      <c r="AB10" s="29">
        <v>8138.9</v>
      </c>
      <c r="AC10" s="28" t="str">
        <f>"14 Brinkhuis Street"</f>
        <v>14 Brinkhuis Street</v>
      </c>
      <c r="AD10" s="25" t="str">
        <f t="shared" si="21"/>
        <v/>
      </c>
      <c r="AE10" s="25" t="str">
        <f>"Sir Lowry's Pass"</f>
        <v>Sir Lowry's Pass</v>
      </c>
      <c r="AF10" s="25" t="str">
        <f t="shared" si="22"/>
        <v/>
      </c>
    </row>
    <row r="11" ht="12.75" customHeight="1">
      <c r="A11" s="17" t="str">
        <f>"SF38070"</f>
        <v>SF38070</v>
      </c>
      <c r="B11" s="18" t="s">
        <v>30</v>
      </c>
      <c r="C11" s="19" t="s">
        <v>31</v>
      </c>
      <c r="D11" s="20">
        <f>SUMIF(Weight!$C:$C,$A11,Weight!$H:$H)</f>
        <v>79.9055</v>
      </c>
      <c r="E11" s="21" t="str">
        <f t="shared" si="2"/>
        <v>2 Oak Street ,Greyton ,</v>
      </c>
      <c r="F11" s="19" t="s">
        <v>31</v>
      </c>
      <c r="G11" s="17" t="str">
        <f t="shared" ref="G11:H11" si="23">"Heico Property Solutions"</f>
        <v>Heico Property Solutions</v>
      </c>
      <c r="H11" s="17" t="str">
        <f t="shared" si="23"/>
        <v>Heico Property Solutions</v>
      </c>
      <c r="I11" s="17" t="str">
        <f>"0832619108"</f>
        <v>0832619108</v>
      </c>
      <c r="J11" s="22" t="s">
        <v>32</v>
      </c>
      <c r="K11" s="22" t="s">
        <v>32</v>
      </c>
      <c r="L11" s="23" t="s">
        <v>33</v>
      </c>
      <c r="M11" s="22" t="s">
        <v>32</v>
      </c>
      <c r="N11" s="17" t="str">
        <f>"Overstrand - Monday Wednesday"</f>
        <v>Overstrand - Monday Wednesday</v>
      </c>
      <c r="O11" s="24">
        <v>44935.0</v>
      </c>
      <c r="P11" s="24">
        <v>44896.0</v>
      </c>
      <c r="Q11" s="17" t="str">
        <f t="shared" si="5"/>
        <v>01</v>
      </c>
      <c r="R11" s="25" t="str">
        <f>"OAK STREET"</f>
        <v>OAK STREET</v>
      </c>
      <c r="S11" s="17" t="str">
        <f>"heidi@heico.co.za"</f>
        <v>heidi@heico.co.za</v>
      </c>
      <c r="T11" s="26">
        <f>SUMIF(Weight!$C:$C,$A11,Weight!$I:$I)</f>
        <v>17.49</v>
      </c>
      <c r="U11" s="27">
        <v>17679.57</v>
      </c>
      <c r="V11" s="17" t="str">
        <f>"G"</f>
        <v>G</v>
      </c>
      <c r="W11" s="17" t="str">
        <f t="shared" ref="W11:W15" si="26">"DEREK"</f>
        <v>DEREK</v>
      </c>
      <c r="X11" s="28" t="str">
        <f>"C31708"</f>
        <v>C31708</v>
      </c>
      <c r="Y11" s="28">
        <v>1.0</v>
      </c>
      <c r="Z11" s="28">
        <v>-18051.63</v>
      </c>
      <c r="AA11" s="28">
        <f t="shared" si="6"/>
        <v>35335.72</v>
      </c>
      <c r="AB11" s="29">
        <v>53387.350000000006</v>
      </c>
      <c r="AC11" s="28" t="str">
        <f>"2 Oak Street"</f>
        <v>2 Oak Street</v>
      </c>
      <c r="AD11" s="25" t="str">
        <f>"Greyton"</f>
        <v>Greyton</v>
      </c>
      <c r="AE11" s="25" t="str">
        <f t="shared" ref="AE11:AF11" si="24">""</f>
        <v/>
      </c>
      <c r="AF11" s="25" t="str">
        <f t="shared" si="24"/>
        <v/>
      </c>
    </row>
    <row r="12" ht="12.75" customHeight="1">
      <c r="A12" s="17" t="str">
        <f>"SF38105"</f>
        <v>SF38105</v>
      </c>
      <c r="B12" s="18" t="s">
        <v>30</v>
      </c>
      <c r="C12" s="19" t="s">
        <v>31</v>
      </c>
      <c r="D12" s="20">
        <f>SUMIF(Weight!$C:$C,$A12,Weight!$H:$H)</f>
        <v>8.54</v>
      </c>
      <c r="E12" s="21" t="str">
        <f t="shared" si="2"/>
        <v>5 Diluta Drive ,SUNSET BEACH ,Milnerton</v>
      </c>
      <c r="F12" s="19" t="s">
        <v>31</v>
      </c>
      <c r="G12" s="17" t="str">
        <f t="shared" ref="G12:H12" si="25">"Mr Jeff King"</f>
        <v>Mr Jeff King</v>
      </c>
      <c r="H12" s="17" t="str">
        <f t="shared" si="25"/>
        <v>Mr Jeff King</v>
      </c>
      <c r="I12" s="17" t="str">
        <f>"0728756064"</f>
        <v>0728756064</v>
      </c>
      <c r="J12" s="22" t="s">
        <v>32</v>
      </c>
      <c r="K12" s="22" t="s">
        <v>32</v>
      </c>
      <c r="L12" s="23" t="s">
        <v>33</v>
      </c>
      <c r="M12" s="22" t="s">
        <v>32</v>
      </c>
      <c r="N12" s="17" t="str">
        <f>"West Coast - Tuesday Thursday"</f>
        <v>West Coast - Tuesday Thursday</v>
      </c>
      <c r="O12" s="24">
        <v>44901.0</v>
      </c>
      <c r="P12" s="24">
        <v>44896.0</v>
      </c>
      <c r="Q12" s="17" t="str">
        <f t="shared" si="5"/>
        <v>01</v>
      </c>
      <c r="R12" s="25" t="str">
        <f>"DILUTA DRI"</f>
        <v>DILUTA DRI</v>
      </c>
      <c r="S12" s="17" t="str">
        <f>"jeffking1982@gmail.com"</f>
        <v>jeffking1982@gmail.com</v>
      </c>
      <c r="T12" s="26">
        <f>SUMIF(Weight!$C:$C,$A12,Weight!$I:$I)</f>
        <v>51.24</v>
      </c>
      <c r="U12" s="27">
        <v>4268.94</v>
      </c>
      <c r="V12" s="17" t="str">
        <f>"I"</f>
        <v>I</v>
      </c>
      <c r="W12" s="17" t="str">
        <f t="shared" si="26"/>
        <v>DEREK</v>
      </c>
      <c r="X12" s="28" t="str">
        <f>"C11826"</f>
        <v>C11826</v>
      </c>
      <c r="Y12" s="28">
        <v>1.0</v>
      </c>
      <c r="Z12" s="28">
        <v>-4268.94</v>
      </c>
      <c r="AA12" s="28">
        <f t="shared" si="6"/>
        <v>0</v>
      </c>
      <c r="AB12" s="29">
        <v>22539.85</v>
      </c>
      <c r="AC12" s="28" t="str">
        <f>"5 Diluta Drive"</f>
        <v>5 Diluta Drive</v>
      </c>
      <c r="AD12" s="25" t="str">
        <f>"SUNSET BEACH"</f>
        <v>SUNSET BEACH</v>
      </c>
      <c r="AE12" s="25" t="str">
        <f>"Milnerton"</f>
        <v>Milnerton</v>
      </c>
      <c r="AF12" s="25" t="str">
        <f t="shared" ref="AF12:AF25" si="28">""</f>
        <v/>
      </c>
    </row>
    <row r="13" ht="12.75" customHeight="1">
      <c r="A13" s="17" t="str">
        <f>"SF38134"</f>
        <v>SF38134</v>
      </c>
      <c r="B13" s="18" t="s">
        <v>30</v>
      </c>
      <c r="C13" s="19" t="s">
        <v>31</v>
      </c>
      <c r="D13" s="20">
        <f>SUMIF(Weight!$C:$C,$A13,Weight!$H:$H)</f>
        <v>1.45</v>
      </c>
      <c r="E13" s="21" t="str">
        <f t="shared" si="2"/>
        <v>Sante Spa &amp; Wellness ,La Belle Vita Wine Estate ,Simonsvlei Rd, Paarl</v>
      </c>
      <c r="F13" s="19" t="s">
        <v>31</v>
      </c>
      <c r="G13" s="17" t="str">
        <f t="shared" ref="G13:H13" si="27">"BMH Projects"</f>
        <v>BMH Projects</v>
      </c>
      <c r="H13" s="17" t="str">
        <f t="shared" si="27"/>
        <v>BMH Projects</v>
      </c>
      <c r="I13" s="17" t="str">
        <f>"0606074040"</f>
        <v>0606074040</v>
      </c>
      <c r="J13" s="22" t="s">
        <v>32</v>
      </c>
      <c r="K13" s="22" t="s">
        <v>32</v>
      </c>
      <c r="L13" s="23" t="s">
        <v>33</v>
      </c>
      <c r="M13" s="22" t="s">
        <v>32</v>
      </c>
      <c r="N13" s="17" t="str">
        <f>"Stellenbosch - Tuesday Thursday"</f>
        <v>Stellenbosch - Tuesday Thursday</v>
      </c>
      <c r="O13" s="24" t="str">
        <f>""</f>
        <v/>
      </c>
      <c r="P13" s="24">
        <v>44897.0</v>
      </c>
      <c r="Q13" s="17" t="str">
        <f t="shared" si="5"/>
        <v>01</v>
      </c>
      <c r="R13" s="25" t="str">
        <f>"SANTE WELL"</f>
        <v>SANTE WELL</v>
      </c>
      <c r="S13" s="17" t="str">
        <f>"bmhjiggs@icloud.com"</f>
        <v>bmhjiggs@icloud.com</v>
      </c>
      <c r="T13" s="26">
        <f>SUMIF(Weight!$C:$C,$A13,Weight!$I:$I)</f>
        <v>0</v>
      </c>
      <c r="U13" s="27">
        <v>2641.67</v>
      </c>
      <c r="V13" s="17" t="str">
        <f>"B"</f>
        <v>B</v>
      </c>
      <c r="W13" s="17" t="str">
        <f t="shared" si="26"/>
        <v>DEREK</v>
      </c>
      <c r="X13" s="28" t="str">
        <f>"C28147"</f>
        <v>C28147</v>
      </c>
      <c r="Y13" s="28">
        <v>1.0</v>
      </c>
      <c r="Z13" s="28">
        <v>-123.78</v>
      </c>
      <c r="AA13" s="28">
        <f t="shared" si="6"/>
        <v>2517.89</v>
      </c>
      <c r="AB13" s="29">
        <v>2641.67</v>
      </c>
      <c r="AC13" s="28" t="str">
        <f>"Sante Spa &amp; Wellness"</f>
        <v>Sante Spa &amp; Wellness</v>
      </c>
      <c r="AD13" s="25" t="str">
        <f>"La Belle Vita Wine Estate"</f>
        <v>La Belle Vita Wine Estate</v>
      </c>
      <c r="AE13" s="25" t="str">
        <f>"Simonsvlei Rd, Paarl"</f>
        <v>Simonsvlei Rd, Paarl</v>
      </c>
      <c r="AF13" s="25" t="str">
        <f t="shared" si="28"/>
        <v/>
      </c>
    </row>
    <row r="14" ht="12.75" customHeight="1">
      <c r="A14" s="17" t="str">
        <f>"SF38310"</f>
        <v>SF38310</v>
      </c>
      <c r="B14" s="18" t="s">
        <v>30</v>
      </c>
      <c r="C14" s="19" t="s">
        <v>31</v>
      </c>
      <c r="D14" s="20">
        <f>SUMIF(Weight!$C:$C,$A14,Weight!$H:$H)</f>
        <v>60.36</v>
      </c>
      <c r="E14" s="21" t="str">
        <f t="shared" si="2"/>
        <v>Brackengate 2 Tiber Road ,(Bottelery/Cecil Morgan Drive ,Brackenfell</v>
      </c>
      <c r="F14" s="19" t="s">
        <v>31</v>
      </c>
      <c r="G14" s="17" t="str">
        <f t="shared" ref="G14:H14" si="29">"Brights Hardware (Pty) Ltd"</f>
        <v>Brights Hardware (Pty) Ltd</v>
      </c>
      <c r="H14" s="17" t="str">
        <f t="shared" si="29"/>
        <v>Brights Hardware (Pty) Ltd</v>
      </c>
      <c r="I14" s="17" t="str">
        <f>"0219448370"</f>
        <v>0219448370</v>
      </c>
      <c r="J14" s="22" t="s">
        <v>32</v>
      </c>
      <c r="K14" s="22" t="s">
        <v>32</v>
      </c>
      <c r="L14" s="23" t="s">
        <v>33</v>
      </c>
      <c r="M14" s="22" t="s">
        <v>32</v>
      </c>
      <c r="N14" s="17" t="str">
        <f>"Durbanville - Wednesday Friday "</f>
        <v>Durbanville - Wednesday Friday </v>
      </c>
      <c r="O14" s="24">
        <v>44932.0</v>
      </c>
      <c r="P14" s="24">
        <v>44900.0</v>
      </c>
      <c r="Q14" s="17" t="str">
        <f t="shared" si="5"/>
        <v>01</v>
      </c>
      <c r="R14" s="25" t="str">
        <f>"BRACK NO2"</f>
        <v>BRACK NO2</v>
      </c>
      <c r="S14" s="17" t="str">
        <f>"dominic@brights.co.za"</f>
        <v>dominic@brights.co.za</v>
      </c>
      <c r="T14" s="26">
        <f>SUMIF(Weight!$C:$C,$A14,Weight!$I:$I)</f>
        <v>0</v>
      </c>
      <c r="U14" s="27">
        <v>4598.01</v>
      </c>
      <c r="V14" s="17" t="str">
        <f>"D"</f>
        <v>D</v>
      </c>
      <c r="W14" s="17" t="str">
        <f t="shared" si="26"/>
        <v>DEREK</v>
      </c>
      <c r="X14" s="28" t="str">
        <f>"C00051"</f>
        <v>C00051</v>
      </c>
      <c r="Y14" s="28">
        <v>150001.0</v>
      </c>
      <c r="Z14" s="28">
        <v>11615.59</v>
      </c>
      <c r="AA14" s="28">
        <f t="shared" si="6"/>
        <v>166214.6</v>
      </c>
      <c r="AB14" s="29">
        <v>140073.9</v>
      </c>
      <c r="AC14" s="28" t="str">
        <f>"Brackengate 2 Tiber Road"</f>
        <v>Brackengate 2 Tiber Road</v>
      </c>
      <c r="AD14" s="25" t="str">
        <f>"(Bottelery/Cecil Morgan Drive"</f>
        <v>(Bottelery/Cecil Morgan Drive</v>
      </c>
      <c r="AE14" s="25" t="str">
        <f>"Brackenfell"</f>
        <v>Brackenfell</v>
      </c>
      <c r="AF14" s="25" t="str">
        <f t="shared" si="28"/>
        <v/>
      </c>
    </row>
    <row r="15" ht="12.75" customHeight="1">
      <c r="A15" s="17" t="str">
        <f>"SF38695"</f>
        <v>SF38695</v>
      </c>
      <c r="B15" s="18" t="s">
        <v>30</v>
      </c>
      <c r="C15" s="19" t="s">
        <v>31</v>
      </c>
      <c r="D15" s="20">
        <f>SUMIF(Weight!$C:$C,$A15,Weight!$H:$H)</f>
        <v>244.6615</v>
      </c>
      <c r="E15" s="21" t="str">
        <f t="shared" si="2"/>
        <v>266 Firland Meadow (Across Baldwin GreenBay flats entry) ,CNR Sir Lowry’s Pass Road &amp; Firlands Minor Road ,Gordons Bay</v>
      </c>
      <c r="F15" s="19" t="s">
        <v>31</v>
      </c>
      <c r="G15" s="17" t="str">
        <f t="shared" ref="G15:H15" si="30">"Paul Hendriks"</f>
        <v>Paul Hendriks</v>
      </c>
      <c r="H15" s="17" t="str">
        <f t="shared" si="30"/>
        <v>Paul Hendriks</v>
      </c>
      <c r="I15" s="17" t="str">
        <f>"0827789923"</f>
        <v>0827789923</v>
      </c>
      <c r="J15" s="22" t="s">
        <v>32</v>
      </c>
      <c r="K15" s="22" t="s">
        <v>32</v>
      </c>
      <c r="L15" s="23" t="s">
        <v>33</v>
      </c>
      <c r="M15" s="22" t="s">
        <v>32</v>
      </c>
      <c r="N15" s="17" t="str">
        <f>"Helderberg - Monday Wednesday Friday"</f>
        <v>Helderberg - Monday Wednesday Friday</v>
      </c>
      <c r="O15" s="24">
        <v>44904.0</v>
      </c>
      <c r="P15" s="24">
        <v>44897.0</v>
      </c>
      <c r="Q15" s="17" t="str">
        <f t="shared" si="5"/>
        <v>01</v>
      </c>
      <c r="R15" s="25" t="str">
        <f>"266 FIRLAN"</f>
        <v>266 FIRLAN</v>
      </c>
      <c r="S15" s="17" t="str">
        <f>"paul.hendriks@za.saabgroup.com"</f>
        <v>paul.hendriks@za.saabgroup.com</v>
      </c>
      <c r="T15" s="26">
        <f>SUMIF(Weight!$C:$C,$A15,Weight!$I:$I)</f>
        <v>4.08</v>
      </c>
      <c r="U15" s="27">
        <v>26003.429999999997</v>
      </c>
      <c r="V15" s="17" t="str">
        <f>"A"</f>
        <v>A</v>
      </c>
      <c r="W15" s="17" t="str">
        <f t="shared" si="26"/>
        <v>DEREK</v>
      </c>
      <c r="X15" s="28" t="str">
        <f>"C31698"</f>
        <v>C31698</v>
      </c>
      <c r="Y15" s="28">
        <v>1.0</v>
      </c>
      <c r="Z15" s="28">
        <v>-571.28</v>
      </c>
      <c r="AA15" s="28">
        <f t="shared" si="6"/>
        <v>25432.15</v>
      </c>
      <c r="AB15" s="29">
        <v>26003.429999999997</v>
      </c>
      <c r="AC15" s="28" t="str">
        <f>"266 Firland Meadow (Across Baldwin GreenBay flats entry)"</f>
        <v>266 Firland Meadow (Across Baldwin GreenBay flats entry)</v>
      </c>
      <c r="AD15" s="25" t="str">
        <f>"CNR Sir Lowry’s Pass Road &amp; Firlands Minor Road"</f>
        <v>CNR Sir Lowry’s Pass Road &amp; Firlands Minor Road</v>
      </c>
      <c r="AE15" s="25" t="str">
        <f>"Gordons Bay"</f>
        <v>Gordons Bay</v>
      </c>
      <c r="AF15" s="25" t="str">
        <f t="shared" si="28"/>
        <v/>
      </c>
    </row>
    <row r="16" ht="12.75" customHeight="1">
      <c r="A16" s="17" t="str">
        <f>"SF38838"</f>
        <v>SF38838</v>
      </c>
      <c r="B16" s="18" t="s">
        <v>30</v>
      </c>
      <c r="C16" s="19" t="s">
        <v>31</v>
      </c>
      <c r="D16" s="20">
        <f>SUMIF(Weight!$C:$C,$A16,Weight!$H:$H)</f>
        <v>31.26</v>
      </c>
      <c r="E16" s="21" t="str">
        <f t="shared" si="2"/>
        <v>Unit 2 No. 7 Foundry Road ,54 Foundry Road ,Salt River</v>
      </c>
      <c r="F16" s="19" t="s">
        <v>31</v>
      </c>
      <c r="G16" s="17" t="str">
        <f t="shared" ref="G16:H16" si="31">"Sihlalo Outreach"</f>
        <v>Sihlalo Outreach</v>
      </c>
      <c r="H16" s="17" t="str">
        <f t="shared" si="31"/>
        <v>Sihlalo Outreach</v>
      </c>
      <c r="I16" s="17" t="str">
        <f>"0713000210"</f>
        <v>0713000210</v>
      </c>
      <c r="J16" s="22" t="s">
        <v>32</v>
      </c>
      <c r="K16" s="22" t="s">
        <v>32</v>
      </c>
      <c r="L16" s="23" t="s">
        <v>33</v>
      </c>
      <c r="M16" s="22" t="s">
        <v>32</v>
      </c>
      <c r="N16" s="17" t="str">
        <f>"Cape Town CBD - Tuesday Thursday"</f>
        <v>Cape Town CBD - Tuesday Thursday</v>
      </c>
      <c r="O16" s="24" t="str">
        <f>""</f>
        <v/>
      </c>
      <c r="P16" s="24">
        <v>44902.0</v>
      </c>
      <c r="Q16" s="17" t="str">
        <f t="shared" si="5"/>
        <v>01</v>
      </c>
      <c r="R16" s="25" t="str">
        <f>"SALT RIVER"</f>
        <v>SALT RIVER</v>
      </c>
      <c r="S16" s="17" t="str">
        <f>"grant@leaskinc.co.za"</f>
        <v>grant@leaskinc.co.za</v>
      </c>
      <c r="T16" s="26">
        <f>SUMIF(Weight!$C:$C,$A16,Weight!$I:$I)</f>
        <v>62.52</v>
      </c>
      <c r="U16" s="27">
        <v>3449.56</v>
      </c>
      <c r="V16" s="17" t="str">
        <f>"H"</f>
        <v>H</v>
      </c>
      <c r="W16" s="17" t="str">
        <f t="shared" ref="W16:W17" si="33">"SIMON"</f>
        <v>SIMON</v>
      </c>
      <c r="X16" s="28" t="str">
        <f>"C17262"</f>
        <v>C17262</v>
      </c>
      <c r="Y16" s="28">
        <v>1.0</v>
      </c>
      <c r="Z16" s="28">
        <v>0.0</v>
      </c>
      <c r="AA16" s="28">
        <f t="shared" si="6"/>
        <v>3449.56</v>
      </c>
      <c r="AB16" s="29">
        <v>10715.89</v>
      </c>
      <c r="AC16" s="28" t="str">
        <f>"Unit 2 No. 7 Foundry Road"</f>
        <v>Unit 2 No. 7 Foundry Road</v>
      </c>
      <c r="AD16" s="25" t="str">
        <f>"54 Foundry Road"</f>
        <v>54 Foundry Road</v>
      </c>
      <c r="AE16" s="25" t="str">
        <f>"Salt River"</f>
        <v>Salt River</v>
      </c>
      <c r="AF16" s="25" t="str">
        <f t="shared" si="28"/>
        <v/>
      </c>
    </row>
    <row r="17" ht="12.75" customHeight="1">
      <c r="A17" s="17" t="str">
        <f>"SF38956"</f>
        <v>SF38956</v>
      </c>
      <c r="B17" s="18" t="s">
        <v>30</v>
      </c>
      <c r="C17" s="19" t="s">
        <v>31</v>
      </c>
      <c r="D17" s="20">
        <f>SUMIF(Weight!$C:$C,$A17,Weight!$H:$H)</f>
        <v>118.15</v>
      </c>
      <c r="E17" s="21" t="str">
        <f t="shared" si="2"/>
        <v>25 Elsenham Crescent ,Helena Heights ,Somerset West</v>
      </c>
      <c r="F17" s="19" t="s">
        <v>31</v>
      </c>
      <c r="G17" s="17" t="str">
        <f t="shared" ref="G17:H17" si="32">"Mr Michiel Meets"</f>
        <v>Mr Michiel Meets</v>
      </c>
      <c r="H17" s="17" t="str">
        <f t="shared" si="32"/>
        <v>Mr Michiel Meets</v>
      </c>
      <c r="I17" s="17" t="str">
        <f>"0824666878"</f>
        <v>0824666878</v>
      </c>
      <c r="J17" s="22" t="s">
        <v>32</v>
      </c>
      <c r="K17" s="22" t="s">
        <v>32</v>
      </c>
      <c r="L17" s="23" t="s">
        <v>33</v>
      </c>
      <c r="M17" s="22" t="s">
        <v>32</v>
      </c>
      <c r="N17" s="17" t="str">
        <f>"Helderberg - Monday Wednesday Friday"</f>
        <v>Helderberg - Monday Wednesday Friday</v>
      </c>
      <c r="O17" s="24">
        <v>44935.0</v>
      </c>
      <c r="P17" s="24">
        <v>44903.0</v>
      </c>
      <c r="Q17" s="17" t="str">
        <f t="shared" si="5"/>
        <v>01</v>
      </c>
      <c r="R17" s="25" t="str">
        <f>"1"</f>
        <v>1</v>
      </c>
      <c r="S17" s="17" t="str">
        <f>"michiel@coreteq.co.za"</f>
        <v>michiel@coreteq.co.za</v>
      </c>
      <c r="T17" s="26">
        <f>SUMIF(Weight!$C:$C,$A17,Weight!$I:$I)</f>
        <v>89.76</v>
      </c>
      <c r="U17" s="27">
        <v>5826.15</v>
      </c>
      <c r="V17" s="17" t="str">
        <f>"A"</f>
        <v>A</v>
      </c>
      <c r="W17" s="17" t="str">
        <f t="shared" si="33"/>
        <v>SIMON</v>
      </c>
      <c r="X17" s="28" t="str">
        <f>"C31743"</f>
        <v>C31743</v>
      </c>
      <c r="Y17" s="28">
        <v>1.0</v>
      </c>
      <c r="Z17" s="28">
        <v>-577.71</v>
      </c>
      <c r="AA17" s="28">
        <f t="shared" si="6"/>
        <v>5248.44</v>
      </c>
      <c r="AB17" s="29">
        <v>5826.15</v>
      </c>
      <c r="AC17" s="28" t="str">
        <f>"25 Elsenham Crescent"</f>
        <v>25 Elsenham Crescent</v>
      </c>
      <c r="AD17" s="25" t="str">
        <f>"Helena Heights"</f>
        <v>Helena Heights</v>
      </c>
      <c r="AE17" s="25" t="str">
        <f>"Somerset West"</f>
        <v>Somerset West</v>
      </c>
      <c r="AF17" s="25" t="str">
        <f t="shared" si="28"/>
        <v/>
      </c>
    </row>
    <row r="18" ht="12.75" customHeight="1">
      <c r="A18" s="17" t="str">
        <f>"SF38980"</f>
        <v>SF38980</v>
      </c>
      <c r="B18" s="18" t="s">
        <v>30</v>
      </c>
      <c r="C18" s="19" t="s">
        <v>31</v>
      </c>
      <c r="D18" s="20">
        <f>SUMIF(Weight!$C:$C,$A18,Weight!$H:$H)</f>
        <v>225.46</v>
      </c>
      <c r="E18" s="21" t="str">
        <f t="shared" si="2"/>
        <v>257 Broadlands Road , ,Strand</v>
      </c>
      <c r="F18" s="19" t="s">
        <v>31</v>
      </c>
      <c r="G18" s="17" t="str">
        <f>"Robert Sturmair"</f>
        <v>Robert Sturmair</v>
      </c>
      <c r="H18" s="17" t="str">
        <f>"Collected from Somerset Timbers"</f>
        <v>Collected from Somerset Timbers</v>
      </c>
      <c r="I18" s="17" t="str">
        <f>"0768657876"</f>
        <v>0768657876</v>
      </c>
      <c r="J18" s="22" t="s">
        <v>32</v>
      </c>
      <c r="K18" s="22" t="s">
        <v>32</v>
      </c>
      <c r="L18" s="23" t="s">
        <v>33</v>
      </c>
      <c r="M18" s="22" t="s">
        <v>32</v>
      </c>
      <c r="N18" s="17" t="str">
        <f>"Peninsula - Monday Thursday"</f>
        <v>Peninsula - Monday Thursday</v>
      </c>
      <c r="O18" s="24">
        <v>44949.0</v>
      </c>
      <c r="P18" s="24">
        <v>44901.0</v>
      </c>
      <c r="Q18" s="17" t="str">
        <f t="shared" si="5"/>
        <v>01</v>
      </c>
      <c r="R18" s="25" t="str">
        <f>"1COLLECT"</f>
        <v>1COLLECT</v>
      </c>
      <c r="S18" s="17" t="str">
        <f>"sturmairrobert@gmail.com"</f>
        <v>sturmairrobert@gmail.com</v>
      </c>
      <c r="T18" s="26">
        <f>SUMIF(Weight!$C:$C,$A18,Weight!$I:$I)</f>
        <v>652.78</v>
      </c>
      <c r="U18" s="27">
        <v>64589.53999999999</v>
      </c>
      <c r="V18" s="17" t="str">
        <f>"C"</f>
        <v>C</v>
      </c>
      <c r="W18" s="17" t="str">
        <f>"DEREK"</f>
        <v>DEREK</v>
      </c>
      <c r="X18" s="28" t="str">
        <f>"C28661"</f>
        <v>C28661</v>
      </c>
      <c r="Y18" s="28">
        <v>1.0</v>
      </c>
      <c r="Z18" s="28">
        <v>-19549.879999999997</v>
      </c>
      <c r="AA18" s="28">
        <f t="shared" si="6"/>
        <v>45039.66</v>
      </c>
      <c r="AB18" s="29">
        <v>129503.63999999998</v>
      </c>
      <c r="AC18" s="28" t="str">
        <f>"257 Broadlands Road"</f>
        <v>257 Broadlands Road</v>
      </c>
      <c r="AD18" s="25" t="str">
        <f t="shared" ref="AD18:AD19" si="35">""</f>
        <v/>
      </c>
      <c r="AE18" s="25" t="str">
        <f>"Strand"</f>
        <v>Strand</v>
      </c>
      <c r="AF18" s="25" t="str">
        <f t="shared" si="28"/>
        <v/>
      </c>
    </row>
    <row r="19" ht="12.75" customHeight="1">
      <c r="A19" s="17" t="str">
        <f>"SF39125"</f>
        <v>SF39125</v>
      </c>
      <c r="B19" s="18" t="s">
        <v>30</v>
      </c>
      <c r="C19" s="19" t="s">
        <v>31</v>
      </c>
      <c r="D19" s="20">
        <f>SUMIF(Weight!$C:$C,$A19,Weight!$H:$H)</f>
        <v>152.254</v>
      </c>
      <c r="E19" s="21" t="str">
        <f t="shared" si="2"/>
        <v>19 Shanklin Crescent , ,Camps Bay</v>
      </c>
      <c r="F19" s="19" t="s">
        <v>31</v>
      </c>
      <c r="G19" s="17" t="str">
        <f t="shared" ref="G19:H19" si="34">"Co-Creators Landscaping"</f>
        <v>Co-Creators Landscaping</v>
      </c>
      <c r="H19" s="17" t="str">
        <f t="shared" si="34"/>
        <v>Co-Creators Landscaping</v>
      </c>
      <c r="I19" s="17" t="str">
        <f>"0835563143"</f>
        <v>0835563143</v>
      </c>
      <c r="J19" s="22" t="s">
        <v>32</v>
      </c>
      <c r="K19" s="22" t="s">
        <v>32</v>
      </c>
      <c r="L19" s="23" t="s">
        <v>33</v>
      </c>
      <c r="M19" s="22" t="s">
        <v>32</v>
      </c>
      <c r="N19" s="17" t="str">
        <f>"Cape Town CBD - Tuesday Thursday"</f>
        <v>Cape Town CBD - Tuesday Thursday</v>
      </c>
      <c r="O19" s="24">
        <v>44943.0</v>
      </c>
      <c r="P19" s="24">
        <v>44903.0</v>
      </c>
      <c r="Q19" s="17" t="str">
        <f t="shared" si="5"/>
        <v>01</v>
      </c>
      <c r="R19" s="25" t="str">
        <f>"3"</f>
        <v>3</v>
      </c>
      <c r="S19" s="17" t="str">
        <f>"bruce@co-creators.co.za"</f>
        <v>bruce@co-creators.co.za</v>
      </c>
      <c r="T19" s="26">
        <f>SUMIF(Weight!$C:$C,$A19,Weight!$I:$I)</f>
        <v>0.052</v>
      </c>
      <c r="U19" s="27">
        <v>76263.15</v>
      </c>
      <c r="V19" s="17" t="str">
        <f>"H"</f>
        <v>H</v>
      </c>
      <c r="W19" s="17" t="str">
        <f>"SIMON"</f>
        <v>SIMON</v>
      </c>
      <c r="X19" s="28" t="str">
        <f>"C20861"</f>
        <v>C20861</v>
      </c>
      <c r="Y19" s="28">
        <v>1.0</v>
      </c>
      <c r="Z19" s="28">
        <v>-403.22999999999996</v>
      </c>
      <c r="AA19" s="28">
        <f t="shared" si="6"/>
        <v>75859.92</v>
      </c>
      <c r="AB19" s="29">
        <v>192349.56</v>
      </c>
      <c r="AC19" s="28" t="str">
        <f>"19 Shanklin Crescent"</f>
        <v>19 Shanklin Crescent</v>
      </c>
      <c r="AD19" s="25" t="str">
        <f t="shared" si="35"/>
        <v/>
      </c>
      <c r="AE19" s="25" t="str">
        <f>"Camps Bay"</f>
        <v>Camps Bay</v>
      </c>
      <c r="AF19" s="25" t="str">
        <f t="shared" si="28"/>
        <v/>
      </c>
    </row>
    <row r="20" ht="12.75" customHeight="1">
      <c r="A20" s="17" t="str">
        <f>"SF39521"</f>
        <v>SF39521</v>
      </c>
      <c r="B20" s="18" t="s">
        <v>30</v>
      </c>
      <c r="C20" s="19" t="s">
        <v>31</v>
      </c>
      <c r="D20" s="20">
        <f>SUMIF(Weight!$C:$C,$A20,Weight!$H:$H)</f>
        <v>31.19</v>
      </c>
      <c r="E20" s="21" t="str">
        <f t="shared" si="2"/>
        <v>144 De Villiers Str  ,Sandbaai ,Hermanus</v>
      </c>
      <c r="F20" s="19" t="s">
        <v>31</v>
      </c>
      <c r="G20" s="17" t="str">
        <f t="shared" ref="G20:H20" si="36">"RMJ Woodworks"</f>
        <v>RMJ Woodworks</v>
      </c>
      <c r="H20" s="17" t="str">
        <f t="shared" si="36"/>
        <v>RMJ Woodworks</v>
      </c>
      <c r="I20" s="17" t="str">
        <f>"0824666878"</f>
        <v>0824666878</v>
      </c>
      <c r="J20" s="22" t="s">
        <v>32</v>
      </c>
      <c r="K20" s="22" t="s">
        <v>32</v>
      </c>
      <c r="L20" s="23" t="s">
        <v>33</v>
      </c>
      <c r="M20" s="22" t="s">
        <v>32</v>
      </c>
      <c r="N20" s="17" t="str">
        <f>"Clarens Drive - Tuesday Friday"</f>
        <v>Clarens Drive - Tuesday Friday</v>
      </c>
      <c r="O20" s="24">
        <v>44932.0</v>
      </c>
      <c r="P20" s="24">
        <v>44907.0</v>
      </c>
      <c r="Q20" s="17" t="str">
        <f t="shared" si="5"/>
        <v>01</v>
      </c>
      <c r="R20" s="25" t="str">
        <f>"1"</f>
        <v>1</v>
      </c>
      <c r="S20" s="17" t="str">
        <f>"rmjswart@gmail.com"</f>
        <v>rmjswart@gmail.com</v>
      </c>
      <c r="T20" s="26">
        <f>SUMIF(Weight!$C:$C,$A20,Weight!$I:$I)</f>
        <v>100.3</v>
      </c>
      <c r="U20" s="27">
        <v>17939.21</v>
      </c>
      <c r="V20" s="17" t="str">
        <f>"F"</f>
        <v>F</v>
      </c>
      <c r="W20" s="17" t="str">
        <f>"DOUGLAS"</f>
        <v>DOUGLAS</v>
      </c>
      <c r="X20" s="28" t="str">
        <f>"C03931"</f>
        <v>C03931</v>
      </c>
      <c r="Y20" s="28">
        <v>1.0</v>
      </c>
      <c r="Z20" s="28">
        <v>-1998.86</v>
      </c>
      <c r="AA20" s="28">
        <f t="shared" si="6"/>
        <v>15940.35</v>
      </c>
      <c r="AB20" s="29">
        <v>17939.21</v>
      </c>
      <c r="AC20" s="28" t="str">
        <f>"144 De Villiers Str "</f>
        <v>144 De Villiers Str </v>
      </c>
      <c r="AD20" s="25" t="str">
        <f>"Sandbaai"</f>
        <v>Sandbaai</v>
      </c>
      <c r="AE20" s="25" t="str">
        <f>"Hermanus"</f>
        <v>Hermanus</v>
      </c>
      <c r="AF20" s="25" t="str">
        <f t="shared" si="28"/>
        <v/>
      </c>
    </row>
    <row r="21" ht="12.75" customHeight="1">
      <c r="A21" s="17" t="str">
        <f>"SF39538"</f>
        <v>SF39538</v>
      </c>
      <c r="B21" s="18" t="s">
        <v>30</v>
      </c>
      <c r="C21" s="19" t="s">
        <v>31</v>
      </c>
      <c r="D21" s="20">
        <f>SUMIF(Weight!$C:$C,$A21,Weight!$H:$H)</f>
        <v>2.21</v>
      </c>
      <c r="E21" s="21" t="str">
        <f t="shared" si="2"/>
        <v>20 San Lucia Road , ,Greyton</v>
      </c>
      <c r="F21" s="19" t="s">
        <v>31</v>
      </c>
      <c r="G21" s="17" t="str">
        <f>"Villiersdorp Ko-op Bpk"</f>
        <v>Villiersdorp Ko-op Bpk</v>
      </c>
      <c r="H21" s="17" t="str">
        <f>"Villiersdorp Ko-Op Greyton"</f>
        <v>Villiersdorp Ko-Op Greyton</v>
      </c>
      <c r="I21" s="17" t="str">
        <f>"0288401120"</f>
        <v>0288401120</v>
      </c>
      <c r="J21" s="22" t="s">
        <v>32</v>
      </c>
      <c r="K21" s="22" t="s">
        <v>32</v>
      </c>
      <c r="L21" s="23" t="s">
        <v>33</v>
      </c>
      <c r="M21" s="22" t="s">
        <v>32</v>
      </c>
      <c r="N21" s="17" t="str">
        <f>"Overstrand - Monday Wednesday"</f>
        <v>Overstrand - Monday Wednesday</v>
      </c>
      <c r="O21" s="24">
        <v>44935.0</v>
      </c>
      <c r="P21" s="24">
        <v>44907.0</v>
      </c>
      <c r="Q21" s="17" t="str">
        <f t="shared" si="5"/>
        <v>01</v>
      </c>
      <c r="R21" s="25" t="str">
        <f>"GREYTON"</f>
        <v>GREYTON</v>
      </c>
      <c r="S21" s="17" t="e">
        <v>#VALUE!</v>
      </c>
      <c r="T21" s="26">
        <f>SUMIF(Weight!$C:$C,$A21,Weight!$I:$I)</f>
        <v>442</v>
      </c>
      <c r="U21" s="27">
        <v>2507.4</v>
      </c>
      <c r="V21" s="17" t="str">
        <f>"G"</f>
        <v>G</v>
      </c>
      <c r="W21" s="17" t="str">
        <f>"EMILE"</f>
        <v>EMILE</v>
      </c>
      <c r="X21" s="28" t="str">
        <f>"C00388"</f>
        <v>C00388</v>
      </c>
      <c r="Y21" s="28">
        <v>500000.99999999994</v>
      </c>
      <c r="Z21" s="28">
        <v>106779.79</v>
      </c>
      <c r="AA21" s="28">
        <f t="shared" si="6"/>
        <v>627016.07</v>
      </c>
      <c r="AB21" s="29">
        <v>385950.69</v>
      </c>
      <c r="AC21" s="28" t="str">
        <f>"20 San Lucia Road"</f>
        <v>20 San Lucia Road</v>
      </c>
      <c r="AD21" s="25" t="str">
        <f>""</f>
        <v/>
      </c>
      <c r="AE21" s="25" t="str">
        <f>"Greyton"</f>
        <v>Greyton</v>
      </c>
      <c r="AF21" s="25" t="str">
        <f t="shared" si="28"/>
        <v/>
      </c>
    </row>
    <row r="22" ht="12.75" customHeight="1">
      <c r="A22" s="17" t="str">
        <f>"SF39559"</f>
        <v>SF39559</v>
      </c>
      <c r="B22" s="18" t="s">
        <v>30</v>
      </c>
      <c r="C22" s="19" t="s">
        <v>31</v>
      </c>
      <c r="D22" s="20">
        <f>SUMIF(Weight!$C:$C,$A22,Weight!$H:$H)</f>
        <v>10.86</v>
      </c>
      <c r="E22" s="21" t="str">
        <f t="shared" si="2"/>
        <v>De Zeven Lodge, Zevenrivier Rd ,Bangoek ,Stellenbosch</v>
      </c>
      <c r="F22" s="19" t="s">
        <v>31</v>
      </c>
      <c r="G22" s="17" t="str">
        <f t="shared" ref="G22:H22" si="37">"Zeven Eike"</f>
        <v>Zeven Eike</v>
      </c>
      <c r="H22" s="17" t="str">
        <f t="shared" si="37"/>
        <v>Zeven Eike</v>
      </c>
      <c r="I22" s="17" t="str">
        <f>"0834147374"</f>
        <v>0834147374</v>
      </c>
      <c r="J22" s="22" t="s">
        <v>32</v>
      </c>
      <c r="K22" s="22" t="s">
        <v>32</v>
      </c>
      <c r="L22" s="23" t="s">
        <v>33</v>
      </c>
      <c r="M22" s="22" t="s">
        <v>32</v>
      </c>
      <c r="N22" s="17" t="str">
        <f>"Stellenbosch - Tuesday Thursday"</f>
        <v>Stellenbosch - Tuesday Thursday</v>
      </c>
      <c r="O22" s="24" t="str">
        <f>""</f>
        <v/>
      </c>
      <c r="P22" s="24">
        <v>44907.0</v>
      </c>
      <c r="Q22" s="17" t="str">
        <f t="shared" si="5"/>
        <v>01</v>
      </c>
      <c r="R22" s="25" t="str">
        <f t="shared" ref="R22:R23" si="39">"2"</f>
        <v>2</v>
      </c>
      <c r="S22" s="17" t="e">
        <v>#VALUE!</v>
      </c>
      <c r="T22" s="26">
        <f>SUMIF(Weight!$C:$C,$A22,Weight!$I:$I)</f>
        <v>59.61</v>
      </c>
      <c r="U22" s="27">
        <v>2123.35</v>
      </c>
      <c r="V22" s="17" t="str">
        <f>"B"</f>
        <v>B</v>
      </c>
      <c r="W22" s="17" t="str">
        <f>"DOUGLAS"</f>
        <v>DOUGLAS</v>
      </c>
      <c r="X22" s="28" t="str">
        <f>"C31805"</f>
        <v>C31805</v>
      </c>
      <c r="Y22" s="28">
        <v>1.0</v>
      </c>
      <c r="Z22" s="28">
        <v>-3962.66</v>
      </c>
      <c r="AA22" s="28">
        <f t="shared" si="6"/>
        <v>20226.88</v>
      </c>
      <c r="AB22" s="29">
        <v>24189.539999999997</v>
      </c>
      <c r="AC22" s="28" t="str">
        <f>"De Zeven Lodge, Zevenrivier Rd"</f>
        <v>De Zeven Lodge, Zevenrivier Rd</v>
      </c>
      <c r="AD22" s="25" t="str">
        <f>"Bangoek"</f>
        <v>Bangoek</v>
      </c>
      <c r="AE22" s="25" t="str">
        <f>"Stellenbosch"</f>
        <v>Stellenbosch</v>
      </c>
      <c r="AF22" s="25" t="str">
        <f t="shared" si="28"/>
        <v/>
      </c>
    </row>
    <row r="23" ht="12.75" customHeight="1">
      <c r="A23" s="17" t="str">
        <f>"SF39633"</f>
        <v>SF39633</v>
      </c>
      <c r="B23" s="18" t="s">
        <v>30</v>
      </c>
      <c r="C23" s="19" t="s">
        <v>31</v>
      </c>
      <c r="D23" s="20">
        <f>SUMIF(Weight!$C:$C,$A23,Weight!$H:$H)</f>
        <v>265.694</v>
      </c>
      <c r="E23" s="21" t="str">
        <f t="shared" si="2"/>
        <v>3 Main Drive , ,Sea Point </v>
      </c>
      <c r="F23" s="19" t="s">
        <v>31</v>
      </c>
      <c r="G23" s="17" t="str">
        <f t="shared" ref="G23:H23" si="38">"Arnold Meiring Builders and Renovators  CC"</f>
        <v>Arnold Meiring Builders and Renovators  CC</v>
      </c>
      <c r="H23" s="17" t="str">
        <f t="shared" si="38"/>
        <v>Arnold Meiring Builders and Renovators  CC</v>
      </c>
      <c r="I23" s="17" t="str">
        <f>""</f>
        <v/>
      </c>
      <c r="J23" s="22" t="s">
        <v>32</v>
      </c>
      <c r="K23" s="22" t="s">
        <v>32</v>
      </c>
      <c r="L23" s="23" t="s">
        <v>33</v>
      </c>
      <c r="M23" s="22" t="s">
        <v>32</v>
      </c>
      <c r="N23" s="17" t="str">
        <f>"Cape Town CBD - Tuesday Thursday"</f>
        <v>Cape Town CBD - Tuesday Thursday</v>
      </c>
      <c r="O23" s="24">
        <v>44950.0</v>
      </c>
      <c r="P23" s="24">
        <v>44908.0</v>
      </c>
      <c r="Q23" s="17" t="str">
        <f t="shared" si="5"/>
        <v>01</v>
      </c>
      <c r="R23" s="25" t="str">
        <f t="shared" si="39"/>
        <v>2</v>
      </c>
      <c r="S23" s="17" t="str">
        <f>"contractadmin@amprojects.co.za"</f>
        <v>contractadmin@amprojects.co.za</v>
      </c>
      <c r="T23" s="26">
        <f>SUMIF(Weight!$C:$C,$A23,Weight!$I:$I)</f>
        <v>454.003</v>
      </c>
      <c r="U23" s="27">
        <v>33482.55</v>
      </c>
      <c r="V23" s="17" t="str">
        <f>"H"</f>
        <v>H</v>
      </c>
      <c r="W23" s="17" t="str">
        <f>"MERCIA"</f>
        <v>MERCIA</v>
      </c>
      <c r="X23" s="28" t="str">
        <f>"C31259"</f>
        <v>C31259</v>
      </c>
      <c r="Y23" s="28">
        <v>1.0</v>
      </c>
      <c r="Z23" s="28">
        <v>-33482.55</v>
      </c>
      <c r="AA23" s="28">
        <f t="shared" si="6"/>
        <v>0</v>
      </c>
      <c r="AB23" s="29">
        <v>33482.55</v>
      </c>
      <c r="AC23" s="28" t="str">
        <f>"3 Main Drive"</f>
        <v>3 Main Drive</v>
      </c>
      <c r="AD23" s="25" t="str">
        <f>""</f>
        <v/>
      </c>
      <c r="AE23" s="25" t="str">
        <f>"Sea Point "</f>
        <v>Sea Point </v>
      </c>
      <c r="AF23" s="25" t="str">
        <f t="shared" si="28"/>
        <v/>
      </c>
    </row>
    <row r="24" ht="12.75" customHeight="1">
      <c r="A24" s="17" t="str">
        <f>"SF40113"</f>
        <v>SF40113</v>
      </c>
      <c r="B24" s="18" t="s">
        <v>30</v>
      </c>
      <c r="C24" s="19" t="s">
        <v>31</v>
      </c>
      <c r="D24" s="20">
        <f>SUMIF(Weight!$C:$C,$A24,Weight!$H:$H)</f>
        <v>7.28</v>
      </c>
      <c r="E24" s="21" t="str">
        <f t="shared" si="2"/>
        <v>9 Malachite Avenue ,Chapmans Bay Estate ,Fish Hoek</v>
      </c>
      <c r="F24" s="19" t="s">
        <v>31</v>
      </c>
      <c r="G24" s="17" t="str">
        <f t="shared" ref="G24:H24" si="40">"Joshua Kilian"</f>
        <v>Joshua Kilian</v>
      </c>
      <c r="H24" s="17" t="str">
        <f t="shared" si="40"/>
        <v>Joshua Kilian</v>
      </c>
      <c r="I24" s="17" t="str">
        <f>"0793503026"</f>
        <v>0793503026</v>
      </c>
      <c r="J24" s="22" t="s">
        <v>32</v>
      </c>
      <c r="K24" s="22" t="s">
        <v>32</v>
      </c>
      <c r="L24" s="23" t="s">
        <v>33</v>
      </c>
      <c r="M24" s="22" t="s">
        <v>32</v>
      </c>
      <c r="N24" s="17" t="str">
        <f>"Peninsula - Monday Thursday"</f>
        <v>Peninsula - Monday Thursday</v>
      </c>
      <c r="O24" s="24">
        <v>44938.0</v>
      </c>
      <c r="P24" s="24">
        <v>44914.0</v>
      </c>
      <c r="Q24" s="17" t="str">
        <f t="shared" si="5"/>
        <v>01</v>
      </c>
      <c r="R24" s="25" t="str">
        <f>"01"</f>
        <v>01</v>
      </c>
      <c r="S24" s="17" t="str">
        <f>"josh@mason.co.za"</f>
        <v>josh@mason.co.za</v>
      </c>
      <c r="T24" s="26">
        <f>SUMIF(Weight!$C:$C,$A24,Weight!$I:$I)</f>
        <v>247.52</v>
      </c>
      <c r="U24" s="27">
        <v>16384.77</v>
      </c>
      <c r="V24" s="17" t="str">
        <f>"C"</f>
        <v>C</v>
      </c>
      <c r="W24" s="17" t="str">
        <f>"IAN"</f>
        <v>IAN</v>
      </c>
      <c r="X24" s="28" t="str">
        <f>"C31331"</f>
        <v>C31331</v>
      </c>
      <c r="Y24" s="28">
        <v>1.0</v>
      </c>
      <c r="Z24" s="28">
        <v>-32.37</v>
      </c>
      <c r="AA24" s="28">
        <f t="shared" si="6"/>
        <v>16352.4</v>
      </c>
      <c r="AB24" s="29">
        <v>16384.77</v>
      </c>
      <c r="AC24" s="28" t="str">
        <f>"9 Malachite Avenue"</f>
        <v>9 Malachite Avenue</v>
      </c>
      <c r="AD24" s="25" t="str">
        <f>"Chapmans Bay Estate"</f>
        <v>Chapmans Bay Estate</v>
      </c>
      <c r="AE24" s="25" t="str">
        <f>"Fish Hoek"</f>
        <v>Fish Hoek</v>
      </c>
      <c r="AF24" s="25" t="str">
        <f t="shared" si="28"/>
        <v/>
      </c>
    </row>
    <row r="25" ht="12.75" customHeight="1">
      <c r="A25" s="17" t="str">
        <f>"SF40605"</f>
        <v>SF40605</v>
      </c>
      <c r="B25" s="18" t="s">
        <v>30</v>
      </c>
      <c r="C25" s="19" t="s">
        <v>31</v>
      </c>
      <c r="D25" s="20">
        <f>SUMIF(Weight!$C:$C,$A25,Weight!$H:$H)</f>
        <v>37.5505</v>
      </c>
      <c r="E25" s="21" t="str">
        <f t="shared" si="2"/>
        <v>144 Station Road ,Kelderhof Country Estate ,Kelderhof</v>
      </c>
      <c r="F25" s="19" t="s">
        <v>31</v>
      </c>
      <c r="G25" s="17" t="str">
        <f t="shared" ref="G25:H25" si="41">"Chris Bornmann"</f>
        <v>Chris Bornmann</v>
      </c>
      <c r="H25" s="17" t="str">
        <f t="shared" si="41"/>
        <v>Chris Bornmann</v>
      </c>
      <c r="I25" s="17" t="str">
        <f>"0833004160"</f>
        <v>0833004160</v>
      </c>
      <c r="J25" s="22" t="s">
        <v>32</v>
      </c>
      <c r="K25" s="22" t="s">
        <v>32</v>
      </c>
      <c r="L25" s="23" t="s">
        <v>33</v>
      </c>
      <c r="M25" s="22" t="s">
        <v>32</v>
      </c>
      <c r="N25" s="17" t="str">
        <f t="shared" ref="N25:N26" si="43">"Helderberg - Monday Wednesday Friday"</f>
        <v>Helderberg - Monday Wednesday Friday</v>
      </c>
      <c r="O25" s="24">
        <v>44946.0</v>
      </c>
      <c r="P25" s="24">
        <v>44917.0</v>
      </c>
      <c r="Q25" s="17" t="str">
        <f t="shared" si="5"/>
        <v>01</v>
      </c>
      <c r="R25" s="25" t="str">
        <f>"STATION RO"</f>
        <v>STATION RO</v>
      </c>
      <c r="S25" s="17" t="str">
        <f>"chrisbornmann04@gmail.com"</f>
        <v>chrisbornmann04@gmail.com</v>
      </c>
      <c r="T25" s="26">
        <f>SUMIF(Weight!$C:$C,$A25,Weight!$I:$I)</f>
        <v>165.3905</v>
      </c>
      <c r="U25" s="27">
        <v>8872.01</v>
      </c>
      <c r="V25" s="17" t="str">
        <f t="shared" ref="V25:V26" si="44">"A"</f>
        <v>A</v>
      </c>
      <c r="W25" s="17" t="str">
        <f t="shared" ref="W25:W27" si="45">"DEREK"</f>
        <v>DEREK</v>
      </c>
      <c r="X25" s="28" t="str">
        <f>"C31858"</f>
        <v>C31858</v>
      </c>
      <c r="Y25" s="28">
        <v>1.0</v>
      </c>
      <c r="Z25" s="28">
        <v>0.0</v>
      </c>
      <c r="AA25" s="28">
        <f t="shared" si="6"/>
        <v>8872.01</v>
      </c>
      <c r="AB25" s="29">
        <v>18297.35</v>
      </c>
      <c r="AC25" s="28" t="str">
        <f>"144 Station Road"</f>
        <v>144 Station Road</v>
      </c>
      <c r="AD25" s="25" t="str">
        <f>"Kelderhof Country Estate"</f>
        <v>Kelderhof Country Estate</v>
      </c>
      <c r="AE25" s="25" t="str">
        <f>"Kelderhof"</f>
        <v>Kelderhof</v>
      </c>
      <c r="AF25" s="25" t="str">
        <f t="shared" si="28"/>
        <v/>
      </c>
    </row>
    <row r="26" ht="12.75" customHeight="1">
      <c r="A26" s="17" t="str">
        <f>"SG00002"</f>
        <v>SG00002</v>
      </c>
      <c r="B26" s="18" t="s">
        <v>30</v>
      </c>
      <c r="C26" s="19" t="s">
        <v>31</v>
      </c>
      <c r="D26" s="20">
        <f>SUMIF(Weight!$C:$C,$A26,Weight!$H:$H)</f>
        <v>64.916</v>
      </c>
      <c r="E26" s="21" t="str">
        <f t="shared" si="2"/>
        <v>34 Suikerbossie Drive ,Gordon's Bay ,</v>
      </c>
      <c r="F26" s="19" t="s">
        <v>31</v>
      </c>
      <c r="G26" s="17" t="str">
        <f t="shared" ref="G26:H26" si="42">"Bikini Beach Manor"</f>
        <v>Bikini Beach Manor</v>
      </c>
      <c r="H26" s="17" t="str">
        <f t="shared" si="42"/>
        <v>Bikini Beach Manor</v>
      </c>
      <c r="I26" s="17" t="str">
        <f>"0767808949"</f>
        <v>0767808949</v>
      </c>
      <c r="J26" s="22" t="s">
        <v>32</v>
      </c>
      <c r="K26" s="22" t="s">
        <v>32</v>
      </c>
      <c r="L26" s="23" t="s">
        <v>33</v>
      </c>
      <c r="M26" s="22" t="s">
        <v>32</v>
      </c>
      <c r="N26" s="17" t="str">
        <f t="shared" si="43"/>
        <v>Helderberg - Monday Wednesday Friday</v>
      </c>
      <c r="O26" s="24">
        <v>44932.0</v>
      </c>
      <c r="P26" s="24">
        <v>44930.0</v>
      </c>
      <c r="Q26" s="17" t="str">
        <f t="shared" si="5"/>
        <v>01</v>
      </c>
      <c r="R26" s="25" t="str">
        <f>"SUIKERBOSS"</f>
        <v>SUIKERBOSS</v>
      </c>
      <c r="S26" s="17" t="str">
        <f>"niallmongan@msn.com"</f>
        <v>niallmongan@msn.com</v>
      </c>
      <c r="T26" s="26">
        <f>SUMIF(Weight!$C:$C,$A26,Weight!$I:$I)</f>
        <v>33</v>
      </c>
      <c r="U26" s="27">
        <v>55307.78</v>
      </c>
      <c r="V26" s="17" t="str">
        <f t="shared" si="44"/>
        <v>A</v>
      </c>
      <c r="W26" s="17" t="str">
        <f t="shared" si="45"/>
        <v>DEREK</v>
      </c>
      <c r="X26" s="28" t="str">
        <f>"C13357"</f>
        <v>C13357</v>
      </c>
      <c r="Y26" s="28">
        <v>1.0</v>
      </c>
      <c r="Z26" s="28">
        <v>0.0</v>
      </c>
      <c r="AA26" s="28">
        <f t="shared" si="6"/>
        <v>55307.78</v>
      </c>
      <c r="AB26" s="29">
        <v>56110.869999999995</v>
      </c>
      <c r="AC26" s="28" t="str">
        <f>"34 Suikerbossie Drive"</f>
        <v>34 Suikerbossie Drive</v>
      </c>
      <c r="AD26" s="25" t="str">
        <f>"Gordon's Bay"</f>
        <v>Gordon's Bay</v>
      </c>
      <c r="AE26" s="25" t="str">
        <f t="shared" ref="AE26:AF26" si="46">""</f>
        <v/>
      </c>
      <c r="AF26" s="25" t="str">
        <f t="shared" si="46"/>
        <v/>
      </c>
    </row>
    <row r="27" ht="12.75" customHeight="1">
      <c r="A27" s="17" t="str">
        <f>"SG00230"</f>
        <v>SG00230</v>
      </c>
      <c r="B27" s="18" t="s">
        <v>30</v>
      </c>
      <c r="C27" s="19" t="s">
        <v>31</v>
      </c>
      <c r="D27" s="20">
        <f>SUMIF(Weight!$C:$C,$A27,Weight!$H:$H)</f>
        <v>124.16</v>
      </c>
      <c r="E27" s="21" t="str">
        <f t="shared" si="2"/>
        <v>14 Steenbok Street , ,Kleinbaai</v>
      </c>
      <c r="F27" s="19" t="s">
        <v>31</v>
      </c>
      <c r="G27" s="17" t="str">
        <f t="shared" ref="G27:H27" si="47">"Graham Kilbey"</f>
        <v>Graham Kilbey</v>
      </c>
      <c r="H27" s="17" t="str">
        <f t="shared" si="47"/>
        <v>Graham Kilbey</v>
      </c>
      <c r="I27" s="17" t="str">
        <f>"0834480418"</f>
        <v>0834480418</v>
      </c>
      <c r="J27" s="22" t="s">
        <v>32</v>
      </c>
      <c r="K27" s="22" t="s">
        <v>32</v>
      </c>
      <c r="L27" s="23" t="s">
        <v>33</v>
      </c>
      <c r="M27" s="22" t="s">
        <v>32</v>
      </c>
      <c r="N27" s="17" t="str">
        <f>"Clarens Drive - Tuesday Friday"</f>
        <v>Clarens Drive - Tuesday Friday</v>
      </c>
      <c r="O27" s="24">
        <v>44950.0</v>
      </c>
      <c r="P27" s="24">
        <v>44930.0</v>
      </c>
      <c r="Q27" s="17" t="str">
        <f t="shared" si="5"/>
        <v>01</v>
      </c>
      <c r="R27" s="25" t="str">
        <f>"14 STEENBO"</f>
        <v>14 STEENBO</v>
      </c>
      <c r="S27" s="17" t="str">
        <f>"grahamkilbey8@gmail.com"</f>
        <v>grahamkilbey8@gmail.com</v>
      </c>
      <c r="T27" s="26">
        <f>SUMIF(Weight!$C:$C,$A27,Weight!$I:$I)</f>
        <v>2057.6</v>
      </c>
      <c r="U27" s="27">
        <v>36463.88</v>
      </c>
      <c r="V27" s="17" t="str">
        <f>"F"</f>
        <v>F</v>
      </c>
      <c r="W27" s="17" t="str">
        <f t="shared" si="45"/>
        <v>DEREK</v>
      </c>
      <c r="X27" s="28" t="str">
        <f>"C31872"</f>
        <v>C31872</v>
      </c>
      <c r="Y27" s="28">
        <v>1.0</v>
      </c>
      <c r="Z27" s="28">
        <v>-36463.88</v>
      </c>
      <c r="AA27" s="28">
        <f t="shared" si="6"/>
        <v>0</v>
      </c>
      <c r="AB27" s="29">
        <v>36463.88</v>
      </c>
      <c r="AC27" s="28" t="str">
        <f>"14 Steenbok Street"</f>
        <v>14 Steenbok Street</v>
      </c>
      <c r="AD27" s="25" t="str">
        <f>""</f>
        <v/>
      </c>
      <c r="AE27" s="25" t="str">
        <f>"Kleinbaai"</f>
        <v>Kleinbaai</v>
      </c>
      <c r="AF27" s="25" t="str">
        <f t="shared" ref="AF27:AF28" si="49">""</f>
        <v/>
      </c>
    </row>
    <row r="28" ht="12.75" customHeight="1">
      <c r="A28" s="17" t="str">
        <f>"SG00448"</f>
        <v>SG00448</v>
      </c>
      <c r="B28" s="18" t="s">
        <v>30</v>
      </c>
      <c r="C28" s="19" t="s">
        <v>31</v>
      </c>
      <c r="D28" s="20">
        <f>SUMIF(Weight!$C:$C,$A28,Weight!$H:$H)</f>
        <v>32.1255</v>
      </c>
      <c r="E28" s="21" t="str">
        <f t="shared" si="2"/>
        <v>De Zeven Lodge, Zevenrivier Rd ,Bangoek ,Stellenbosch</v>
      </c>
      <c r="F28" s="19" t="s">
        <v>31</v>
      </c>
      <c r="G28" s="17" t="str">
        <f t="shared" ref="G28:H28" si="48">"Zeven Eike"</f>
        <v>Zeven Eike</v>
      </c>
      <c r="H28" s="17" t="str">
        <f t="shared" si="48"/>
        <v>Zeven Eike</v>
      </c>
      <c r="I28" s="17" t="str">
        <f>"0834147374"</f>
        <v>0834147374</v>
      </c>
      <c r="J28" s="22" t="s">
        <v>32</v>
      </c>
      <c r="K28" s="22" t="s">
        <v>32</v>
      </c>
      <c r="L28" s="23" t="s">
        <v>33</v>
      </c>
      <c r="M28" s="22" t="s">
        <v>32</v>
      </c>
      <c r="N28" s="17" t="str">
        <f>"Stellenbosch - Tuesday Thursday"</f>
        <v>Stellenbosch - Tuesday Thursday</v>
      </c>
      <c r="O28" s="24">
        <v>44938.0</v>
      </c>
      <c r="P28" s="24">
        <v>44935.0</v>
      </c>
      <c r="Q28" s="17" t="str">
        <f t="shared" si="5"/>
        <v>01</v>
      </c>
      <c r="R28" s="25" t="str">
        <f>"2"</f>
        <v>2</v>
      </c>
      <c r="S28" s="17" t="str">
        <f>"pieter@pbdesign.co.za"</f>
        <v>pieter@pbdesign.co.za</v>
      </c>
      <c r="T28" s="26">
        <f>SUMIF(Weight!$C:$C,$A28,Weight!$I:$I)</f>
        <v>7.973</v>
      </c>
      <c r="U28" s="27">
        <v>22066.19</v>
      </c>
      <c r="V28" s="17" t="str">
        <f>"B"</f>
        <v>B</v>
      </c>
      <c r="W28" s="17" t="str">
        <f>"SIMON"</f>
        <v>SIMON</v>
      </c>
      <c r="X28" s="28" t="str">
        <f>"C31805"</f>
        <v>C31805</v>
      </c>
      <c r="Y28" s="28">
        <v>1.0</v>
      </c>
      <c r="Z28" s="28">
        <v>-3962.66</v>
      </c>
      <c r="AA28" s="28">
        <f t="shared" si="6"/>
        <v>20226.88</v>
      </c>
      <c r="AB28" s="29">
        <v>24189.539999999997</v>
      </c>
      <c r="AC28" s="28" t="str">
        <f>"De Zeven Lodge, Zevenrivier Rd"</f>
        <v>De Zeven Lodge, Zevenrivier Rd</v>
      </c>
      <c r="AD28" s="25" t="str">
        <f>"Bangoek"</f>
        <v>Bangoek</v>
      </c>
      <c r="AE28" s="25" t="str">
        <f>"Stellenbosch"</f>
        <v>Stellenbosch</v>
      </c>
      <c r="AF28" s="25" t="str">
        <f t="shared" si="49"/>
        <v/>
      </c>
    </row>
    <row r="29" ht="12.75" customHeight="1">
      <c r="A29" s="17" t="str">
        <f>"SG00455"</f>
        <v>SG00455</v>
      </c>
      <c r="B29" s="18" t="s">
        <v>30</v>
      </c>
      <c r="C29" s="19" t="s">
        <v>31</v>
      </c>
      <c r="D29" s="20">
        <f>SUMIF(Weight!$C:$C,$A29,Weight!$H:$H)</f>
        <v>127.646</v>
      </c>
      <c r="E29" s="21" t="str">
        <f t="shared" si="2"/>
        <v>30 Whittlers Way, ,Hout Bay ,</v>
      </c>
      <c r="F29" s="19" t="s">
        <v>31</v>
      </c>
      <c r="G29" s="17" t="str">
        <f t="shared" ref="G29:H29" si="50">"Tanya Hutton"</f>
        <v>Tanya Hutton</v>
      </c>
      <c r="H29" s="17" t="str">
        <f t="shared" si="50"/>
        <v>Tanya Hutton</v>
      </c>
      <c r="I29" s="17" t="str">
        <f>"0715749942"</f>
        <v>0715749942</v>
      </c>
      <c r="J29" s="22" t="s">
        <v>32</v>
      </c>
      <c r="K29" s="22" t="s">
        <v>32</v>
      </c>
      <c r="L29" s="23" t="s">
        <v>33</v>
      </c>
      <c r="M29" s="22" t="s">
        <v>32</v>
      </c>
      <c r="N29" s="17" t="str">
        <f>"Hout Bay - Monday Wednesday"</f>
        <v>Hout Bay - Monday Wednesday</v>
      </c>
      <c r="O29" s="24">
        <v>44942.0</v>
      </c>
      <c r="P29" s="24">
        <v>44893.0</v>
      </c>
      <c r="Q29" s="17" t="str">
        <f t="shared" si="5"/>
        <v>01</v>
      </c>
      <c r="R29" s="25" t="str">
        <f>"30 WHITTLE"</f>
        <v>30 WHITTLE</v>
      </c>
      <c r="S29" s="17" t="str">
        <f>"tanya.hutton89@gmail.com"</f>
        <v>tanya.hutton89@gmail.com</v>
      </c>
      <c r="T29" s="26">
        <f>SUMIF(Weight!$C:$C,$A29,Weight!$I:$I)</f>
        <v>74.85</v>
      </c>
      <c r="U29" s="27">
        <v>48107.13</v>
      </c>
      <c r="V29" s="17" t="str">
        <f>"E"</f>
        <v>E</v>
      </c>
      <c r="W29" s="17" t="str">
        <f t="shared" ref="W29:W30" si="53">"DEREK"</f>
        <v>DEREK</v>
      </c>
      <c r="X29" s="28" t="str">
        <f>"C31617"</f>
        <v>C31617</v>
      </c>
      <c r="Y29" s="28">
        <v>1.0</v>
      </c>
      <c r="Z29" s="28">
        <v>-6685.56</v>
      </c>
      <c r="AA29" s="28">
        <f t="shared" si="6"/>
        <v>41421.57</v>
      </c>
      <c r="AB29" s="29">
        <v>48107.13</v>
      </c>
      <c r="AC29" s="28" t="str">
        <f>"30 Whittlers Way,"</f>
        <v>30 Whittlers Way,</v>
      </c>
      <c r="AD29" s="25" t="str">
        <f>"Hout Bay"</f>
        <v>Hout Bay</v>
      </c>
      <c r="AE29" s="25" t="str">
        <f t="shared" ref="AE29:AF29" si="51">""</f>
        <v/>
      </c>
      <c r="AF29" s="25" t="str">
        <f t="shared" si="51"/>
        <v/>
      </c>
    </row>
    <row r="30" ht="12.75" customHeight="1">
      <c r="A30" s="17" t="str">
        <f>"SG00708"</f>
        <v>SG00708</v>
      </c>
      <c r="B30" s="18" t="s">
        <v>30</v>
      </c>
      <c r="C30" s="19" t="s">
        <v>31</v>
      </c>
      <c r="D30" s="20">
        <f>SUMIF(Weight!$C:$C,$A30,Weight!$H:$H)</f>
        <v>74.633</v>
      </c>
      <c r="E30" s="21" t="str">
        <f t="shared" si="2"/>
        <v>9 Suni Crescent ,Goedemoed, Durbanville ,</v>
      </c>
      <c r="F30" s="19" t="s">
        <v>31</v>
      </c>
      <c r="G30" s="17" t="str">
        <f t="shared" ref="G30:H30" si="52">"Hylton Buntting"</f>
        <v>Hylton Buntting</v>
      </c>
      <c r="H30" s="17" t="str">
        <f t="shared" si="52"/>
        <v>Hylton Buntting</v>
      </c>
      <c r="I30" s="17" t="str">
        <f>"0826488302"</f>
        <v>0826488302</v>
      </c>
      <c r="J30" s="22" t="s">
        <v>32</v>
      </c>
      <c r="K30" s="22" t="s">
        <v>32</v>
      </c>
      <c r="L30" s="23" t="s">
        <v>33</v>
      </c>
      <c r="M30" s="22" t="s">
        <v>32</v>
      </c>
      <c r="N30" s="17" t="str">
        <f>"Durbanville - Wednesday Friday "</f>
        <v>Durbanville - Wednesday Friday </v>
      </c>
      <c r="O30" s="24">
        <v>44939.0</v>
      </c>
      <c r="P30" s="24">
        <v>44938.0</v>
      </c>
      <c r="Q30" s="17" t="str">
        <f t="shared" si="5"/>
        <v>01</v>
      </c>
      <c r="R30" s="25" t="str">
        <f>"9 SUNI CRE"</f>
        <v>9 SUNI CRE</v>
      </c>
      <c r="S30" s="17" t="str">
        <f>"h.buntting@gmail.com"</f>
        <v>h.buntting@gmail.com</v>
      </c>
      <c r="T30" s="26">
        <f>SUMIF(Weight!$C:$C,$A30,Weight!$I:$I)</f>
        <v>56.16</v>
      </c>
      <c r="U30" s="27">
        <v>13996.699999999999</v>
      </c>
      <c r="V30" s="17" t="str">
        <f>"D"</f>
        <v>D</v>
      </c>
      <c r="W30" s="17" t="str">
        <f t="shared" si="53"/>
        <v>DEREK</v>
      </c>
      <c r="X30" s="28" t="str">
        <f>"C28271"</f>
        <v>C28271</v>
      </c>
      <c r="Y30" s="28">
        <v>1.0</v>
      </c>
      <c r="Z30" s="28">
        <v>-658.3000000000001</v>
      </c>
      <c r="AA30" s="28">
        <f t="shared" si="6"/>
        <v>13338.4</v>
      </c>
      <c r="AB30" s="29">
        <v>13996.699999999999</v>
      </c>
      <c r="AC30" s="28" t="str">
        <f>"9 Suni Crescent"</f>
        <v>9 Suni Crescent</v>
      </c>
      <c r="AD30" s="25" t="str">
        <f>"Goedemoed, Durbanville"</f>
        <v>Goedemoed, Durbanville</v>
      </c>
      <c r="AE30" s="25" t="str">
        <f t="shared" ref="AE30:AF30" si="54">""</f>
        <v/>
      </c>
      <c r="AF30" s="25" t="str">
        <f t="shared" si="54"/>
        <v/>
      </c>
    </row>
    <row r="31" ht="12.75" customHeight="1">
      <c r="A31" s="17" t="str">
        <f>"SG00828"</f>
        <v>SG00828</v>
      </c>
      <c r="B31" s="18" t="s">
        <v>30</v>
      </c>
      <c r="C31" s="19" t="s">
        <v>31</v>
      </c>
      <c r="D31" s="20">
        <f>SUMIF(Weight!$C:$C,$A31,Weight!$H:$H)</f>
        <v>4.07</v>
      </c>
      <c r="E31" s="21" t="str">
        <f t="shared" si="2"/>
        <v>20 San Lucia Road , ,Greyton</v>
      </c>
      <c r="F31" s="19" t="s">
        <v>31</v>
      </c>
      <c r="G31" s="17" t="str">
        <f>"Villiersdorp Ko-op Bpk"</f>
        <v>Villiersdorp Ko-op Bpk</v>
      </c>
      <c r="H31" s="17" t="str">
        <f>"Villiersdorp Ko-Op Greyton"</f>
        <v>Villiersdorp Ko-Op Greyton</v>
      </c>
      <c r="I31" s="17" t="str">
        <f>"0288401120"</f>
        <v>0288401120</v>
      </c>
      <c r="J31" s="22" t="s">
        <v>32</v>
      </c>
      <c r="K31" s="22" t="s">
        <v>32</v>
      </c>
      <c r="L31" s="23" t="s">
        <v>33</v>
      </c>
      <c r="M31" s="22" t="s">
        <v>32</v>
      </c>
      <c r="N31" s="17" t="str">
        <f t="shared" ref="N31:N32" si="55">"Overstrand - Monday Wednesday"</f>
        <v>Overstrand - Monday Wednesday</v>
      </c>
      <c r="O31" s="24">
        <v>44949.0</v>
      </c>
      <c r="P31" s="24">
        <v>44938.0</v>
      </c>
      <c r="Q31" s="17" t="str">
        <f t="shared" si="5"/>
        <v>01</v>
      </c>
      <c r="R31" s="25" t="str">
        <f>"GREYTON"</f>
        <v>GREYTON</v>
      </c>
      <c r="S31" s="17" t="e">
        <v>#VALUE!</v>
      </c>
      <c r="T31" s="26">
        <f>SUMIF(Weight!$C:$C,$A31,Weight!$I:$I)</f>
        <v>1221</v>
      </c>
      <c r="U31" s="27">
        <v>8863.94</v>
      </c>
      <c r="V31" s="17" t="str">
        <f t="shared" ref="V31:V32" si="56">"G"</f>
        <v>G</v>
      </c>
      <c r="W31" s="17" t="str">
        <f>"EMILE"</f>
        <v>EMILE</v>
      </c>
      <c r="X31" s="28" t="str">
        <f>"C00388"</f>
        <v>C00388</v>
      </c>
      <c r="Y31" s="28">
        <v>500000.99999999994</v>
      </c>
      <c r="Z31" s="28">
        <v>106779.79</v>
      </c>
      <c r="AA31" s="28">
        <f t="shared" si="6"/>
        <v>627016.07</v>
      </c>
      <c r="AB31" s="29">
        <v>385950.69</v>
      </c>
      <c r="AC31" s="28" t="str">
        <f>"20 San Lucia Road"</f>
        <v>20 San Lucia Road</v>
      </c>
      <c r="AD31" s="25" t="str">
        <f t="shared" ref="AD31:AD32" si="57">""</f>
        <v/>
      </c>
      <c r="AE31" s="25" t="str">
        <f>"Greyton"</f>
        <v>Greyton</v>
      </c>
      <c r="AF31" s="25" t="str">
        <f t="shared" ref="AF31:AF32" si="58">""</f>
        <v/>
      </c>
    </row>
    <row r="32" ht="12.75" customHeight="1">
      <c r="A32" s="17" t="str">
        <f>"SG00984"</f>
        <v>SG00984</v>
      </c>
      <c r="B32" s="18" t="s">
        <v>30</v>
      </c>
      <c r="C32" s="19" t="s">
        <v>31</v>
      </c>
      <c r="D32" s="20">
        <f>SUMIF(Weight!$C:$C,$A32,Weight!$H:$H)</f>
        <v>2.73</v>
      </c>
      <c r="E32" s="21" t="str">
        <f t="shared" si="2"/>
        <v>257 Broadlands Road , ,Strand</v>
      </c>
      <c r="F32" s="19" t="s">
        <v>31</v>
      </c>
      <c r="G32" s="17" t="str">
        <f>"Heico Property Solutions"</f>
        <v>Heico Property Solutions</v>
      </c>
      <c r="H32" s="17" t="str">
        <f>"Collected from Somerset Timbers"</f>
        <v>Collected from Somerset Timbers</v>
      </c>
      <c r="I32" s="17" t="str">
        <f>"0832619108"</f>
        <v>0832619108</v>
      </c>
      <c r="J32" s="22" t="s">
        <v>32</v>
      </c>
      <c r="K32" s="22" t="s">
        <v>32</v>
      </c>
      <c r="L32" s="23" t="s">
        <v>33</v>
      </c>
      <c r="M32" s="22" t="s">
        <v>32</v>
      </c>
      <c r="N32" s="17" t="str">
        <f t="shared" si="55"/>
        <v>Overstrand - Monday Wednesday</v>
      </c>
      <c r="O32" s="24">
        <v>44958.0</v>
      </c>
      <c r="P32" s="24">
        <v>44930.0</v>
      </c>
      <c r="Q32" s="17" t="str">
        <f t="shared" si="5"/>
        <v>01</v>
      </c>
      <c r="R32" s="25" t="str">
        <f>"1COLLECT"</f>
        <v>1COLLECT</v>
      </c>
      <c r="S32" s="17" t="str">
        <f>"heidi@heico.co.za"</f>
        <v>heidi@heico.co.za</v>
      </c>
      <c r="T32" s="26">
        <f>SUMIF(Weight!$C:$C,$A32,Weight!$I:$I)</f>
        <v>791.7</v>
      </c>
      <c r="U32" s="27">
        <v>35707.78</v>
      </c>
      <c r="V32" s="17" t="str">
        <f t="shared" si="56"/>
        <v>G</v>
      </c>
      <c r="W32" s="17" t="str">
        <f t="shared" ref="W32:W34" si="60">"DEREK"</f>
        <v>DEREK</v>
      </c>
      <c r="X32" s="28" t="str">
        <f>"C31708"</f>
        <v>C31708</v>
      </c>
      <c r="Y32" s="28">
        <v>1.0</v>
      </c>
      <c r="Z32" s="28">
        <v>-18051.63</v>
      </c>
      <c r="AA32" s="28">
        <f t="shared" si="6"/>
        <v>35335.72</v>
      </c>
      <c r="AB32" s="29">
        <v>53387.350000000006</v>
      </c>
      <c r="AC32" s="28" t="str">
        <f>"257 Broadlands Road"</f>
        <v>257 Broadlands Road</v>
      </c>
      <c r="AD32" s="25" t="str">
        <f t="shared" si="57"/>
        <v/>
      </c>
      <c r="AE32" s="25" t="str">
        <f>"Strand"</f>
        <v>Strand</v>
      </c>
      <c r="AF32" s="25" t="str">
        <f t="shared" si="58"/>
        <v/>
      </c>
    </row>
    <row r="33" ht="12.75" customHeight="1">
      <c r="A33" s="17" t="str">
        <f>"SG00985"</f>
        <v>SG00985</v>
      </c>
      <c r="B33" s="18" t="s">
        <v>30</v>
      </c>
      <c r="C33" s="19" t="s">
        <v>31</v>
      </c>
      <c r="D33" s="20">
        <f>SUMIF(Weight!$C:$C,$A33,Weight!$H:$H)</f>
        <v>35.46</v>
      </c>
      <c r="E33" s="21" t="str">
        <f t="shared" si="2"/>
        <v>8 Cedarwood Estate, Cedarwood Street ,Durbanville ,</v>
      </c>
      <c r="F33" s="19" t="s">
        <v>31</v>
      </c>
      <c r="G33" s="17" t="str">
        <f t="shared" ref="G33:H33" si="59">"Mr Shaun Meyer"</f>
        <v>Mr Shaun Meyer</v>
      </c>
      <c r="H33" s="17" t="str">
        <f t="shared" si="59"/>
        <v>Mr Shaun Meyer</v>
      </c>
      <c r="I33" s="17" t="str">
        <f>"0832333133"</f>
        <v>0832333133</v>
      </c>
      <c r="J33" s="22" t="s">
        <v>32</v>
      </c>
      <c r="K33" s="22" t="s">
        <v>32</v>
      </c>
      <c r="L33" s="23" t="s">
        <v>33</v>
      </c>
      <c r="M33" s="22" t="s">
        <v>32</v>
      </c>
      <c r="N33" s="17" t="str">
        <f>"Durbanville - Wednesday Friday "</f>
        <v>Durbanville - Wednesday Friday </v>
      </c>
      <c r="O33" s="24">
        <v>44946.0</v>
      </c>
      <c r="P33" s="24">
        <v>44935.0</v>
      </c>
      <c r="Q33" s="17" t="str">
        <f t="shared" si="5"/>
        <v>01</v>
      </c>
      <c r="R33" s="25" t="str">
        <f>"CEDARWOOD"</f>
        <v>CEDARWOOD</v>
      </c>
      <c r="S33" s="17" t="str">
        <f>"SCMeyer@distell.co.za"</f>
        <v>SCMeyer@distell.co.za</v>
      </c>
      <c r="T33" s="26">
        <f>SUMIF(Weight!$C:$C,$A33,Weight!$I:$I)</f>
        <v>342.23</v>
      </c>
      <c r="U33" s="27">
        <v>11201.03</v>
      </c>
      <c r="V33" s="17" t="str">
        <f>"D"</f>
        <v>D</v>
      </c>
      <c r="W33" s="17" t="str">
        <f t="shared" si="60"/>
        <v>DEREK</v>
      </c>
      <c r="X33" s="28" t="str">
        <f>"C16019"</f>
        <v>C16019</v>
      </c>
      <c r="Y33" s="28">
        <v>1.0</v>
      </c>
      <c r="Z33" s="28">
        <v>-11201.03</v>
      </c>
      <c r="AA33" s="28">
        <f t="shared" si="6"/>
        <v>0</v>
      </c>
      <c r="AB33" s="29">
        <v>11201.03</v>
      </c>
      <c r="AC33" s="28" t="str">
        <f>"8 Cedarwood Estate, Cedarwood Street"</f>
        <v>8 Cedarwood Estate, Cedarwood Street</v>
      </c>
      <c r="AD33" s="25" t="str">
        <f>"Durbanville"</f>
        <v>Durbanville</v>
      </c>
      <c r="AE33" s="25" t="str">
        <f t="shared" ref="AE33:AF33" si="61">""</f>
        <v/>
      </c>
      <c r="AF33" s="25" t="str">
        <f t="shared" si="61"/>
        <v/>
      </c>
    </row>
    <row r="34" ht="12.75" customHeight="1">
      <c r="A34" s="17" t="str">
        <f>"SG01029"</f>
        <v>SG01029</v>
      </c>
      <c r="B34" s="18" t="s">
        <v>30</v>
      </c>
      <c r="C34" s="19" t="s">
        <v>31</v>
      </c>
      <c r="D34" s="20">
        <f>SUMIF(Weight!$C:$C,$A34,Weight!$H:$H)</f>
        <v>8.55</v>
      </c>
      <c r="E34" s="21" t="str">
        <f t="shared" si="2"/>
        <v>Unit 84 Forest Glade ,104 Tokai Road ,Tokai</v>
      </c>
      <c r="F34" s="19" t="s">
        <v>31</v>
      </c>
      <c r="G34" s="17" t="str">
        <f t="shared" ref="G34:H34" si="62">"LEON BEZUIDENHOUT"</f>
        <v>LEON BEZUIDENHOUT</v>
      </c>
      <c r="H34" s="17" t="str">
        <f t="shared" si="62"/>
        <v>LEON BEZUIDENHOUT</v>
      </c>
      <c r="I34" s="17" t="str">
        <f>"0827796186"</f>
        <v>0827796186</v>
      </c>
      <c r="J34" s="22" t="s">
        <v>32</v>
      </c>
      <c r="K34" s="22" t="s">
        <v>32</v>
      </c>
      <c r="L34" s="23" t="s">
        <v>33</v>
      </c>
      <c r="M34" s="22" t="s">
        <v>32</v>
      </c>
      <c r="N34" s="17" t="str">
        <f>"Peninsula - Monday Thursday"</f>
        <v>Peninsula - Monday Thursday</v>
      </c>
      <c r="O34" s="24">
        <v>44945.0</v>
      </c>
      <c r="P34" s="24">
        <v>44942.0</v>
      </c>
      <c r="Q34" s="17" t="str">
        <f t="shared" si="5"/>
        <v>01</v>
      </c>
      <c r="R34" s="25" t="str">
        <f>"TOKAI ROAD"</f>
        <v>TOKAI ROAD</v>
      </c>
      <c r="S34" s="17" t="str">
        <f>"ljbezuidenhout@gmail.com"</f>
        <v>ljbezuidenhout@gmail.com</v>
      </c>
      <c r="T34" s="26">
        <f>SUMIF(Weight!$C:$C,$A34,Weight!$I:$I)</f>
        <v>68.4</v>
      </c>
      <c r="U34" s="27">
        <v>845.37</v>
      </c>
      <c r="V34" s="17" t="str">
        <f>"C"</f>
        <v>C</v>
      </c>
      <c r="W34" s="17" t="str">
        <f t="shared" si="60"/>
        <v>DEREK</v>
      </c>
      <c r="X34" s="28" t="str">
        <f>"C31876"</f>
        <v>C31876</v>
      </c>
      <c r="Y34" s="28">
        <v>1.0</v>
      </c>
      <c r="Z34" s="28">
        <v>-845.37</v>
      </c>
      <c r="AA34" s="28">
        <f t="shared" si="6"/>
        <v>0</v>
      </c>
      <c r="AB34" s="29">
        <v>845.37</v>
      </c>
      <c r="AC34" s="28" t="str">
        <f>"Unit 84 Forest Glade"</f>
        <v>Unit 84 Forest Glade</v>
      </c>
      <c r="AD34" s="25" t="str">
        <f>"104 Tokai Road"</f>
        <v>104 Tokai Road</v>
      </c>
      <c r="AE34" s="25" t="str">
        <f>"Tokai"</f>
        <v>Tokai</v>
      </c>
      <c r="AF34" s="25" t="str">
        <f t="shared" ref="AF34:AF39" si="64">""</f>
        <v/>
      </c>
    </row>
    <row r="35" ht="12.75" customHeight="1">
      <c r="A35" s="17" t="str">
        <f>"SG01060"</f>
        <v>SG01060</v>
      </c>
      <c r="B35" s="18" t="s">
        <v>30</v>
      </c>
      <c r="C35" s="19" t="s">
        <v>31</v>
      </c>
      <c r="D35" s="20">
        <f>SUMIF(Weight!$C:$C,$A35,Weight!$H:$H)</f>
        <v>9.516</v>
      </c>
      <c r="E35" s="21" t="str">
        <f t="shared" si="2"/>
        <v>11 Broad Oaks Close ,Off Dummer Street ,Somerset West</v>
      </c>
      <c r="F35" s="19" t="s">
        <v>31</v>
      </c>
      <c r="G35" s="17" t="str">
        <f t="shared" ref="G35:H35" si="63">"Temba Travel"</f>
        <v>Temba Travel</v>
      </c>
      <c r="H35" s="17" t="str">
        <f t="shared" si="63"/>
        <v>Temba Travel</v>
      </c>
      <c r="I35" s="17" t="str">
        <f>"0218550395"</f>
        <v>0218550395</v>
      </c>
      <c r="J35" s="22" t="s">
        <v>32</v>
      </c>
      <c r="K35" s="22" t="s">
        <v>32</v>
      </c>
      <c r="L35" s="23" t="s">
        <v>33</v>
      </c>
      <c r="M35" s="22" t="s">
        <v>32</v>
      </c>
      <c r="N35" s="17" t="str">
        <f>"Helderberg - Monday Wednesday Friday"</f>
        <v>Helderberg - Monday Wednesday Friday</v>
      </c>
      <c r="O35" s="24">
        <v>44946.0</v>
      </c>
      <c r="P35" s="24">
        <v>44942.0</v>
      </c>
      <c r="Q35" s="17" t="str">
        <f t="shared" si="5"/>
        <v>01</v>
      </c>
      <c r="R35" s="25" t="str">
        <f>"BROADOAKS"</f>
        <v>BROADOAKS</v>
      </c>
      <c r="S35" s="17" t="str">
        <f>"johan@temba.co.za"</f>
        <v>johan@temba.co.za</v>
      </c>
      <c r="T35" s="26">
        <f>SUMIF(Weight!$C:$C,$A35,Weight!$I:$I)</f>
        <v>110.632</v>
      </c>
      <c r="U35" s="27">
        <v>4067.91</v>
      </c>
      <c r="V35" s="17" t="str">
        <f>"A"</f>
        <v>A</v>
      </c>
      <c r="W35" s="17" t="str">
        <f>"EMILE"</f>
        <v>EMILE</v>
      </c>
      <c r="X35" s="28" t="str">
        <f>"C29801"</f>
        <v>C29801</v>
      </c>
      <c r="Y35" s="28">
        <v>1.0</v>
      </c>
      <c r="Z35" s="28">
        <v>-4067.91</v>
      </c>
      <c r="AA35" s="28">
        <f t="shared" si="6"/>
        <v>0</v>
      </c>
      <c r="AB35" s="29">
        <v>4067.91</v>
      </c>
      <c r="AC35" s="28" t="str">
        <f>"11 Broad Oaks Close"</f>
        <v>11 Broad Oaks Close</v>
      </c>
      <c r="AD35" s="25" t="str">
        <f>"Off Dummer Street"</f>
        <v>Off Dummer Street</v>
      </c>
      <c r="AE35" s="25" t="str">
        <f>"Somerset West"</f>
        <v>Somerset West</v>
      </c>
      <c r="AF35" s="25" t="str">
        <f t="shared" si="64"/>
        <v/>
      </c>
    </row>
    <row r="36" ht="12.75" customHeight="1">
      <c r="A36" s="17" t="str">
        <f>"SG01064"</f>
        <v>SG01064</v>
      </c>
      <c r="B36" s="18" t="s">
        <v>30</v>
      </c>
      <c r="C36" s="19" t="s">
        <v>31</v>
      </c>
      <c r="D36" s="20">
        <f>SUMIF(Weight!$C:$C,$A36,Weight!$H:$H)</f>
        <v>140.35</v>
      </c>
      <c r="E36" s="21" t="str">
        <f t="shared" si="2"/>
        <v>2 Appeldoorn Road ,Westlake ,Cape Town</v>
      </c>
      <c r="F36" s="19" t="s">
        <v>31</v>
      </c>
      <c r="G36" s="17" t="str">
        <f t="shared" ref="G36:H36" si="65">"Umdla Civils"</f>
        <v>Umdla Civils</v>
      </c>
      <c r="H36" s="17" t="str">
        <f t="shared" si="65"/>
        <v>Umdla Civils</v>
      </c>
      <c r="I36" s="17" t="str">
        <f t="shared" ref="I36:I38" si="67">"0219057338"</f>
        <v>0219057338</v>
      </c>
      <c r="J36" s="22" t="s">
        <v>32</v>
      </c>
      <c r="K36" s="22" t="s">
        <v>32</v>
      </c>
      <c r="L36" s="23" t="s">
        <v>33</v>
      </c>
      <c r="M36" s="22" t="s">
        <v>32</v>
      </c>
      <c r="N36" s="17" t="str">
        <f t="shared" ref="N36:N38" si="68">"Peninsula - Monday Thursday"</f>
        <v>Peninsula - Monday Thursday</v>
      </c>
      <c r="O36" s="24">
        <v>44945.0</v>
      </c>
      <c r="P36" s="24">
        <v>44942.0</v>
      </c>
      <c r="Q36" s="17" t="str">
        <f t="shared" si="5"/>
        <v>01</v>
      </c>
      <c r="R36" s="25" t="str">
        <f t="shared" ref="R36:R38" si="69">"2 APPELDOO"</f>
        <v>2 APPELDOO</v>
      </c>
      <c r="S36" s="17" t="str">
        <f t="shared" ref="S36:S38" si="70">"accounts@umdla.co.za"</f>
        <v>accounts@umdla.co.za</v>
      </c>
      <c r="T36" s="26">
        <f>SUMIF(Weight!$C:$C,$A36,Weight!$I:$I)</f>
        <v>3641.35</v>
      </c>
      <c r="U36" s="27">
        <v>54742.15</v>
      </c>
      <c r="V36" s="17" t="str">
        <f t="shared" ref="V36:V38" si="71">"C"</f>
        <v>C</v>
      </c>
      <c r="W36" s="17" t="str">
        <f t="shared" ref="W36:W38" si="72">"DEREK"</f>
        <v>DEREK</v>
      </c>
      <c r="X36" s="28" t="str">
        <f t="shared" ref="X36:X38" si="73">"C04353"</f>
        <v>C04353</v>
      </c>
      <c r="Y36" s="28">
        <v>1.0</v>
      </c>
      <c r="Z36" s="28">
        <v>-73156.53</v>
      </c>
      <c r="AA36" s="28">
        <f t="shared" si="6"/>
        <v>0</v>
      </c>
      <c r="AB36" s="29">
        <v>73156.53</v>
      </c>
      <c r="AC36" s="28" t="str">
        <f t="shared" ref="AC36:AC38" si="74">"2 Appeldoorn Road"</f>
        <v>2 Appeldoorn Road</v>
      </c>
      <c r="AD36" s="25" t="str">
        <f t="shared" ref="AD36:AD38" si="75">"Westlake"</f>
        <v>Westlake</v>
      </c>
      <c r="AE36" s="25" t="str">
        <f t="shared" ref="AE36:AE38" si="76">"Cape Town"</f>
        <v>Cape Town</v>
      </c>
      <c r="AF36" s="25" t="str">
        <f t="shared" si="64"/>
        <v/>
      </c>
    </row>
    <row r="37" ht="12.75" customHeight="1">
      <c r="A37" s="17" t="str">
        <f>"SG01070"</f>
        <v>SG01070</v>
      </c>
      <c r="B37" s="18" t="s">
        <v>30</v>
      </c>
      <c r="C37" s="19" t="s">
        <v>31</v>
      </c>
      <c r="D37" s="20">
        <f>SUMIF(Weight!$C:$C,$A37,Weight!$H:$H)</f>
        <v>31.19</v>
      </c>
      <c r="E37" s="21" t="str">
        <f t="shared" si="2"/>
        <v>2 Appeldoorn Road ,Westlake ,Cape Town</v>
      </c>
      <c r="F37" s="19" t="s">
        <v>31</v>
      </c>
      <c r="G37" s="17" t="str">
        <f t="shared" ref="G37:H37" si="66">"Umdla Civils"</f>
        <v>Umdla Civils</v>
      </c>
      <c r="H37" s="17" t="str">
        <f t="shared" si="66"/>
        <v>Umdla Civils</v>
      </c>
      <c r="I37" s="17" t="str">
        <f t="shared" si="67"/>
        <v>0219057338</v>
      </c>
      <c r="J37" s="22" t="s">
        <v>32</v>
      </c>
      <c r="K37" s="22" t="s">
        <v>32</v>
      </c>
      <c r="L37" s="23" t="s">
        <v>33</v>
      </c>
      <c r="M37" s="22" t="s">
        <v>32</v>
      </c>
      <c r="N37" s="17" t="str">
        <f t="shared" si="68"/>
        <v>Peninsula - Monday Thursday</v>
      </c>
      <c r="O37" s="24">
        <v>44945.0</v>
      </c>
      <c r="P37" s="24">
        <v>44942.0</v>
      </c>
      <c r="Q37" s="17" t="str">
        <f t="shared" si="5"/>
        <v>01</v>
      </c>
      <c r="R37" s="25" t="str">
        <f t="shared" si="69"/>
        <v>2 APPELDOO</v>
      </c>
      <c r="S37" s="17" t="str">
        <f t="shared" si="70"/>
        <v>accounts@umdla.co.za</v>
      </c>
      <c r="T37" s="26">
        <f>SUMIF(Weight!$C:$C,$A37,Weight!$I:$I)</f>
        <v>436.66</v>
      </c>
      <c r="U37" s="27">
        <v>5516.04</v>
      </c>
      <c r="V37" s="17" t="str">
        <f t="shared" si="71"/>
        <v>C</v>
      </c>
      <c r="W37" s="17" t="str">
        <f t="shared" si="72"/>
        <v>DEREK</v>
      </c>
      <c r="X37" s="28" t="str">
        <f t="shared" si="73"/>
        <v>C04353</v>
      </c>
      <c r="Y37" s="28">
        <v>1.0</v>
      </c>
      <c r="Z37" s="28">
        <v>-73156.53</v>
      </c>
      <c r="AA37" s="28">
        <f t="shared" si="6"/>
        <v>0</v>
      </c>
      <c r="AB37" s="29">
        <v>73156.53</v>
      </c>
      <c r="AC37" s="28" t="str">
        <f t="shared" si="74"/>
        <v>2 Appeldoorn Road</v>
      </c>
      <c r="AD37" s="25" t="str">
        <f t="shared" si="75"/>
        <v>Westlake</v>
      </c>
      <c r="AE37" s="25" t="str">
        <f t="shared" si="76"/>
        <v>Cape Town</v>
      </c>
      <c r="AF37" s="25" t="str">
        <f t="shared" si="64"/>
        <v/>
      </c>
    </row>
    <row r="38" ht="12.75" customHeight="1">
      <c r="A38" s="17" t="str">
        <f>"SG01071"</f>
        <v>SG01071</v>
      </c>
      <c r="B38" s="18" t="s">
        <v>30</v>
      </c>
      <c r="C38" s="19" t="s">
        <v>31</v>
      </c>
      <c r="D38" s="20">
        <f>SUMIF(Weight!$C:$C,$A38,Weight!$H:$H)</f>
        <v>46.17</v>
      </c>
      <c r="E38" s="21" t="str">
        <f t="shared" si="2"/>
        <v>2 Appeldoorn Road ,Westlake ,Cape Town</v>
      </c>
      <c r="F38" s="19" t="s">
        <v>31</v>
      </c>
      <c r="G38" s="17" t="str">
        <f t="shared" ref="G38:H38" si="77">"Umdla Civils"</f>
        <v>Umdla Civils</v>
      </c>
      <c r="H38" s="17" t="str">
        <f t="shared" si="77"/>
        <v>Umdla Civils</v>
      </c>
      <c r="I38" s="17" t="str">
        <f t="shared" si="67"/>
        <v>0219057338</v>
      </c>
      <c r="J38" s="22" t="s">
        <v>32</v>
      </c>
      <c r="K38" s="22" t="s">
        <v>32</v>
      </c>
      <c r="L38" s="23" t="s">
        <v>33</v>
      </c>
      <c r="M38" s="22" t="s">
        <v>32</v>
      </c>
      <c r="N38" s="17" t="str">
        <f t="shared" si="68"/>
        <v>Peninsula - Monday Thursday</v>
      </c>
      <c r="O38" s="24">
        <v>44945.0</v>
      </c>
      <c r="P38" s="24">
        <v>44942.0</v>
      </c>
      <c r="Q38" s="17" t="str">
        <f t="shared" si="5"/>
        <v>01</v>
      </c>
      <c r="R38" s="25" t="str">
        <f t="shared" si="69"/>
        <v>2 APPELDOO</v>
      </c>
      <c r="S38" s="17" t="str">
        <f t="shared" si="70"/>
        <v>accounts@umdla.co.za</v>
      </c>
      <c r="T38" s="26">
        <f>SUMIF(Weight!$C:$C,$A38,Weight!$I:$I)</f>
        <v>923.4</v>
      </c>
      <c r="U38" s="27">
        <v>12898.339999999998</v>
      </c>
      <c r="V38" s="17" t="str">
        <f t="shared" si="71"/>
        <v>C</v>
      </c>
      <c r="W38" s="17" t="str">
        <f t="shared" si="72"/>
        <v>DEREK</v>
      </c>
      <c r="X38" s="28" t="str">
        <f t="shared" si="73"/>
        <v>C04353</v>
      </c>
      <c r="Y38" s="28">
        <v>1.0</v>
      </c>
      <c r="Z38" s="28">
        <v>-73156.53</v>
      </c>
      <c r="AA38" s="28">
        <f t="shared" si="6"/>
        <v>0</v>
      </c>
      <c r="AB38" s="29">
        <v>73156.53</v>
      </c>
      <c r="AC38" s="28" t="str">
        <f t="shared" si="74"/>
        <v>2 Appeldoorn Road</v>
      </c>
      <c r="AD38" s="25" t="str">
        <f t="shared" si="75"/>
        <v>Westlake</v>
      </c>
      <c r="AE38" s="25" t="str">
        <f t="shared" si="76"/>
        <v>Cape Town</v>
      </c>
      <c r="AF38" s="25" t="str">
        <f t="shared" si="64"/>
        <v/>
      </c>
    </row>
    <row r="39" ht="12.75" customHeight="1">
      <c r="A39" s="17" t="str">
        <f>"SG01083"</f>
        <v>SG01083</v>
      </c>
      <c r="B39" s="18" t="s">
        <v>30</v>
      </c>
      <c r="C39" s="19" t="s">
        <v>31</v>
      </c>
      <c r="D39" s="20">
        <f>SUMIF(Weight!$C:$C,$A39,Weight!$H:$H)</f>
        <v>16.95</v>
      </c>
      <c r="E39" s="21" t="str">
        <f t="shared" si="2"/>
        <v>4966 Goucom Road , ,Betty's Bay</v>
      </c>
      <c r="F39" s="19" t="s">
        <v>31</v>
      </c>
      <c r="G39" s="17" t="str">
        <f t="shared" ref="G39:H39" si="78">"Mr Philip Schultz"</f>
        <v>Mr Philip Schultz</v>
      </c>
      <c r="H39" s="17" t="str">
        <f t="shared" si="78"/>
        <v>Mr Philip Schultz</v>
      </c>
      <c r="I39" s="17" t="str">
        <f>"0824666878"</f>
        <v>0824666878</v>
      </c>
      <c r="J39" s="22" t="s">
        <v>32</v>
      </c>
      <c r="K39" s="22" t="s">
        <v>32</v>
      </c>
      <c r="L39" s="23" t="s">
        <v>33</v>
      </c>
      <c r="M39" s="22" t="s">
        <v>32</v>
      </c>
      <c r="N39" s="17" t="str">
        <f>"Clarens Drive - Tuesday Friday"</f>
        <v>Clarens Drive - Tuesday Friday</v>
      </c>
      <c r="O39" s="24">
        <v>44946.0</v>
      </c>
      <c r="P39" s="24">
        <v>44942.0</v>
      </c>
      <c r="Q39" s="17" t="str">
        <f t="shared" si="5"/>
        <v>01</v>
      </c>
      <c r="R39" s="25" t="str">
        <f>"1"</f>
        <v>1</v>
      </c>
      <c r="S39" s="17" t="str">
        <f>"louwhj@mweb.co.za"</f>
        <v>louwhj@mweb.co.za</v>
      </c>
      <c r="T39" s="26">
        <f>SUMIF(Weight!$C:$C,$A39,Weight!$I:$I)</f>
        <v>146.88</v>
      </c>
      <c r="U39" s="27">
        <v>4504.12</v>
      </c>
      <c r="V39" s="17" t="str">
        <f>"F"</f>
        <v>F</v>
      </c>
      <c r="W39" s="17" t="str">
        <f>"EMILE"</f>
        <v>EMILE</v>
      </c>
      <c r="X39" s="28" t="str">
        <f>"C18733"</f>
        <v>C18733</v>
      </c>
      <c r="Y39" s="28">
        <v>1.0</v>
      </c>
      <c r="Z39" s="28">
        <v>-4504.12</v>
      </c>
      <c r="AA39" s="28">
        <f t="shared" si="6"/>
        <v>0</v>
      </c>
      <c r="AB39" s="29">
        <v>4504.12</v>
      </c>
      <c r="AC39" s="28" t="str">
        <f>"4966 Goucom Road"</f>
        <v>4966 Goucom Road</v>
      </c>
      <c r="AD39" s="25" t="str">
        <f>""</f>
        <v/>
      </c>
      <c r="AE39" s="25" t="str">
        <f>"Betty's Bay"</f>
        <v>Betty's Bay</v>
      </c>
      <c r="AF39" s="25" t="str">
        <f t="shared" si="64"/>
        <v/>
      </c>
    </row>
    <row r="40" ht="12.75" customHeight="1">
      <c r="A40" s="17" t="str">
        <f>"SG01112"</f>
        <v>SG01112</v>
      </c>
      <c r="B40" s="18" t="s">
        <v>30</v>
      </c>
      <c r="C40" s="19" t="s">
        <v>31</v>
      </c>
      <c r="D40" s="20">
        <f>SUMIF(Weight!$C:$C,$A40,Weight!$H:$H)</f>
        <v>10.16</v>
      </c>
      <c r="E40" s="21" t="str">
        <f t="shared" si="2"/>
        <v>47, 2nd Avenue ,Fish Hoek ,</v>
      </c>
      <c r="F40" s="19" t="s">
        <v>31</v>
      </c>
      <c r="G40" s="17" t="str">
        <f t="shared" ref="G40:H40" si="79">"Mark Trueb"</f>
        <v>Mark Trueb</v>
      </c>
      <c r="H40" s="17" t="str">
        <f t="shared" si="79"/>
        <v>Mark Trueb</v>
      </c>
      <c r="I40" s="17" t="str">
        <f>"0824910921"</f>
        <v>0824910921</v>
      </c>
      <c r="J40" s="22" t="s">
        <v>32</v>
      </c>
      <c r="K40" s="22" t="s">
        <v>32</v>
      </c>
      <c r="L40" s="23" t="s">
        <v>33</v>
      </c>
      <c r="M40" s="22" t="s">
        <v>32</v>
      </c>
      <c r="N40" s="17" t="str">
        <f t="shared" ref="N40:N41" si="82">"Peninsula - Monday Thursday"</f>
        <v>Peninsula - Monday Thursday</v>
      </c>
      <c r="O40" s="24">
        <v>44945.0</v>
      </c>
      <c r="P40" s="24">
        <v>44942.0</v>
      </c>
      <c r="Q40" s="17" t="str">
        <f t="shared" si="5"/>
        <v>01</v>
      </c>
      <c r="R40" s="25" t="str">
        <f>"2ND AVENUE"</f>
        <v>2ND AVENUE</v>
      </c>
      <c r="S40" s="17" t="str">
        <f>"mark@trueb.co.za"</f>
        <v>mark@trueb.co.za</v>
      </c>
      <c r="T40" s="26">
        <f>SUMIF(Weight!$C:$C,$A40,Weight!$I:$I)</f>
        <v>384.24</v>
      </c>
      <c r="U40" s="27">
        <v>11898.449999999999</v>
      </c>
      <c r="V40" s="17" t="str">
        <f t="shared" ref="V40:V41" si="83">"C"</f>
        <v>C</v>
      </c>
      <c r="W40" s="17" t="str">
        <f>"DEREK"</f>
        <v>DEREK</v>
      </c>
      <c r="X40" s="28" t="str">
        <f>"C26575"</f>
        <v>C26575</v>
      </c>
      <c r="Y40" s="28">
        <v>1.0</v>
      </c>
      <c r="Z40" s="28">
        <v>-11898.449999999999</v>
      </c>
      <c r="AA40" s="28">
        <f t="shared" si="6"/>
        <v>0</v>
      </c>
      <c r="AB40" s="29">
        <v>23116.4</v>
      </c>
      <c r="AC40" s="28" t="str">
        <f>"47, 2nd Avenue"</f>
        <v>47, 2nd Avenue</v>
      </c>
      <c r="AD40" s="25" t="str">
        <f>"Fish Hoek"</f>
        <v>Fish Hoek</v>
      </c>
      <c r="AE40" s="25" t="str">
        <f t="shared" ref="AE40:AF40" si="80">""</f>
        <v/>
      </c>
      <c r="AF40" s="25" t="str">
        <f t="shared" si="80"/>
        <v/>
      </c>
    </row>
    <row r="41" ht="12.75" customHeight="1">
      <c r="A41" s="17" t="str">
        <f>"SG01124"</f>
        <v>SG01124</v>
      </c>
      <c r="B41" s="18" t="s">
        <v>30</v>
      </c>
      <c r="C41" s="19" t="s">
        <v>31</v>
      </c>
      <c r="D41" s="20">
        <f>SUMIF(Weight!$C:$C,$A41,Weight!$H:$H)</f>
        <v>2.99</v>
      </c>
      <c r="E41" s="21" t="str">
        <f t="shared" si="2"/>
        <v>3 Van Der Poll ,Tokai ,Cape Town</v>
      </c>
      <c r="F41" s="19" t="s">
        <v>31</v>
      </c>
      <c r="G41" s="17" t="str">
        <f t="shared" ref="G41:H41" si="81">"Josdel Property Pty Ltd"</f>
        <v>Josdel Property Pty Ltd</v>
      </c>
      <c r="H41" s="17" t="str">
        <f t="shared" si="81"/>
        <v>Josdel Property Pty Ltd</v>
      </c>
      <c r="I41" s="17" t="str">
        <f t="shared" ref="I41:I42" si="84">"0824666878"</f>
        <v>0824666878</v>
      </c>
      <c r="J41" s="22" t="s">
        <v>32</v>
      </c>
      <c r="K41" s="22" t="s">
        <v>32</v>
      </c>
      <c r="L41" s="23" t="s">
        <v>33</v>
      </c>
      <c r="M41" s="22" t="s">
        <v>32</v>
      </c>
      <c r="N41" s="17" t="str">
        <f t="shared" si="82"/>
        <v>Peninsula - Monday Thursday</v>
      </c>
      <c r="O41" s="24">
        <v>44945.0</v>
      </c>
      <c r="P41" s="24">
        <v>44943.0</v>
      </c>
      <c r="Q41" s="17" t="str">
        <f t="shared" si="5"/>
        <v>01</v>
      </c>
      <c r="R41" s="25" t="str">
        <f t="shared" ref="R41:R42" si="85">"1"</f>
        <v>1</v>
      </c>
      <c r="S41" s="17" t="str">
        <f>"Jenjohnstone71@gmail.com;deckingartza@gmail.com"</f>
        <v>Jenjohnstone71@gmail.com;deckingartza@gmail.com</v>
      </c>
      <c r="T41" s="26">
        <f>SUMIF(Weight!$C:$C,$A41,Weight!$I:$I)</f>
        <v>8.97</v>
      </c>
      <c r="U41" s="27">
        <v>645.73</v>
      </c>
      <c r="V41" s="17" t="str">
        <f t="shared" si="83"/>
        <v>C</v>
      </c>
      <c r="W41" s="17" t="str">
        <f t="shared" ref="W41:W42" si="86">"SIMON"</f>
        <v>SIMON</v>
      </c>
      <c r="X41" s="28" t="str">
        <f>"C30912"</f>
        <v>C30912</v>
      </c>
      <c r="Y41" s="28">
        <v>1.0</v>
      </c>
      <c r="Z41" s="28">
        <v>-699.0</v>
      </c>
      <c r="AA41" s="28">
        <f t="shared" si="6"/>
        <v>-53.27</v>
      </c>
      <c r="AB41" s="29">
        <v>645.73</v>
      </c>
      <c r="AC41" s="28" t="str">
        <f>"3 Van Der Poll"</f>
        <v>3 Van Der Poll</v>
      </c>
      <c r="AD41" s="25" t="str">
        <f>"Tokai"</f>
        <v>Tokai</v>
      </c>
      <c r="AE41" s="25" t="str">
        <f>"Cape Town"</f>
        <v>Cape Town</v>
      </c>
      <c r="AF41" s="25" t="str">
        <f>""</f>
        <v/>
      </c>
    </row>
    <row r="42" ht="12.75" customHeight="1">
      <c r="A42" s="17" t="str">
        <f>"SG01128"</f>
        <v>SG01128</v>
      </c>
      <c r="B42" s="18" t="s">
        <v>30</v>
      </c>
      <c r="C42" s="19" t="s">
        <v>31</v>
      </c>
      <c r="D42" s="20">
        <f>SUMIF(Weight!$C:$C,$A42,Weight!$H:$H)</f>
        <v>119.01</v>
      </c>
      <c r="E42" s="21" t="str">
        <f t="shared" si="2"/>
        <v>76 Main Road ,Kleinmond ,</v>
      </c>
      <c r="F42" s="19" t="s">
        <v>31</v>
      </c>
      <c r="G42" s="17" t="str">
        <f>"Laaiplek Handelshuis (Pty) Ltd "</f>
        <v>Laaiplek Handelshuis (Pty) Ltd </v>
      </c>
      <c r="H42" s="17" t="str">
        <f>"Kleinmond Bouhandel"</f>
        <v>Kleinmond Bouhandel</v>
      </c>
      <c r="I42" s="17" t="str">
        <f t="shared" si="84"/>
        <v>0824666878</v>
      </c>
      <c r="J42" s="22" t="s">
        <v>32</v>
      </c>
      <c r="K42" s="22" t="s">
        <v>32</v>
      </c>
      <c r="L42" s="23" t="s">
        <v>33</v>
      </c>
      <c r="M42" s="22" t="s">
        <v>32</v>
      </c>
      <c r="N42" s="17" t="str">
        <f>"Clarens Drive - Tuesday Friday"</f>
        <v>Clarens Drive - Tuesday Friday</v>
      </c>
      <c r="O42" s="24">
        <v>44946.0</v>
      </c>
      <c r="P42" s="24">
        <v>44943.0</v>
      </c>
      <c r="Q42" s="17" t="str">
        <f t="shared" si="5"/>
        <v>01</v>
      </c>
      <c r="R42" s="25" t="str">
        <f t="shared" si="85"/>
        <v>1</v>
      </c>
      <c r="S42" s="17" t="str">
        <f>"bouhandel@vodamail.co.za"</f>
        <v>bouhandel@vodamail.co.za</v>
      </c>
      <c r="T42" s="26">
        <f>SUMIF(Weight!$C:$C,$A42,Weight!$I:$I)</f>
        <v>420.27</v>
      </c>
      <c r="U42" s="27">
        <v>3384.7400000000002</v>
      </c>
      <c r="V42" s="17" t="str">
        <f>"F"</f>
        <v>F</v>
      </c>
      <c r="W42" s="17" t="str">
        <f t="shared" si="86"/>
        <v>SIMON</v>
      </c>
      <c r="X42" s="28" t="str">
        <f>"C00200"</f>
        <v>C00200</v>
      </c>
      <c r="Y42" s="28">
        <v>80001.0</v>
      </c>
      <c r="Z42" s="28">
        <v>47932.04</v>
      </c>
      <c r="AA42" s="28">
        <f t="shared" si="6"/>
        <v>144229.28</v>
      </c>
      <c r="AB42" s="29">
        <v>45590.82</v>
      </c>
      <c r="AC42" s="28" t="str">
        <f>"76 Main Road"</f>
        <v>76 Main Road</v>
      </c>
      <c r="AD42" s="25" t="str">
        <f>"Kleinmond"</f>
        <v>Kleinmond</v>
      </c>
      <c r="AE42" s="25" t="str">
        <f t="shared" ref="AE42:AF42" si="87">""</f>
        <v/>
      </c>
      <c r="AF42" s="25" t="str">
        <f t="shared" si="87"/>
        <v/>
      </c>
    </row>
    <row r="43" ht="12.75" customHeight="1">
      <c r="A43" s="17" t="str">
        <f>"SG01129"</f>
        <v>SG01129</v>
      </c>
      <c r="B43" s="18" t="s">
        <v>30</v>
      </c>
      <c r="C43" s="19" t="s">
        <v>31</v>
      </c>
      <c r="D43" s="20">
        <f>SUMIF(Weight!$C:$C,$A43,Weight!$H:$H)</f>
        <v>4.07</v>
      </c>
      <c r="E43" s="21" t="str">
        <f t="shared" si="2"/>
        <v>20 San Lucia Road , ,Greyton</v>
      </c>
      <c r="F43" s="19" t="s">
        <v>31</v>
      </c>
      <c r="G43" s="17" t="str">
        <f>"Villiersdorp Ko-op Bpk"</f>
        <v>Villiersdorp Ko-op Bpk</v>
      </c>
      <c r="H43" s="17" t="str">
        <f>"Villiersdorp Ko-Op Greyton"</f>
        <v>Villiersdorp Ko-Op Greyton</v>
      </c>
      <c r="I43" s="17" t="str">
        <f>"0288401120"</f>
        <v>0288401120</v>
      </c>
      <c r="J43" s="22" t="s">
        <v>32</v>
      </c>
      <c r="K43" s="22" t="s">
        <v>32</v>
      </c>
      <c r="L43" s="23" t="s">
        <v>33</v>
      </c>
      <c r="M43" s="22" t="s">
        <v>32</v>
      </c>
      <c r="N43" s="17" t="str">
        <f>"Overstrand - Monday Wednesday"</f>
        <v>Overstrand - Monday Wednesday</v>
      </c>
      <c r="O43" s="24">
        <v>44949.0</v>
      </c>
      <c r="P43" s="24">
        <v>44943.0</v>
      </c>
      <c r="Q43" s="17" t="str">
        <f t="shared" si="5"/>
        <v>01</v>
      </c>
      <c r="R43" s="25" t="str">
        <f>"GREYTON"</f>
        <v>GREYTON</v>
      </c>
      <c r="S43" s="17" t="e">
        <v>#VALUE!</v>
      </c>
      <c r="T43" s="26">
        <f>SUMIF(Weight!$C:$C,$A43,Weight!$I:$I)</f>
        <v>1221</v>
      </c>
      <c r="U43" s="27">
        <v>8863.94</v>
      </c>
      <c r="V43" s="17" t="str">
        <f>"G"</f>
        <v>G</v>
      </c>
      <c r="W43" s="17" t="str">
        <f t="shared" ref="W43:W45" si="89">"EMILE"</f>
        <v>EMILE</v>
      </c>
      <c r="X43" s="28" t="str">
        <f>"C00388"</f>
        <v>C00388</v>
      </c>
      <c r="Y43" s="28">
        <v>500000.99999999994</v>
      </c>
      <c r="Z43" s="28">
        <v>106779.79</v>
      </c>
      <c r="AA43" s="28">
        <f t="shared" si="6"/>
        <v>627016.07</v>
      </c>
      <c r="AB43" s="29">
        <v>385950.69</v>
      </c>
      <c r="AC43" s="28" t="str">
        <f>"20 San Lucia Road"</f>
        <v>20 San Lucia Road</v>
      </c>
      <c r="AD43" s="25" t="str">
        <f>""</f>
        <v/>
      </c>
      <c r="AE43" s="25" t="str">
        <f>"Greyton"</f>
        <v>Greyton</v>
      </c>
      <c r="AF43" s="25" t="str">
        <f>""</f>
        <v/>
      </c>
    </row>
    <row r="44" ht="12.75" customHeight="1">
      <c r="A44" s="17" t="str">
        <f>"SG01132"</f>
        <v>SG01132</v>
      </c>
      <c r="B44" s="18" t="s">
        <v>30</v>
      </c>
      <c r="C44" s="19" t="s">
        <v>31</v>
      </c>
      <c r="D44" s="20">
        <f>SUMIF(Weight!$C:$C,$A44,Weight!$H:$H)</f>
        <v>4.28</v>
      </c>
      <c r="E44" s="21" t="str">
        <f t="shared" si="2"/>
        <v>10 Luckhof Street ,Kleinmond ,</v>
      </c>
      <c r="F44" s="19" t="s">
        <v>31</v>
      </c>
      <c r="G44" s="17" t="str">
        <f t="shared" ref="G44:H44" si="88">"AE Kaste"</f>
        <v>AE Kaste</v>
      </c>
      <c r="H44" s="17" t="str">
        <f t="shared" si="88"/>
        <v>AE Kaste</v>
      </c>
      <c r="I44" s="17" t="str">
        <f>"0723807627"</f>
        <v>0723807627</v>
      </c>
      <c r="J44" s="22" t="s">
        <v>32</v>
      </c>
      <c r="K44" s="22" t="s">
        <v>32</v>
      </c>
      <c r="L44" s="23" t="s">
        <v>33</v>
      </c>
      <c r="M44" s="22" t="s">
        <v>32</v>
      </c>
      <c r="N44" s="17" t="str">
        <f t="shared" ref="N44:N46" si="92">"Clarens Drive - Tuesday Friday"</f>
        <v>Clarens Drive - Tuesday Friday</v>
      </c>
      <c r="O44" s="24">
        <v>44946.0</v>
      </c>
      <c r="P44" s="24">
        <v>44943.0</v>
      </c>
      <c r="Q44" s="17" t="str">
        <f t="shared" si="5"/>
        <v>01</v>
      </c>
      <c r="R44" s="25" t="str">
        <f>"KLEINMOND"</f>
        <v>KLEINMOND</v>
      </c>
      <c r="S44" s="17" t="str">
        <f>"ryno@lategankaste.co.za"</f>
        <v>ryno@lategankaste.co.za</v>
      </c>
      <c r="T44" s="26">
        <f>SUMIF(Weight!$C:$C,$A44,Weight!$I:$I)</f>
        <v>85.6</v>
      </c>
      <c r="U44" s="27">
        <v>5207.0</v>
      </c>
      <c r="V44" s="17" t="str">
        <f t="shared" ref="V44:V46" si="93">"F"</f>
        <v>F</v>
      </c>
      <c r="W44" s="17" t="str">
        <f t="shared" si="89"/>
        <v>EMILE</v>
      </c>
      <c r="X44" s="28" t="str">
        <f>"C11530"</f>
        <v>C11530</v>
      </c>
      <c r="Y44" s="28">
        <v>1.0</v>
      </c>
      <c r="Z44" s="28">
        <v>0.0</v>
      </c>
      <c r="AA44" s="28">
        <f t="shared" si="6"/>
        <v>5207</v>
      </c>
      <c r="AB44" s="29">
        <v>5207.0</v>
      </c>
      <c r="AC44" s="28" t="str">
        <f>"10 Luckhof Street"</f>
        <v>10 Luckhof Street</v>
      </c>
      <c r="AD44" s="25" t="str">
        <f>"Kleinmond"</f>
        <v>Kleinmond</v>
      </c>
      <c r="AE44" s="25" t="str">
        <f t="shared" ref="AE44:AF44" si="90">""</f>
        <v/>
      </c>
      <c r="AF44" s="25" t="str">
        <f t="shared" si="90"/>
        <v/>
      </c>
    </row>
    <row r="45" ht="12.75" customHeight="1">
      <c r="A45" s="17" t="str">
        <f>"SG01195"</f>
        <v>SG01195</v>
      </c>
      <c r="B45" s="18" t="s">
        <v>30</v>
      </c>
      <c r="C45" s="19" t="s">
        <v>31</v>
      </c>
      <c r="D45" s="20">
        <f>SUMIF(Weight!$C:$C,$A45,Weight!$H:$H)</f>
        <v>23.22</v>
      </c>
      <c r="E45" s="21" t="str">
        <f t="shared" si="2"/>
        <v>102 Schneider Street , ,Franskraal</v>
      </c>
      <c r="F45" s="19" t="s">
        <v>31</v>
      </c>
      <c r="G45" s="17" t="str">
        <f t="shared" ref="G45:H45" si="91">"Mr WJ Conradie"</f>
        <v>Mr WJ Conradie</v>
      </c>
      <c r="H45" s="17" t="str">
        <f t="shared" si="91"/>
        <v>Mr WJ Conradie</v>
      </c>
      <c r="I45" s="17" t="str">
        <f>"0824666878"</f>
        <v>0824666878</v>
      </c>
      <c r="J45" s="22" t="s">
        <v>32</v>
      </c>
      <c r="K45" s="22" t="s">
        <v>32</v>
      </c>
      <c r="L45" s="23" t="s">
        <v>33</v>
      </c>
      <c r="M45" s="22" t="s">
        <v>32</v>
      </c>
      <c r="N45" s="17" t="str">
        <f t="shared" si="92"/>
        <v>Clarens Drive - Tuesday Friday</v>
      </c>
      <c r="O45" s="24">
        <v>44946.0</v>
      </c>
      <c r="P45" s="24">
        <v>44943.0</v>
      </c>
      <c r="Q45" s="17" t="str">
        <f t="shared" si="5"/>
        <v>01</v>
      </c>
      <c r="R45" s="25" t="str">
        <f>"1"</f>
        <v>1</v>
      </c>
      <c r="S45" s="17" t="str">
        <f>"conradiewim@gmail.com"</f>
        <v>conradiewim@gmail.com</v>
      </c>
      <c r="T45" s="26">
        <f>SUMIF(Weight!$C:$C,$A45,Weight!$I:$I)</f>
        <v>1277.1</v>
      </c>
      <c r="U45" s="27">
        <v>26532.559999999998</v>
      </c>
      <c r="V45" s="17" t="str">
        <f t="shared" si="93"/>
        <v>F</v>
      </c>
      <c r="W45" s="17" t="str">
        <f t="shared" si="89"/>
        <v>EMILE</v>
      </c>
      <c r="X45" s="28" t="str">
        <f>"C31884"</f>
        <v>C31884</v>
      </c>
      <c r="Y45" s="28">
        <v>1.0</v>
      </c>
      <c r="Z45" s="28">
        <v>0.0</v>
      </c>
      <c r="AA45" s="28">
        <f t="shared" si="6"/>
        <v>26532.56</v>
      </c>
      <c r="AB45" s="29">
        <v>26532.559999999998</v>
      </c>
      <c r="AC45" s="28" t="str">
        <f>"102 Schneider Street"</f>
        <v>102 Schneider Street</v>
      </c>
      <c r="AD45" s="25" t="str">
        <f t="shared" ref="AD45:AD46" si="94">""</f>
        <v/>
      </c>
      <c r="AE45" s="25" t="str">
        <f>"Franskraal"</f>
        <v>Franskraal</v>
      </c>
      <c r="AF45" s="25" t="str">
        <f t="shared" ref="AF45:AF50" si="95">""</f>
        <v/>
      </c>
    </row>
    <row r="46" ht="12.75" customHeight="1">
      <c r="A46" s="17" t="str">
        <f>"SG01196"</f>
        <v>SG01196</v>
      </c>
      <c r="B46" s="18" t="s">
        <v>30</v>
      </c>
      <c r="C46" s="19" t="s">
        <v>31</v>
      </c>
      <c r="D46" s="20">
        <f>SUMIF(Weight!$C:$C,$A46,Weight!$H:$H)</f>
        <v>103.76</v>
      </c>
      <c r="E46" s="21" t="str">
        <f t="shared" si="2"/>
        <v>4 Harbour Road , ,Kleinmond</v>
      </c>
      <c r="F46" s="19" t="s">
        <v>31</v>
      </c>
      <c r="G46" s="17" t="str">
        <f>"Live Eco Design (Pty) Ltd"</f>
        <v>Live Eco Design (Pty) Ltd</v>
      </c>
      <c r="H46" s="17" t="str">
        <f>"Ecolive Pods"</f>
        <v>Ecolive Pods</v>
      </c>
      <c r="I46" s="17" t="str">
        <f>"0837601654"</f>
        <v>0837601654</v>
      </c>
      <c r="J46" s="22" t="s">
        <v>32</v>
      </c>
      <c r="K46" s="22" t="s">
        <v>32</v>
      </c>
      <c r="L46" s="23" t="s">
        <v>33</v>
      </c>
      <c r="M46" s="22" t="s">
        <v>32</v>
      </c>
      <c r="N46" s="17" t="str">
        <f t="shared" si="92"/>
        <v>Clarens Drive - Tuesday Friday</v>
      </c>
      <c r="O46" s="24">
        <v>44946.0</v>
      </c>
      <c r="P46" s="24">
        <v>44943.0</v>
      </c>
      <c r="Q46" s="17" t="str">
        <f t="shared" si="5"/>
        <v>01</v>
      </c>
      <c r="R46" s="25" t="str">
        <f>"4 HARBOUR"</f>
        <v>4 HARBOUR</v>
      </c>
      <c r="S46" s="17" t="str">
        <f>"louismventer@hotmail.com"</f>
        <v>louismventer@hotmail.com</v>
      </c>
      <c r="T46" s="26">
        <f>SUMIF(Weight!$C:$C,$A46,Weight!$I:$I)</f>
        <v>222.93</v>
      </c>
      <c r="U46" s="27">
        <v>5965.27</v>
      </c>
      <c r="V46" s="17" t="str">
        <f t="shared" si="93"/>
        <v>F</v>
      </c>
      <c r="W46" s="17" t="str">
        <f>"DEREK"</f>
        <v>DEREK</v>
      </c>
      <c r="X46" s="28" t="str">
        <f>"C27626"</f>
        <v>C27626</v>
      </c>
      <c r="Y46" s="28">
        <v>1.0</v>
      </c>
      <c r="Z46" s="28">
        <v>0.0</v>
      </c>
      <c r="AA46" s="28">
        <f t="shared" si="6"/>
        <v>5965.27</v>
      </c>
      <c r="AB46" s="29">
        <v>5965.27</v>
      </c>
      <c r="AC46" s="28" t="str">
        <f>"4 Harbour Road"</f>
        <v>4 Harbour Road</v>
      </c>
      <c r="AD46" s="25" t="str">
        <f t="shared" si="94"/>
        <v/>
      </c>
      <c r="AE46" s="25" t="str">
        <f>"Kleinmond"</f>
        <v>Kleinmond</v>
      </c>
      <c r="AF46" s="25" t="str">
        <f t="shared" si="95"/>
        <v/>
      </c>
    </row>
    <row r="47" ht="12.75" customHeight="1">
      <c r="A47" s="17" t="str">
        <f>"SG01220"</f>
        <v>SG01220</v>
      </c>
      <c r="B47" s="18" t="s">
        <v>30</v>
      </c>
      <c r="C47" s="19" t="s">
        <v>31</v>
      </c>
      <c r="D47" s="20">
        <f>SUMIF(Weight!$C:$C,$A47,Weight!$H:$H)</f>
        <v>8.72</v>
      </c>
      <c r="E47" s="21" t="str">
        <f t="shared" si="2"/>
        <v>Huis 13 ,Kwaggaskloof Dam / Off R43 ,Worcester</v>
      </c>
      <c r="F47" s="19" t="s">
        <v>31</v>
      </c>
      <c r="G47" s="17" t="str">
        <f t="shared" ref="G47:H47" si="96">"Mrs Carol Wiltshire"</f>
        <v>Mrs Carol Wiltshire</v>
      </c>
      <c r="H47" s="17" t="str">
        <f t="shared" si="96"/>
        <v>Mrs Carol Wiltshire</v>
      </c>
      <c r="I47" s="17" t="str">
        <f>"0824666878"</f>
        <v>0824666878</v>
      </c>
      <c r="J47" s="22" t="s">
        <v>32</v>
      </c>
      <c r="K47" s="22" t="s">
        <v>32</v>
      </c>
      <c r="L47" s="23" t="s">
        <v>33</v>
      </c>
      <c r="M47" s="22" t="s">
        <v>32</v>
      </c>
      <c r="N47" s="17" t="str">
        <f>"Overstrand - Monday Wednesday"</f>
        <v>Overstrand - Monday Wednesday</v>
      </c>
      <c r="O47" s="24">
        <v>44945.0</v>
      </c>
      <c r="P47" s="24">
        <v>44943.0</v>
      </c>
      <c r="Q47" s="17" t="str">
        <f t="shared" si="5"/>
        <v>01</v>
      </c>
      <c r="R47" s="25" t="str">
        <f>"1"</f>
        <v>1</v>
      </c>
      <c r="S47" s="17" t="str">
        <f>"wiltshires@yebo.co.za"</f>
        <v>wiltshires@yebo.co.za</v>
      </c>
      <c r="T47" s="26">
        <f>SUMIF(Weight!$C:$C,$A47,Weight!$I:$I)</f>
        <v>105.84</v>
      </c>
      <c r="U47" s="27">
        <v>2968.59</v>
      </c>
      <c r="V47" s="17" t="str">
        <f>"G"</f>
        <v>G</v>
      </c>
      <c r="W47" s="17" t="str">
        <f>"EMILE"</f>
        <v>EMILE</v>
      </c>
      <c r="X47" s="28" t="str">
        <f>"C31978"</f>
        <v>C31978</v>
      </c>
      <c r="Y47" s="28">
        <v>1.0</v>
      </c>
      <c r="Z47" s="28">
        <v>-2968.59</v>
      </c>
      <c r="AA47" s="28">
        <f t="shared" si="6"/>
        <v>0</v>
      </c>
      <c r="AB47" s="29">
        <v>2968.59</v>
      </c>
      <c r="AC47" s="28" t="str">
        <f>"Huis 13"</f>
        <v>Huis 13</v>
      </c>
      <c r="AD47" s="25" t="str">
        <f>"Kwaggaskloof Dam / Off R43"</f>
        <v>Kwaggaskloof Dam / Off R43</v>
      </c>
      <c r="AE47" s="25" t="str">
        <f>"Worcester"</f>
        <v>Worcester</v>
      </c>
      <c r="AF47" s="25" t="str">
        <f t="shared" si="95"/>
        <v/>
      </c>
    </row>
    <row r="48" ht="12.75" customHeight="1">
      <c r="A48" s="17" t="str">
        <f>"SG01248"</f>
        <v>SG01248</v>
      </c>
      <c r="B48" s="18" t="s">
        <v>30</v>
      </c>
      <c r="C48" s="19" t="s">
        <v>31</v>
      </c>
      <c r="D48" s="20">
        <f>SUMIF(Weight!$C:$C,$A48,Weight!$H:$H)</f>
        <v>75.85</v>
      </c>
      <c r="E48" s="21" t="str">
        <f t="shared" si="2"/>
        <v>G/Bay storage 11 ,Mansfield Crescent ,Gordons Bay</v>
      </c>
      <c r="F48" s="19" t="s">
        <v>31</v>
      </c>
      <c r="G48" s="17" t="str">
        <f t="shared" ref="G48:H48" si="97">"Mr Markus Niehaus"</f>
        <v>Mr Markus Niehaus</v>
      </c>
      <c r="H48" s="17" t="str">
        <f t="shared" si="97"/>
        <v>Mr Markus Niehaus</v>
      </c>
      <c r="I48" s="17" t="str">
        <f>"0623248899"</f>
        <v>0623248899</v>
      </c>
      <c r="J48" s="22" t="s">
        <v>32</v>
      </c>
      <c r="K48" s="22" t="s">
        <v>32</v>
      </c>
      <c r="L48" s="23" t="s">
        <v>33</v>
      </c>
      <c r="M48" s="22" t="s">
        <v>32</v>
      </c>
      <c r="N48" s="17" t="str">
        <f>"Helderberg - Monday Wednesday Friday"</f>
        <v>Helderberg - Monday Wednesday Friday</v>
      </c>
      <c r="O48" s="24">
        <v>44946.0</v>
      </c>
      <c r="P48" s="24">
        <v>44938.0</v>
      </c>
      <c r="Q48" s="17" t="str">
        <f t="shared" si="5"/>
        <v>01</v>
      </c>
      <c r="R48" s="25" t="str">
        <f>"3"</f>
        <v>3</v>
      </c>
      <c r="S48" s="17" t="e">
        <v>#VALUE!</v>
      </c>
      <c r="T48" s="26">
        <f>SUMIF(Weight!$C:$C,$A48,Weight!$I:$I)</f>
        <v>410.07</v>
      </c>
      <c r="U48" s="27">
        <v>5310.25</v>
      </c>
      <c r="V48" s="17" t="str">
        <f>"A"</f>
        <v>A</v>
      </c>
      <c r="W48" s="17" t="str">
        <f>"SIMON"</f>
        <v>SIMON</v>
      </c>
      <c r="X48" s="28" t="str">
        <f>"C17635"</f>
        <v>C17635</v>
      </c>
      <c r="Y48" s="28">
        <v>1.0</v>
      </c>
      <c r="Z48" s="28">
        <v>-5310.25</v>
      </c>
      <c r="AA48" s="28">
        <f t="shared" si="6"/>
        <v>0</v>
      </c>
      <c r="AB48" s="29">
        <v>5310.25</v>
      </c>
      <c r="AC48" s="28" t="str">
        <f>"G/Bay storage 11"</f>
        <v>G/Bay storage 11</v>
      </c>
      <c r="AD48" s="25" t="str">
        <f>"Mansfield Crescent"</f>
        <v>Mansfield Crescent</v>
      </c>
      <c r="AE48" s="25" t="str">
        <f>"Gordons Bay"</f>
        <v>Gordons Bay</v>
      </c>
      <c r="AF48" s="25" t="str">
        <f t="shared" si="95"/>
        <v/>
      </c>
    </row>
    <row r="49" ht="12.75" customHeight="1">
      <c r="A49" s="17" t="str">
        <f>"SG01251"</f>
        <v>SG01251</v>
      </c>
      <c r="B49" s="18" t="s">
        <v>30</v>
      </c>
      <c r="C49" s="19" t="s">
        <v>31</v>
      </c>
      <c r="D49" s="20">
        <f>SUMIF(Weight!$C:$C,$A49,Weight!$H:$H)</f>
        <v>58.29</v>
      </c>
      <c r="E49" s="21" t="str">
        <f t="shared" si="2"/>
        <v>10 Boeier Crescent ,Sun Valley ,Fish Hoek</v>
      </c>
      <c r="F49" s="19" t="s">
        <v>31</v>
      </c>
      <c r="G49" s="17" t="str">
        <f t="shared" ref="G49:H49" si="98">"Mr Lee Moran"</f>
        <v>Mr Lee Moran</v>
      </c>
      <c r="H49" s="17" t="str">
        <f t="shared" si="98"/>
        <v>Mr Lee Moran</v>
      </c>
      <c r="I49" s="17" t="str">
        <f t="shared" ref="I49:I50" si="100">"0824666878"</f>
        <v>0824666878</v>
      </c>
      <c r="J49" s="22" t="s">
        <v>32</v>
      </c>
      <c r="K49" s="22" t="s">
        <v>32</v>
      </c>
      <c r="L49" s="23" t="s">
        <v>33</v>
      </c>
      <c r="M49" s="22" t="s">
        <v>32</v>
      </c>
      <c r="N49" s="17" t="str">
        <f>"Peninsula - Monday Thursday"</f>
        <v>Peninsula - Monday Thursday</v>
      </c>
      <c r="O49" s="24">
        <v>44945.0</v>
      </c>
      <c r="P49" s="24">
        <v>44943.0</v>
      </c>
      <c r="Q49" s="17" t="str">
        <f t="shared" si="5"/>
        <v>01</v>
      </c>
      <c r="R49" s="25" t="str">
        <f t="shared" ref="R49:R50" si="101">"1"</f>
        <v>1</v>
      </c>
      <c r="S49" s="17" t="str">
        <f>"leegvc@gmail.com"</f>
        <v>leegvc@gmail.com</v>
      </c>
      <c r="T49" s="26">
        <f>SUMIF(Weight!$C:$C,$A49,Weight!$I:$I)</f>
        <v>1101.26</v>
      </c>
      <c r="U49" s="27">
        <v>73622.67</v>
      </c>
      <c r="V49" s="17" t="str">
        <f>"C"</f>
        <v>C</v>
      </c>
      <c r="W49" s="17" t="str">
        <f t="shared" ref="W49:W50" si="102">"EMILE"</f>
        <v>EMILE</v>
      </c>
      <c r="X49" s="28" t="str">
        <f>"C11146"</f>
        <v>C11146</v>
      </c>
      <c r="Y49" s="28">
        <v>1.0</v>
      </c>
      <c r="Z49" s="28">
        <v>0.0</v>
      </c>
      <c r="AA49" s="28">
        <f t="shared" si="6"/>
        <v>73622.67</v>
      </c>
      <c r="AB49" s="29">
        <v>73622.67</v>
      </c>
      <c r="AC49" s="28" t="str">
        <f>"10 Boeier Crescent"</f>
        <v>10 Boeier Crescent</v>
      </c>
      <c r="AD49" s="25" t="str">
        <f>"Sun Valley"</f>
        <v>Sun Valley</v>
      </c>
      <c r="AE49" s="25" t="str">
        <f>"Fish Hoek"</f>
        <v>Fish Hoek</v>
      </c>
      <c r="AF49" s="25" t="str">
        <f t="shared" si="95"/>
        <v/>
      </c>
    </row>
    <row r="50" ht="12.75" customHeight="1">
      <c r="A50" s="17" t="str">
        <f>"SG01264"</f>
        <v>SG01264</v>
      </c>
      <c r="B50" s="18" t="s">
        <v>30</v>
      </c>
      <c r="C50" s="19" t="s">
        <v>31</v>
      </c>
      <c r="D50" s="20">
        <f>SUMIF(Weight!$C:$C,$A50,Weight!$H:$H)</f>
        <v>22.4805</v>
      </c>
      <c r="E50" s="21" t="str">
        <f t="shared" si="2"/>
        <v>ERF 2822 Clarence Drive , ,Betty's Bay</v>
      </c>
      <c r="F50" s="19" t="s">
        <v>31</v>
      </c>
      <c r="G50" s="17" t="str">
        <f t="shared" ref="G50:H50" si="99">"Damtec"</f>
        <v>Damtec</v>
      </c>
      <c r="H50" s="17" t="str">
        <f t="shared" si="99"/>
        <v>Damtec</v>
      </c>
      <c r="I50" s="17" t="str">
        <f t="shared" si="100"/>
        <v>0824666878</v>
      </c>
      <c r="J50" s="22" t="s">
        <v>32</v>
      </c>
      <c r="K50" s="22" t="s">
        <v>32</v>
      </c>
      <c r="L50" s="23" t="s">
        <v>33</v>
      </c>
      <c r="M50" s="22" t="s">
        <v>32</v>
      </c>
      <c r="N50" s="17" t="str">
        <f>"Clarens Drive - Tuesday Friday"</f>
        <v>Clarens Drive - Tuesday Friday</v>
      </c>
      <c r="O50" s="24">
        <v>44946.0</v>
      </c>
      <c r="P50" s="24">
        <v>44943.0</v>
      </c>
      <c r="Q50" s="17" t="str">
        <f t="shared" si="5"/>
        <v>01</v>
      </c>
      <c r="R50" s="25" t="str">
        <f t="shared" si="101"/>
        <v>1</v>
      </c>
      <c r="S50" s="17" t="str">
        <f>"dries262cc@gmail.com"</f>
        <v>dries262cc@gmail.com</v>
      </c>
      <c r="T50" s="26">
        <f>SUMIF(Weight!$C:$C,$A50,Weight!$I:$I)</f>
        <v>162.3005</v>
      </c>
      <c r="U50" s="27">
        <v>4210.0599999999995</v>
      </c>
      <c r="V50" s="17" t="str">
        <f>"F"</f>
        <v>F</v>
      </c>
      <c r="W50" s="17" t="str">
        <f t="shared" si="102"/>
        <v>EMILE</v>
      </c>
      <c r="X50" s="28" t="str">
        <f>"C31022"</f>
        <v>C31022</v>
      </c>
      <c r="Y50" s="28">
        <v>1.0</v>
      </c>
      <c r="Z50" s="28">
        <v>-4210.0599999999995</v>
      </c>
      <c r="AA50" s="28">
        <f t="shared" si="6"/>
        <v>1168.99</v>
      </c>
      <c r="AB50" s="29">
        <v>5379.05</v>
      </c>
      <c r="AC50" s="28" t="str">
        <f>"ERF 2822 Clarence Drive"</f>
        <v>ERF 2822 Clarence Drive</v>
      </c>
      <c r="AD50" s="25" t="str">
        <f>""</f>
        <v/>
      </c>
      <c r="AE50" s="25" t="str">
        <f>"Betty's Bay"</f>
        <v>Betty's Bay</v>
      </c>
      <c r="AF50" s="25" t="str">
        <f t="shared" si="95"/>
        <v/>
      </c>
    </row>
    <row r="51" ht="12.75" customHeight="1">
      <c r="A51" s="17" t="str">
        <f>"SG01267"</f>
        <v>SG01267</v>
      </c>
      <c r="B51" s="18" t="s">
        <v>30</v>
      </c>
      <c r="C51" s="19" t="s">
        <v>31</v>
      </c>
      <c r="D51" s="20">
        <f>SUMIF(Weight!$C:$C,$A51,Weight!$H:$H)</f>
        <v>21.22</v>
      </c>
      <c r="E51" s="21" t="str">
        <f t="shared" si="2"/>
        <v>Helderstroom ,(Villiersdorp area) ,</v>
      </c>
      <c r="F51" s="19" t="s">
        <v>31</v>
      </c>
      <c r="G51" s="17" t="str">
        <f t="shared" ref="G51:H51" si="103">"Elandskloof Guest Farm"</f>
        <v>Elandskloof Guest Farm</v>
      </c>
      <c r="H51" s="17" t="str">
        <f t="shared" si="103"/>
        <v>Elandskloof Guest Farm</v>
      </c>
      <c r="I51" s="17" t="str">
        <f>"0795241315"</f>
        <v>0795241315</v>
      </c>
      <c r="J51" s="22" t="s">
        <v>32</v>
      </c>
      <c r="K51" s="22" t="s">
        <v>32</v>
      </c>
      <c r="L51" s="23" t="s">
        <v>33</v>
      </c>
      <c r="M51" s="22" t="s">
        <v>32</v>
      </c>
      <c r="N51" s="17" t="str">
        <f>"Overstrand - Monday Wednesday"</f>
        <v>Overstrand - Monday Wednesday</v>
      </c>
      <c r="O51" s="24">
        <v>44949.0</v>
      </c>
      <c r="P51" s="24">
        <v>44943.0</v>
      </c>
      <c r="Q51" s="17" t="str">
        <f t="shared" si="5"/>
        <v>01</v>
      </c>
      <c r="R51" s="25" t="str">
        <f>"HELDERSTRO"</f>
        <v>HELDERSTRO</v>
      </c>
      <c r="S51" s="17" t="str">
        <f>"theredtelephoneza@gmail.com"</f>
        <v>theredtelephoneza@gmail.com</v>
      </c>
      <c r="T51" s="26">
        <f>SUMIF(Weight!$C:$C,$A51,Weight!$I:$I)</f>
        <v>1407.2</v>
      </c>
      <c r="U51" s="27">
        <v>14628.02</v>
      </c>
      <c r="V51" s="17" t="str">
        <f>"G"</f>
        <v>G</v>
      </c>
      <c r="W51" s="17" t="str">
        <f t="shared" ref="W51:W52" si="106">"DEREK"</f>
        <v>DEREK</v>
      </c>
      <c r="X51" s="28" t="str">
        <f>"C31981"</f>
        <v>C31981</v>
      </c>
      <c r="Y51" s="28">
        <v>1.0</v>
      </c>
      <c r="Z51" s="28">
        <v>0.0</v>
      </c>
      <c r="AA51" s="28">
        <f t="shared" si="6"/>
        <v>14628.02</v>
      </c>
      <c r="AB51" s="29">
        <v>14628.02</v>
      </c>
      <c r="AC51" s="28" t="str">
        <f>"Helderstroom"</f>
        <v>Helderstroom</v>
      </c>
      <c r="AD51" s="25" t="str">
        <f>"(Villiersdorp area)"</f>
        <v>(Villiersdorp area)</v>
      </c>
      <c r="AE51" s="25" t="str">
        <f t="shared" ref="AE51:AF51" si="104">""</f>
        <v/>
      </c>
      <c r="AF51" s="25" t="str">
        <f t="shared" si="104"/>
        <v/>
      </c>
    </row>
    <row r="52" ht="12.75" customHeight="1">
      <c r="A52" s="17" t="str">
        <f>"SG01270"</f>
        <v>SG01270</v>
      </c>
      <c r="B52" s="18" t="s">
        <v>30</v>
      </c>
      <c r="C52" s="19" t="s">
        <v>31</v>
      </c>
      <c r="D52" s="20">
        <f>SUMIF(Weight!$C:$C,$A52,Weight!$H:$H)</f>
        <v>40.0865</v>
      </c>
      <c r="E52" s="21" t="str">
        <f t="shared" si="2"/>
        <v>27 West Crescent ,Gordons Bay ,</v>
      </c>
      <c r="F52" s="19" t="s">
        <v>31</v>
      </c>
      <c r="G52" s="17" t="str">
        <f t="shared" ref="G52:H52" si="105">"LSM Projects"</f>
        <v>LSM Projects</v>
      </c>
      <c r="H52" s="17" t="str">
        <f t="shared" si="105"/>
        <v>LSM Projects</v>
      </c>
      <c r="I52" s="17" t="str">
        <f>"0768006382"</f>
        <v>0768006382</v>
      </c>
      <c r="J52" s="22" t="s">
        <v>32</v>
      </c>
      <c r="K52" s="22" t="s">
        <v>32</v>
      </c>
      <c r="L52" s="23" t="s">
        <v>33</v>
      </c>
      <c r="M52" s="22" t="s">
        <v>32</v>
      </c>
      <c r="N52" s="17" t="str">
        <f>"Helderberg - Monday Wednesday Friday"</f>
        <v>Helderberg - Monday Wednesday Friday</v>
      </c>
      <c r="O52" s="24">
        <v>44949.0</v>
      </c>
      <c r="P52" s="24">
        <v>44944.0</v>
      </c>
      <c r="Q52" s="17" t="str">
        <f t="shared" si="5"/>
        <v>01</v>
      </c>
      <c r="R52" s="25" t="str">
        <f>"GORDONS BA"</f>
        <v>GORDONS BA</v>
      </c>
      <c r="S52" s="17" t="str">
        <f>"steve@lsm-projects.co.za"</f>
        <v>steve@lsm-projects.co.za</v>
      </c>
      <c r="T52" s="26">
        <f>SUMIF(Weight!$C:$C,$A52,Weight!$I:$I)</f>
        <v>188.092</v>
      </c>
      <c r="U52" s="27">
        <v>3759.4100000000003</v>
      </c>
      <c r="V52" s="17" t="str">
        <f>"A"</f>
        <v>A</v>
      </c>
      <c r="W52" s="17" t="str">
        <f t="shared" si="106"/>
        <v>DEREK</v>
      </c>
      <c r="X52" s="28" t="str">
        <f>"C13481"</f>
        <v>C13481</v>
      </c>
      <c r="Y52" s="28">
        <v>1.0</v>
      </c>
      <c r="Z52" s="28">
        <v>-115.03</v>
      </c>
      <c r="AA52" s="28">
        <f t="shared" si="6"/>
        <v>3644.38</v>
      </c>
      <c r="AB52" s="29">
        <v>14229.130000000001</v>
      </c>
      <c r="AC52" s="28" t="str">
        <f>"27 West Crescent"</f>
        <v>27 West Crescent</v>
      </c>
      <c r="AD52" s="25" t="str">
        <f>"Gordons Bay"</f>
        <v>Gordons Bay</v>
      </c>
      <c r="AE52" s="25" t="str">
        <f t="shared" ref="AE52:AF52" si="107">""</f>
        <v/>
      </c>
      <c r="AF52" s="25" t="str">
        <f t="shared" si="107"/>
        <v/>
      </c>
    </row>
    <row r="53" ht="12.75" customHeight="1">
      <c r="A53" s="17" t="str">
        <f>"SG01283"</f>
        <v>SG01283</v>
      </c>
      <c r="B53" s="18" t="s">
        <v>30</v>
      </c>
      <c r="C53" s="19" t="s">
        <v>31</v>
      </c>
      <c r="D53" s="20">
        <f>SUMIF(Weight!$C:$C,$A53,Weight!$H:$H)</f>
        <v>16.17</v>
      </c>
      <c r="E53" s="21" t="str">
        <f t="shared" si="2"/>
        <v>ERF 2822 Clarence Drive , ,Betty's Bay</v>
      </c>
      <c r="F53" s="19" t="s">
        <v>31</v>
      </c>
      <c r="G53" s="17" t="str">
        <f t="shared" ref="G53:H53" si="108">"Damtec"</f>
        <v>Damtec</v>
      </c>
      <c r="H53" s="17" t="str">
        <f t="shared" si="108"/>
        <v>Damtec</v>
      </c>
      <c r="I53" s="17" t="str">
        <f t="shared" ref="I53:I54" si="110">"0824666878"</f>
        <v>0824666878</v>
      </c>
      <c r="J53" s="22" t="s">
        <v>32</v>
      </c>
      <c r="K53" s="22" t="s">
        <v>32</v>
      </c>
      <c r="L53" s="23" t="s">
        <v>33</v>
      </c>
      <c r="M53" s="22" t="s">
        <v>32</v>
      </c>
      <c r="N53" s="17" t="str">
        <f>"Clarens Drive - Tuesday Friday"</f>
        <v>Clarens Drive - Tuesday Friday</v>
      </c>
      <c r="O53" s="24">
        <v>44946.0</v>
      </c>
      <c r="P53" s="24">
        <v>44944.0</v>
      </c>
      <c r="Q53" s="17" t="str">
        <f t="shared" si="5"/>
        <v>01</v>
      </c>
      <c r="R53" s="25" t="str">
        <f t="shared" ref="R53:R54" si="111">"1"</f>
        <v>1</v>
      </c>
      <c r="S53" s="17" t="str">
        <f>"dries262cc@gmail.com"</f>
        <v>dries262cc@gmail.com</v>
      </c>
      <c r="T53" s="26">
        <f>SUMIF(Weight!$C:$C,$A53,Weight!$I:$I)</f>
        <v>78.1</v>
      </c>
      <c r="U53" s="27">
        <v>1168.99</v>
      </c>
      <c r="V53" s="17" t="str">
        <f>"F"</f>
        <v>F</v>
      </c>
      <c r="W53" s="17" t="str">
        <f>"SIMON"</f>
        <v>SIMON</v>
      </c>
      <c r="X53" s="28" t="str">
        <f>"C31022"</f>
        <v>C31022</v>
      </c>
      <c r="Y53" s="28">
        <v>1.0</v>
      </c>
      <c r="Z53" s="28">
        <v>-4210.0599999999995</v>
      </c>
      <c r="AA53" s="28">
        <f t="shared" si="6"/>
        <v>1168.99</v>
      </c>
      <c r="AB53" s="29">
        <v>5379.05</v>
      </c>
      <c r="AC53" s="28" t="str">
        <f>"ERF 2822 Clarence Drive"</f>
        <v>ERF 2822 Clarence Drive</v>
      </c>
      <c r="AD53" s="25" t="str">
        <f>""</f>
        <v/>
      </c>
      <c r="AE53" s="25" t="str">
        <f>"Betty's Bay"</f>
        <v>Betty's Bay</v>
      </c>
      <c r="AF53" s="25" t="str">
        <f t="shared" ref="AF53:AF61" si="112">""</f>
        <v/>
      </c>
    </row>
    <row r="54" ht="12.75" customHeight="1">
      <c r="A54" s="17" t="str">
        <f>"SG01300"</f>
        <v>SG01300</v>
      </c>
      <c r="B54" s="18" t="s">
        <v>30</v>
      </c>
      <c r="C54" s="19" t="s">
        <v>31</v>
      </c>
      <c r="D54" s="20">
        <f>SUMIF(Weight!$C:$C,$A54,Weight!$H:$H)</f>
        <v>49.186</v>
      </c>
      <c r="E54" s="21" t="str">
        <f t="shared" si="2"/>
        <v>Saratoga Hack ,Farm no. 20, Worcester Street ,Grabouw</v>
      </c>
      <c r="F54" s="19" t="s">
        <v>31</v>
      </c>
      <c r="G54" s="17" t="str">
        <f t="shared" ref="G54:H54" si="109">"AR Millar"</f>
        <v>AR Millar</v>
      </c>
      <c r="H54" s="17" t="str">
        <f t="shared" si="109"/>
        <v>AR Millar</v>
      </c>
      <c r="I54" s="17" t="str">
        <f t="shared" si="110"/>
        <v>0824666878</v>
      </c>
      <c r="J54" s="22" t="s">
        <v>32</v>
      </c>
      <c r="K54" s="22" t="s">
        <v>32</v>
      </c>
      <c r="L54" s="23" t="s">
        <v>33</v>
      </c>
      <c r="M54" s="22" t="s">
        <v>32</v>
      </c>
      <c r="N54" s="17" t="str">
        <f>"Overstrand - Monday Wednesday"</f>
        <v>Overstrand - Monday Wednesday</v>
      </c>
      <c r="O54" s="24">
        <v>44949.0</v>
      </c>
      <c r="P54" s="24">
        <v>44943.0</v>
      </c>
      <c r="Q54" s="17" t="str">
        <f t="shared" si="5"/>
        <v>01</v>
      </c>
      <c r="R54" s="25" t="str">
        <f t="shared" si="111"/>
        <v>1</v>
      </c>
      <c r="S54" s="17" t="str">
        <f>"trudy.millar@gmail.com"</f>
        <v>trudy.millar@gmail.com</v>
      </c>
      <c r="T54" s="26">
        <f>SUMIF(Weight!$C:$C,$A54,Weight!$I:$I)</f>
        <v>330.142</v>
      </c>
      <c r="U54" s="27">
        <v>4394.02</v>
      </c>
      <c r="V54" s="17" t="str">
        <f>"G"</f>
        <v>G</v>
      </c>
      <c r="W54" s="17" t="str">
        <f>"MERCIA"</f>
        <v>MERCIA</v>
      </c>
      <c r="X54" s="28" t="str">
        <f>"C31985"</f>
        <v>C31985</v>
      </c>
      <c r="Y54" s="28">
        <v>1.0</v>
      </c>
      <c r="Z54" s="28">
        <v>0.0</v>
      </c>
      <c r="AA54" s="28">
        <f t="shared" si="6"/>
        <v>4394.02</v>
      </c>
      <c r="AB54" s="29">
        <v>4394.02</v>
      </c>
      <c r="AC54" s="28" t="str">
        <f>"Saratoga Hack"</f>
        <v>Saratoga Hack</v>
      </c>
      <c r="AD54" s="25" t="str">
        <f>"Farm no. 20, Worcester Street"</f>
        <v>Farm no. 20, Worcester Street</v>
      </c>
      <c r="AE54" s="25" t="str">
        <f>"Grabouw"</f>
        <v>Grabouw</v>
      </c>
      <c r="AF54" s="25" t="str">
        <f t="shared" si="112"/>
        <v/>
      </c>
    </row>
    <row r="55" ht="12.75" customHeight="1">
      <c r="A55" s="17" t="str">
        <f>"SG01308"</f>
        <v>SG01308</v>
      </c>
      <c r="B55" s="18" t="s">
        <v>30</v>
      </c>
      <c r="C55" s="19" t="s">
        <v>31</v>
      </c>
      <c r="D55" s="20">
        <f>SUMIF(Weight!$C:$C,$A55,Weight!$H:$H)</f>
        <v>69.14</v>
      </c>
      <c r="E55" s="21" t="str">
        <f t="shared" si="2"/>
        <v>Saxenburg Park 1 , ,Blackheath</v>
      </c>
      <c r="F55" s="19" t="s">
        <v>31</v>
      </c>
      <c r="G55" s="17" t="str">
        <f t="shared" ref="G55:H55" si="113">"Village Timber Contractors"</f>
        <v>Village Timber Contractors</v>
      </c>
      <c r="H55" s="17" t="str">
        <f t="shared" si="113"/>
        <v>Village Timber Contractors</v>
      </c>
      <c r="I55" s="17" t="str">
        <f>"0648000151"</f>
        <v>0648000151</v>
      </c>
      <c r="J55" s="22" t="s">
        <v>32</v>
      </c>
      <c r="K55" s="22" t="s">
        <v>32</v>
      </c>
      <c r="L55" s="23" t="s">
        <v>33</v>
      </c>
      <c r="M55" s="22" t="s">
        <v>32</v>
      </c>
      <c r="N55" s="17" t="str">
        <f>"Durbanville - Wednesday Friday "</f>
        <v>Durbanville - Wednesday Friday </v>
      </c>
      <c r="O55" s="24">
        <v>44946.0</v>
      </c>
      <c r="P55" s="24">
        <v>44944.0</v>
      </c>
      <c r="Q55" s="17" t="str">
        <f t="shared" si="5"/>
        <v>01</v>
      </c>
      <c r="R55" s="25" t="str">
        <f>"2"</f>
        <v>2</v>
      </c>
      <c r="S55" s="17" t="str">
        <f>"projects@villageonline.co.za"</f>
        <v>projects@villageonline.co.za</v>
      </c>
      <c r="T55" s="26">
        <f>SUMIF(Weight!$C:$C,$A55,Weight!$I:$I)</f>
        <v>138.28</v>
      </c>
      <c r="U55" s="27">
        <v>6559.42</v>
      </c>
      <c r="V55" s="17" t="str">
        <f>"D"</f>
        <v>D</v>
      </c>
      <c r="W55" s="17" t="str">
        <f>"SIMON"</f>
        <v>SIMON</v>
      </c>
      <c r="X55" s="28" t="str">
        <f>"C04379"</f>
        <v>C04379</v>
      </c>
      <c r="Y55" s="28">
        <v>1.0</v>
      </c>
      <c r="Z55" s="28">
        <v>0.0</v>
      </c>
      <c r="AA55" s="28">
        <f t="shared" si="6"/>
        <v>6559.42</v>
      </c>
      <c r="AB55" s="29">
        <v>6559.42</v>
      </c>
      <c r="AC55" s="28" t="str">
        <f>"Saxenburg Park 1"</f>
        <v>Saxenburg Park 1</v>
      </c>
      <c r="AD55" s="25" t="str">
        <f t="shared" ref="AD55:AD56" si="115">""</f>
        <v/>
      </c>
      <c r="AE55" s="25" t="str">
        <f>"Blackheath"</f>
        <v>Blackheath</v>
      </c>
      <c r="AF55" s="25" t="str">
        <f t="shared" si="112"/>
        <v/>
      </c>
    </row>
    <row r="56" ht="12.75" customHeight="1">
      <c r="A56" s="17" t="str">
        <f>"SG01328"</f>
        <v>SG01328</v>
      </c>
      <c r="B56" s="18" t="s">
        <v>30</v>
      </c>
      <c r="C56" s="19" t="s">
        <v>31</v>
      </c>
      <c r="D56" s="20">
        <f>SUMIF(Weight!$C:$C,$A56,Weight!$H:$H)</f>
        <v>11.91</v>
      </c>
      <c r="E56" s="21" t="str">
        <f t="shared" si="2"/>
        <v>3 Kloof Road , ,Gordons Bay</v>
      </c>
      <c r="F56" s="19" t="s">
        <v>31</v>
      </c>
      <c r="G56" s="17" t="str">
        <f t="shared" ref="G56:H56" si="114">"Simon Pilbeam "</f>
        <v>Simon Pilbeam </v>
      </c>
      <c r="H56" s="17" t="str">
        <f t="shared" si="114"/>
        <v>Simon Pilbeam </v>
      </c>
      <c r="I56" s="17" t="str">
        <f>"0824666878"</f>
        <v>0824666878</v>
      </c>
      <c r="J56" s="22" t="s">
        <v>32</v>
      </c>
      <c r="K56" s="22" t="s">
        <v>32</v>
      </c>
      <c r="L56" s="23" t="s">
        <v>33</v>
      </c>
      <c r="M56" s="22" t="s">
        <v>32</v>
      </c>
      <c r="N56" s="17" t="str">
        <f t="shared" ref="N56:N57" si="117">"Helderberg - Monday Wednesday Friday"</f>
        <v>Helderberg - Monday Wednesday Friday</v>
      </c>
      <c r="O56" s="24">
        <v>44946.0</v>
      </c>
      <c r="P56" s="24">
        <v>44944.0</v>
      </c>
      <c r="Q56" s="17" t="str">
        <f t="shared" si="5"/>
        <v>01</v>
      </c>
      <c r="R56" s="25" t="str">
        <f>"1"</f>
        <v>1</v>
      </c>
      <c r="S56" s="17" t="str">
        <f>"smp.pilbeam@gmail.com"</f>
        <v>smp.pilbeam@gmail.com</v>
      </c>
      <c r="T56" s="26">
        <f>SUMIF(Weight!$C:$C,$A56,Weight!$I:$I)</f>
        <v>11.91</v>
      </c>
      <c r="U56" s="27">
        <v>697.54</v>
      </c>
      <c r="V56" s="17" t="str">
        <f t="shared" ref="V56:V57" si="118">"A"</f>
        <v>A</v>
      </c>
      <c r="W56" s="17" t="str">
        <f t="shared" ref="W56:W57" si="119">"MERCIA"</f>
        <v>MERCIA</v>
      </c>
      <c r="X56" s="28" t="str">
        <f>"C31988"</f>
        <v>C31988</v>
      </c>
      <c r="Y56" s="28">
        <v>1.0</v>
      </c>
      <c r="Z56" s="28">
        <v>0.0</v>
      </c>
      <c r="AA56" s="28">
        <f t="shared" si="6"/>
        <v>697.54</v>
      </c>
      <c r="AB56" s="29">
        <v>697.54</v>
      </c>
      <c r="AC56" s="28" t="str">
        <f>"3 Kloof Road"</f>
        <v>3 Kloof Road</v>
      </c>
      <c r="AD56" s="25" t="str">
        <f t="shared" si="115"/>
        <v/>
      </c>
      <c r="AE56" s="25" t="str">
        <f>"Gordons Bay"</f>
        <v>Gordons Bay</v>
      </c>
      <c r="AF56" s="25" t="str">
        <f t="shared" si="112"/>
        <v/>
      </c>
    </row>
    <row r="57" ht="12.75" customHeight="1">
      <c r="A57" s="17" t="str">
        <f>"SG01349"</f>
        <v>SG01349</v>
      </c>
      <c r="B57" s="18" t="s">
        <v>30</v>
      </c>
      <c r="C57" s="19" t="s">
        <v>31</v>
      </c>
      <c r="D57" s="20">
        <f>SUMIF(Weight!$C:$C,$A57,Weight!$H:$H)</f>
        <v>20.79</v>
      </c>
      <c r="E57" s="21" t="str">
        <f t="shared" si="2"/>
        <v>6 Crystal Waters Close ,off Sweetwaters Rd ,Firlands / Gordon's Bay</v>
      </c>
      <c r="F57" s="19" t="s">
        <v>31</v>
      </c>
      <c r="G57" s="17" t="str">
        <f t="shared" ref="G57:H57" si="116">"Pixie Fynbos"</f>
        <v>Pixie Fynbos</v>
      </c>
      <c r="H57" s="17" t="str">
        <f t="shared" si="116"/>
        <v>Pixie Fynbos</v>
      </c>
      <c r="I57" s="17" t="str">
        <f>"0843868200"</f>
        <v>0843868200</v>
      </c>
      <c r="J57" s="22" t="s">
        <v>32</v>
      </c>
      <c r="K57" s="22" t="s">
        <v>32</v>
      </c>
      <c r="L57" s="23" t="s">
        <v>33</v>
      </c>
      <c r="M57" s="22" t="s">
        <v>32</v>
      </c>
      <c r="N57" s="17" t="str">
        <f t="shared" si="117"/>
        <v>Helderberg - Monday Wednesday Friday</v>
      </c>
      <c r="O57" s="24">
        <v>44946.0</v>
      </c>
      <c r="P57" s="24">
        <v>44944.0</v>
      </c>
      <c r="Q57" s="17" t="str">
        <f t="shared" si="5"/>
        <v>01</v>
      </c>
      <c r="R57" s="25" t="str">
        <f>"6 CRYSTAL"</f>
        <v>6 CRYSTAL</v>
      </c>
      <c r="S57" s="17" t="str">
        <f>"fynbospixie@gmail.com"</f>
        <v>fynbospixie@gmail.com</v>
      </c>
      <c r="T57" s="26">
        <f>SUMIF(Weight!$C:$C,$A57,Weight!$I:$I)</f>
        <v>166.32</v>
      </c>
      <c r="U57" s="27">
        <v>2149.88</v>
      </c>
      <c r="V57" s="17" t="str">
        <f t="shared" si="118"/>
        <v>A</v>
      </c>
      <c r="W57" s="17" t="str">
        <f t="shared" si="119"/>
        <v>MERCIA</v>
      </c>
      <c r="X57" s="28" t="str">
        <f>"C28344"</f>
        <v>C28344</v>
      </c>
      <c r="Y57" s="28">
        <v>1.0</v>
      </c>
      <c r="Z57" s="28">
        <v>0.0</v>
      </c>
      <c r="AA57" s="28">
        <f t="shared" si="6"/>
        <v>2149.88</v>
      </c>
      <c r="AB57" s="29">
        <v>2149.88</v>
      </c>
      <c r="AC57" s="28" t="str">
        <f>"6 Crystal Waters Close"</f>
        <v>6 Crystal Waters Close</v>
      </c>
      <c r="AD57" s="25" t="str">
        <f>"off Sweetwaters Rd"</f>
        <v>off Sweetwaters Rd</v>
      </c>
      <c r="AE57" s="25" t="str">
        <f>"Firlands / Gordon's Bay"</f>
        <v>Firlands / Gordon's Bay</v>
      </c>
      <c r="AF57" s="25" t="str">
        <f t="shared" si="112"/>
        <v/>
      </c>
    </row>
    <row r="58" ht="12.75" customHeight="1">
      <c r="A58" s="17" t="str">
        <f>"SG01357"</f>
        <v>SG01357</v>
      </c>
      <c r="B58" s="18" t="s">
        <v>30</v>
      </c>
      <c r="C58" s="19" t="s">
        <v>31</v>
      </c>
      <c r="D58" s="20">
        <f>SUMIF(Weight!$C:$C,$A58,Weight!$H:$H)</f>
        <v>21.985</v>
      </c>
      <c r="E58" s="21" t="str">
        <f t="shared" si="2"/>
        <v>579 Anne road , ,Pringle Bay</v>
      </c>
      <c r="F58" s="19" t="s">
        <v>31</v>
      </c>
      <c r="G58" s="17" t="str">
        <f t="shared" ref="G58:H58" si="120">"Oak Tree Custom Carpentry"</f>
        <v>Oak Tree Custom Carpentry</v>
      </c>
      <c r="H58" s="17" t="str">
        <f t="shared" si="120"/>
        <v>Oak Tree Custom Carpentry</v>
      </c>
      <c r="I58" s="17" t="str">
        <f>"0769510527"</f>
        <v>0769510527</v>
      </c>
      <c r="J58" s="22" t="s">
        <v>32</v>
      </c>
      <c r="K58" s="22" t="s">
        <v>32</v>
      </c>
      <c r="L58" s="23" t="s">
        <v>33</v>
      </c>
      <c r="M58" s="22" t="s">
        <v>32</v>
      </c>
      <c r="N58" s="17" t="str">
        <f>" "</f>
        <v> </v>
      </c>
      <c r="O58" s="24" t="str">
        <f>""</f>
        <v/>
      </c>
      <c r="P58" s="24">
        <v>44944.0</v>
      </c>
      <c r="Q58" s="17" t="str">
        <f t="shared" si="5"/>
        <v>01</v>
      </c>
      <c r="R58" s="25" t="str">
        <f>"3"</f>
        <v>3</v>
      </c>
      <c r="S58" s="17" t="str">
        <f>"jethrohubbard@me.com"</f>
        <v>jethrohubbard@me.com</v>
      </c>
      <c r="T58" s="26">
        <f>SUMIF(Weight!$C:$C,$A58,Weight!$I:$I)</f>
        <v>647.98</v>
      </c>
      <c r="U58" s="27">
        <v>22021.5</v>
      </c>
      <c r="V58" s="17" t="str">
        <f>""</f>
        <v/>
      </c>
      <c r="W58" s="17" t="str">
        <f>"SIMON"</f>
        <v>SIMON</v>
      </c>
      <c r="X58" s="28" t="str">
        <f>"C03685"</f>
        <v>C03685</v>
      </c>
      <c r="Y58" s="28">
        <v>1.0</v>
      </c>
      <c r="Z58" s="28">
        <v>0.0</v>
      </c>
      <c r="AA58" s="28">
        <f t="shared" si="6"/>
        <v>22021.5</v>
      </c>
      <c r="AB58" s="29">
        <v>22021.5</v>
      </c>
      <c r="AC58" s="28" t="str">
        <f>"579 Anne road"</f>
        <v>579 Anne road</v>
      </c>
      <c r="AD58" s="25" t="str">
        <f t="shared" ref="AD58:AD59" si="121">""</f>
        <v/>
      </c>
      <c r="AE58" s="25" t="str">
        <f>"Pringle Bay"</f>
        <v>Pringle Bay</v>
      </c>
      <c r="AF58" s="25" t="str">
        <f t="shared" si="112"/>
        <v/>
      </c>
    </row>
    <row r="59" ht="12.75" customHeight="1">
      <c r="A59" s="17" t="str">
        <f>"SG01360"</f>
        <v>SG01360</v>
      </c>
      <c r="B59" s="18" t="s">
        <v>30</v>
      </c>
      <c r="C59" s="19" t="s">
        <v>31</v>
      </c>
      <c r="D59" s="20">
        <f>SUMIF(Weight!$C:$C,$A59,Weight!$H:$H)</f>
        <v>6.02</v>
      </c>
      <c r="E59" s="21" t="str">
        <f t="shared" si="2"/>
        <v>Cnr of Reitz Street &amp; Victoria , ,Somerset West</v>
      </c>
      <c r="F59" s="19" t="s">
        <v>31</v>
      </c>
      <c r="G59" s="17" t="str">
        <f>"TimBuild Woodstock"</f>
        <v>TimBuild Woodstock</v>
      </c>
      <c r="H59" s="17" t="str">
        <f>"TimBuild Somerset West"</f>
        <v>TimBuild Somerset West</v>
      </c>
      <c r="I59" s="17" t="str">
        <f>"0793503026"</f>
        <v>0793503026</v>
      </c>
      <c r="J59" s="22" t="s">
        <v>32</v>
      </c>
      <c r="K59" s="22" t="s">
        <v>32</v>
      </c>
      <c r="L59" s="23" t="s">
        <v>33</v>
      </c>
      <c r="M59" s="22" t="s">
        <v>32</v>
      </c>
      <c r="N59" s="17" t="str">
        <f>"Helderberg - Monday Wednesday Friday"</f>
        <v>Helderberg - Monday Wednesday Friday</v>
      </c>
      <c r="O59" s="24">
        <v>44946.0</v>
      </c>
      <c r="P59" s="24">
        <v>44944.0</v>
      </c>
      <c r="Q59" s="17" t="str">
        <f t="shared" si="5"/>
        <v>01</v>
      </c>
      <c r="R59" s="25" t="str">
        <f>"01"</f>
        <v>01</v>
      </c>
      <c r="S59" s="17" t="str">
        <f>"leo@timbuildwoodstock.co.za"</f>
        <v>leo@timbuildwoodstock.co.za</v>
      </c>
      <c r="T59" s="26">
        <f>SUMIF(Weight!$C:$C,$A59,Weight!$I:$I)</f>
        <v>13.76</v>
      </c>
      <c r="U59" s="27">
        <v>1811.09</v>
      </c>
      <c r="V59" s="17" t="str">
        <f>"A"</f>
        <v>A</v>
      </c>
      <c r="W59" s="17" t="str">
        <f>"IAN"</f>
        <v>IAN</v>
      </c>
      <c r="X59" s="28" t="str">
        <f>"C29632"</f>
        <v>C29632</v>
      </c>
      <c r="Y59" s="28">
        <v>100000.99999999999</v>
      </c>
      <c r="Z59" s="28">
        <v>2685.67</v>
      </c>
      <c r="AA59" s="28">
        <f t="shared" si="6"/>
        <v>104497.76</v>
      </c>
      <c r="AB59" s="29">
        <v>32905.64</v>
      </c>
      <c r="AC59" s="28" t="str">
        <f>"Cnr of Reitz Street &amp; Victoria"</f>
        <v>Cnr of Reitz Street &amp; Victoria</v>
      </c>
      <c r="AD59" s="25" t="str">
        <f t="shared" si="121"/>
        <v/>
      </c>
      <c r="AE59" s="25" t="str">
        <f>"Somerset West"</f>
        <v>Somerset West</v>
      </c>
      <c r="AF59" s="25" t="str">
        <f t="shared" si="112"/>
        <v/>
      </c>
    </row>
    <row r="60" ht="12.75" customHeight="1">
      <c r="A60" s="17" t="str">
        <f>"SG01371"</f>
        <v>SG01371</v>
      </c>
      <c r="B60" s="18" t="s">
        <v>30</v>
      </c>
      <c r="C60" s="19" t="s">
        <v>31</v>
      </c>
      <c r="D60" s="20">
        <f>SUMIF(Weight!$C:$C,$A60,Weight!$H:$H)</f>
        <v>64.98</v>
      </c>
      <c r="E60" s="21" t="str">
        <f t="shared" si="2"/>
        <v>Fijndraai Estate ,Annadale Road ,Lynedoch</v>
      </c>
      <c r="F60" s="19" t="s">
        <v>31</v>
      </c>
      <c r="G60" s="17" t="str">
        <f t="shared" ref="G60:H60" si="122">"DRD Investment"</f>
        <v>DRD Investment</v>
      </c>
      <c r="H60" s="17" t="str">
        <f t="shared" si="122"/>
        <v>DRD Investment</v>
      </c>
      <c r="I60" s="17" t="str">
        <f>"0824666878"</f>
        <v>0824666878</v>
      </c>
      <c r="J60" s="22" t="s">
        <v>32</v>
      </c>
      <c r="K60" s="22" t="s">
        <v>32</v>
      </c>
      <c r="L60" s="23" t="s">
        <v>33</v>
      </c>
      <c r="M60" s="22" t="s">
        <v>32</v>
      </c>
      <c r="N60" s="17" t="str">
        <f>"Stellenbosch - Tuesday Thursday"</f>
        <v>Stellenbosch - Tuesday Thursday</v>
      </c>
      <c r="O60" s="24">
        <v>44945.0</v>
      </c>
      <c r="P60" s="24">
        <v>44944.0</v>
      </c>
      <c r="Q60" s="17" t="str">
        <f t="shared" si="5"/>
        <v>01</v>
      </c>
      <c r="R60" s="25" t="str">
        <f>"1"</f>
        <v>1</v>
      </c>
      <c r="S60" s="17" t="str">
        <f>"laurelvc@gmail.com"</f>
        <v>laurelvc@gmail.com</v>
      </c>
      <c r="T60" s="26">
        <f>SUMIF(Weight!$C:$C,$A60,Weight!$I:$I)</f>
        <v>343.71</v>
      </c>
      <c r="U60" s="27">
        <v>5420.41</v>
      </c>
      <c r="V60" s="17" t="str">
        <f>"B"</f>
        <v>B</v>
      </c>
      <c r="W60" s="17" t="str">
        <f>"EMILE"</f>
        <v>EMILE</v>
      </c>
      <c r="X60" s="28" t="str">
        <f>"C01091"</f>
        <v>C01091</v>
      </c>
      <c r="Y60" s="28">
        <v>1.0</v>
      </c>
      <c r="Z60" s="28">
        <v>0.0</v>
      </c>
      <c r="AA60" s="28">
        <f t="shared" si="6"/>
        <v>5420.41</v>
      </c>
      <c r="AB60" s="29">
        <v>5420.41</v>
      </c>
      <c r="AC60" s="28" t="str">
        <f>"Fijndraai Estate"</f>
        <v>Fijndraai Estate</v>
      </c>
      <c r="AD60" s="25" t="str">
        <f>"Annadale Road"</f>
        <v>Annadale Road</v>
      </c>
      <c r="AE60" s="25" t="str">
        <f>"Lynedoch"</f>
        <v>Lynedoch</v>
      </c>
      <c r="AF60" s="25" t="str">
        <f t="shared" si="112"/>
        <v/>
      </c>
    </row>
    <row r="61" ht="12.75" customHeight="1">
      <c r="A61" s="17" t="str">
        <f>"SG01375"</f>
        <v>SG01375</v>
      </c>
      <c r="B61" s="18" t="s">
        <v>30</v>
      </c>
      <c r="C61" s="19" t="s">
        <v>31</v>
      </c>
      <c r="D61" s="20">
        <f>SUMIF(Weight!$C:$C,$A61,Weight!$H:$H)</f>
        <v>229.74</v>
      </c>
      <c r="E61" s="21" t="str">
        <f t="shared" si="2"/>
        <v>1462 Dennys Rd , ,Pringle Bay</v>
      </c>
      <c r="F61" s="19" t="s">
        <v>31</v>
      </c>
      <c r="G61" s="17" t="str">
        <f t="shared" ref="G61:H61" si="123">"Sir Heritage"</f>
        <v>Sir Heritage</v>
      </c>
      <c r="H61" s="17" t="str">
        <f t="shared" si="123"/>
        <v>Sir Heritage</v>
      </c>
      <c r="I61" s="17" t="str">
        <f>"0828159165"</f>
        <v>0828159165</v>
      </c>
      <c r="J61" s="22" t="s">
        <v>32</v>
      </c>
      <c r="K61" s="22" t="s">
        <v>32</v>
      </c>
      <c r="L61" s="23" t="s">
        <v>33</v>
      </c>
      <c r="M61" s="22" t="s">
        <v>32</v>
      </c>
      <c r="N61" s="17" t="str">
        <f>"Clarens Drive - Tuesday Friday"</f>
        <v>Clarens Drive - Tuesday Friday</v>
      </c>
      <c r="O61" s="24">
        <v>44946.0</v>
      </c>
      <c r="P61" s="24">
        <v>44944.0</v>
      </c>
      <c r="Q61" s="17" t="str">
        <f t="shared" si="5"/>
        <v>01</v>
      </c>
      <c r="R61" s="25" t="str">
        <f>"3"</f>
        <v>3</v>
      </c>
      <c r="S61" s="17" t="str">
        <f>"heritagestephen@hotmail.com"</f>
        <v>heritagestephen@hotmail.com</v>
      </c>
      <c r="T61" s="26">
        <f>SUMIF(Weight!$C:$C,$A61,Weight!$I:$I)</f>
        <v>1858.52</v>
      </c>
      <c r="U61" s="27">
        <v>32300.800000000003</v>
      </c>
      <c r="V61" s="17" t="str">
        <f>"F"</f>
        <v>F</v>
      </c>
      <c r="W61" s="17" t="str">
        <f>"DOUGLAS"</f>
        <v>DOUGLAS</v>
      </c>
      <c r="X61" s="28" t="str">
        <f>"C00250"</f>
        <v>C00250</v>
      </c>
      <c r="Y61" s="28">
        <v>1.0</v>
      </c>
      <c r="Z61" s="28">
        <v>-32300.800000000003</v>
      </c>
      <c r="AA61" s="28">
        <f t="shared" si="6"/>
        <v>0</v>
      </c>
      <c r="AB61" s="29">
        <v>81523.70999999999</v>
      </c>
      <c r="AC61" s="28" t="str">
        <f>"1462 Dennys Rd"</f>
        <v>1462 Dennys Rd</v>
      </c>
      <c r="AD61" s="25" t="str">
        <f>""</f>
        <v/>
      </c>
      <c r="AE61" s="25" t="str">
        <f>"Pringle Bay"</f>
        <v>Pringle Bay</v>
      </c>
      <c r="AF61" s="25" t="str">
        <f t="shared" si="112"/>
        <v/>
      </c>
    </row>
    <row r="62" ht="12.75" customHeight="1">
      <c r="B62" s="21"/>
      <c r="C62" s="21"/>
      <c r="E62" s="21"/>
      <c r="F62" s="21"/>
      <c r="J62" s="21"/>
      <c r="K62" s="21"/>
      <c r="L62" s="21"/>
      <c r="M62" s="21"/>
      <c r="O62" s="24"/>
      <c r="P62" s="24"/>
      <c r="U62" s="27"/>
      <c r="X62" s="21"/>
      <c r="Y62" s="21"/>
      <c r="Z62" s="21"/>
      <c r="AA62" s="28"/>
      <c r="AB62" s="29"/>
      <c r="AC62" s="21"/>
      <c r="AD62" s="25"/>
      <c r="AE62" s="25"/>
      <c r="AF62" s="25"/>
    </row>
    <row r="63" ht="12.75" customHeight="1">
      <c r="B63" s="21"/>
      <c r="C63" s="21"/>
      <c r="E63" s="21"/>
      <c r="F63" s="21"/>
      <c r="J63" s="21"/>
      <c r="K63" s="21"/>
      <c r="L63" s="21"/>
      <c r="M63" s="21"/>
      <c r="O63" s="24"/>
      <c r="P63" s="24"/>
      <c r="U63" s="27"/>
      <c r="X63" s="21"/>
      <c r="Y63" s="21"/>
      <c r="Z63" s="21"/>
      <c r="AA63" s="28"/>
      <c r="AB63" s="29"/>
      <c r="AC63" s="21"/>
      <c r="AD63" s="25"/>
      <c r="AE63" s="25"/>
      <c r="AF63" s="25"/>
    </row>
    <row r="64" ht="12.75" customHeight="1">
      <c r="B64" s="21"/>
      <c r="C64" s="21"/>
      <c r="E64" s="21"/>
      <c r="F64" s="21"/>
      <c r="J64" s="21"/>
      <c r="K64" s="21"/>
      <c r="L64" s="21"/>
      <c r="M64" s="21"/>
      <c r="O64" s="24"/>
      <c r="P64" s="24"/>
      <c r="U64" s="27"/>
      <c r="X64" s="21"/>
      <c r="Y64" s="21"/>
      <c r="Z64" s="21"/>
      <c r="AA64" s="28"/>
      <c r="AB64" s="29"/>
      <c r="AC64" s="21"/>
      <c r="AD64" s="25"/>
      <c r="AE64" s="25"/>
      <c r="AF64" s="25"/>
    </row>
    <row r="65" ht="12.75" customHeight="1">
      <c r="B65" s="21"/>
      <c r="C65" s="21"/>
      <c r="E65" s="21"/>
      <c r="F65" s="21"/>
      <c r="J65" s="21"/>
      <c r="K65" s="21"/>
      <c r="L65" s="21"/>
      <c r="M65" s="21"/>
      <c r="O65" s="24"/>
      <c r="P65" s="24"/>
      <c r="U65" s="27"/>
      <c r="X65" s="21"/>
      <c r="Y65" s="21"/>
      <c r="Z65" s="21"/>
      <c r="AA65" s="28"/>
      <c r="AB65" s="29"/>
      <c r="AC65" s="21"/>
      <c r="AD65" s="25"/>
      <c r="AE65" s="25"/>
      <c r="AF65" s="25"/>
    </row>
    <row r="66" ht="12.75" customHeight="1">
      <c r="B66" s="21"/>
      <c r="C66" s="21"/>
      <c r="E66" s="21"/>
      <c r="F66" s="21"/>
      <c r="J66" s="21"/>
      <c r="K66" s="21"/>
      <c r="L66" s="21"/>
      <c r="M66" s="21"/>
      <c r="O66" s="24"/>
      <c r="P66" s="24"/>
      <c r="U66" s="27"/>
      <c r="X66" s="21"/>
      <c r="Y66" s="21"/>
      <c r="Z66" s="21"/>
      <c r="AA66" s="28"/>
      <c r="AB66" s="29"/>
      <c r="AC66" s="21"/>
      <c r="AD66" s="25"/>
      <c r="AE66" s="25"/>
      <c r="AF66" s="25"/>
    </row>
    <row r="67" ht="12.75" customHeight="1">
      <c r="B67" s="21"/>
      <c r="C67" s="21"/>
      <c r="E67" s="21"/>
      <c r="F67" s="21"/>
      <c r="J67" s="21"/>
      <c r="K67" s="21"/>
      <c r="L67" s="21"/>
      <c r="M67" s="21"/>
      <c r="O67" s="24"/>
      <c r="P67" s="24"/>
      <c r="U67" s="27"/>
      <c r="X67" s="21"/>
      <c r="Y67" s="21"/>
      <c r="Z67" s="21"/>
      <c r="AA67" s="28"/>
      <c r="AB67" s="29"/>
      <c r="AC67" s="21"/>
      <c r="AD67" s="25"/>
      <c r="AE67" s="25"/>
      <c r="AF67" s="25"/>
    </row>
    <row r="68" ht="12.75" customHeight="1">
      <c r="B68" s="21"/>
      <c r="C68" s="21"/>
      <c r="E68" s="21"/>
      <c r="F68" s="21"/>
      <c r="J68" s="21"/>
      <c r="K68" s="21"/>
      <c r="L68" s="21"/>
      <c r="M68" s="21"/>
      <c r="O68" s="24"/>
      <c r="P68" s="24"/>
      <c r="U68" s="27"/>
      <c r="X68" s="21"/>
      <c r="Y68" s="21"/>
      <c r="Z68" s="21"/>
      <c r="AA68" s="28"/>
      <c r="AB68" s="29"/>
      <c r="AC68" s="21"/>
      <c r="AD68" s="25"/>
      <c r="AE68" s="25"/>
      <c r="AF68" s="25"/>
    </row>
    <row r="69" ht="12.75" customHeight="1">
      <c r="B69" s="21"/>
      <c r="C69" s="21"/>
      <c r="E69" s="21"/>
      <c r="F69" s="21"/>
      <c r="J69" s="21"/>
      <c r="K69" s="21"/>
      <c r="L69" s="21"/>
      <c r="M69" s="21"/>
      <c r="O69" s="24"/>
      <c r="P69" s="24"/>
      <c r="U69" s="27"/>
      <c r="X69" s="21"/>
      <c r="Y69" s="21"/>
      <c r="Z69" s="21"/>
      <c r="AA69" s="28"/>
      <c r="AB69" s="29"/>
      <c r="AC69" s="21"/>
      <c r="AD69" s="25"/>
      <c r="AE69" s="25"/>
      <c r="AF69" s="25"/>
    </row>
    <row r="70" ht="12.75" customHeight="1">
      <c r="B70" s="21"/>
      <c r="C70" s="21"/>
      <c r="E70" s="21"/>
      <c r="F70" s="21"/>
      <c r="J70" s="21"/>
      <c r="K70" s="21"/>
      <c r="L70" s="21"/>
      <c r="M70" s="21"/>
      <c r="O70" s="24"/>
      <c r="P70" s="24"/>
      <c r="U70" s="27"/>
      <c r="X70" s="21"/>
      <c r="Y70" s="21"/>
      <c r="Z70" s="21"/>
      <c r="AA70" s="28"/>
      <c r="AB70" s="29"/>
      <c r="AC70" s="21"/>
      <c r="AD70" s="25"/>
      <c r="AE70" s="25"/>
      <c r="AF70" s="25"/>
    </row>
    <row r="71" ht="12.75" customHeight="1">
      <c r="B71" s="21"/>
      <c r="C71" s="21"/>
      <c r="E71" s="21"/>
      <c r="F71" s="21"/>
      <c r="J71" s="21"/>
      <c r="K71" s="21"/>
      <c r="L71" s="21"/>
      <c r="M71" s="21"/>
      <c r="O71" s="24"/>
      <c r="P71" s="24"/>
      <c r="U71" s="27"/>
      <c r="X71" s="21"/>
      <c r="Y71" s="21"/>
      <c r="Z71" s="21"/>
      <c r="AA71" s="28"/>
      <c r="AB71" s="29"/>
      <c r="AC71" s="21"/>
      <c r="AD71" s="25"/>
      <c r="AE71" s="25"/>
      <c r="AF71" s="25"/>
    </row>
    <row r="72" ht="12.75" customHeight="1">
      <c r="B72" s="21"/>
      <c r="C72" s="21"/>
      <c r="E72" s="21"/>
      <c r="F72" s="21"/>
      <c r="J72" s="21"/>
      <c r="K72" s="21"/>
      <c r="L72" s="21"/>
      <c r="M72" s="21"/>
      <c r="O72" s="24"/>
      <c r="P72" s="24"/>
      <c r="U72" s="27"/>
      <c r="X72" s="21"/>
      <c r="Y72" s="21"/>
      <c r="Z72" s="21"/>
      <c r="AA72" s="28"/>
      <c r="AB72" s="29"/>
      <c r="AC72" s="21"/>
      <c r="AD72" s="25"/>
      <c r="AE72" s="25"/>
      <c r="AF72" s="25"/>
    </row>
    <row r="73" ht="12.75" customHeight="1">
      <c r="B73" s="21"/>
      <c r="C73" s="21"/>
      <c r="E73" s="21"/>
      <c r="F73" s="21"/>
      <c r="J73" s="21"/>
      <c r="K73" s="21"/>
      <c r="L73" s="21"/>
      <c r="M73" s="21"/>
      <c r="O73" s="24"/>
      <c r="P73" s="24"/>
      <c r="U73" s="27"/>
      <c r="X73" s="21"/>
      <c r="Y73" s="21"/>
      <c r="Z73" s="21"/>
      <c r="AA73" s="28"/>
      <c r="AB73" s="29"/>
      <c r="AC73" s="21"/>
      <c r="AD73" s="25"/>
      <c r="AE73" s="25"/>
      <c r="AF73" s="25"/>
    </row>
    <row r="74" ht="12.75" customHeight="1">
      <c r="B74" s="21"/>
      <c r="C74" s="21"/>
      <c r="E74" s="21"/>
      <c r="F74" s="21"/>
      <c r="J74" s="21"/>
      <c r="K74" s="21"/>
      <c r="L74" s="21"/>
      <c r="M74" s="21"/>
      <c r="O74" s="24"/>
      <c r="P74" s="24"/>
      <c r="U74" s="27"/>
      <c r="X74" s="21"/>
      <c r="Y74" s="21"/>
      <c r="Z74" s="21"/>
      <c r="AA74" s="28"/>
      <c r="AB74" s="29"/>
      <c r="AC74" s="21"/>
      <c r="AD74" s="25"/>
      <c r="AE74" s="25"/>
      <c r="AF74" s="25"/>
    </row>
    <row r="75" ht="12.75" customHeight="1">
      <c r="B75" s="21"/>
      <c r="C75" s="21"/>
      <c r="E75" s="21"/>
      <c r="F75" s="21"/>
      <c r="J75" s="21"/>
      <c r="K75" s="21"/>
      <c r="L75" s="21"/>
      <c r="M75" s="21"/>
      <c r="O75" s="24"/>
      <c r="P75" s="24"/>
      <c r="U75" s="27"/>
      <c r="X75" s="21"/>
      <c r="Y75" s="21"/>
      <c r="Z75" s="21"/>
      <c r="AA75" s="28"/>
      <c r="AB75" s="29"/>
      <c r="AC75" s="21"/>
      <c r="AD75" s="25"/>
      <c r="AE75" s="25"/>
      <c r="AF75" s="25"/>
    </row>
    <row r="76" ht="12.75" customHeight="1">
      <c r="B76" s="21"/>
      <c r="C76" s="21"/>
      <c r="E76" s="21"/>
      <c r="F76" s="21"/>
      <c r="J76" s="21"/>
      <c r="K76" s="21"/>
      <c r="L76" s="21"/>
      <c r="M76" s="21"/>
      <c r="O76" s="24"/>
      <c r="P76" s="24"/>
      <c r="U76" s="27"/>
      <c r="X76" s="21"/>
      <c r="Y76" s="21"/>
      <c r="Z76" s="21"/>
      <c r="AA76" s="28"/>
      <c r="AB76" s="29"/>
      <c r="AC76" s="21"/>
      <c r="AD76" s="25"/>
      <c r="AE76" s="25"/>
      <c r="AF76" s="25"/>
    </row>
    <row r="77" ht="12.75" customHeight="1">
      <c r="B77" s="21"/>
      <c r="C77" s="21"/>
      <c r="E77" s="21"/>
      <c r="F77" s="21"/>
      <c r="J77" s="21"/>
      <c r="K77" s="21"/>
      <c r="L77" s="21"/>
      <c r="M77" s="21"/>
      <c r="O77" s="24"/>
      <c r="P77" s="24"/>
      <c r="U77" s="27"/>
      <c r="X77" s="21"/>
      <c r="Y77" s="21"/>
      <c r="Z77" s="21"/>
      <c r="AA77" s="28"/>
      <c r="AB77" s="29"/>
      <c r="AC77" s="21"/>
      <c r="AD77" s="25"/>
      <c r="AE77" s="25"/>
      <c r="AF77" s="25"/>
    </row>
    <row r="78" ht="12.75" customHeight="1">
      <c r="B78" s="21"/>
      <c r="C78" s="21"/>
      <c r="E78" s="21"/>
      <c r="F78" s="21"/>
      <c r="J78" s="21"/>
      <c r="K78" s="21"/>
      <c r="L78" s="21"/>
      <c r="M78" s="21"/>
      <c r="O78" s="24"/>
      <c r="P78" s="24"/>
      <c r="U78" s="27"/>
      <c r="X78" s="21"/>
      <c r="Y78" s="21"/>
      <c r="Z78" s="21"/>
      <c r="AA78" s="28"/>
      <c r="AB78" s="29"/>
      <c r="AC78" s="21"/>
      <c r="AD78" s="25"/>
      <c r="AE78" s="25"/>
      <c r="AF78" s="25"/>
    </row>
    <row r="79" ht="12.75" customHeight="1">
      <c r="B79" s="21"/>
      <c r="C79" s="21"/>
      <c r="E79" s="21"/>
      <c r="F79" s="21"/>
      <c r="J79" s="21"/>
      <c r="K79" s="21"/>
      <c r="L79" s="21"/>
      <c r="M79" s="21"/>
      <c r="O79" s="24"/>
      <c r="P79" s="24"/>
      <c r="U79" s="27"/>
      <c r="X79" s="21"/>
      <c r="Y79" s="21"/>
      <c r="Z79" s="21"/>
      <c r="AA79" s="28"/>
      <c r="AB79" s="29"/>
      <c r="AC79" s="21"/>
      <c r="AD79" s="25"/>
      <c r="AE79" s="25"/>
      <c r="AF79" s="25"/>
    </row>
    <row r="80" ht="12.75" customHeight="1">
      <c r="B80" s="21"/>
      <c r="C80" s="21"/>
      <c r="E80" s="21"/>
      <c r="F80" s="21"/>
      <c r="J80" s="21"/>
      <c r="K80" s="21"/>
      <c r="L80" s="21"/>
      <c r="M80" s="21"/>
      <c r="O80" s="24"/>
      <c r="P80" s="24"/>
      <c r="U80" s="27"/>
      <c r="X80" s="21"/>
      <c r="Y80" s="21"/>
      <c r="Z80" s="21"/>
      <c r="AA80" s="28"/>
      <c r="AB80" s="29"/>
      <c r="AC80" s="21"/>
      <c r="AD80" s="25"/>
      <c r="AE80" s="25"/>
      <c r="AF80" s="25"/>
    </row>
    <row r="81" ht="12.75" customHeight="1">
      <c r="B81" s="21"/>
      <c r="C81" s="21"/>
      <c r="E81" s="21"/>
      <c r="F81" s="21"/>
      <c r="J81" s="21"/>
      <c r="K81" s="21"/>
      <c r="L81" s="21"/>
      <c r="M81" s="21"/>
      <c r="O81" s="24"/>
      <c r="P81" s="24"/>
      <c r="U81" s="27"/>
      <c r="X81" s="21"/>
      <c r="Y81" s="21"/>
      <c r="Z81" s="21"/>
      <c r="AA81" s="28"/>
      <c r="AB81" s="29"/>
      <c r="AC81" s="21"/>
      <c r="AD81" s="25"/>
      <c r="AE81" s="25"/>
      <c r="AF81" s="25"/>
    </row>
    <row r="82" ht="12.75" customHeight="1">
      <c r="B82" s="21"/>
      <c r="C82" s="21"/>
      <c r="E82" s="21"/>
      <c r="F82" s="21"/>
      <c r="J82" s="21"/>
      <c r="K82" s="21"/>
      <c r="L82" s="21"/>
      <c r="M82" s="21"/>
      <c r="O82" s="24"/>
      <c r="P82" s="24"/>
      <c r="U82" s="27"/>
      <c r="X82" s="21"/>
      <c r="Y82" s="21"/>
      <c r="Z82" s="21"/>
      <c r="AA82" s="28"/>
      <c r="AB82" s="29"/>
      <c r="AC82" s="21"/>
      <c r="AD82" s="25"/>
      <c r="AE82" s="25"/>
      <c r="AF82" s="25"/>
    </row>
    <row r="83" ht="12.75" customHeight="1">
      <c r="B83" s="21"/>
      <c r="C83" s="21"/>
      <c r="E83" s="21"/>
      <c r="F83" s="21"/>
      <c r="J83" s="21"/>
      <c r="K83" s="21"/>
      <c r="L83" s="21"/>
      <c r="M83" s="21"/>
      <c r="O83" s="24"/>
      <c r="P83" s="24"/>
      <c r="U83" s="27"/>
      <c r="X83" s="21"/>
      <c r="Y83" s="21"/>
      <c r="Z83" s="21"/>
      <c r="AA83" s="28"/>
      <c r="AB83" s="29"/>
      <c r="AC83" s="21"/>
      <c r="AD83" s="25"/>
      <c r="AE83" s="25"/>
      <c r="AF83" s="25"/>
    </row>
    <row r="84" ht="12.75" customHeight="1">
      <c r="B84" s="21"/>
      <c r="C84" s="21"/>
      <c r="E84" s="21"/>
      <c r="F84" s="21"/>
      <c r="J84" s="21"/>
      <c r="K84" s="21"/>
      <c r="L84" s="21"/>
      <c r="M84" s="21"/>
      <c r="O84" s="24"/>
      <c r="P84" s="24"/>
      <c r="U84" s="27"/>
      <c r="X84" s="21"/>
      <c r="Y84" s="21"/>
      <c r="Z84" s="21"/>
      <c r="AA84" s="28"/>
      <c r="AB84" s="29"/>
      <c r="AC84" s="21"/>
      <c r="AD84" s="25"/>
      <c r="AE84" s="25"/>
      <c r="AF84" s="25"/>
    </row>
    <row r="85" ht="12.75" customHeight="1">
      <c r="B85" s="21"/>
      <c r="C85" s="21"/>
      <c r="E85" s="21"/>
      <c r="F85" s="21"/>
      <c r="J85" s="21"/>
      <c r="K85" s="21"/>
      <c r="L85" s="21"/>
      <c r="M85" s="21"/>
      <c r="O85" s="24"/>
      <c r="P85" s="24"/>
      <c r="U85" s="27"/>
      <c r="X85" s="21"/>
      <c r="Y85" s="21"/>
      <c r="Z85" s="21"/>
      <c r="AA85" s="28"/>
      <c r="AB85" s="29"/>
      <c r="AC85" s="21"/>
      <c r="AD85" s="25"/>
      <c r="AE85" s="25"/>
      <c r="AF85" s="25"/>
    </row>
    <row r="86" ht="12.75" customHeight="1">
      <c r="B86" s="21"/>
      <c r="C86" s="21"/>
      <c r="E86" s="21"/>
      <c r="F86" s="21"/>
      <c r="J86" s="21"/>
      <c r="K86" s="21"/>
      <c r="L86" s="21"/>
      <c r="M86" s="21"/>
      <c r="O86" s="24"/>
      <c r="P86" s="24"/>
      <c r="U86" s="27"/>
      <c r="X86" s="21"/>
      <c r="Y86" s="21"/>
      <c r="Z86" s="21"/>
      <c r="AA86" s="28"/>
      <c r="AB86" s="29"/>
      <c r="AC86" s="21"/>
      <c r="AD86" s="25"/>
      <c r="AE86" s="25"/>
      <c r="AF86" s="25"/>
    </row>
    <row r="87" ht="12.75" customHeight="1">
      <c r="B87" s="21"/>
      <c r="C87" s="21"/>
      <c r="E87" s="21"/>
      <c r="F87" s="21"/>
      <c r="J87" s="21"/>
      <c r="K87" s="21"/>
      <c r="L87" s="21"/>
      <c r="M87" s="21"/>
      <c r="O87" s="24"/>
      <c r="P87" s="24"/>
      <c r="U87" s="27"/>
      <c r="X87" s="21"/>
      <c r="Y87" s="21"/>
      <c r="Z87" s="21"/>
      <c r="AA87" s="28"/>
      <c r="AB87" s="29"/>
      <c r="AC87" s="21"/>
      <c r="AD87" s="25"/>
      <c r="AE87" s="25"/>
      <c r="AF87" s="25"/>
    </row>
    <row r="88" ht="12.75" customHeight="1">
      <c r="B88" s="21"/>
      <c r="C88" s="21"/>
      <c r="E88" s="21"/>
      <c r="F88" s="21"/>
      <c r="J88" s="21"/>
      <c r="K88" s="21"/>
      <c r="L88" s="21"/>
      <c r="M88" s="21"/>
      <c r="O88" s="24"/>
      <c r="P88" s="24"/>
      <c r="U88" s="27"/>
      <c r="X88" s="21"/>
      <c r="Y88" s="21"/>
      <c r="Z88" s="21"/>
      <c r="AA88" s="28"/>
      <c r="AB88" s="29"/>
      <c r="AC88" s="21"/>
      <c r="AD88" s="25"/>
      <c r="AE88" s="25"/>
      <c r="AF88" s="25"/>
    </row>
    <row r="89" ht="12.75" customHeight="1">
      <c r="B89" s="21"/>
      <c r="C89" s="21"/>
      <c r="E89" s="21"/>
      <c r="F89" s="21"/>
      <c r="J89" s="21"/>
      <c r="K89" s="21"/>
      <c r="L89" s="21"/>
      <c r="M89" s="21"/>
      <c r="O89" s="24"/>
      <c r="P89" s="24"/>
      <c r="U89" s="27"/>
      <c r="X89" s="21"/>
      <c r="Y89" s="21"/>
      <c r="Z89" s="21"/>
      <c r="AA89" s="28"/>
      <c r="AB89" s="29"/>
      <c r="AC89" s="21"/>
      <c r="AD89" s="25"/>
      <c r="AE89" s="25"/>
      <c r="AF89" s="25"/>
    </row>
    <row r="90" ht="12.75" customHeight="1">
      <c r="B90" s="21"/>
      <c r="C90" s="21"/>
      <c r="E90" s="21"/>
      <c r="F90" s="21"/>
      <c r="J90" s="21"/>
      <c r="K90" s="21"/>
      <c r="L90" s="21"/>
      <c r="M90" s="21"/>
      <c r="O90" s="24"/>
      <c r="P90" s="24"/>
      <c r="U90" s="27"/>
      <c r="X90" s="21"/>
      <c r="Y90" s="21"/>
      <c r="Z90" s="21"/>
      <c r="AA90" s="28"/>
      <c r="AB90" s="29"/>
      <c r="AC90" s="21"/>
      <c r="AD90" s="25"/>
      <c r="AE90" s="25"/>
      <c r="AF90" s="25"/>
    </row>
    <row r="91" ht="12.75" customHeight="1">
      <c r="B91" s="21"/>
      <c r="C91" s="21"/>
      <c r="E91" s="21"/>
      <c r="F91" s="21"/>
      <c r="J91" s="21"/>
      <c r="K91" s="21"/>
      <c r="L91" s="21"/>
      <c r="M91" s="21"/>
      <c r="O91" s="24"/>
      <c r="P91" s="24"/>
      <c r="U91" s="27"/>
      <c r="X91" s="21"/>
      <c r="Y91" s="21"/>
      <c r="Z91" s="21"/>
      <c r="AA91" s="28"/>
      <c r="AB91" s="29"/>
      <c r="AC91" s="21"/>
      <c r="AD91" s="25"/>
      <c r="AE91" s="25"/>
      <c r="AF91" s="25"/>
    </row>
    <row r="92" ht="12.75" customHeight="1">
      <c r="B92" s="21"/>
      <c r="C92" s="21"/>
      <c r="E92" s="21"/>
      <c r="F92" s="21"/>
      <c r="J92" s="21"/>
      <c r="K92" s="21"/>
      <c r="L92" s="21"/>
      <c r="M92" s="21"/>
      <c r="O92" s="24"/>
      <c r="P92" s="24"/>
      <c r="U92" s="27"/>
      <c r="X92" s="21"/>
      <c r="Y92" s="21"/>
      <c r="Z92" s="21"/>
      <c r="AA92" s="28"/>
      <c r="AB92" s="29"/>
      <c r="AC92" s="21"/>
      <c r="AD92" s="25"/>
      <c r="AE92" s="25"/>
      <c r="AF92" s="25"/>
    </row>
    <row r="93" ht="12.75" customHeight="1">
      <c r="B93" s="21"/>
      <c r="C93" s="21"/>
      <c r="E93" s="21"/>
      <c r="F93" s="21"/>
      <c r="J93" s="21"/>
      <c r="K93" s="21"/>
      <c r="L93" s="21"/>
      <c r="M93" s="21"/>
      <c r="O93" s="24"/>
      <c r="P93" s="24"/>
      <c r="U93" s="27"/>
      <c r="X93" s="21"/>
      <c r="Y93" s="21"/>
      <c r="Z93" s="21"/>
      <c r="AA93" s="28"/>
      <c r="AB93" s="29"/>
      <c r="AC93" s="21"/>
      <c r="AD93" s="25"/>
      <c r="AE93" s="25"/>
      <c r="AF93" s="25"/>
    </row>
    <row r="94" ht="12.75" customHeight="1">
      <c r="B94" s="21"/>
      <c r="C94" s="21"/>
      <c r="E94" s="21"/>
      <c r="F94" s="21"/>
      <c r="J94" s="21"/>
      <c r="K94" s="21"/>
      <c r="L94" s="21"/>
      <c r="M94" s="21"/>
      <c r="O94" s="24"/>
      <c r="P94" s="24"/>
      <c r="U94" s="27"/>
      <c r="X94" s="21"/>
      <c r="Y94" s="21"/>
      <c r="Z94" s="21"/>
      <c r="AA94" s="28"/>
      <c r="AB94" s="29"/>
      <c r="AC94" s="21"/>
      <c r="AD94" s="25"/>
      <c r="AE94" s="25"/>
      <c r="AF94" s="25"/>
    </row>
    <row r="95" ht="12.75" customHeight="1">
      <c r="B95" s="21"/>
      <c r="C95" s="21"/>
      <c r="E95" s="21"/>
      <c r="F95" s="21"/>
      <c r="J95" s="21"/>
      <c r="K95" s="21"/>
      <c r="L95" s="21"/>
      <c r="M95" s="21"/>
      <c r="O95" s="24"/>
      <c r="P95" s="24"/>
      <c r="U95" s="27"/>
      <c r="X95" s="21"/>
      <c r="Y95" s="21"/>
      <c r="Z95" s="21"/>
      <c r="AA95" s="28"/>
      <c r="AB95" s="29"/>
      <c r="AC95" s="21"/>
      <c r="AD95" s="25"/>
      <c r="AE95" s="25"/>
      <c r="AF95" s="25"/>
    </row>
    <row r="96" ht="12.75" customHeight="1">
      <c r="B96" s="21"/>
      <c r="C96" s="21"/>
      <c r="E96" s="21"/>
      <c r="F96" s="21"/>
      <c r="J96" s="21"/>
      <c r="K96" s="21"/>
      <c r="L96" s="21"/>
      <c r="M96" s="21"/>
      <c r="O96" s="24"/>
      <c r="P96" s="24"/>
      <c r="U96" s="27"/>
      <c r="X96" s="21"/>
      <c r="Y96" s="21"/>
      <c r="Z96" s="21"/>
      <c r="AA96" s="28"/>
      <c r="AB96" s="29"/>
      <c r="AC96" s="21"/>
      <c r="AD96" s="25"/>
      <c r="AE96" s="25"/>
      <c r="AF96" s="25"/>
    </row>
    <row r="97" ht="12.75" customHeight="1">
      <c r="B97" s="21"/>
      <c r="C97" s="21"/>
      <c r="E97" s="21"/>
      <c r="F97" s="21"/>
      <c r="J97" s="21"/>
      <c r="K97" s="21"/>
      <c r="L97" s="21"/>
      <c r="M97" s="21"/>
      <c r="O97" s="24"/>
      <c r="P97" s="24"/>
      <c r="U97" s="27"/>
      <c r="X97" s="21"/>
      <c r="Y97" s="21"/>
      <c r="Z97" s="21"/>
      <c r="AA97" s="28"/>
      <c r="AB97" s="29"/>
      <c r="AC97" s="21"/>
      <c r="AD97" s="25"/>
      <c r="AE97" s="25"/>
      <c r="AF97" s="25"/>
    </row>
    <row r="98" ht="12.75" customHeight="1">
      <c r="B98" s="21"/>
      <c r="C98" s="21"/>
      <c r="E98" s="21"/>
      <c r="F98" s="21"/>
      <c r="J98" s="21"/>
      <c r="K98" s="21"/>
      <c r="L98" s="21"/>
      <c r="M98" s="21"/>
      <c r="O98" s="24"/>
      <c r="P98" s="24"/>
      <c r="U98" s="27"/>
      <c r="X98" s="21"/>
      <c r="Y98" s="21"/>
      <c r="Z98" s="21"/>
      <c r="AA98" s="28"/>
      <c r="AB98" s="29"/>
      <c r="AC98" s="21"/>
      <c r="AD98" s="25"/>
      <c r="AE98" s="25"/>
      <c r="AF98" s="25"/>
    </row>
    <row r="99" ht="12.75" customHeight="1">
      <c r="B99" s="21"/>
      <c r="C99" s="21"/>
      <c r="E99" s="21"/>
      <c r="F99" s="21"/>
      <c r="J99" s="21"/>
      <c r="K99" s="21"/>
      <c r="L99" s="21"/>
      <c r="M99" s="21"/>
      <c r="O99" s="24"/>
      <c r="P99" s="24"/>
      <c r="U99" s="27"/>
      <c r="X99" s="21"/>
      <c r="Y99" s="21"/>
      <c r="Z99" s="21"/>
      <c r="AA99" s="28"/>
      <c r="AB99" s="29"/>
      <c r="AC99" s="21"/>
      <c r="AD99" s="25"/>
      <c r="AE99" s="25"/>
      <c r="AF99" s="25"/>
    </row>
    <row r="100" ht="12.75" customHeight="1">
      <c r="B100" s="21"/>
      <c r="C100" s="21"/>
      <c r="E100" s="21"/>
      <c r="F100" s="21"/>
      <c r="J100" s="21"/>
      <c r="K100" s="21"/>
      <c r="L100" s="21"/>
      <c r="M100" s="21"/>
      <c r="O100" s="24"/>
      <c r="P100" s="24"/>
      <c r="U100" s="27"/>
      <c r="X100" s="21"/>
      <c r="Y100" s="21"/>
      <c r="Z100" s="21"/>
      <c r="AA100" s="28"/>
      <c r="AB100" s="29"/>
      <c r="AC100" s="21"/>
      <c r="AD100" s="25"/>
      <c r="AE100" s="25"/>
      <c r="AF100" s="25"/>
    </row>
    <row r="101" ht="12.75" customHeight="1">
      <c r="B101" s="21"/>
      <c r="C101" s="21"/>
      <c r="E101" s="21"/>
      <c r="F101" s="21"/>
      <c r="J101" s="21"/>
      <c r="K101" s="21"/>
      <c r="L101" s="21"/>
      <c r="M101" s="21"/>
      <c r="O101" s="24"/>
      <c r="P101" s="24"/>
      <c r="U101" s="27"/>
      <c r="X101" s="21"/>
      <c r="Y101" s="21"/>
      <c r="Z101" s="21"/>
      <c r="AA101" s="28"/>
      <c r="AB101" s="29"/>
      <c r="AC101" s="21"/>
      <c r="AD101" s="25"/>
      <c r="AE101" s="25"/>
      <c r="AF101" s="25"/>
    </row>
    <row r="102" ht="12.75" customHeight="1">
      <c r="B102" s="21"/>
      <c r="C102" s="21"/>
      <c r="E102" s="21"/>
      <c r="F102" s="21"/>
      <c r="J102" s="21"/>
      <c r="K102" s="21"/>
      <c r="L102" s="21"/>
      <c r="M102" s="21"/>
      <c r="O102" s="24"/>
      <c r="P102" s="24"/>
      <c r="U102" s="27"/>
      <c r="X102" s="21"/>
      <c r="Y102" s="21"/>
      <c r="Z102" s="21"/>
      <c r="AA102" s="28"/>
      <c r="AB102" s="29"/>
      <c r="AC102" s="21"/>
      <c r="AD102" s="25"/>
      <c r="AE102" s="25"/>
      <c r="AF102" s="25"/>
    </row>
    <row r="103" ht="12.75" customHeight="1">
      <c r="B103" s="21"/>
      <c r="C103" s="21"/>
      <c r="E103" s="21"/>
      <c r="F103" s="21"/>
      <c r="J103" s="21"/>
      <c r="K103" s="21"/>
      <c r="L103" s="21"/>
      <c r="M103" s="21"/>
      <c r="O103" s="24"/>
      <c r="P103" s="24"/>
      <c r="U103" s="27"/>
      <c r="X103" s="21"/>
      <c r="Y103" s="21"/>
      <c r="Z103" s="21"/>
      <c r="AA103" s="28"/>
      <c r="AB103" s="29"/>
      <c r="AC103" s="21"/>
      <c r="AD103" s="25"/>
      <c r="AE103" s="25"/>
      <c r="AF103" s="25"/>
    </row>
    <row r="104" ht="12.75" customHeight="1">
      <c r="B104" s="21"/>
      <c r="C104" s="21"/>
      <c r="E104" s="21"/>
      <c r="F104" s="21"/>
      <c r="J104" s="21"/>
      <c r="K104" s="21"/>
      <c r="L104" s="21"/>
      <c r="M104" s="21"/>
      <c r="O104" s="24"/>
      <c r="P104" s="24"/>
      <c r="U104" s="27"/>
      <c r="X104" s="21"/>
      <c r="Y104" s="21"/>
      <c r="Z104" s="21"/>
      <c r="AA104" s="28"/>
      <c r="AB104" s="29"/>
      <c r="AC104" s="21"/>
      <c r="AD104" s="25"/>
      <c r="AE104" s="25"/>
      <c r="AF104" s="25"/>
    </row>
    <row r="105" ht="12.75" customHeight="1">
      <c r="B105" s="21"/>
      <c r="C105" s="21"/>
      <c r="E105" s="21"/>
      <c r="F105" s="21"/>
      <c r="J105" s="21"/>
      <c r="K105" s="21"/>
      <c r="L105" s="21"/>
      <c r="M105" s="21"/>
      <c r="O105" s="24"/>
      <c r="P105" s="24"/>
      <c r="U105" s="27"/>
      <c r="X105" s="21"/>
      <c r="Y105" s="21"/>
      <c r="Z105" s="21"/>
      <c r="AA105" s="28"/>
      <c r="AB105" s="29"/>
      <c r="AC105" s="21"/>
      <c r="AD105" s="25"/>
      <c r="AE105" s="25"/>
      <c r="AF105" s="25"/>
    </row>
    <row r="106" ht="12.75" customHeight="1">
      <c r="B106" s="21"/>
      <c r="C106" s="21"/>
      <c r="E106" s="21"/>
      <c r="F106" s="21"/>
      <c r="J106" s="21"/>
      <c r="K106" s="21"/>
      <c r="L106" s="21"/>
      <c r="M106" s="21"/>
      <c r="O106" s="24"/>
      <c r="P106" s="24"/>
      <c r="U106" s="27"/>
      <c r="X106" s="21"/>
      <c r="Y106" s="21"/>
      <c r="Z106" s="21"/>
      <c r="AA106" s="28"/>
      <c r="AB106" s="29"/>
      <c r="AC106" s="21"/>
      <c r="AD106" s="25"/>
      <c r="AE106" s="25"/>
      <c r="AF106" s="25"/>
    </row>
    <row r="107" ht="12.75" customHeight="1">
      <c r="B107" s="21"/>
      <c r="C107" s="21"/>
      <c r="E107" s="21"/>
      <c r="F107" s="21"/>
      <c r="J107" s="21"/>
      <c r="K107" s="21"/>
      <c r="L107" s="21"/>
      <c r="M107" s="21"/>
      <c r="O107" s="24"/>
      <c r="P107" s="24"/>
      <c r="U107" s="27"/>
      <c r="X107" s="21"/>
      <c r="Y107" s="21"/>
      <c r="Z107" s="21"/>
      <c r="AA107" s="28"/>
      <c r="AB107" s="29"/>
      <c r="AC107" s="21"/>
      <c r="AD107" s="25"/>
      <c r="AE107" s="25"/>
      <c r="AF107" s="25"/>
    </row>
    <row r="108" ht="12.75" customHeight="1">
      <c r="B108" s="21"/>
      <c r="C108" s="21"/>
      <c r="E108" s="21"/>
      <c r="F108" s="21"/>
      <c r="J108" s="21"/>
      <c r="K108" s="21"/>
      <c r="L108" s="21"/>
      <c r="M108" s="21"/>
      <c r="O108" s="24"/>
      <c r="P108" s="24"/>
      <c r="U108" s="27"/>
      <c r="X108" s="21"/>
      <c r="Y108" s="21"/>
      <c r="Z108" s="21"/>
      <c r="AA108" s="28"/>
      <c r="AB108" s="29"/>
      <c r="AC108" s="21"/>
      <c r="AD108" s="25"/>
      <c r="AE108" s="25"/>
      <c r="AF108" s="25"/>
    </row>
    <row r="109" ht="12.75" customHeight="1">
      <c r="B109" s="21"/>
      <c r="C109" s="21"/>
      <c r="E109" s="21"/>
      <c r="F109" s="21"/>
      <c r="J109" s="21"/>
      <c r="K109" s="21"/>
      <c r="L109" s="21"/>
      <c r="M109" s="21"/>
      <c r="O109" s="24"/>
      <c r="P109" s="24"/>
      <c r="U109" s="27"/>
      <c r="X109" s="21"/>
      <c r="Y109" s="21"/>
      <c r="Z109" s="21"/>
      <c r="AA109" s="28"/>
      <c r="AB109" s="29"/>
      <c r="AC109" s="21"/>
      <c r="AD109" s="25"/>
      <c r="AE109" s="25"/>
      <c r="AF109" s="25"/>
    </row>
    <row r="110" ht="12.75" customHeight="1">
      <c r="B110" s="21"/>
      <c r="C110" s="21"/>
      <c r="E110" s="21"/>
      <c r="F110" s="21"/>
      <c r="J110" s="21"/>
      <c r="K110" s="21"/>
      <c r="L110" s="21"/>
      <c r="M110" s="21"/>
      <c r="O110" s="24"/>
      <c r="P110" s="24"/>
      <c r="U110" s="27"/>
      <c r="X110" s="21"/>
      <c r="Y110" s="21"/>
      <c r="Z110" s="21"/>
      <c r="AA110" s="28"/>
      <c r="AB110" s="29"/>
      <c r="AC110" s="21"/>
      <c r="AD110" s="25"/>
      <c r="AE110" s="25"/>
      <c r="AF110" s="25"/>
    </row>
    <row r="111" ht="12.75" customHeight="1">
      <c r="B111" s="21"/>
      <c r="C111" s="21"/>
      <c r="E111" s="21"/>
      <c r="F111" s="21"/>
      <c r="J111" s="21"/>
      <c r="K111" s="21"/>
      <c r="L111" s="21"/>
      <c r="M111" s="21"/>
      <c r="O111" s="24"/>
      <c r="P111" s="24"/>
      <c r="U111" s="27"/>
      <c r="X111" s="21"/>
      <c r="Y111" s="21"/>
      <c r="Z111" s="21"/>
      <c r="AA111" s="28"/>
      <c r="AB111" s="29"/>
      <c r="AC111" s="21"/>
      <c r="AD111" s="25"/>
      <c r="AE111" s="25"/>
      <c r="AF111" s="25"/>
    </row>
    <row r="112" ht="12.75" customHeight="1">
      <c r="B112" s="21"/>
      <c r="C112" s="21"/>
      <c r="E112" s="21"/>
      <c r="F112" s="21"/>
      <c r="J112" s="21"/>
      <c r="K112" s="21"/>
      <c r="L112" s="21"/>
      <c r="M112" s="21"/>
      <c r="O112" s="24"/>
      <c r="P112" s="24"/>
      <c r="U112" s="27"/>
      <c r="X112" s="21"/>
      <c r="Y112" s="21"/>
      <c r="Z112" s="21"/>
      <c r="AA112" s="28"/>
      <c r="AB112" s="29"/>
      <c r="AC112" s="21"/>
      <c r="AD112" s="25"/>
      <c r="AE112" s="25"/>
      <c r="AF112" s="25"/>
    </row>
    <row r="113" ht="12.75" customHeight="1">
      <c r="B113" s="21"/>
      <c r="C113" s="21"/>
      <c r="E113" s="21"/>
      <c r="F113" s="21"/>
      <c r="J113" s="21"/>
      <c r="K113" s="21"/>
      <c r="L113" s="21"/>
      <c r="M113" s="21"/>
      <c r="O113" s="24"/>
      <c r="P113" s="24"/>
      <c r="U113" s="27"/>
      <c r="X113" s="21"/>
      <c r="Y113" s="21"/>
      <c r="Z113" s="21"/>
      <c r="AA113" s="28"/>
      <c r="AB113" s="29"/>
      <c r="AC113" s="21"/>
      <c r="AD113" s="25"/>
      <c r="AE113" s="25"/>
      <c r="AF113" s="25"/>
    </row>
    <row r="114" ht="12.75" customHeight="1">
      <c r="B114" s="21"/>
      <c r="C114" s="21"/>
      <c r="E114" s="21"/>
      <c r="F114" s="21"/>
      <c r="J114" s="21"/>
      <c r="K114" s="21"/>
      <c r="L114" s="21"/>
      <c r="M114" s="21"/>
      <c r="O114" s="24"/>
      <c r="P114" s="24"/>
      <c r="U114" s="27"/>
      <c r="X114" s="21"/>
      <c r="Y114" s="21"/>
      <c r="Z114" s="21"/>
      <c r="AA114" s="28"/>
      <c r="AB114" s="29"/>
      <c r="AC114" s="21"/>
      <c r="AD114" s="25"/>
      <c r="AE114" s="25"/>
      <c r="AF114" s="25"/>
    </row>
    <row r="115" ht="12.75" customHeight="1">
      <c r="B115" s="21"/>
      <c r="C115" s="21"/>
      <c r="E115" s="21"/>
      <c r="F115" s="21"/>
      <c r="J115" s="21"/>
      <c r="K115" s="21"/>
      <c r="L115" s="21"/>
      <c r="M115" s="21"/>
      <c r="O115" s="24"/>
      <c r="P115" s="24"/>
      <c r="U115" s="27"/>
      <c r="X115" s="21"/>
      <c r="Y115" s="21"/>
      <c r="Z115" s="21"/>
      <c r="AA115" s="28"/>
      <c r="AB115" s="29"/>
      <c r="AC115" s="21"/>
      <c r="AD115" s="25"/>
      <c r="AE115" s="25"/>
      <c r="AF115" s="25"/>
    </row>
    <row r="116" ht="12.75" customHeight="1">
      <c r="B116" s="21"/>
      <c r="C116" s="21"/>
      <c r="E116" s="21"/>
      <c r="F116" s="21"/>
      <c r="J116" s="21"/>
      <c r="K116" s="21"/>
      <c r="L116" s="21"/>
      <c r="M116" s="21"/>
      <c r="O116" s="24"/>
      <c r="P116" s="24"/>
      <c r="U116" s="27"/>
      <c r="X116" s="21"/>
      <c r="Y116" s="21"/>
      <c r="Z116" s="21"/>
      <c r="AA116" s="28"/>
      <c r="AB116" s="29"/>
      <c r="AC116" s="21"/>
      <c r="AD116" s="25"/>
      <c r="AE116" s="25"/>
      <c r="AF116" s="25"/>
    </row>
    <row r="117" ht="12.75" customHeight="1">
      <c r="B117" s="21"/>
      <c r="C117" s="21"/>
      <c r="E117" s="21"/>
      <c r="F117" s="21"/>
      <c r="J117" s="21"/>
      <c r="K117" s="21"/>
      <c r="L117" s="21"/>
      <c r="M117" s="21"/>
      <c r="O117" s="24"/>
      <c r="P117" s="24"/>
      <c r="U117" s="27"/>
      <c r="X117" s="21"/>
      <c r="Y117" s="21"/>
      <c r="Z117" s="21"/>
      <c r="AA117" s="28"/>
      <c r="AB117" s="29"/>
      <c r="AC117" s="21"/>
      <c r="AD117" s="25"/>
      <c r="AE117" s="25"/>
      <c r="AF117" s="25"/>
    </row>
    <row r="118" ht="12.75" customHeight="1">
      <c r="B118" s="21"/>
      <c r="C118" s="21"/>
      <c r="E118" s="21"/>
      <c r="F118" s="21"/>
      <c r="J118" s="21"/>
      <c r="K118" s="21"/>
      <c r="L118" s="21"/>
      <c r="M118" s="21"/>
      <c r="O118" s="24"/>
      <c r="P118" s="24"/>
      <c r="U118" s="27"/>
      <c r="X118" s="21"/>
      <c r="Y118" s="21"/>
      <c r="Z118" s="21"/>
      <c r="AA118" s="28"/>
      <c r="AB118" s="29"/>
      <c r="AC118" s="21"/>
      <c r="AD118" s="25"/>
      <c r="AE118" s="25"/>
      <c r="AF118" s="25"/>
    </row>
    <row r="119" ht="12.75" customHeight="1">
      <c r="B119" s="21"/>
      <c r="C119" s="21"/>
      <c r="E119" s="21"/>
      <c r="F119" s="21"/>
      <c r="J119" s="21"/>
      <c r="K119" s="21"/>
      <c r="L119" s="21"/>
      <c r="M119" s="21"/>
      <c r="O119" s="24"/>
      <c r="P119" s="24"/>
      <c r="U119" s="27"/>
      <c r="X119" s="21"/>
      <c r="Y119" s="21"/>
      <c r="Z119" s="21"/>
      <c r="AA119" s="28"/>
      <c r="AB119" s="29"/>
      <c r="AC119" s="21"/>
      <c r="AD119" s="25"/>
      <c r="AE119" s="25"/>
      <c r="AF119" s="25"/>
    </row>
    <row r="120" ht="12.75" customHeight="1">
      <c r="B120" s="21"/>
      <c r="C120" s="21"/>
      <c r="E120" s="21"/>
      <c r="F120" s="21"/>
      <c r="J120" s="21"/>
      <c r="K120" s="21"/>
      <c r="L120" s="21"/>
      <c r="M120" s="21"/>
      <c r="O120" s="24"/>
      <c r="P120" s="24"/>
      <c r="U120" s="27"/>
      <c r="X120" s="21"/>
      <c r="Y120" s="21"/>
      <c r="Z120" s="21"/>
      <c r="AA120" s="28"/>
      <c r="AB120" s="29"/>
      <c r="AC120" s="21"/>
      <c r="AD120" s="25"/>
      <c r="AE120" s="25"/>
      <c r="AF120" s="25"/>
    </row>
    <row r="121" ht="12.75" customHeight="1">
      <c r="B121" s="21"/>
      <c r="C121" s="21"/>
      <c r="E121" s="21"/>
      <c r="F121" s="21"/>
      <c r="J121" s="21"/>
      <c r="K121" s="21"/>
      <c r="L121" s="21"/>
      <c r="M121" s="21"/>
      <c r="O121" s="24"/>
      <c r="P121" s="24"/>
      <c r="U121" s="27"/>
      <c r="X121" s="21"/>
      <c r="Y121" s="21"/>
      <c r="Z121" s="21"/>
      <c r="AA121" s="28"/>
      <c r="AB121" s="29"/>
      <c r="AC121" s="21"/>
      <c r="AD121" s="25"/>
      <c r="AE121" s="25"/>
      <c r="AF121" s="25"/>
    </row>
    <row r="122" ht="12.75" customHeight="1">
      <c r="B122" s="21"/>
      <c r="C122" s="21"/>
      <c r="E122" s="21"/>
      <c r="F122" s="21"/>
      <c r="J122" s="21"/>
      <c r="K122" s="21"/>
      <c r="L122" s="21"/>
      <c r="M122" s="21"/>
      <c r="O122" s="24"/>
      <c r="P122" s="24"/>
      <c r="U122" s="27"/>
      <c r="X122" s="21"/>
      <c r="Y122" s="21"/>
      <c r="Z122" s="21"/>
      <c r="AA122" s="28"/>
      <c r="AB122" s="29"/>
      <c r="AC122" s="21"/>
      <c r="AD122" s="25"/>
      <c r="AE122" s="25"/>
      <c r="AF122" s="25"/>
    </row>
    <row r="123" ht="12.75" customHeight="1">
      <c r="B123" s="21"/>
      <c r="C123" s="21"/>
      <c r="E123" s="21"/>
      <c r="F123" s="21"/>
      <c r="J123" s="21"/>
      <c r="K123" s="21"/>
      <c r="L123" s="21"/>
      <c r="M123" s="21"/>
      <c r="O123" s="24"/>
      <c r="P123" s="24"/>
      <c r="U123" s="27"/>
      <c r="X123" s="21"/>
      <c r="Y123" s="21"/>
      <c r="Z123" s="21"/>
      <c r="AA123" s="28"/>
      <c r="AB123" s="29"/>
      <c r="AC123" s="21"/>
      <c r="AD123" s="25"/>
      <c r="AE123" s="25"/>
      <c r="AF123" s="25"/>
    </row>
    <row r="124" ht="12.75" customHeight="1">
      <c r="B124" s="21"/>
      <c r="C124" s="21"/>
      <c r="E124" s="21"/>
      <c r="F124" s="21"/>
      <c r="J124" s="21"/>
      <c r="K124" s="21"/>
      <c r="L124" s="21"/>
      <c r="M124" s="21"/>
      <c r="O124" s="24"/>
      <c r="P124" s="24"/>
      <c r="U124" s="27"/>
      <c r="X124" s="21"/>
      <c r="Y124" s="21"/>
      <c r="Z124" s="21"/>
      <c r="AA124" s="28"/>
      <c r="AB124" s="29"/>
      <c r="AC124" s="21"/>
      <c r="AD124" s="25"/>
      <c r="AE124" s="25"/>
      <c r="AF124" s="25"/>
    </row>
    <row r="125" ht="12.75" customHeight="1">
      <c r="B125" s="21"/>
      <c r="C125" s="21"/>
      <c r="E125" s="21"/>
      <c r="F125" s="21"/>
      <c r="J125" s="21"/>
      <c r="K125" s="21"/>
      <c r="L125" s="21"/>
      <c r="M125" s="21"/>
      <c r="O125" s="24"/>
      <c r="P125" s="24"/>
      <c r="U125" s="27"/>
      <c r="X125" s="21"/>
      <c r="Y125" s="21"/>
      <c r="Z125" s="21"/>
      <c r="AA125" s="28"/>
      <c r="AB125" s="29"/>
      <c r="AC125" s="21"/>
      <c r="AD125" s="25"/>
      <c r="AE125" s="25"/>
      <c r="AF125" s="25"/>
    </row>
    <row r="126" ht="12.75" customHeight="1">
      <c r="B126" s="21"/>
      <c r="C126" s="21"/>
      <c r="E126" s="21"/>
      <c r="F126" s="21"/>
      <c r="J126" s="21"/>
      <c r="K126" s="21"/>
      <c r="L126" s="21"/>
      <c r="M126" s="21"/>
      <c r="O126" s="24"/>
      <c r="P126" s="24"/>
      <c r="U126" s="27"/>
      <c r="X126" s="21"/>
      <c r="Y126" s="21"/>
      <c r="Z126" s="21"/>
      <c r="AA126" s="28"/>
      <c r="AB126" s="29"/>
      <c r="AC126" s="21"/>
      <c r="AD126" s="25"/>
      <c r="AE126" s="25"/>
      <c r="AF126" s="25"/>
    </row>
    <row r="127" ht="12.75" customHeight="1">
      <c r="B127" s="21"/>
      <c r="C127" s="21"/>
      <c r="E127" s="21"/>
      <c r="F127" s="21"/>
      <c r="J127" s="21"/>
      <c r="K127" s="21"/>
      <c r="L127" s="21"/>
      <c r="M127" s="21"/>
      <c r="O127" s="24"/>
      <c r="P127" s="24"/>
      <c r="U127" s="27"/>
      <c r="X127" s="21"/>
      <c r="Y127" s="21"/>
      <c r="Z127" s="21"/>
      <c r="AA127" s="28"/>
      <c r="AB127" s="29"/>
      <c r="AC127" s="21"/>
      <c r="AD127" s="25"/>
      <c r="AE127" s="25"/>
      <c r="AF127" s="25"/>
    </row>
    <row r="128" ht="12.75" customHeight="1">
      <c r="B128" s="21"/>
      <c r="C128" s="21"/>
      <c r="E128" s="21"/>
      <c r="F128" s="21"/>
      <c r="J128" s="21"/>
      <c r="K128" s="21"/>
      <c r="L128" s="21"/>
      <c r="M128" s="21"/>
      <c r="O128" s="24"/>
      <c r="P128" s="24"/>
      <c r="U128" s="27"/>
      <c r="X128" s="21"/>
      <c r="Y128" s="21"/>
      <c r="Z128" s="21"/>
      <c r="AA128" s="28"/>
      <c r="AB128" s="29"/>
      <c r="AC128" s="21"/>
      <c r="AD128" s="25"/>
      <c r="AE128" s="25"/>
      <c r="AF128" s="25"/>
    </row>
    <row r="129" ht="12.75" customHeight="1">
      <c r="B129" s="21"/>
      <c r="C129" s="21"/>
      <c r="E129" s="21"/>
      <c r="F129" s="21"/>
      <c r="J129" s="21"/>
      <c r="K129" s="21"/>
      <c r="L129" s="21"/>
      <c r="M129" s="21"/>
      <c r="O129" s="24"/>
      <c r="P129" s="24"/>
      <c r="U129" s="27"/>
      <c r="X129" s="21"/>
      <c r="Y129" s="21"/>
      <c r="Z129" s="21"/>
      <c r="AA129" s="28"/>
      <c r="AB129" s="29"/>
      <c r="AC129" s="21"/>
      <c r="AD129" s="25"/>
      <c r="AE129" s="25"/>
      <c r="AF129" s="25"/>
    </row>
    <row r="130" ht="12.75" customHeight="1">
      <c r="B130" s="21"/>
      <c r="C130" s="21"/>
      <c r="E130" s="21"/>
      <c r="F130" s="21"/>
      <c r="J130" s="21"/>
      <c r="K130" s="21"/>
      <c r="L130" s="21"/>
      <c r="M130" s="21"/>
      <c r="O130" s="24"/>
      <c r="P130" s="24"/>
      <c r="U130" s="27"/>
      <c r="X130" s="21"/>
      <c r="Y130" s="21"/>
      <c r="Z130" s="21"/>
      <c r="AA130" s="28"/>
      <c r="AB130" s="29"/>
      <c r="AC130" s="21"/>
      <c r="AD130" s="25"/>
      <c r="AE130" s="25"/>
      <c r="AF130" s="25"/>
    </row>
    <row r="131" ht="12.75" customHeight="1">
      <c r="B131" s="21"/>
      <c r="C131" s="21"/>
      <c r="E131" s="21"/>
      <c r="F131" s="21"/>
      <c r="J131" s="21"/>
      <c r="K131" s="21"/>
      <c r="L131" s="21"/>
      <c r="M131" s="21"/>
      <c r="O131" s="24"/>
      <c r="P131" s="24"/>
      <c r="U131" s="27"/>
      <c r="X131" s="21"/>
      <c r="Y131" s="21"/>
      <c r="Z131" s="21"/>
      <c r="AA131" s="28"/>
      <c r="AB131" s="29"/>
      <c r="AC131" s="21"/>
      <c r="AD131" s="25"/>
      <c r="AE131" s="25"/>
      <c r="AF131" s="25"/>
    </row>
    <row r="132" ht="12.75" customHeight="1">
      <c r="B132" s="21"/>
      <c r="C132" s="21"/>
      <c r="E132" s="21"/>
      <c r="F132" s="21"/>
      <c r="J132" s="21"/>
      <c r="K132" s="21"/>
      <c r="L132" s="21"/>
      <c r="M132" s="21"/>
      <c r="O132" s="24"/>
      <c r="P132" s="24"/>
      <c r="U132" s="27"/>
      <c r="X132" s="21"/>
      <c r="Y132" s="21"/>
      <c r="Z132" s="21"/>
      <c r="AA132" s="28"/>
      <c r="AB132" s="29"/>
      <c r="AC132" s="21"/>
      <c r="AD132" s="25"/>
      <c r="AE132" s="25"/>
      <c r="AF132" s="25"/>
    </row>
    <row r="133" ht="12.75" customHeight="1">
      <c r="B133" s="21"/>
      <c r="C133" s="21"/>
      <c r="E133" s="21"/>
      <c r="F133" s="21"/>
      <c r="J133" s="21"/>
      <c r="K133" s="21"/>
      <c r="L133" s="21"/>
      <c r="M133" s="21"/>
      <c r="O133" s="24"/>
      <c r="P133" s="24"/>
      <c r="U133" s="27"/>
      <c r="X133" s="21"/>
      <c r="Y133" s="21"/>
      <c r="Z133" s="21"/>
      <c r="AA133" s="28"/>
      <c r="AB133" s="29"/>
      <c r="AC133" s="21"/>
      <c r="AD133" s="25"/>
      <c r="AE133" s="25"/>
      <c r="AF133" s="25"/>
    </row>
    <row r="134" ht="12.75" customHeight="1">
      <c r="B134" s="21"/>
      <c r="C134" s="21"/>
      <c r="E134" s="21"/>
      <c r="F134" s="21"/>
      <c r="J134" s="21"/>
      <c r="K134" s="21"/>
      <c r="L134" s="21"/>
      <c r="M134" s="21"/>
      <c r="O134" s="24"/>
      <c r="P134" s="24"/>
      <c r="U134" s="27"/>
      <c r="X134" s="21"/>
      <c r="Y134" s="21"/>
      <c r="Z134" s="21"/>
      <c r="AA134" s="28"/>
      <c r="AB134" s="29"/>
      <c r="AC134" s="21"/>
      <c r="AD134" s="25"/>
      <c r="AE134" s="25"/>
      <c r="AF134" s="25"/>
    </row>
    <row r="135" ht="12.75" customHeight="1">
      <c r="B135" s="21"/>
      <c r="C135" s="21"/>
      <c r="E135" s="21"/>
      <c r="F135" s="21"/>
      <c r="J135" s="21"/>
      <c r="K135" s="21"/>
      <c r="L135" s="21"/>
      <c r="M135" s="21"/>
      <c r="O135" s="24"/>
      <c r="P135" s="24"/>
      <c r="U135" s="27"/>
      <c r="X135" s="21"/>
      <c r="Y135" s="21"/>
      <c r="Z135" s="21"/>
      <c r="AA135" s="28"/>
      <c r="AB135" s="29"/>
      <c r="AC135" s="21"/>
      <c r="AD135" s="25"/>
      <c r="AE135" s="25"/>
      <c r="AF135" s="25"/>
    </row>
    <row r="136" ht="12.75" customHeight="1">
      <c r="B136" s="21"/>
      <c r="C136" s="21"/>
      <c r="E136" s="21"/>
      <c r="F136" s="21"/>
      <c r="J136" s="21"/>
      <c r="K136" s="21"/>
      <c r="L136" s="21"/>
      <c r="M136" s="21"/>
      <c r="O136" s="24"/>
      <c r="P136" s="24"/>
      <c r="U136" s="27"/>
      <c r="X136" s="21"/>
      <c r="Y136" s="21"/>
      <c r="Z136" s="21"/>
      <c r="AA136" s="28"/>
      <c r="AB136" s="29"/>
      <c r="AC136" s="21"/>
      <c r="AD136" s="25"/>
      <c r="AE136" s="25"/>
      <c r="AF136" s="25"/>
    </row>
    <row r="137" ht="12.75" customHeight="1">
      <c r="B137" s="21"/>
      <c r="C137" s="21"/>
      <c r="E137" s="21"/>
      <c r="F137" s="21"/>
      <c r="J137" s="21"/>
      <c r="K137" s="21"/>
      <c r="L137" s="21"/>
      <c r="M137" s="21"/>
      <c r="O137" s="24"/>
      <c r="P137" s="24"/>
      <c r="U137" s="27"/>
      <c r="X137" s="21"/>
      <c r="Y137" s="21"/>
      <c r="Z137" s="21"/>
      <c r="AA137" s="28"/>
      <c r="AB137" s="29"/>
      <c r="AC137" s="21"/>
      <c r="AD137" s="25"/>
      <c r="AE137" s="25"/>
      <c r="AF137" s="25"/>
    </row>
    <row r="138" ht="12.75" customHeight="1">
      <c r="B138" s="21"/>
      <c r="C138" s="21"/>
      <c r="E138" s="21"/>
      <c r="F138" s="21"/>
      <c r="J138" s="21"/>
      <c r="K138" s="21"/>
      <c r="L138" s="21"/>
      <c r="M138" s="21"/>
      <c r="O138" s="24"/>
      <c r="P138" s="24"/>
      <c r="U138" s="27"/>
      <c r="X138" s="21"/>
      <c r="Y138" s="21"/>
      <c r="Z138" s="21"/>
      <c r="AA138" s="28"/>
      <c r="AB138" s="29"/>
      <c r="AC138" s="21"/>
      <c r="AD138" s="25"/>
      <c r="AE138" s="25"/>
      <c r="AF138" s="25"/>
    </row>
    <row r="139" ht="12.75" customHeight="1">
      <c r="B139" s="21"/>
      <c r="C139" s="21"/>
      <c r="E139" s="21"/>
      <c r="F139" s="21"/>
      <c r="J139" s="21"/>
      <c r="K139" s="21"/>
      <c r="L139" s="21"/>
      <c r="M139" s="21"/>
      <c r="O139" s="24"/>
      <c r="P139" s="24"/>
      <c r="U139" s="27"/>
      <c r="X139" s="21"/>
      <c r="Y139" s="21"/>
      <c r="Z139" s="21"/>
      <c r="AA139" s="28"/>
      <c r="AB139" s="29"/>
      <c r="AC139" s="21"/>
      <c r="AD139" s="25"/>
      <c r="AE139" s="25"/>
      <c r="AF139" s="25"/>
    </row>
    <row r="140" ht="12.75" customHeight="1">
      <c r="B140" s="21"/>
      <c r="C140" s="21"/>
      <c r="E140" s="21"/>
      <c r="F140" s="21"/>
      <c r="J140" s="21"/>
      <c r="K140" s="21"/>
      <c r="L140" s="21"/>
      <c r="M140" s="21"/>
      <c r="O140" s="24"/>
      <c r="P140" s="24"/>
      <c r="U140" s="27"/>
      <c r="X140" s="21"/>
      <c r="Y140" s="21"/>
      <c r="Z140" s="21"/>
      <c r="AA140" s="28"/>
      <c r="AB140" s="29"/>
      <c r="AC140" s="21"/>
      <c r="AD140" s="25"/>
      <c r="AE140" s="25"/>
      <c r="AF140" s="25"/>
    </row>
    <row r="141" ht="12.75" customHeight="1">
      <c r="B141" s="21"/>
      <c r="C141" s="21"/>
      <c r="E141" s="21"/>
      <c r="F141" s="21"/>
      <c r="J141" s="21"/>
      <c r="K141" s="21"/>
      <c r="L141" s="21"/>
      <c r="M141" s="21"/>
      <c r="O141" s="24"/>
      <c r="P141" s="24"/>
      <c r="U141" s="27"/>
      <c r="X141" s="21"/>
      <c r="Y141" s="21"/>
      <c r="Z141" s="21"/>
      <c r="AA141" s="28"/>
      <c r="AB141" s="29"/>
      <c r="AC141" s="21"/>
      <c r="AD141" s="25"/>
      <c r="AE141" s="25"/>
      <c r="AF141" s="25"/>
    </row>
    <row r="142" ht="12.75" customHeight="1">
      <c r="B142" s="21"/>
      <c r="C142" s="21"/>
      <c r="E142" s="21"/>
      <c r="F142" s="21"/>
      <c r="J142" s="21"/>
      <c r="K142" s="21"/>
      <c r="L142" s="21"/>
      <c r="M142" s="21"/>
      <c r="O142" s="24"/>
      <c r="P142" s="24"/>
      <c r="U142" s="27"/>
      <c r="X142" s="21"/>
      <c r="Y142" s="21"/>
      <c r="Z142" s="21"/>
      <c r="AA142" s="28"/>
      <c r="AB142" s="29"/>
      <c r="AC142" s="21"/>
      <c r="AD142" s="25"/>
      <c r="AE142" s="25"/>
      <c r="AF142" s="25"/>
    </row>
    <row r="143" ht="12.75" customHeight="1">
      <c r="B143" s="21"/>
      <c r="C143" s="21"/>
      <c r="E143" s="21"/>
      <c r="F143" s="21"/>
      <c r="J143" s="21"/>
      <c r="K143" s="21"/>
      <c r="L143" s="21"/>
      <c r="M143" s="21"/>
      <c r="O143" s="24"/>
      <c r="P143" s="24"/>
      <c r="U143" s="27"/>
      <c r="X143" s="21"/>
      <c r="Y143" s="21"/>
      <c r="Z143" s="21"/>
      <c r="AA143" s="28"/>
      <c r="AB143" s="29"/>
      <c r="AC143" s="21"/>
      <c r="AD143" s="25"/>
      <c r="AE143" s="25"/>
      <c r="AF143" s="25"/>
    </row>
    <row r="144" ht="12.75" customHeight="1">
      <c r="B144" s="21"/>
      <c r="C144" s="21"/>
      <c r="E144" s="21"/>
      <c r="F144" s="21"/>
      <c r="J144" s="21"/>
      <c r="K144" s="21"/>
      <c r="L144" s="21"/>
      <c r="M144" s="21"/>
      <c r="O144" s="24"/>
      <c r="P144" s="24"/>
      <c r="U144" s="27"/>
      <c r="X144" s="21"/>
      <c r="Y144" s="21"/>
      <c r="Z144" s="21"/>
      <c r="AA144" s="28"/>
      <c r="AB144" s="29"/>
      <c r="AC144" s="21"/>
      <c r="AD144" s="25"/>
      <c r="AE144" s="25"/>
      <c r="AF144" s="25"/>
    </row>
    <row r="145" ht="12.75" customHeight="1">
      <c r="B145" s="21"/>
      <c r="C145" s="21"/>
      <c r="E145" s="21"/>
      <c r="F145" s="21"/>
      <c r="J145" s="21"/>
      <c r="K145" s="21"/>
      <c r="L145" s="21"/>
      <c r="M145" s="21"/>
      <c r="O145" s="24"/>
      <c r="P145" s="24"/>
      <c r="U145" s="27"/>
      <c r="X145" s="21"/>
      <c r="Y145" s="21"/>
      <c r="Z145" s="21"/>
      <c r="AA145" s="28"/>
      <c r="AB145" s="29"/>
      <c r="AC145" s="21"/>
      <c r="AD145" s="25"/>
      <c r="AE145" s="25"/>
      <c r="AF145" s="25"/>
    </row>
    <row r="146" ht="12.75" customHeight="1">
      <c r="B146" s="21"/>
      <c r="C146" s="21"/>
      <c r="E146" s="21"/>
      <c r="F146" s="21"/>
      <c r="J146" s="21"/>
      <c r="K146" s="21"/>
      <c r="L146" s="21"/>
      <c r="M146" s="21"/>
      <c r="O146" s="24"/>
      <c r="P146" s="24"/>
      <c r="U146" s="27"/>
      <c r="X146" s="21"/>
      <c r="Y146" s="21"/>
      <c r="Z146" s="21"/>
      <c r="AA146" s="28"/>
      <c r="AB146" s="29"/>
      <c r="AC146" s="21"/>
      <c r="AD146" s="25"/>
      <c r="AE146" s="25"/>
      <c r="AF146" s="25"/>
    </row>
    <row r="147" ht="12.75" customHeight="1">
      <c r="B147" s="21"/>
      <c r="C147" s="21"/>
      <c r="E147" s="21"/>
      <c r="F147" s="21"/>
      <c r="J147" s="21"/>
      <c r="K147" s="21"/>
      <c r="L147" s="21"/>
      <c r="M147" s="21"/>
      <c r="O147" s="24"/>
      <c r="P147" s="24"/>
      <c r="U147" s="27"/>
      <c r="X147" s="21"/>
      <c r="Y147" s="21"/>
      <c r="Z147" s="21"/>
      <c r="AA147" s="28"/>
      <c r="AB147" s="29"/>
      <c r="AC147" s="21"/>
      <c r="AD147" s="25"/>
      <c r="AE147" s="25"/>
      <c r="AF147" s="25"/>
    </row>
    <row r="148" ht="12.75" customHeight="1">
      <c r="B148" s="21"/>
      <c r="C148" s="21"/>
      <c r="E148" s="21"/>
      <c r="F148" s="21"/>
      <c r="J148" s="21"/>
      <c r="K148" s="21"/>
      <c r="L148" s="21"/>
      <c r="M148" s="21"/>
      <c r="O148" s="24"/>
      <c r="P148" s="24"/>
      <c r="U148" s="27"/>
      <c r="X148" s="21"/>
      <c r="Y148" s="21"/>
      <c r="Z148" s="21"/>
      <c r="AA148" s="28"/>
      <c r="AB148" s="29"/>
      <c r="AC148" s="21"/>
      <c r="AD148" s="25"/>
      <c r="AE148" s="25"/>
      <c r="AF148" s="25"/>
    </row>
    <row r="149" ht="12.75" customHeight="1">
      <c r="B149" s="21"/>
      <c r="C149" s="21"/>
      <c r="E149" s="21"/>
      <c r="F149" s="21"/>
      <c r="J149" s="21"/>
      <c r="K149" s="21"/>
      <c r="L149" s="21"/>
      <c r="M149" s="21"/>
      <c r="O149" s="24"/>
      <c r="P149" s="24"/>
      <c r="U149" s="27"/>
      <c r="X149" s="21"/>
      <c r="Y149" s="21"/>
      <c r="Z149" s="21"/>
      <c r="AA149" s="28"/>
      <c r="AB149" s="29"/>
      <c r="AC149" s="21"/>
      <c r="AD149" s="25"/>
      <c r="AE149" s="25"/>
      <c r="AF149" s="25"/>
    </row>
    <row r="150" ht="12.75" customHeight="1">
      <c r="B150" s="21"/>
      <c r="C150" s="21"/>
      <c r="E150" s="21"/>
      <c r="F150" s="21"/>
      <c r="J150" s="21"/>
      <c r="K150" s="21"/>
      <c r="L150" s="21"/>
      <c r="M150" s="21"/>
      <c r="O150" s="24"/>
      <c r="P150" s="24"/>
      <c r="U150" s="27"/>
      <c r="X150" s="21"/>
      <c r="Y150" s="21"/>
      <c r="Z150" s="21"/>
      <c r="AA150" s="28"/>
      <c r="AB150" s="29"/>
      <c r="AC150" s="21"/>
      <c r="AD150" s="25"/>
      <c r="AE150" s="25"/>
      <c r="AF150" s="25"/>
    </row>
    <row r="151" ht="12.75" customHeight="1">
      <c r="B151" s="21"/>
      <c r="C151" s="21"/>
      <c r="E151" s="21"/>
      <c r="F151" s="21"/>
      <c r="J151" s="21"/>
      <c r="K151" s="21"/>
      <c r="L151" s="21"/>
      <c r="M151" s="21"/>
      <c r="O151" s="24"/>
      <c r="P151" s="24"/>
      <c r="U151" s="27"/>
      <c r="X151" s="21"/>
      <c r="Y151" s="21"/>
      <c r="Z151" s="21"/>
      <c r="AA151" s="28"/>
      <c r="AB151" s="29"/>
      <c r="AC151" s="21"/>
      <c r="AD151" s="25"/>
      <c r="AE151" s="25"/>
      <c r="AF151" s="25"/>
    </row>
    <row r="152" ht="12.75" customHeight="1">
      <c r="B152" s="21"/>
      <c r="C152" s="21"/>
      <c r="E152" s="21"/>
      <c r="F152" s="21"/>
      <c r="J152" s="21"/>
      <c r="K152" s="21"/>
      <c r="L152" s="21"/>
      <c r="M152" s="21"/>
      <c r="O152" s="24"/>
      <c r="P152" s="24"/>
      <c r="U152" s="27"/>
      <c r="X152" s="21"/>
      <c r="Y152" s="21"/>
      <c r="Z152" s="21"/>
      <c r="AA152" s="28"/>
      <c r="AB152" s="29"/>
      <c r="AC152" s="21"/>
      <c r="AD152" s="25"/>
      <c r="AE152" s="25"/>
      <c r="AF152" s="25"/>
    </row>
    <row r="153" ht="12.75" customHeight="1">
      <c r="B153" s="21"/>
      <c r="C153" s="21"/>
      <c r="E153" s="21"/>
      <c r="F153" s="21"/>
      <c r="J153" s="21"/>
      <c r="K153" s="21"/>
      <c r="L153" s="21"/>
      <c r="M153" s="21"/>
      <c r="O153" s="24"/>
      <c r="P153" s="24"/>
      <c r="U153" s="27"/>
      <c r="X153" s="21"/>
      <c r="Y153" s="21"/>
      <c r="Z153" s="21"/>
      <c r="AA153" s="28"/>
      <c r="AB153" s="29"/>
      <c r="AC153" s="21"/>
      <c r="AD153" s="25"/>
      <c r="AE153" s="25"/>
      <c r="AF153" s="25"/>
    </row>
    <row r="154" ht="12.75" customHeight="1">
      <c r="B154" s="21"/>
      <c r="C154" s="21"/>
      <c r="E154" s="21"/>
      <c r="F154" s="21"/>
      <c r="J154" s="21"/>
      <c r="K154" s="21"/>
      <c r="L154" s="21"/>
      <c r="M154" s="21"/>
      <c r="O154" s="24"/>
      <c r="P154" s="24"/>
      <c r="U154" s="27"/>
      <c r="X154" s="21"/>
      <c r="Y154" s="21"/>
      <c r="Z154" s="21"/>
      <c r="AA154" s="28"/>
      <c r="AB154" s="29"/>
      <c r="AC154" s="21"/>
      <c r="AD154" s="25"/>
      <c r="AE154" s="25"/>
      <c r="AF154" s="25"/>
    </row>
    <row r="155" ht="12.75" customHeight="1">
      <c r="B155" s="21"/>
      <c r="C155" s="21"/>
      <c r="E155" s="21"/>
      <c r="F155" s="21"/>
      <c r="J155" s="21"/>
      <c r="K155" s="21"/>
      <c r="L155" s="21"/>
      <c r="M155" s="21"/>
      <c r="O155" s="24"/>
      <c r="P155" s="24"/>
      <c r="U155" s="27"/>
      <c r="X155" s="21"/>
      <c r="Y155" s="21"/>
      <c r="Z155" s="21"/>
      <c r="AA155" s="28"/>
      <c r="AB155" s="29"/>
      <c r="AC155" s="21"/>
      <c r="AD155" s="25"/>
      <c r="AE155" s="25"/>
      <c r="AF155" s="25"/>
    </row>
    <row r="156" ht="12.75" customHeight="1">
      <c r="B156" s="21"/>
      <c r="C156" s="21"/>
      <c r="E156" s="21"/>
      <c r="F156" s="21"/>
      <c r="J156" s="21"/>
      <c r="K156" s="21"/>
      <c r="L156" s="21"/>
      <c r="M156" s="21"/>
      <c r="O156" s="24"/>
      <c r="P156" s="24"/>
      <c r="U156" s="27"/>
      <c r="X156" s="21"/>
      <c r="Y156" s="21"/>
      <c r="Z156" s="21"/>
      <c r="AA156" s="28"/>
      <c r="AB156" s="29"/>
      <c r="AC156" s="21"/>
      <c r="AD156" s="25"/>
      <c r="AE156" s="25"/>
      <c r="AF156" s="25"/>
    </row>
    <row r="157" ht="12.75" customHeight="1">
      <c r="B157" s="21"/>
      <c r="C157" s="21"/>
      <c r="E157" s="21"/>
      <c r="F157" s="21"/>
      <c r="J157" s="21"/>
      <c r="K157" s="21"/>
      <c r="L157" s="21"/>
      <c r="M157" s="21"/>
      <c r="O157" s="24"/>
      <c r="P157" s="24"/>
      <c r="U157" s="27"/>
      <c r="X157" s="21"/>
      <c r="Y157" s="21"/>
      <c r="Z157" s="21"/>
      <c r="AA157" s="28"/>
      <c r="AB157" s="29"/>
      <c r="AC157" s="21"/>
      <c r="AD157" s="25"/>
      <c r="AE157" s="25"/>
      <c r="AF157" s="25"/>
    </row>
    <row r="158" ht="12.75" customHeight="1">
      <c r="B158" s="21"/>
      <c r="C158" s="21"/>
      <c r="E158" s="21"/>
      <c r="F158" s="21"/>
      <c r="J158" s="21"/>
      <c r="K158" s="21"/>
      <c r="L158" s="21"/>
      <c r="M158" s="21"/>
      <c r="O158" s="24"/>
      <c r="P158" s="24"/>
      <c r="U158" s="27"/>
      <c r="X158" s="21"/>
      <c r="Y158" s="21"/>
      <c r="Z158" s="21"/>
      <c r="AA158" s="28"/>
      <c r="AB158" s="29"/>
      <c r="AC158" s="21"/>
      <c r="AD158" s="25"/>
      <c r="AE158" s="25"/>
      <c r="AF158" s="25"/>
    </row>
    <row r="159" ht="12.75" customHeight="1">
      <c r="B159" s="21"/>
      <c r="C159" s="21"/>
      <c r="E159" s="21"/>
      <c r="F159" s="21"/>
      <c r="J159" s="21"/>
      <c r="K159" s="21"/>
      <c r="L159" s="21"/>
      <c r="M159" s="21"/>
      <c r="O159" s="24"/>
      <c r="P159" s="24"/>
      <c r="U159" s="27"/>
      <c r="X159" s="21"/>
      <c r="Y159" s="21"/>
      <c r="Z159" s="21"/>
      <c r="AA159" s="28"/>
      <c r="AB159" s="29"/>
      <c r="AC159" s="21"/>
      <c r="AD159" s="25"/>
      <c r="AE159" s="25"/>
      <c r="AF159" s="25"/>
    </row>
    <row r="160" ht="12.75" customHeight="1">
      <c r="B160" s="21"/>
      <c r="C160" s="21"/>
      <c r="E160" s="21"/>
      <c r="F160" s="21"/>
      <c r="J160" s="21"/>
      <c r="K160" s="21"/>
      <c r="L160" s="21"/>
      <c r="M160" s="21"/>
      <c r="O160" s="24"/>
      <c r="P160" s="24"/>
      <c r="U160" s="27"/>
      <c r="X160" s="21"/>
      <c r="Y160" s="21"/>
      <c r="Z160" s="21"/>
      <c r="AA160" s="28"/>
      <c r="AB160" s="29"/>
      <c r="AC160" s="21"/>
      <c r="AD160" s="25"/>
      <c r="AE160" s="25"/>
      <c r="AF160" s="25"/>
    </row>
    <row r="161" ht="12.75" customHeight="1">
      <c r="B161" s="21"/>
      <c r="C161" s="21"/>
      <c r="E161" s="21"/>
      <c r="F161" s="21"/>
      <c r="J161" s="21"/>
      <c r="K161" s="21"/>
      <c r="L161" s="21"/>
      <c r="M161" s="21"/>
      <c r="O161" s="24"/>
      <c r="P161" s="24"/>
      <c r="U161" s="27"/>
      <c r="X161" s="21"/>
      <c r="Y161" s="21"/>
      <c r="Z161" s="21"/>
      <c r="AA161" s="28"/>
      <c r="AB161" s="29"/>
      <c r="AC161" s="21"/>
      <c r="AD161" s="25"/>
      <c r="AE161" s="25"/>
      <c r="AF161" s="25"/>
    </row>
    <row r="162" ht="12.75" customHeight="1">
      <c r="B162" s="21"/>
      <c r="C162" s="21"/>
      <c r="E162" s="21"/>
      <c r="F162" s="21"/>
      <c r="J162" s="21"/>
      <c r="K162" s="21"/>
      <c r="L162" s="21"/>
      <c r="M162" s="21"/>
      <c r="O162" s="24"/>
      <c r="P162" s="24"/>
      <c r="U162" s="27"/>
      <c r="X162" s="21"/>
      <c r="Y162" s="21"/>
      <c r="Z162" s="21"/>
      <c r="AA162" s="28"/>
      <c r="AB162" s="29"/>
      <c r="AC162" s="21"/>
      <c r="AD162" s="25"/>
      <c r="AE162" s="25"/>
      <c r="AF162" s="25"/>
    </row>
    <row r="163" ht="12.75" customHeight="1">
      <c r="B163" s="21"/>
      <c r="C163" s="21"/>
      <c r="E163" s="21"/>
      <c r="F163" s="21"/>
      <c r="J163" s="21"/>
      <c r="K163" s="21"/>
      <c r="L163" s="21"/>
      <c r="M163" s="21"/>
      <c r="O163" s="24"/>
      <c r="P163" s="24"/>
      <c r="U163" s="27"/>
      <c r="X163" s="21"/>
      <c r="Y163" s="21"/>
      <c r="Z163" s="21"/>
      <c r="AA163" s="28"/>
      <c r="AB163" s="29"/>
      <c r="AC163" s="21"/>
      <c r="AD163" s="25"/>
      <c r="AE163" s="25"/>
      <c r="AF163" s="25"/>
    </row>
    <row r="164" ht="12.75" customHeight="1">
      <c r="B164" s="21"/>
      <c r="C164" s="21"/>
      <c r="E164" s="21"/>
      <c r="F164" s="21"/>
      <c r="J164" s="21"/>
      <c r="K164" s="21"/>
      <c r="L164" s="21"/>
      <c r="M164" s="21"/>
      <c r="O164" s="24"/>
      <c r="P164" s="24"/>
      <c r="U164" s="27"/>
      <c r="X164" s="21"/>
      <c r="Y164" s="21"/>
      <c r="Z164" s="21"/>
      <c r="AA164" s="28"/>
      <c r="AB164" s="29"/>
      <c r="AC164" s="21"/>
      <c r="AD164" s="25"/>
      <c r="AE164" s="25"/>
      <c r="AF164" s="25"/>
    </row>
    <row r="165" ht="12.75" customHeight="1">
      <c r="B165" s="21"/>
      <c r="C165" s="21"/>
      <c r="E165" s="21"/>
      <c r="F165" s="21"/>
      <c r="J165" s="21"/>
      <c r="K165" s="21"/>
      <c r="L165" s="21"/>
      <c r="M165" s="21"/>
      <c r="O165" s="24"/>
      <c r="P165" s="24"/>
      <c r="U165" s="27"/>
      <c r="X165" s="21"/>
      <c r="Y165" s="21"/>
      <c r="Z165" s="21"/>
      <c r="AA165" s="28"/>
      <c r="AB165" s="29"/>
      <c r="AC165" s="21"/>
      <c r="AD165" s="25"/>
      <c r="AE165" s="25"/>
      <c r="AF165" s="25"/>
    </row>
    <row r="166" ht="12.75" customHeight="1">
      <c r="B166" s="21"/>
      <c r="C166" s="21"/>
      <c r="E166" s="21"/>
      <c r="F166" s="21"/>
      <c r="J166" s="21"/>
      <c r="K166" s="21"/>
      <c r="L166" s="21"/>
      <c r="M166" s="21"/>
      <c r="O166" s="24"/>
      <c r="P166" s="24"/>
      <c r="U166" s="27"/>
      <c r="X166" s="21"/>
      <c r="Y166" s="21"/>
      <c r="Z166" s="21"/>
      <c r="AA166" s="28"/>
      <c r="AB166" s="29"/>
      <c r="AC166" s="21"/>
      <c r="AD166" s="25"/>
      <c r="AE166" s="25"/>
      <c r="AF166" s="25"/>
    </row>
    <row r="167" ht="12.75" customHeight="1">
      <c r="B167" s="21"/>
      <c r="C167" s="21"/>
      <c r="E167" s="21"/>
      <c r="F167" s="21"/>
      <c r="J167" s="21"/>
      <c r="K167" s="21"/>
      <c r="L167" s="21"/>
      <c r="M167" s="21"/>
      <c r="O167" s="24"/>
      <c r="P167" s="24"/>
      <c r="U167" s="27"/>
      <c r="X167" s="21"/>
      <c r="Y167" s="21"/>
      <c r="Z167" s="21"/>
      <c r="AA167" s="28"/>
      <c r="AB167" s="29"/>
      <c r="AC167" s="21"/>
      <c r="AD167" s="25"/>
      <c r="AE167" s="25"/>
      <c r="AF167" s="25"/>
    </row>
    <row r="168" ht="12.75" customHeight="1">
      <c r="B168" s="21"/>
      <c r="C168" s="21"/>
      <c r="E168" s="21"/>
      <c r="F168" s="21"/>
      <c r="J168" s="21"/>
      <c r="K168" s="21"/>
      <c r="L168" s="21"/>
      <c r="M168" s="21"/>
      <c r="O168" s="24"/>
      <c r="P168" s="24"/>
      <c r="U168" s="27"/>
      <c r="X168" s="21"/>
      <c r="Y168" s="21"/>
      <c r="Z168" s="21"/>
      <c r="AA168" s="28"/>
      <c r="AB168" s="29"/>
      <c r="AC168" s="21"/>
      <c r="AD168" s="25"/>
      <c r="AE168" s="25"/>
      <c r="AF168" s="25"/>
    </row>
    <row r="169" ht="12.75" customHeight="1">
      <c r="B169" s="21"/>
      <c r="C169" s="21"/>
      <c r="E169" s="21"/>
      <c r="F169" s="21"/>
      <c r="J169" s="21"/>
      <c r="K169" s="21"/>
      <c r="L169" s="21"/>
      <c r="M169" s="21"/>
      <c r="O169" s="24"/>
      <c r="P169" s="24"/>
      <c r="U169" s="27"/>
      <c r="X169" s="21"/>
      <c r="Y169" s="21"/>
      <c r="Z169" s="21"/>
      <c r="AA169" s="28"/>
      <c r="AB169" s="29"/>
      <c r="AC169" s="21"/>
      <c r="AD169" s="25"/>
      <c r="AE169" s="25"/>
      <c r="AF169" s="25"/>
    </row>
    <row r="170" ht="12.75" customHeight="1">
      <c r="B170" s="21"/>
      <c r="C170" s="21"/>
      <c r="E170" s="21"/>
      <c r="F170" s="21"/>
      <c r="J170" s="21"/>
      <c r="K170" s="21"/>
      <c r="L170" s="21"/>
      <c r="M170" s="21"/>
      <c r="O170" s="24"/>
      <c r="P170" s="24"/>
      <c r="U170" s="27"/>
      <c r="X170" s="21"/>
      <c r="Y170" s="21"/>
      <c r="Z170" s="21"/>
      <c r="AA170" s="28"/>
      <c r="AB170" s="29"/>
      <c r="AC170" s="21"/>
      <c r="AD170" s="25"/>
      <c r="AE170" s="25"/>
      <c r="AF170" s="25"/>
    </row>
    <row r="171" ht="12.75" customHeight="1">
      <c r="B171" s="21"/>
      <c r="C171" s="21"/>
      <c r="E171" s="21"/>
      <c r="F171" s="21"/>
      <c r="J171" s="21"/>
      <c r="K171" s="21"/>
      <c r="L171" s="21"/>
      <c r="M171" s="21"/>
      <c r="O171" s="24"/>
      <c r="P171" s="24"/>
      <c r="U171" s="27"/>
      <c r="X171" s="21"/>
      <c r="Y171" s="21"/>
      <c r="Z171" s="21"/>
      <c r="AA171" s="28"/>
      <c r="AB171" s="29"/>
      <c r="AC171" s="21"/>
      <c r="AD171" s="25"/>
      <c r="AE171" s="25"/>
      <c r="AF171" s="25"/>
    </row>
    <row r="172" ht="12.75" customHeight="1">
      <c r="B172" s="21"/>
      <c r="C172" s="21"/>
      <c r="E172" s="21"/>
      <c r="F172" s="21"/>
      <c r="J172" s="21"/>
      <c r="K172" s="21"/>
      <c r="L172" s="21"/>
      <c r="M172" s="21"/>
      <c r="O172" s="24"/>
      <c r="P172" s="24"/>
      <c r="U172" s="27"/>
      <c r="X172" s="21"/>
      <c r="Y172" s="21"/>
      <c r="Z172" s="21"/>
      <c r="AA172" s="28"/>
      <c r="AB172" s="29"/>
      <c r="AC172" s="21"/>
      <c r="AD172" s="25"/>
      <c r="AE172" s="25"/>
      <c r="AF172" s="25"/>
    </row>
    <row r="173" ht="12.75" customHeight="1">
      <c r="B173" s="21"/>
      <c r="C173" s="21"/>
      <c r="E173" s="21"/>
      <c r="F173" s="21"/>
      <c r="J173" s="21"/>
      <c r="K173" s="21"/>
      <c r="L173" s="21"/>
      <c r="M173" s="21"/>
      <c r="O173" s="24"/>
      <c r="P173" s="24"/>
      <c r="U173" s="27"/>
      <c r="X173" s="21"/>
      <c r="Y173" s="21"/>
      <c r="Z173" s="21"/>
      <c r="AA173" s="28"/>
      <c r="AB173" s="29"/>
      <c r="AC173" s="21"/>
      <c r="AD173" s="25"/>
      <c r="AE173" s="25"/>
      <c r="AF173" s="25"/>
    </row>
    <row r="174" ht="12.75" customHeight="1">
      <c r="B174" s="21"/>
      <c r="C174" s="21"/>
      <c r="E174" s="21"/>
      <c r="F174" s="21"/>
      <c r="J174" s="21"/>
      <c r="K174" s="21"/>
      <c r="L174" s="21"/>
      <c r="M174" s="21"/>
      <c r="O174" s="24"/>
      <c r="P174" s="24"/>
      <c r="U174" s="27"/>
      <c r="X174" s="21"/>
      <c r="Y174" s="21"/>
      <c r="Z174" s="21"/>
      <c r="AA174" s="28"/>
      <c r="AB174" s="29"/>
      <c r="AC174" s="21"/>
      <c r="AD174" s="25"/>
      <c r="AE174" s="25"/>
      <c r="AF174" s="25"/>
    </row>
    <row r="175" ht="12.75" customHeight="1">
      <c r="B175" s="21"/>
      <c r="C175" s="21"/>
      <c r="E175" s="21"/>
      <c r="F175" s="21"/>
      <c r="J175" s="21"/>
      <c r="K175" s="21"/>
      <c r="L175" s="21"/>
      <c r="M175" s="21"/>
      <c r="O175" s="24"/>
      <c r="P175" s="24"/>
      <c r="U175" s="27"/>
      <c r="X175" s="21"/>
      <c r="Y175" s="21"/>
      <c r="Z175" s="21"/>
      <c r="AA175" s="28"/>
      <c r="AB175" s="29"/>
      <c r="AC175" s="21"/>
      <c r="AD175" s="25"/>
      <c r="AE175" s="25"/>
      <c r="AF175" s="25"/>
    </row>
    <row r="176" ht="12.75" customHeight="1">
      <c r="B176" s="21"/>
      <c r="C176" s="21"/>
      <c r="E176" s="21"/>
      <c r="F176" s="21"/>
      <c r="J176" s="21"/>
      <c r="K176" s="21"/>
      <c r="L176" s="21"/>
      <c r="M176" s="21"/>
      <c r="O176" s="24"/>
      <c r="P176" s="24"/>
      <c r="U176" s="27"/>
      <c r="X176" s="21"/>
      <c r="Y176" s="21"/>
      <c r="Z176" s="21"/>
      <c r="AA176" s="28"/>
      <c r="AB176" s="29"/>
      <c r="AC176" s="21"/>
      <c r="AD176" s="25"/>
      <c r="AE176" s="25"/>
      <c r="AF176" s="25"/>
    </row>
    <row r="177" ht="12.75" customHeight="1">
      <c r="B177" s="21"/>
      <c r="C177" s="21"/>
      <c r="E177" s="21"/>
      <c r="F177" s="21"/>
      <c r="J177" s="21"/>
      <c r="K177" s="21"/>
      <c r="L177" s="21"/>
      <c r="M177" s="21"/>
      <c r="O177" s="24"/>
      <c r="P177" s="24"/>
      <c r="U177" s="27"/>
      <c r="X177" s="21"/>
      <c r="Y177" s="21"/>
      <c r="Z177" s="21"/>
      <c r="AA177" s="28"/>
      <c r="AB177" s="29"/>
      <c r="AC177" s="21"/>
      <c r="AD177" s="25"/>
      <c r="AE177" s="25"/>
      <c r="AF177" s="25"/>
    </row>
    <row r="178" ht="12.75" customHeight="1">
      <c r="B178" s="21"/>
      <c r="C178" s="21"/>
      <c r="E178" s="21"/>
      <c r="F178" s="21"/>
      <c r="J178" s="21"/>
      <c r="K178" s="21"/>
      <c r="L178" s="21"/>
      <c r="M178" s="21"/>
      <c r="O178" s="24"/>
      <c r="P178" s="24"/>
      <c r="U178" s="27"/>
      <c r="X178" s="21"/>
      <c r="Y178" s="21"/>
      <c r="Z178" s="21"/>
      <c r="AA178" s="28"/>
      <c r="AB178" s="29"/>
      <c r="AC178" s="21"/>
      <c r="AD178" s="25"/>
      <c r="AE178" s="25"/>
      <c r="AF178" s="25"/>
    </row>
    <row r="179" ht="12.75" customHeight="1">
      <c r="B179" s="21"/>
      <c r="C179" s="21"/>
      <c r="E179" s="21"/>
      <c r="F179" s="21"/>
      <c r="J179" s="21"/>
      <c r="K179" s="21"/>
      <c r="L179" s="21"/>
      <c r="M179" s="21"/>
      <c r="O179" s="24"/>
      <c r="P179" s="24"/>
      <c r="U179" s="27"/>
      <c r="X179" s="21"/>
      <c r="Y179" s="21"/>
      <c r="Z179" s="21"/>
      <c r="AA179" s="28"/>
      <c r="AB179" s="29"/>
      <c r="AC179" s="21"/>
      <c r="AD179" s="25"/>
      <c r="AE179" s="25"/>
      <c r="AF179" s="25"/>
    </row>
    <row r="180" ht="12.75" customHeight="1">
      <c r="B180" s="21"/>
      <c r="C180" s="21"/>
      <c r="E180" s="21"/>
      <c r="F180" s="21"/>
      <c r="J180" s="21"/>
      <c r="K180" s="21"/>
      <c r="L180" s="21"/>
      <c r="M180" s="21"/>
      <c r="O180" s="24"/>
      <c r="P180" s="24"/>
      <c r="U180" s="27"/>
      <c r="X180" s="21"/>
      <c r="Y180" s="21"/>
      <c r="Z180" s="21"/>
      <c r="AA180" s="28"/>
      <c r="AB180" s="29"/>
      <c r="AC180" s="21"/>
      <c r="AD180" s="25"/>
      <c r="AE180" s="25"/>
      <c r="AF180" s="25"/>
    </row>
    <row r="181" ht="12.75" customHeight="1">
      <c r="B181" s="21"/>
      <c r="C181" s="21"/>
      <c r="E181" s="21"/>
      <c r="F181" s="21"/>
      <c r="J181" s="21"/>
      <c r="K181" s="21"/>
      <c r="L181" s="21"/>
      <c r="M181" s="21"/>
      <c r="O181" s="24"/>
      <c r="P181" s="24"/>
      <c r="U181" s="27"/>
      <c r="X181" s="21"/>
      <c r="Y181" s="21"/>
      <c r="Z181" s="21"/>
      <c r="AA181" s="28"/>
      <c r="AB181" s="29"/>
      <c r="AC181" s="21"/>
      <c r="AD181" s="25"/>
      <c r="AE181" s="25"/>
      <c r="AF181" s="25"/>
    </row>
    <row r="182" ht="12.75" customHeight="1">
      <c r="B182" s="21"/>
      <c r="C182" s="21"/>
      <c r="E182" s="21"/>
      <c r="F182" s="21"/>
      <c r="J182" s="21"/>
      <c r="K182" s="21"/>
      <c r="L182" s="21"/>
      <c r="M182" s="21"/>
      <c r="O182" s="24"/>
      <c r="P182" s="24"/>
      <c r="U182" s="27"/>
      <c r="X182" s="21"/>
      <c r="Y182" s="21"/>
      <c r="Z182" s="21"/>
      <c r="AA182" s="28"/>
      <c r="AB182" s="29"/>
      <c r="AC182" s="21"/>
      <c r="AD182" s="25"/>
      <c r="AE182" s="25"/>
      <c r="AF182" s="25"/>
    </row>
    <row r="183" ht="12.75" customHeight="1">
      <c r="B183" s="21"/>
      <c r="C183" s="21"/>
      <c r="E183" s="21"/>
      <c r="F183" s="21"/>
      <c r="J183" s="21"/>
      <c r="K183" s="21"/>
      <c r="L183" s="21"/>
      <c r="M183" s="21"/>
      <c r="O183" s="24"/>
      <c r="P183" s="24"/>
      <c r="U183" s="27"/>
      <c r="X183" s="21"/>
      <c r="Y183" s="21"/>
      <c r="Z183" s="21"/>
      <c r="AA183" s="28"/>
      <c r="AB183" s="29"/>
      <c r="AC183" s="21"/>
      <c r="AD183" s="25"/>
      <c r="AE183" s="25"/>
      <c r="AF183" s="25"/>
    </row>
    <row r="184" ht="12.75" customHeight="1">
      <c r="B184" s="21"/>
      <c r="C184" s="21"/>
      <c r="E184" s="21"/>
      <c r="F184" s="21"/>
      <c r="J184" s="21"/>
      <c r="K184" s="21"/>
      <c r="L184" s="21"/>
      <c r="M184" s="21"/>
      <c r="O184" s="24"/>
      <c r="P184" s="24"/>
      <c r="U184" s="27"/>
      <c r="X184" s="21"/>
      <c r="Y184" s="21"/>
      <c r="Z184" s="21"/>
      <c r="AA184" s="28"/>
      <c r="AB184" s="29"/>
      <c r="AC184" s="21"/>
      <c r="AD184" s="25"/>
      <c r="AE184" s="25"/>
      <c r="AF184" s="25"/>
    </row>
    <row r="185" ht="12.75" customHeight="1">
      <c r="B185" s="21"/>
      <c r="C185" s="21"/>
      <c r="E185" s="21"/>
      <c r="F185" s="21"/>
      <c r="J185" s="21"/>
      <c r="K185" s="21"/>
      <c r="L185" s="21"/>
      <c r="M185" s="21"/>
      <c r="O185" s="24"/>
      <c r="P185" s="24"/>
      <c r="U185" s="27"/>
      <c r="X185" s="21"/>
      <c r="Y185" s="21"/>
      <c r="Z185" s="21"/>
      <c r="AA185" s="28"/>
      <c r="AB185" s="29"/>
      <c r="AC185" s="21"/>
      <c r="AD185" s="25"/>
      <c r="AE185" s="25"/>
      <c r="AF185" s="25"/>
    </row>
    <row r="186" ht="12.75" customHeight="1">
      <c r="B186" s="21"/>
      <c r="C186" s="21"/>
      <c r="E186" s="21"/>
      <c r="F186" s="21"/>
      <c r="J186" s="21"/>
      <c r="K186" s="21"/>
      <c r="L186" s="21"/>
      <c r="M186" s="21"/>
      <c r="O186" s="24"/>
      <c r="P186" s="24"/>
      <c r="U186" s="27"/>
      <c r="X186" s="21"/>
      <c r="Y186" s="21"/>
      <c r="Z186" s="21"/>
      <c r="AA186" s="28"/>
      <c r="AB186" s="29"/>
      <c r="AC186" s="21"/>
      <c r="AD186" s="25"/>
      <c r="AE186" s="25"/>
      <c r="AF186" s="25"/>
    </row>
    <row r="187" ht="12.75" customHeight="1">
      <c r="B187" s="21"/>
      <c r="C187" s="21"/>
      <c r="E187" s="21"/>
      <c r="F187" s="21"/>
      <c r="J187" s="21"/>
      <c r="K187" s="21"/>
      <c r="L187" s="21"/>
      <c r="M187" s="21"/>
      <c r="O187" s="24"/>
      <c r="P187" s="24"/>
      <c r="U187" s="27"/>
      <c r="X187" s="21"/>
      <c r="Y187" s="21"/>
      <c r="Z187" s="21"/>
      <c r="AA187" s="28"/>
      <c r="AB187" s="29"/>
      <c r="AC187" s="21"/>
      <c r="AD187" s="25"/>
      <c r="AE187" s="25"/>
      <c r="AF187" s="25"/>
    </row>
    <row r="188" ht="12.75" customHeight="1">
      <c r="B188" s="21"/>
      <c r="C188" s="21"/>
      <c r="E188" s="21"/>
      <c r="F188" s="21"/>
      <c r="J188" s="21"/>
      <c r="K188" s="21"/>
      <c r="L188" s="21"/>
      <c r="M188" s="21"/>
      <c r="O188" s="24"/>
      <c r="P188" s="24"/>
      <c r="U188" s="27"/>
      <c r="X188" s="21"/>
      <c r="Y188" s="21"/>
      <c r="Z188" s="21"/>
      <c r="AA188" s="28"/>
      <c r="AB188" s="29"/>
      <c r="AC188" s="21"/>
      <c r="AD188" s="25"/>
      <c r="AE188" s="25"/>
      <c r="AF188" s="25"/>
    </row>
    <row r="189" ht="12.75" customHeight="1">
      <c r="B189" s="21"/>
      <c r="C189" s="21"/>
      <c r="E189" s="21"/>
      <c r="F189" s="21"/>
      <c r="J189" s="21"/>
      <c r="K189" s="21"/>
      <c r="L189" s="21"/>
      <c r="M189" s="21"/>
      <c r="O189" s="24"/>
      <c r="P189" s="24"/>
      <c r="U189" s="27"/>
      <c r="X189" s="21"/>
      <c r="Y189" s="21"/>
      <c r="Z189" s="21"/>
      <c r="AA189" s="28"/>
      <c r="AB189" s="29"/>
      <c r="AC189" s="21"/>
      <c r="AD189" s="25"/>
      <c r="AE189" s="25"/>
      <c r="AF189" s="25"/>
    </row>
    <row r="190" ht="12.75" customHeight="1">
      <c r="B190" s="21"/>
      <c r="C190" s="21"/>
      <c r="E190" s="21"/>
      <c r="F190" s="21"/>
      <c r="J190" s="21"/>
      <c r="K190" s="21"/>
      <c r="L190" s="21"/>
      <c r="M190" s="21"/>
      <c r="O190" s="24"/>
      <c r="P190" s="24"/>
      <c r="U190" s="27"/>
      <c r="X190" s="21"/>
      <c r="Y190" s="21"/>
      <c r="Z190" s="21"/>
      <c r="AA190" s="28"/>
      <c r="AB190" s="29"/>
      <c r="AC190" s="21"/>
      <c r="AD190" s="25"/>
      <c r="AE190" s="25"/>
      <c r="AF190" s="25"/>
    </row>
    <row r="191" ht="12.75" customHeight="1">
      <c r="B191" s="21"/>
      <c r="C191" s="21"/>
      <c r="E191" s="21"/>
      <c r="F191" s="21"/>
      <c r="J191" s="21"/>
      <c r="K191" s="21"/>
      <c r="L191" s="21"/>
      <c r="M191" s="21"/>
      <c r="O191" s="24"/>
      <c r="P191" s="24"/>
      <c r="U191" s="27"/>
      <c r="X191" s="21"/>
      <c r="Y191" s="21"/>
      <c r="Z191" s="21"/>
      <c r="AA191" s="28"/>
      <c r="AB191" s="29"/>
      <c r="AC191" s="21"/>
      <c r="AD191" s="25"/>
      <c r="AE191" s="25"/>
      <c r="AF191" s="25"/>
    </row>
    <row r="192" ht="12.75" customHeight="1">
      <c r="B192" s="21"/>
      <c r="C192" s="21"/>
      <c r="E192" s="21"/>
      <c r="F192" s="21"/>
      <c r="J192" s="21"/>
      <c r="K192" s="21"/>
      <c r="L192" s="21"/>
      <c r="M192" s="21"/>
      <c r="O192" s="24"/>
      <c r="P192" s="24"/>
      <c r="U192" s="27"/>
      <c r="X192" s="21"/>
      <c r="Y192" s="21"/>
      <c r="Z192" s="21"/>
      <c r="AA192" s="28"/>
      <c r="AB192" s="29"/>
      <c r="AC192" s="21"/>
      <c r="AD192" s="25"/>
      <c r="AE192" s="25"/>
      <c r="AF192" s="25"/>
    </row>
    <row r="193" ht="12.75" customHeight="1">
      <c r="B193" s="21"/>
      <c r="C193" s="21"/>
      <c r="E193" s="21"/>
      <c r="F193" s="21"/>
      <c r="J193" s="21"/>
      <c r="K193" s="21"/>
      <c r="L193" s="21"/>
      <c r="M193" s="21"/>
      <c r="O193" s="24"/>
      <c r="P193" s="24"/>
      <c r="U193" s="27"/>
      <c r="X193" s="21"/>
      <c r="Y193" s="21"/>
      <c r="Z193" s="21"/>
      <c r="AA193" s="28"/>
      <c r="AB193" s="29"/>
      <c r="AC193" s="21"/>
      <c r="AD193" s="25"/>
      <c r="AE193" s="25"/>
      <c r="AF193" s="25"/>
    </row>
    <row r="194" ht="12.75" customHeight="1">
      <c r="B194" s="21"/>
      <c r="C194" s="21"/>
      <c r="E194" s="21"/>
      <c r="F194" s="21"/>
      <c r="J194" s="21"/>
      <c r="K194" s="21"/>
      <c r="L194" s="21"/>
      <c r="M194" s="21"/>
      <c r="O194" s="24"/>
      <c r="P194" s="24"/>
      <c r="U194" s="27"/>
      <c r="X194" s="21"/>
      <c r="Y194" s="21"/>
      <c r="Z194" s="21"/>
      <c r="AA194" s="28"/>
      <c r="AB194" s="29"/>
      <c r="AC194" s="21"/>
      <c r="AD194" s="25"/>
      <c r="AE194" s="25"/>
      <c r="AF194" s="25"/>
    </row>
    <row r="195" ht="12.75" customHeight="1">
      <c r="B195" s="21"/>
      <c r="C195" s="21"/>
      <c r="E195" s="21"/>
      <c r="F195" s="21"/>
      <c r="J195" s="21"/>
      <c r="K195" s="21"/>
      <c r="L195" s="21"/>
      <c r="M195" s="21"/>
      <c r="O195" s="24"/>
      <c r="P195" s="24"/>
      <c r="U195" s="27"/>
      <c r="X195" s="21"/>
      <c r="Y195" s="21"/>
      <c r="Z195" s="21"/>
      <c r="AA195" s="28"/>
      <c r="AB195" s="29"/>
      <c r="AC195" s="21"/>
      <c r="AD195" s="25"/>
      <c r="AE195" s="25"/>
      <c r="AF195" s="25"/>
    </row>
    <row r="196" ht="12.75" customHeight="1">
      <c r="B196" s="21"/>
      <c r="C196" s="21"/>
      <c r="E196" s="21"/>
      <c r="F196" s="21"/>
      <c r="J196" s="21"/>
      <c r="K196" s="21"/>
      <c r="L196" s="21"/>
      <c r="M196" s="21"/>
      <c r="O196" s="24"/>
      <c r="P196" s="24"/>
      <c r="U196" s="27"/>
      <c r="X196" s="21"/>
      <c r="Y196" s="21"/>
      <c r="Z196" s="21"/>
      <c r="AA196" s="28"/>
      <c r="AB196" s="29"/>
      <c r="AC196" s="21"/>
      <c r="AD196" s="25"/>
      <c r="AE196" s="25"/>
      <c r="AF196" s="25"/>
    </row>
    <row r="197" ht="12.75" customHeight="1">
      <c r="B197" s="21"/>
      <c r="C197" s="21"/>
      <c r="E197" s="21"/>
      <c r="F197" s="21"/>
      <c r="J197" s="21"/>
      <c r="K197" s="21"/>
      <c r="L197" s="21"/>
      <c r="M197" s="21"/>
      <c r="O197" s="24"/>
      <c r="P197" s="24"/>
      <c r="U197" s="27"/>
      <c r="X197" s="21"/>
      <c r="Y197" s="21"/>
      <c r="Z197" s="21"/>
      <c r="AA197" s="28"/>
      <c r="AB197" s="29"/>
      <c r="AC197" s="21"/>
      <c r="AD197" s="25"/>
      <c r="AE197" s="25"/>
      <c r="AF197" s="25"/>
    </row>
    <row r="198" ht="12.75" customHeight="1">
      <c r="B198" s="21"/>
      <c r="C198" s="21"/>
      <c r="E198" s="21"/>
      <c r="F198" s="21"/>
      <c r="J198" s="21"/>
      <c r="K198" s="21"/>
      <c r="L198" s="21"/>
      <c r="M198" s="21"/>
      <c r="O198" s="24"/>
      <c r="P198" s="24"/>
      <c r="U198" s="27"/>
      <c r="X198" s="21"/>
      <c r="Y198" s="21"/>
      <c r="Z198" s="21"/>
      <c r="AA198" s="28"/>
      <c r="AB198" s="29"/>
      <c r="AC198" s="21"/>
      <c r="AD198" s="25"/>
      <c r="AE198" s="25"/>
      <c r="AF198" s="25"/>
    </row>
    <row r="199" ht="12.75" customHeight="1">
      <c r="B199" s="21"/>
      <c r="C199" s="21"/>
      <c r="E199" s="21"/>
      <c r="F199" s="21"/>
      <c r="J199" s="21"/>
      <c r="K199" s="21"/>
      <c r="L199" s="21"/>
      <c r="M199" s="21"/>
      <c r="O199" s="24"/>
      <c r="P199" s="24"/>
      <c r="U199" s="27"/>
      <c r="X199" s="21"/>
      <c r="Y199" s="21"/>
      <c r="Z199" s="21"/>
      <c r="AA199" s="28"/>
      <c r="AB199" s="29"/>
      <c r="AC199" s="21"/>
      <c r="AD199" s="25"/>
      <c r="AE199" s="25"/>
      <c r="AF199" s="25"/>
    </row>
    <row r="200" ht="12.75" customHeight="1">
      <c r="B200" s="21"/>
      <c r="C200" s="21"/>
      <c r="E200" s="21"/>
      <c r="F200" s="21"/>
      <c r="J200" s="21"/>
      <c r="K200" s="21"/>
      <c r="L200" s="21"/>
      <c r="M200" s="21"/>
      <c r="O200" s="24"/>
      <c r="P200" s="24"/>
      <c r="U200" s="27"/>
      <c r="X200" s="21"/>
      <c r="Y200" s="21"/>
      <c r="Z200" s="21"/>
      <c r="AA200" s="28"/>
      <c r="AB200" s="29"/>
      <c r="AC200" s="21"/>
      <c r="AD200" s="25"/>
      <c r="AE200" s="25"/>
      <c r="AF200" s="25"/>
    </row>
    <row r="201" ht="12.75" customHeight="1">
      <c r="B201" s="21"/>
      <c r="C201" s="21"/>
      <c r="E201" s="21"/>
      <c r="F201" s="21"/>
      <c r="J201" s="21"/>
      <c r="K201" s="21"/>
      <c r="L201" s="21"/>
      <c r="M201" s="21"/>
      <c r="O201" s="24"/>
      <c r="P201" s="24"/>
      <c r="U201" s="27"/>
      <c r="X201" s="21"/>
      <c r="Y201" s="21"/>
      <c r="Z201" s="21"/>
      <c r="AA201" s="28"/>
      <c r="AB201" s="29"/>
      <c r="AC201" s="21"/>
      <c r="AD201" s="25"/>
      <c r="AE201" s="25"/>
      <c r="AF201" s="25"/>
    </row>
    <row r="202" ht="12.75" customHeight="1">
      <c r="B202" s="21"/>
      <c r="C202" s="21"/>
      <c r="E202" s="21"/>
      <c r="F202" s="21"/>
      <c r="J202" s="21"/>
      <c r="K202" s="21"/>
      <c r="L202" s="21"/>
      <c r="M202" s="21"/>
      <c r="O202" s="24"/>
      <c r="P202" s="24"/>
      <c r="U202" s="27"/>
      <c r="X202" s="21"/>
      <c r="Y202" s="21"/>
      <c r="Z202" s="21"/>
      <c r="AA202" s="28"/>
      <c r="AB202" s="29"/>
      <c r="AC202" s="21"/>
      <c r="AD202" s="25"/>
      <c r="AE202" s="25"/>
      <c r="AF202" s="25"/>
    </row>
    <row r="203" ht="12.75" customHeight="1">
      <c r="B203" s="21"/>
      <c r="C203" s="21"/>
      <c r="E203" s="21"/>
      <c r="F203" s="21"/>
      <c r="J203" s="21"/>
      <c r="K203" s="21"/>
      <c r="L203" s="21"/>
      <c r="M203" s="21"/>
      <c r="O203" s="24"/>
      <c r="P203" s="24"/>
      <c r="U203" s="27"/>
      <c r="X203" s="21"/>
      <c r="Y203" s="21"/>
      <c r="Z203" s="21"/>
      <c r="AA203" s="28"/>
      <c r="AB203" s="29"/>
      <c r="AC203" s="21"/>
      <c r="AD203" s="25"/>
      <c r="AE203" s="25"/>
      <c r="AF203" s="25"/>
    </row>
    <row r="204" ht="12.75" customHeight="1">
      <c r="B204" s="21"/>
      <c r="C204" s="21"/>
      <c r="E204" s="21"/>
      <c r="F204" s="21"/>
      <c r="J204" s="21"/>
      <c r="K204" s="21"/>
      <c r="L204" s="21"/>
      <c r="M204" s="21"/>
      <c r="O204" s="24"/>
      <c r="P204" s="24"/>
      <c r="U204" s="27"/>
      <c r="X204" s="21"/>
      <c r="Y204" s="21"/>
      <c r="Z204" s="21"/>
      <c r="AA204" s="28"/>
      <c r="AB204" s="29"/>
      <c r="AC204" s="21"/>
      <c r="AD204" s="25"/>
      <c r="AE204" s="25"/>
      <c r="AF204" s="25"/>
    </row>
    <row r="205" ht="12.75" customHeight="1">
      <c r="B205" s="21"/>
      <c r="C205" s="21"/>
      <c r="E205" s="21"/>
      <c r="F205" s="21"/>
      <c r="J205" s="21"/>
      <c r="K205" s="21"/>
      <c r="L205" s="21"/>
      <c r="M205" s="21"/>
      <c r="O205" s="24"/>
      <c r="P205" s="24"/>
      <c r="U205" s="27"/>
      <c r="X205" s="21"/>
      <c r="Y205" s="21"/>
      <c r="Z205" s="21"/>
      <c r="AA205" s="28"/>
      <c r="AB205" s="29"/>
      <c r="AC205" s="21"/>
      <c r="AD205" s="25"/>
      <c r="AE205" s="25"/>
      <c r="AF205" s="25"/>
    </row>
    <row r="206" ht="12.75" customHeight="1">
      <c r="B206" s="21"/>
      <c r="C206" s="21"/>
      <c r="E206" s="21"/>
      <c r="F206" s="21"/>
      <c r="J206" s="21"/>
      <c r="K206" s="21"/>
      <c r="L206" s="21"/>
      <c r="M206" s="21"/>
      <c r="O206" s="24"/>
      <c r="P206" s="24"/>
      <c r="U206" s="27"/>
      <c r="X206" s="21"/>
      <c r="Y206" s="21"/>
      <c r="Z206" s="21"/>
      <c r="AA206" s="28"/>
      <c r="AB206" s="29"/>
      <c r="AC206" s="21"/>
      <c r="AD206" s="25"/>
      <c r="AE206" s="25"/>
      <c r="AF206" s="25"/>
    </row>
    <row r="207" ht="12.75" customHeight="1">
      <c r="B207" s="21"/>
      <c r="C207" s="21"/>
      <c r="E207" s="21"/>
      <c r="F207" s="21"/>
      <c r="J207" s="21"/>
      <c r="K207" s="21"/>
      <c r="L207" s="21"/>
      <c r="M207" s="21"/>
      <c r="O207" s="24"/>
      <c r="P207" s="24"/>
      <c r="U207" s="27"/>
      <c r="X207" s="21"/>
      <c r="Y207" s="21"/>
      <c r="Z207" s="21"/>
      <c r="AA207" s="28"/>
      <c r="AB207" s="29"/>
      <c r="AC207" s="21"/>
      <c r="AD207" s="25"/>
      <c r="AE207" s="25"/>
      <c r="AF207" s="25"/>
    </row>
    <row r="208" ht="12.75" customHeight="1">
      <c r="B208" s="21"/>
      <c r="C208" s="21"/>
      <c r="E208" s="21"/>
      <c r="F208" s="21"/>
      <c r="J208" s="21"/>
      <c r="K208" s="21"/>
      <c r="L208" s="21"/>
      <c r="M208" s="21"/>
      <c r="O208" s="24"/>
      <c r="P208" s="24"/>
      <c r="U208" s="27"/>
      <c r="X208" s="21"/>
      <c r="Y208" s="21"/>
      <c r="Z208" s="21"/>
      <c r="AA208" s="28"/>
      <c r="AB208" s="29"/>
      <c r="AC208" s="21"/>
      <c r="AD208" s="25"/>
      <c r="AE208" s="25"/>
      <c r="AF208" s="25"/>
    </row>
    <row r="209" ht="12.75" customHeight="1">
      <c r="B209" s="21"/>
      <c r="C209" s="21"/>
      <c r="E209" s="21"/>
      <c r="F209" s="21"/>
      <c r="J209" s="21"/>
      <c r="K209" s="21"/>
      <c r="L209" s="21"/>
      <c r="M209" s="21"/>
      <c r="O209" s="24"/>
      <c r="P209" s="24"/>
      <c r="U209" s="27"/>
      <c r="X209" s="21"/>
      <c r="Y209" s="21"/>
      <c r="Z209" s="21"/>
      <c r="AA209" s="28"/>
      <c r="AB209" s="29"/>
      <c r="AC209" s="21"/>
      <c r="AD209" s="25"/>
      <c r="AE209" s="25"/>
      <c r="AF209" s="25"/>
    </row>
    <row r="210" ht="12.75" customHeight="1">
      <c r="B210" s="21"/>
      <c r="C210" s="21"/>
      <c r="E210" s="21"/>
      <c r="F210" s="21"/>
      <c r="J210" s="21"/>
      <c r="K210" s="21"/>
      <c r="L210" s="21"/>
      <c r="M210" s="21"/>
      <c r="O210" s="24"/>
      <c r="P210" s="24"/>
      <c r="U210" s="27"/>
      <c r="X210" s="21"/>
      <c r="Y210" s="21"/>
      <c r="Z210" s="21"/>
      <c r="AA210" s="28"/>
      <c r="AB210" s="29"/>
      <c r="AC210" s="21"/>
      <c r="AD210" s="25"/>
      <c r="AE210" s="25"/>
      <c r="AF210" s="25"/>
    </row>
    <row r="211" ht="12.75" customHeight="1">
      <c r="B211" s="21"/>
      <c r="C211" s="21"/>
      <c r="E211" s="21"/>
      <c r="F211" s="21"/>
      <c r="J211" s="21"/>
      <c r="K211" s="21"/>
      <c r="L211" s="21"/>
      <c r="M211" s="21"/>
      <c r="O211" s="24"/>
      <c r="P211" s="24"/>
      <c r="U211" s="27"/>
      <c r="X211" s="21"/>
      <c r="Y211" s="21"/>
      <c r="Z211" s="21"/>
      <c r="AA211" s="28"/>
      <c r="AB211" s="29"/>
      <c r="AC211" s="21"/>
      <c r="AD211" s="25"/>
      <c r="AE211" s="25"/>
      <c r="AF211" s="25"/>
    </row>
    <row r="212" ht="12.75" customHeight="1">
      <c r="B212" s="21"/>
      <c r="C212" s="21"/>
      <c r="E212" s="21"/>
      <c r="F212" s="21"/>
      <c r="J212" s="21"/>
      <c r="K212" s="21"/>
      <c r="L212" s="21"/>
      <c r="M212" s="21"/>
      <c r="O212" s="24"/>
      <c r="P212" s="24"/>
      <c r="U212" s="27"/>
      <c r="X212" s="21"/>
      <c r="Y212" s="21"/>
      <c r="Z212" s="21"/>
      <c r="AA212" s="28"/>
      <c r="AB212" s="29"/>
      <c r="AC212" s="21"/>
      <c r="AD212" s="25"/>
      <c r="AE212" s="25"/>
      <c r="AF212" s="25"/>
    </row>
    <row r="213" ht="12.75" customHeight="1">
      <c r="B213" s="21"/>
      <c r="C213" s="21"/>
      <c r="E213" s="21"/>
      <c r="F213" s="21"/>
      <c r="J213" s="21"/>
      <c r="K213" s="21"/>
      <c r="L213" s="21"/>
      <c r="M213" s="21"/>
      <c r="O213" s="24"/>
      <c r="P213" s="24"/>
      <c r="U213" s="27"/>
      <c r="X213" s="21"/>
      <c r="Y213" s="21"/>
      <c r="Z213" s="21"/>
      <c r="AA213" s="28"/>
      <c r="AB213" s="29"/>
      <c r="AC213" s="21"/>
      <c r="AD213" s="25"/>
      <c r="AE213" s="25"/>
      <c r="AF213" s="25"/>
    </row>
    <row r="214" ht="12.75" customHeight="1">
      <c r="B214" s="21"/>
      <c r="C214" s="21"/>
      <c r="E214" s="21"/>
      <c r="F214" s="21"/>
      <c r="J214" s="21"/>
      <c r="K214" s="21"/>
      <c r="L214" s="21"/>
      <c r="M214" s="21"/>
      <c r="O214" s="24"/>
      <c r="P214" s="24"/>
      <c r="U214" s="27"/>
      <c r="X214" s="21"/>
      <c r="Y214" s="21"/>
      <c r="Z214" s="21"/>
      <c r="AA214" s="28"/>
      <c r="AB214" s="29"/>
      <c r="AC214" s="21"/>
      <c r="AD214" s="25"/>
      <c r="AE214" s="25"/>
      <c r="AF214" s="25"/>
    </row>
    <row r="215" ht="12.75" customHeight="1">
      <c r="B215" s="21"/>
      <c r="C215" s="21"/>
      <c r="E215" s="21"/>
      <c r="F215" s="21"/>
      <c r="J215" s="21"/>
      <c r="K215" s="21"/>
      <c r="L215" s="21"/>
      <c r="M215" s="21"/>
      <c r="O215" s="24"/>
      <c r="P215" s="24"/>
      <c r="U215" s="27"/>
      <c r="X215" s="21"/>
      <c r="Y215" s="21"/>
      <c r="Z215" s="21"/>
      <c r="AA215" s="28"/>
      <c r="AB215" s="29"/>
      <c r="AC215" s="21"/>
      <c r="AD215" s="25"/>
      <c r="AE215" s="25"/>
      <c r="AF215" s="25"/>
    </row>
    <row r="216" ht="12.75" customHeight="1">
      <c r="B216" s="21"/>
      <c r="C216" s="21"/>
      <c r="E216" s="21"/>
      <c r="F216" s="21"/>
      <c r="J216" s="21"/>
      <c r="K216" s="21"/>
      <c r="L216" s="21"/>
      <c r="M216" s="21"/>
      <c r="O216" s="24"/>
      <c r="P216" s="24"/>
      <c r="U216" s="27"/>
      <c r="X216" s="21"/>
      <c r="Y216" s="21"/>
      <c r="Z216" s="21"/>
      <c r="AA216" s="28"/>
      <c r="AB216" s="29"/>
      <c r="AC216" s="21"/>
      <c r="AD216" s="25"/>
      <c r="AE216" s="25"/>
      <c r="AF216" s="25"/>
    </row>
    <row r="217" ht="12.75" customHeight="1">
      <c r="B217" s="21"/>
      <c r="C217" s="21"/>
      <c r="E217" s="21"/>
      <c r="F217" s="21"/>
      <c r="J217" s="21"/>
      <c r="K217" s="21"/>
      <c r="L217" s="21"/>
      <c r="M217" s="21"/>
      <c r="O217" s="24"/>
      <c r="P217" s="24"/>
      <c r="U217" s="27"/>
      <c r="X217" s="21"/>
      <c r="Y217" s="21"/>
      <c r="Z217" s="21"/>
      <c r="AA217" s="28"/>
      <c r="AB217" s="29"/>
      <c r="AC217" s="21"/>
      <c r="AD217" s="25"/>
      <c r="AE217" s="25"/>
      <c r="AF217" s="25"/>
    </row>
    <row r="218" ht="12.75" customHeight="1">
      <c r="B218" s="21"/>
      <c r="C218" s="21"/>
      <c r="E218" s="21"/>
      <c r="F218" s="21"/>
      <c r="J218" s="21"/>
      <c r="K218" s="21"/>
      <c r="L218" s="21"/>
      <c r="M218" s="21"/>
      <c r="O218" s="24"/>
      <c r="P218" s="24"/>
      <c r="U218" s="27"/>
      <c r="X218" s="21"/>
      <c r="Y218" s="21"/>
      <c r="Z218" s="21"/>
      <c r="AA218" s="28"/>
      <c r="AB218" s="29"/>
      <c r="AC218" s="21"/>
      <c r="AD218" s="25"/>
      <c r="AE218" s="25"/>
      <c r="AF218" s="25"/>
    </row>
    <row r="219" ht="12.75" customHeight="1">
      <c r="B219" s="21"/>
      <c r="C219" s="21"/>
      <c r="E219" s="21"/>
      <c r="F219" s="21"/>
      <c r="J219" s="21"/>
      <c r="K219" s="21"/>
      <c r="L219" s="21"/>
      <c r="M219" s="21"/>
      <c r="O219" s="24"/>
      <c r="P219" s="24"/>
      <c r="U219" s="27"/>
      <c r="X219" s="21"/>
      <c r="Y219" s="21"/>
      <c r="Z219" s="21"/>
      <c r="AA219" s="28"/>
      <c r="AB219" s="29"/>
      <c r="AC219" s="21"/>
      <c r="AD219" s="25"/>
      <c r="AE219" s="25"/>
      <c r="AF219" s="25"/>
    </row>
    <row r="220" ht="12.75" customHeight="1">
      <c r="B220" s="21"/>
      <c r="C220" s="21"/>
      <c r="E220" s="21"/>
      <c r="F220" s="21"/>
      <c r="J220" s="21"/>
      <c r="K220" s="21"/>
      <c r="L220" s="21"/>
      <c r="M220" s="21"/>
      <c r="O220" s="24"/>
      <c r="P220" s="24"/>
      <c r="U220" s="27"/>
      <c r="X220" s="21"/>
      <c r="Y220" s="21"/>
      <c r="Z220" s="21"/>
      <c r="AA220" s="28"/>
      <c r="AB220" s="29"/>
      <c r="AC220" s="21"/>
      <c r="AD220" s="25"/>
      <c r="AE220" s="25"/>
      <c r="AF220" s="25"/>
    </row>
    <row r="221" ht="12.75" customHeight="1">
      <c r="B221" s="21"/>
      <c r="C221" s="21"/>
      <c r="E221" s="21"/>
      <c r="F221" s="21"/>
      <c r="J221" s="21"/>
      <c r="K221" s="21"/>
      <c r="L221" s="21"/>
      <c r="M221" s="21"/>
      <c r="O221" s="24"/>
      <c r="P221" s="24"/>
      <c r="U221" s="27"/>
      <c r="X221" s="21"/>
      <c r="Y221" s="21"/>
      <c r="Z221" s="21"/>
      <c r="AA221" s="28"/>
      <c r="AB221" s="29"/>
      <c r="AC221" s="21"/>
      <c r="AD221" s="25"/>
      <c r="AE221" s="25"/>
      <c r="AF221" s="25"/>
    </row>
    <row r="222" ht="12.75" customHeight="1">
      <c r="B222" s="21"/>
      <c r="C222" s="21"/>
      <c r="E222" s="21"/>
      <c r="F222" s="21"/>
      <c r="J222" s="21"/>
      <c r="K222" s="21"/>
      <c r="L222" s="21"/>
      <c r="M222" s="21"/>
      <c r="O222" s="24"/>
      <c r="P222" s="24"/>
      <c r="U222" s="27"/>
      <c r="X222" s="21"/>
      <c r="Y222" s="21"/>
      <c r="Z222" s="21"/>
      <c r="AA222" s="28"/>
      <c r="AB222" s="29"/>
      <c r="AC222" s="21"/>
      <c r="AD222" s="25"/>
      <c r="AE222" s="25"/>
      <c r="AF222" s="25"/>
    </row>
    <row r="223" ht="12.75" customHeight="1">
      <c r="B223" s="21"/>
      <c r="C223" s="21"/>
      <c r="E223" s="21"/>
      <c r="F223" s="21"/>
      <c r="J223" s="21"/>
      <c r="K223" s="21"/>
      <c r="L223" s="21"/>
      <c r="M223" s="21"/>
      <c r="O223" s="24"/>
      <c r="P223" s="24"/>
      <c r="U223" s="27"/>
      <c r="X223" s="21"/>
      <c r="Y223" s="21"/>
      <c r="Z223" s="21"/>
      <c r="AA223" s="28"/>
      <c r="AB223" s="29"/>
      <c r="AC223" s="21"/>
      <c r="AD223" s="25"/>
      <c r="AE223" s="25"/>
      <c r="AF223" s="25"/>
    </row>
    <row r="224" ht="12.75" customHeight="1">
      <c r="B224" s="21"/>
      <c r="C224" s="21"/>
      <c r="E224" s="21"/>
      <c r="F224" s="21"/>
      <c r="J224" s="21"/>
      <c r="K224" s="21"/>
      <c r="L224" s="21"/>
      <c r="M224" s="21"/>
      <c r="O224" s="24"/>
      <c r="P224" s="24"/>
      <c r="U224" s="27"/>
      <c r="X224" s="21"/>
      <c r="Y224" s="21"/>
      <c r="Z224" s="21"/>
      <c r="AA224" s="28"/>
      <c r="AB224" s="29"/>
      <c r="AC224" s="21"/>
      <c r="AD224" s="25"/>
      <c r="AE224" s="25"/>
      <c r="AF224" s="25"/>
    </row>
    <row r="225" ht="12.75" customHeight="1">
      <c r="B225" s="21"/>
      <c r="C225" s="21"/>
      <c r="E225" s="21"/>
      <c r="F225" s="21"/>
      <c r="J225" s="21"/>
      <c r="K225" s="21"/>
      <c r="L225" s="21"/>
      <c r="M225" s="21"/>
      <c r="O225" s="24"/>
      <c r="P225" s="24"/>
      <c r="U225" s="27"/>
      <c r="X225" s="21"/>
      <c r="Y225" s="21"/>
      <c r="Z225" s="21"/>
      <c r="AA225" s="28"/>
      <c r="AB225" s="29"/>
      <c r="AC225" s="21"/>
      <c r="AD225" s="25"/>
      <c r="AE225" s="25"/>
      <c r="AF225" s="25"/>
    </row>
    <row r="226" ht="12.75" customHeight="1">
      <c r="B226" s="21"/>
      <c r="C226" s="21"/>
      <c r="E226" s="21"/>
      <c r="F226" s="21"/>
      <c r="J226" s="21"/>
      <c r="K226" s="21"/>
      <c r="L226" s="21"/>
      <c r="M226" s="21"/>
      <c r="O226" s="24"/>
      <c r="P226" s="24"/>
      <c r="U226" s="27"/>
      <c r="X226" s="21"/>
      <c r="Y226" s="21"/>
      <c r="Z226" s="21"/>
      <c r="AA226" s="28"/>
      <c r="AB226" s="29"/>
      <c r="AC226" s="21"/>
      <c r="AD226" s="25"/>
      <c r="AE226" s="25"/>
      <c r="AF226" s="25"/>
    </row>
    <row r="227" ht="12.75" customHeight="1">
      <c r="B227" s="21"/>
      <c r="C227" s="21"/>
      <c r="E227" s="21"/>
      <c r="F227" s="21"/>
      <c r="J227" s="21"/>
      <c r="K227" s="21"/>
      <c r="L227" s="21"/>
      <c r="M227" s="21"/>
      <c r="O227" s="24"/>
      <c r="P227" s="24"/>
      <c r="U227" s="27"/>
      <c r="X227" s="21"/>
      <c r="Y227" s="21"/>
      <c r="Z227" s="21"/>
      <c r="AA227" s="28"/>
      <c r="AB227" s="29"/>
      <c r="AC227" s="21"/>
      <c r="AD227" s="25"/>
      <c r="AE227" s="25"/>
      <c r="AF227" s="25"/>
    </row>
    <row r="228" ht="12.75" customHeight="1">
      <c r="B228" s="21"/>
      <c r="C228" s="21"/>
      <c r="E228" s="21"/>
      <c r="F228" s="21"/>
      <c r="J228" s="21"/>
      <c r="K228" s="21"/>
      <c r="L228" s="21"/>
      <c r="M228" s="21"/>
      <c r="O228" s="24"/>
      <c r="P228" s="24"/>
      <c r="U228" s="27"/>
      <c r="X228" s="21"/>
      <c r="Y228" s="21"/>
      <c r="Z228" s="21"/>
      <c r="AA228" s="28"/>
      <c r="AB228" s="29"/>
      <c r="AC228" s="21"/>
      <c r="AD228" s="25"/>
      <c r="AE228" s="25"/>
      <c r="AF228" s="25"/>
    </row>
    <row r="229" ht="12.75" customHeight="1">
      <c r="B229" s="21"/>
      <c r="C229" s="21"/>
      <c r="E229" s="21"/>
      <c r="F229" s="21"/>
      <c r="J229" s="21"/>
      <c r="K229" s="21"/>
      <c r="L229" s="21"/>
      <c r="M229" s="21"/>
      <c r="O229" s="24"/>
      <c r="P229" s="24"/>
      <c r="U229" s="27"/>
      <c r="X229" s="21"/>
      <c r="Y229" s="21"/>
      <c r="Z229" s="21"/>
      <c r="AA229" s="28"/>
      <c r="AB229" s="29"/>
      <c r="AC229" s="21"/>
      <c r="AD229" s="25"/>
      <c r="AE229" s="25"/>
      <c r="AF229" s="25"/>
    </row>
    <row r="230" ht="12.75" customHeight="1">
      <c r="B230" s="21"/>
      <c r="C230" s="21"/>
      <c r="E230" s="21"/>
      <c r="F230" s="21"/>
      <c r="J230" s="21"/>
      <c r="K230" s="21"/>
      <c r="L230" s="21"/>
      <c r="M230" s="21"/>
      <c r="O230" s="24"/>
      <c r="P230" s="24"/>
      <c r="U230" s="27"/>
      <c r="X230" s="21"/>
      <c r="Y230" s="21"/>
      <c r="Z230" s="21"/>
      <c r="AA230" s="28"/>
      <c r="AB230" s="29"/>
      <c r="AC230" s="21"/>
      <c r="AD230" s="25"/>
      <c r="AE230" s="25"/>
      <c r="AF230" s="25"/>
    </row>
    <row r="231" ht="12.75" customHeight="1">
      <c r="B231" s="21"/>
      <c r="C231" s="21"/>
      <c r="E231" s="21"/>
      <c r="F231" s="21"/>
      <c r="J231" s="21"/>
      <c r="K231" s="21"/>
      <c r="L231" s="21"/>
      <c r="M231" s="21"/>
      <c r="O231" s="24"/>
      <c r="P231" s="24"/>
      <c r="U231" s="27"/>
      <c r="X231" s="21"/>
      <c r="Y231" s="21"/>
      <c r="Z231" s="21"/>
      <c r="AA231" s="28"/>
      <c r="AB231" s="29"/>
      <c r="AC231" s="21"/>
      <c r="AD231" s="25"/>
      <c r="AE231" s="25"/>
      <c r="AF231" s="25"/>
    </row>
    <row r="232" ht="12.75" customHeight="1">
      <c r="B232" s="21"/>
      <c r="C232" s="21"/>
      <c r="E232" s="21"/>
      <c r="F232" s="21"/>
      <c r="J232" s="21"/>
      <c r="K232" s="21"/>
      <c r="L232" s="21"/>
      <c r="M232" s="21"/>
      <c r="O232" s="24"/>
      <c r="P232" s="24"/>
      <c r="U232" s="27"/>
      <c r="X232" s="21"/>
      <c r="Y232" s="21"/>
      <c r="Z232" s="21"/>
      <c r="AA232" s="28"/>
      <c r="AB232" s="29"/>
      <c r="AC232" s="21"/>
      <c r="AD232" s="25"/>
      <c r="AE232" s="25"/>
      <c r="AF232" s="25"/>
    </row>
    <row r="233" ht="12.75" customHeight="1">
      <c r="B233" s="21"/>
      <c r="C233" s="21"/>
      <c r="E233" s="21"/>
      <c r="F233" s="21"/>
      <c r="J233" s="21"/>
      <c r="K233" s="21"/>
      <c r="L233" s="21"/>
      <c r="M233" s="21"/>
      <c r="O233" s="24"/>
      <c r="P233" s="24"/>
      <c r="U233" s="27"/>
      <c r="X233" s="21"/>
      <c r="Y233" s="21"/>
      <c r="Z233" s="21"/>
      <c r="AA233" s="28"/>
      <c r="AB233" s="29"/>
      <c r="AC233" s="21"/>
      <c r="AD233" s="25"/>
      <c r="AE233" s="25"/>
      <c r="AF233" s="25"/>
    </row>
    <row r="234" ht="12.75" customHeight="1">
      <c r="B234" s="21"/>
      <c r="C234" s="21"/>
      <c r="E234" s="21"/>
      <c r="F234" s="21"/>
      <c r="J234" s="21"/>
      <c r="K234" s="21"/>
      <c r="L234" s="21"/>
      <c r="M234" s="21"/>
      <c r="O234" s="24"/>
      <c r="P234" s="24"/>
      <c r="U234" s="27"/>
      <c r="X234" s="21"/>
      <c r="Y234" s="21"/>
      <c r="Z234" s="21"/>
      <c r="AA234" s="28"/>
      <c r="AB234" s="29"/>
      <c r="AC234" s="21"/>
      <c r="AD234" s="25"/>
      <c r="AE234" s="25"/>
      <c r="AF234" s="25"/>
    </row>
    <row r="235" ht="12.75" customHeight="1">
      <c r="B235" s="21"/>
      <c r="C235" s="21"/>
      <c r="E235" s="21"/>
      <c r="F235" s="21"/>
      <c r="J235" s="21"/>
      <c r="K235" s="21"/>
      <c r="L235" s="21"/>
      <c r="M235" s="21"/>
      <c r="O235" s="24"/>
      <c r="P235" s="24"/>
      <c r="U235" s="27"/>
      <c r="X235" s="21"/>
      <c r="Y235" s="21"/>
      <c r="Z235" s="21"/>
      <c r="AA235" s="28"/>
      <c r="AB235" s="29"/>
      <c r="AC235" s="21"/>
      <c r="AD235" s="25"/>
      <c r="AE235" s="25"/>
      <c r="AF235" s="25"/>
    </row>
    <row r="236" ht="12.75" customHeight="1">
      <c r="B236" s="21"/>
      <c r="C236" s="21"/>
      <c r="E236" s="21"/>
      <c r="F236" s="21"/>
      <c r="J236" s="21"/>
      <c r="K236" s="21"/>
      <c r="L236" s="21"/>
      <c r="M236" s="21"/>
      <c r="O236" s="24"/>
      <c r="P236" s="24"/>
      <c r="U236" s="27"/>
      <c r="X236" s="21"/>
      <c r="Y236" s="21"/>
      <c r="Z236" s="21"/>
      <c r="AA236" s="28"/>
      <c r="AB236" s="29"/>
      <c r="AC236" s="21"/>
      <c r="AD236" s="25"/>
      <c r="AE236" s="25"/>
      <c r="AF236" s="25"/>
    </row>
    <row r="237" ht="12.75" customHeight="1">
      <c r="B237" s="21"/>
      <c r="C237" s="21"/>
      <c r="E237" s="21"/>
      <c r="F237" s="21"/>
      <c r="J237" s="21"/>
      <c r="K237" s="21"/>
      <c r="L237" s="21"/>
      <c r="M237" s="21"/>
      <c r="O237" s="24"/>
      <c r="P237" s="24"/>
      <c r="U237" s="27"/>
      <c r="X237" s="21"/>
      <c r="Y237" s="21"/>
      <c r="Z237" s="21"/>
      <c r="AA237" s="28"/>
      <c r="AB237" s="29"/>
      <c r="AC237" s="21"/>
      <c r="AD237" s="25"/>
      <c r="AE237" s="25"/>
      <c r="AF237" s="25"/>
    </row>
    <row r="238" ht="12.75" customHeight="1">
      <c r="B238" s="21"/>
      <c r="C238" s="21"/>
      <c r="E238" s="21"/>
      <c r="F238" s="21"/>
      <c r="J238" s="21"/>
      <c r="K238" s="21"/>
      <c r="L238" s="21"/>
      <c r="M238" s="21"/>
      <c r="O238" s="24"/>
      <c r="P238" s="24"/>
      <c r="U238" s="27"/>
      <c r="X238" s="21"/>
      <c r="Y238" s="21"/>
      <c r="Z238" s="21"/>
      <c r="AA238" s="28"/>
      <c r="AB238" s="29"/>
      <c r="AC238" s="21"/>
      <c r="AD238" s="25"/>
      <c r="AE238" s="25"/>
      <c r="AF238" s="25"/>
    </row>
    <row r="239" ht="12.75" customHeight="1">
      <c r="B239" s="21"/>
      <c r="C239" s="21"/>
      <c r="E239" s="21"/>
      <c r="F239" s="21"/>
      <c r="J239" s="21"/>
      <c r="K239" s="21"/>
      <c r="L239" s="21"/>
      <c r="M239" s="21"/>
      <c r="O239" s="24"/>
      <c r="P239" s="24"/>
      <c r="U239" s="27"/>
      <c r="X239" s="21"/>
      <c r="Y239" s="21"/>
      <c r="Z239" s="21"/>
      <c r="AA239" s="28"/>
      <c r="AB239" s="29"/>
      <c r="AC239" s="21"/>
      <c r="AD239" s="25"/>
      <c r="AE239" s="25"/>
      <c r="AF239" s="25"/>
    </row>
    <row r="240" ht="12.75" customHeight="1">
      <c r="B240" s="21"/>
      <c r="C240" s="21"/>
      <c r="E240" s="21"/>
      <c r="F240" s="21"/>
      <c r="J240" s="21"/>
      <c r="K240" s="21"/>
      <c r="L240" s="21"/>
      <c r="M240" s="21"/>
      <c r="O240" s="24"/>
      <c r="P240" s="24"/>
      <c r="U240" s="27"/>
      <c r="X240" s="21"/>
      <c r="Y240" s="21"/>
      <c r="Z240" s="21"/>
      <c r="AA240" s="28"/>
      <c r="AB240" s="29"/>
      <c r="AC240" s="21"/>
      <c r="AD240" s="25"/>
      <c r="AE240" s="25"/>
      <c r="AF240" s="25"/>
    </row>
    <row r="241" ht="12.75" customHeight="1">
      <c r="B241" s="21"/>
      <c r="C241" s="21"/>
      <c r="E241" s="21"/>
      <c r="F241" s="21"/>
      <c r="J241" s="21"/>
      <c r="K241" s="21"/>
      <c r="L241" s="21"/>
      <c r="M241" s="21"/>
      <c r="O241" s="24"/>
      <c r="P241" s="24"/>
      <c r="U241" s="27"/>
      <c r="X241" s="21"/>
      <c r="Y241" s="21"/>
      <c r="Z241" s="21"/>
      <c r="AA241" s="28"/>
      <c r="AB241" s="29"/>
      <c r="AC241" s="21"/>
      <c r="AD241" s="25"/>
      <c r="AE241" s="25"/>
      <c r="AF241" s="25"/>
    </row>
    <row r="242" ht="12.75" customHeight="1">
      <c r="B242" s="21"/>
      <c r="C242" s="21"/>
      <c r="E242" s="21"/>
      <c r="F242" s="21"/>
      <c r="J242" s="21"/>
      <c r="K242" s="21"/>
      <c r="L242" s="21"/>
      <c r="M242" s="21"/>
      <c r="O242" s="24"/>
      <c r="P242" s="24"/>
      <c r="U242" s="27"/>
      <c r="X242" s="21"/>
      <c r="Y242" s="21"/>
      <c r="Z242" s="21"/>
      <c r="AA242" s="28"/>
      <c r="AB242" s="29"/>
      <c r="AC242" s="21"/>
      <c r="AD242" s="25"/>
      <c r="AE242" s="25"/>
      <c r="AF242" s="25"/>
    </row>
    <row r="243" ht="12.75" customHeight="1">
      <c r="B243" s="21"/>
      <c r="C243" s="21"/>
      <c r="E243" s="21"/>
      <c r="F243" s="21"/>
      <c r="J243" s="21"/>
      <c r="K243" s="21"/>
      <c r="L243" s="21"/>
      <c r="M243" s="21"/>
      <c r="O243" s="24"/>
      <c r="P243" s="24"/>
      <c r="U243" s="27"/>
      <c r="X243" s="21"/>
      <c r="Y243" s="21"/>
      <c r="Z243" s="21"/>
      <c r="AA243" s="28"/>
      <c r="AB243" s="29"/>
      <c r="AC243" s="21"/>
      <c r="AD243" s="25"/>
      <c r="AE243" s="25"/>
      <c r="AF243" s="25"/>
    </row>
    <row r="244" ht="12.75" customHeight="1">
      <c r="B244" s="21"/>
      <c r="C244" s="21"/>
      <c r="E244" s="21"/>
      <c r="F244" s="21"/>
      <c r="J244" s="21"/>
      <c r="K244" s="21"/>
      <c r="L244" s="21"/>
      <c r="M244" s="21"/>
      <c r="O244" s="24"/>
      <c r="P244" s="24"/>
      <c r="U244" s="27"/>
      <c r="X244" s="21"/>
      <c r="Y244" s="21"/>
      <c r="Z244" s="21"/>
      <c r="AA244" s="28"/>
      <c r="AB244" s="29"/>
      <c r="AC244" s="21"/>
      <c r="AD244" s="25"/>
      <c r="AE244" s="25"/>
      <c r="AF244" s="25"/>
    </row>
    <row r="245" ht="12.75" customHeight="1">
      <c r="B245" s="21"/>
      <c r="C245" s="21"/>
      <c r="E245" s="21"/>
      <c r="F245" s="21"/>
      <c r="J245" s="21"/>
      <c r="K245" s="21"/>
      <c r="L245" s="21"/>
      <c r="M245" s="21"/>
      <c r="O245" s="24"/>
      <c r="P245" s="24"/>
      <c r="U245" s="27"/>
      <c r="X245" s="21"/>
      <c r="Y245" s="21"/>
      <c r="Z245" s="21"/>
      <c r="AA245" s="28"/>
      <c r="AB245" s="29"/>
      <c r="AC245" s="21"/>
      <c r="AD245" s="25"/>
      <c r="AE245" s="25"/>
      <c r="AF245" s="25"/>
    </row>
    <row r="246" ht="12.75" customHeight="1">
      <c r="B246" s="21"/>
      <c r="C246" s="21"/>
      <c r="E246" s="21"/>
      <c r="F246" s="21"/>
      <c r="J246" s="21"/>
      <c r="K246" s="21"/>
      <c r="L246" s="21"/>
      <c r="M246" s="21"/>
      <c r="O246" s="24"/>
      <c r="P246" s="24"/>
      <c r="U246" s="27"/>
      <c r="X246" s="21"/>
      <c r="Y246" s="21"/>
      <c r="Z246" s="21"/>
      <c r="AA246" s="28"/>
      <c r="AB246" s="29"/>
      <c r="AC246" s="21"/>
      <c r="AD246" s="25"/>
      <c r="AE246" s="25"/>
      <c r="AF246" s="25"/>
    </row>
    <row r="247" ht="12.75" customHeight="1">
      <c r="B247" s="21"/>
      <c r="C247" s="21"/>
      <c r="E247" s="21"/>
      <c r="F247" s="21"/>
      <c r="J247" s="21"/>
      <c r="K247" s="21"/>
      <c r="L247" s="21"/>
      <c r="M247" s="21"/>
      <c r="O247" s="24"/>
      <c r="P247" s="24"/>
      <c r="U247" s="27"/>
      <c r="X247" s="21"/>
      <c r="Y247" s="21"/>
      <c r="Z247" s="21"/>
      <c r="AA247" s="28"/>
      <c r="AB247" s="29"/>
      <c r="AC247" s="21"/>
      <c r="AD247" s="25"/>
      <c r="AE247" s="25"/>
      <c r="AF247" s="25"/>
    </row>
    <row r="248" ht="12.75" customHeight="1">
      <c r="B248" s="21"/>
      <c r="C248" s="21"/>
      <c r="E248" s="21"/>
      <c r="F248" s="21"/>
      <c r="J248" s="21"/>
      <c r="K248" s="21"/>
      <c r="L248" s="21"/>
      <c r="M248" s="21"/>
      <c r="O248" s="24"/>
      <c r="P248" s="24"/>
      <c r="U248" s="27"/>
      <c r="X248" s="21"/>
      <c r="Y248" s="21"/>
      <c r="Z248" s="21"/>
      <c r="AA248" s="28"/>
      <c r="AB248" s="29"/>
      <c r="AC248" s="21"/>
      <c r="AD248" s="25"/>
      <c r="AE248" s="25"/>
      <c r="AF248" s="25"/>
    </row>
    <row r="249" ht="12.75" customHeight="1">
      <c r="B249" s="21"/>
      <c r="C249" s="21"/>
      <c r="E249" s="21"/>
      <c r="F249" s="21"/>
      <c r="J249" s="21"/>
      <c r="K249" s="21"/>
      <c r="L249" s="21"/>
      <c r="M249" s="21"/>
      <c r="O249" s="24"/>
      <c r="P249" s="24"/>
      <c r="U249" s="27"/>
      <c r="X249" s="21"/>
      <c r="Y249" s="21"/>
      <c r="Z249" s="21"/>
      <c r="AA249" s="28"/>
      <c r="AB249" s="29"/>
      <c r="AC249" s="21"/>
      <c r="AD249" s="25"/>
      <c r="AE249" s="25"/>
      <c r="AF249" s="25"/>
    </row>
    <row r="250" ht="12.75" customHeight="1">
      <c r="B250" s="21"/>
      <c r="C250" s="21"/>
      <c r="E250" s="21"/>
      <c r="F250" s="21"/>
      <c r="J250" s="21"/>
      <c r="K250" s="21"/>
      <c r="L250" s="21"/>
      <c r="M250" s="21"/>
      <c r="O250" s="24"/>
      <c r="P250" s="24"/>
      <c r="U250" s="27"/>
      <c r="X250" s="21"/>
      <c r="Y250" s="21"/>
      <c r="Z250" s="21"/>
      <c r="AA250" s="28"/>
      <c r="AB250" s="29"/>
      <c r="AC250" s="21"/>
      <c r="AD250" s="25"/>
      <c r="AE250" s="25"/>
      <c r="AF250" s="25"/>
    </row>
    <row r="251" ht="12.75" customHeight="1">
      <c r="B251" s="21"/>
      <c r="C251" s="21"/>
      <c r="E251" s="21"/>
      <c r="F251" s="21"/>
      <c r="J251" s="21"/>
      <c r="K251" s="21"/>
      <c r="L251" s="21"/>
      <c r="M251" s="21"/>
      <c r="O251" s="24"/>
      <c r="P251" s="24"/>
      <c r="U251" s="27"/>
      <c r="X251" s="21"/>
      <c r="Y251" s="21"/>
      <c r="Z251" s="21"/>
      <c r="AA251" s="28"/>
      <c r="AB251" s="29"/>
      <c r="AC251" s="21"/>
      <c r="AD251" s="25"/>
      <c r="AE251" s="25"/>
      <c r="AF251" s="25"/>
    </row>
    <row r="252" ht="12.75" customHeight="1">
      <c r="B252" s="21"/>
      <c r="C252" s="21"/>
      <c r="E252" s="21"/>
      <c r="F252" s="21"/>
      <c r="J252" s="21"/>
      <c r="K252" s="21"/>
      <c r="L252" s="21"/>
      <c r="M252" s="21"/>
      <c r="O252" s="24"/>
      <c r="P252" s="24"/>
      <c r="U252" s="27"/>
      <c r="X252" s="21"/>
      <c r="Y252" s="21"/>
      <c r="Z252" s="21"/>
      <c r="AA252" s="28"/>
      <c r="AB252" s="29"/>
      <c r="AC252" s="21"/>
      <c r="AD252" s="25"/>
      <c r="AE252" s="25"/>
      <c r="AF252" s="25"/>
    </row>
    <row r="253" ht="12.75" customHeight="1">
      <c r="B253" s="21"/>
      <c r="C253" s="21"/>
      <c r="E253" s="21"/>
      <c r="F253" s="21"/>
      <c r="J253" s="21"/>
      <c r="K253" s="21"/>
      <c r="L253" s="21"/>
      <c r="M253" s="21"/>
      <c r="O253" s="24"/>
      <c r="P253" s="24"/>
      <c r="U253" s="27"/>
      <c r="X253" s="21"/>
      <c r="Y253" s="21"/>
      <c r="Z253" s="21"/>
      <c r="AA253" s="28"/>
      <c r="AB253" s="29"/>
      <c r="AC253" s="21"/>
      <c r="AD253" s="25"/>
      <c r="AE253" s="25"/>
      <c r="AF253" s="25"/>
    </row>
    <row r="254" ht="12.75" customHeight="1">
      <c r="B254" s="21"/>
      <c r="C254" s="21"/>
      <c r="E254" s="21"/>
      <c r="F254" s="21"/>
      <c r="J254" s="21"/>
      <c r="K254" s="21"/>
      <c r="L254" s="21"/>
      <c r="M254" s="21"/>
      <c r="O254" s="24"/>
      <c r="P254" s="24"/>
      <c r="U254" s="27"/>
      <c r="X254" s="21"/>
      <c r="Y254" s="21"/>
      <c r="Z254" s="21"/>
      <c r="AA254" s="28"/>
      <c r="AB254" s="29"/>
      <c r="AC254" s="21"/>
      <c r="AD254" s="25"/>
      <c r="AE254" s="25"/>
      <c r="AF254" s="25"/>
    </row>
    <row r="255" ht="12.75" customHeight="1">
      <c r="B255" s="21"/>
      <c r="C255" s="21"/>
      <c r="E255" s="21"/>
      <c r="F255" s="21"/>
      <c r="J255" s="21"/>
      <c r="K255" s="21"/>
      <c r="L255" s="21"/>
      <c r="M255" s="21"/>
      <c r="O255" s="24"/>
      <c r="P255" s="24"/>
      <c r="U255" s="27"/>
      <c r="X255" s="21"/>
      <c r="Y255" s="21"/>
      <c r="Z255" s="21"/>
      <c r="AA255" s="28"/>
      <c r="AB255" s="29"/>
      <c r="AC255" s="21"/>
      <c r="AD255" s="25"/>
      <c r="AE255" s="25"/>
      <c r="AF255" s="25"/>
    </row>
    <row r="256" ht="12.75" customHeight="1">
      <c r="B256" s="21"/>
      <c r="C256" s="21"/>
      <c r="E256" s="21"/>
      <c r="F256" s="21"/>
      <c r="J256" s="21"/>
      <c r="K256" s="21"/>
      <c r="L256" s="21"/>
      <c r="M256" s="21"/>
      <c r="O256" s="24"/>
      <c r="P256" s="24"/>
      <c r="U256" s="27"/>
      <c r="X256" s="21"/>
      <c r="Y256" s="21"/>
      <c r="Z256" s="21"/>
      <c r="AA256" s="28"/>
      <c r="AB256" s="29"/>
      <c r="AC256" s="21"/>
      <c r="AD256" s="25"/>
      <c r="AE256" s="25"/>
      <c r="AF256" s="25"/>
    </row>
    <row r="257" ht="12.75" customHeight="1">
      <c r="B257" s="21"/>
      <c r="C257" s="21"/>
      <c r="E257" s="21"/>
      <c r="F257" s="21"/>
      <c r="J257" s="21"/>
      <c r="K257" s="21"/>
      <c r="L257" s="21"/>
      <c r="M257" s="21"/>
      <c r="O257" s="24"/>
      <c r="P257" s="24"/>
      <c r="U257" s="27"/>
      <c r="X257" s="21"/>
      <c r="Y257" s="21"/>
      <c r="Z257" s="21"/>
      <c r="AA257" s="28"/>
      <c r="AB257" s="29"/>
      <c r="AC257" s="21"/>
      <c r="AD257" s="25"/>
      <c r="AE257" s="25"/>
      <c r="AF257" s="25"/>
    </row>
    <row r="258" ht="12.75" customHeight="1">
      <c r="B258" s="21"/>
      <c r="C258" s="21"/>
      <c r="E258" s="21"/>
      <c r="F258" s="21"/>
      <c r="J258" s="21"/>
      <c r="K258" s="21"/>
      <c r="L258" s="21"/>
      <c r="M258" s="21"/>
      <c r="O258" s="24"/>
      <c r="P258" s="24"/>
      <c r="U258" s="27"/>
      <c r="X258" s="21"/>
      <c r="Y258" s="21"/>
      <c r="Z258" s="21"/>
      <c r="AA258" s="28"/>
      <c r="AB258" s="29"/>
      <c r="AC258" s="21"/>
      <c r="AD258" s="25"/>
      <c r="AE258" s="25"/>
      <c r="AF258" s="25"/>
    </row>
    <row r="259" ht="12.75" customHeight="1">
      <c r="B259" s="21"/>
      <c r="C259" s="21"/>
      <c r="E259" s="21"/>
      <c r="F259" s="21"/>
      <c r="J259" s="21"/>
      <c r="K259" s="21"/>
      <c r="L259" s="21"/>
      <c r="M259" s="21"/>
      <c r="O259" s="24"/>
      <c r="P259" s="24"/>
      <c r="U259" s="27"/>
      <c r="X259" s="21"/>
      <c r="Y259" s="21"/>
      <c r="Z259" s="21"/>
      <c r="AA259" s="28"/>
      <c r="AB259" s="29"/>
      <c r="AC259" s="21"/>
      <c r="AD259" s="25"/>
      <c r="AE259" s="25"/>
      <c r="AF259" s="25"/>
    </row>
    <row r="260" ht="12.75" customHeight="1">
      <c r="B260" s="21"/>
      <c r="C260" s="21"/>
      <c r="E260" s="21"/>
      <c r="F260" s="21"/>
      <c r="J260" s="21"/>
      <c r="K260" s="21"/>
      <c r="L260" s="21"/>
      <c r="M260" s="21"/>
      <c r="O260" s="24"/>
      <c r="P260" s="24"/>
      <c r="U260" s="27"/>
      <c r="X260" s="21"/>
      <c r="Y260" s="21"/>
      <c r="Z260" s="21"/>
      <c r="AA260" s="28"/>
      <c r="AB260" s="29"/>
      <c r="AC260" s="21"/>
      <c r="AD260" s="25"/>
      <c r="AE260" s="25"/>
      <c r="AF260" s="25"/>
    </row>
    <row r="261" ht="12.75" customHeight="1">
      <c r="B261" s="21"/>
      <c r="C261" s="21"/>
      <c r="E261" s="21"/>
      <c r="F261" s="21"/>
      <c r="J261" s="21"/>
      <c r="K261" s="21"/>
      <c r="L261" s="21"/>
      <c r="M261" s="21"/>
      <c r="O261" s="24"/>
      <c r="P261" s="24"/>
      <c r="U261" s="27"/>
      <c r="X261" s="21"/>
      <c r="Y261" s="21"/>
      <c r="Z261" s="21"/>
      <c r="AA261" s="28"/>
      <c r="AB261" s="29"/>
      <c r="AC261" s="21"/>
      <c r="AD261" s="25"/>
      <c r="AE261" s="25"/>
      <c r="AF261" s="25"/>
    </row>
    <row r="262" ht="12.75" customHeight="1">
      <c r="B262" s="21"/>
      <c r="C262" s="21"/>
      <c r="E262" s="21"/>
      <c r="F262" s="21"/>
      <c r="J262" s="21"/>
      <c r="K262" s="21"/>
      <c r="L262" s="21"/>
      <c r="M262" s="21"/>
      <c r="O262" s="24"/>
      <c r="P262" s="24"/>
      <c r="U262" s="27"/>
      <c r="X262" s="21"/>
      <c r="Y262" s="21"/>
      <c r="Z262" s="21"/>
      <c r="AA262" s="28"/>
      <c r="AB262" s="29"/>
      <c r="AC262" s="21"/>
      <c r="AD262" s="25"/>
      <c r="AE262" s="25"/>
      <c r="AF262" s="25"/>
    </row>
    <row r="263" ht="12.75" customHeight="1">
      <c r="B263" s="21"/>
      <c r="C263" s="21"/>
      <c r="E263" s="21"/>
      <c r="F263" s="21"/>
      <c r="J263" s="21"/>
      <c r="K263" s="21"/>
      <c r="L263" s="21"/>
      <c r="M263" s="21"/>
      <c r="O263" s="24"/>
      <c r="P263" s="24"/>
      <c r="U263" s="27"/>
      <c r="X263" s="21"/>
      <c r="Y263" s="21"/>
      <c r="Z263" s="21"/>
      <c r="AA263" s="28"/>
      <c r="AB263" s="29"/>
      <c r="AC263" s="21"/>
      <c r="AD263" s="25"/>
      <c r="AE263" s="25"/>
      <c r="AF263" s="25"/>
    </row>
    <row r="264" ht="12.75" customHeight="1">
      <c r="B264" s="21"/>
      <c r="C264" s="21"/>
      <c r="E264" s="21"/>
      <c r="F264" s="21"/>
      <c r="J264" s="21"/>
      <c r="K264" s="21"/>
      <c r="L264" s="21"/>
      <c r="M264" s="21"/>
      <c r="O264" s="24"/>
      <c r="P264" s="24"/>
      <c r="U264" s="27"/>
      <c r="X264" s="21"/>
      <c r="Y264" s="21"/>
      <c r="Z264" s="21"/>
      <c r="AA264" s="28"/>
      <c r="AB264" s="29"/>
      <c r="AC264" s="21"/>
      <c r="AD264" s="25"/>
      <c r="AE264" s="25"/>
      <c r="AF264" s="25"/>
    </row>
    <row r="265" ht="12.75" customHeight="1">
      <c r="B265" s="21"/>
      <c r="C265" s="21"/>
      <c r="E265" s="21"/>
      <c r="F265" s="21"/>
      <c r="J265" s="21"/>
      <c r="K265" s="21"/>
      <c r="L265" s="21"/>
      <c r="M265" s="21"/>
      <c r="O265" s="24"/>
      <c r="P265" s="24"/>
      <c r="U265" s="27"/>
      <c r="X265" s="21"/>
      <c r="Y265" s="21"/>
      <c r="Z265" s="21"/>
      <c r="AA265" s="28"/>
      <c r="AB265" s="29"/>
      <c r="AC265" s="21"/>
      <c r="AD265" s="25"/>
      <c r="AE265" s="25"/>
      <c r="AF265" s="25"/>
    </row>
    <row r="266" ht="12.75" customHeight="1">
      <c r="B266" s="21"/>
      <c r="C266" s="21"/>
      <c r="E266" s="21"/>
      <c r="F266" s="21"/>
      <c r="J266" s="21"/>
      <c r="K266" s="21"/>
      <c r="L266" s="21"/>
      <c r="M266" s="21"/>
      <c r="O266" s="24"/>
      <c r="P266" s="24"/>
      <c r="U266" s="27"/>
      <c r="X266" s="21"/>
      <c r="Y266" s="21"/>
      <c r="Z266" s="21"/>
      <c r="AA266" s="28"/>
      <c r="AB266" s="29"/>
      <c r="AC266" s="21"/>
      <c r="AD266" s="25"/>
      <c r="AE266" s="25"/>
      <c r="AF266" s="25"/>
    </row>
    <row r="267" ht="12.75" customHeight="1">
      <c r="B267" s="21"/>
      <c r="C267" s="21"/>
      <c r="E267" s="21"/>
      <c r="F267" s="21"/>
      <c r="J267" s="21"/>
      <c r="K267" s="21"/>
      <c r="L267" s="21"/>
      <c r="M267" s="21"/>
      <c r="O267" s="24"/>
      <c r="P267" s="24"/>
      <c r="U267" s="27"/>
      <c r="X267" s="21"/>
      <c r="Y267" s="21"/>
      <c r="Z267" s="21"/>
      <c r="AA267" s="28"/>
      <c r="AB267" s="29"/>
      <c r="AC267" s="21"/>
      <c r="AD267" s="25"/>
      <c r="AE267" s="25"/>
      <c r="AF267" s="25"/>
    </row>
    <row r="268" ht="12.75" customHeight="1">
      <c r="B268" s="21"/>
      <c r="C268" s="21"/>
      <c r="E268" s="21"/>
      <c r="F268" s="21"/>
      <c r="J268" s="21"/>
      <c r="K268" s="21"/>
      <c r="L268" s="21"/>
      <c r="M268" s="21"/>
      <c r="O268" s="24"/>
      <c r="P268" s="24"/>
      <c r="U268" s="27"/>
      <c r="X268" s="21"/>
      <c r="Y268" s="21"/>
      <c r="Z268" s="21"/>
      <c r="AA268" s="28"/>
      <c r="AB268" s="29"/>
      <c r="AC268" s="21"/>
      <c r="AD268" s="25"/>
      <c r="AE268" s="25"/>
      <c r="AF268" s="25"/>
    </row>
    <row r="269" ht="12.75" customHeight="1">
      <c r="B269" s="21"/>
      <c r="C269" s="21"/>
      <c r="E269" s="21"/>
      <c r="F269" s="21"/>
      <c r="J269" s="21"/>
      <c r="K269" s="21"/>
      <c r="L269" s="21"/>
      <c r="M269" s="21"/>
      <c r="O269" s="24"/>
      <c r="P269" s="24"/>
      <c r="U269" s="27"/>
      <c r="X269" s="21"/>
      <c r="Y269" s="21"/>
      <c r="Z269" s="21"/>
      <c r="AA269" s="28"/>
      <c r="AB269" s="29"/>
      <c r="AC269" s="21"/>
      <c r="AD269" s="25"/>
      <c r="AE269" s="25"/>
      <c r="AF269" s="25"/>
    </row>
    <row r="270" ht="12.75" customHeight="1">
      <c r="B270" s="21"/>
      <c r="C270" s="21"/>
      <c r="E270" s="21"/>
      <c r="F270" s="21"/>
      <c r="J270" s="21"/>
      <c r="K270" s="21"/>
      <c r="L270" s="21"/>
      <c r="M270" s="21"/>
      <c r="O270" s="24"/>
      <c r="P270" s="24"/>
      <c r="U270" s="27"/>
      <c r="X270" s="21"/>
      <c r="Y270" s="21"/>
      <c r="Z270" s="21"/>
      <c r="AA270" s="28"/>
      <c r="AB270" s="29"/>
      <c r="AC270" s="21"/>
      <c r="AD270" s="25"/>
      <c r="AE270" s="25"/>
      <c r="AF270" s="25"/>
    </row>
    <row r="271" ht="12.75" customHeight="1">
      <c r="B271" s="21"/>
      <c r="C271" s="21"/>
      <c r="E271" s="21"/>
      <c r="F271" s="21"/>
      <c r="J271" s="21"/>
      <c r="K271" s="21"/>
      <c r="L271" s="21"/>
      <c r="M271" s="21"/>
      <c r="O271" s="24"/>
      <c r="P271" s="24"/>
      <c r="U271" s="27"/>
      <c r="X271" s="21"/>
      <c r="Y271" s="21"/>
      <c r="Z271" s="21"/>
      <c r="AA271" s="28"/>
      <c r="AB271" s="29"/>
      <c r="AC271" s="21"/>
      <c r="AD271" s="25"/>
      <c r="AE271" s="25"/>
      <c r="AF271" s="25"/>
    </row>
    <row r="272" ht="12.75" customHeight="1">
      <c r="B272" s="21"/>
      <c r="C272" s="21"/>
      <c r="E272" s="21"/>
      <c r="F272" s="21"/>
      <c r="J272" s="21"/>
      <c r="K272" s="21"/>
      <c r="L272" s="21"/>
      <c r="M272" s="21"/>
      <c r="O272" s="24"/>
      <c r="P272" s="24"/>
      <c r="U272" s="27"/>
      <c r="X272" s="21"/>
      <c r="Y272" s="21"/>
      <c r="Z272" s="21"/>
      <c r="AA272" s="28"/>
      <c r="AB272" s="29"/>
      <c r="AC272" s="21"/>
      <c r="AD272" s="25"/>
      <c r="AE272" s="25"/>
      <c r="AF272" s="25"/>
    </row>
    <row r="273" ht="12.75" customHeight="1">
      <c r="B273" s="21"/>
      <c r="C273" s="21"/>
      <c r="E273" s="21"/>
      <c r="F273" s="21"/>
      <c r="J273" s="21"/>
      <c r="K273" s="21"/>
      <c r="L273" s="21"/>
      <c r="M273" s="21"/>
      <c r="O273" s="24"/>
      <c r="P273" s="24"/>
      <c r="U273" s="27"/>
      <c r="X273" s="21"/>
      <c r="Y273" s="21"/>
      <c r="Z273" s="21"/>
      <c r="AA273" s="28"/>
      <c r="AB273" s="29"/>
      <c r="AC273" s="21"/>
      <c r="AD273" s="25"/>
      <c r="AE273" s="25"/>
      <c r="AF273" s="25"/>
    </row>
    <row r="274" ht="12.75" customHeight="1">
      <c r="B274" s="21"/>
      <c r="C274" s="21"/>
      <c r="E274" s="21"/>
      <c r="F274" s="21"/>
      <c r="J274" s="21"/>
      <c r="K274" s="21"/>
      <c r="L274" s="21"/>
      <c r="M274" s="21"/>
      <c r="O274" s="24"/>
      <c r="P274" s="24"/>
      <c r="U274" s="27"/>
      <c r="X274" s="21"/>
      <c r="Y274" s="21"/>
      <c r="Z274" s="21"/>
      <c r="AA274" s="28"/>
      <c r="AB274" s="29"/>
      <c r="AC274" s="21"/>
      <c r="AD274" s="25"/>
      <c r="AE274" s="25"/>
      <c r="AF274" s="25"/>
    </row>
    <row r="275" ht="12.75" customHeight="1">
      <c r="B275" s="21"/>
      <c r="C275" s="21"/>
      <c r="E275" s="21"/>
      <c r="F275" s="21"/>
      <c r="J275" s="21"/>
      <c r="K275" s="21"/>
      <c r="L275" s="21"/>
      <c r="M275" s="21"/>
      <c r="O275" s="24"/>
      <c r="P275" s="24"/>
      <c r="U275" s="27"/>
      <c r="X275" s="21"/>
      <c r="Y275" s="21"/>
      <c r="Z275" s="21"/>
      <c r="AA275" s="28"/>
      <c r="AB275" s="29"/>
      <c r="AC275" s="21"/>
      <c r="AD275" s="25"/>
      <c r="AE275" s="25"/>
      <c r="AF275" s="25"/>
    </row>
    <row r="276" ht="12.75" customHeight="1">
      <c r="B276" s="21"/>
      <c r="C276" s="21"/>
      <c r="E276" s="21"/>
      <c r="F276" s="21"/>
      <c r="J276" s="21"/>
      <c r="K276" s="21"/>
      <c r="L276" s="21"/>
      <c r="M276" s="21"/>
      <c r="O276" s="24"/>
      <c r="P276" s="24"/>
      <c r="U276" s="27"/>
      <c r="X276" s="21"/>
      <c r="Y276" s="21"/>
      <c r="Z276" s="21"/>
      <c r="AA276" s="28"/>
      <c r="AB276" s="29"/>
      <c r="AC276" s="21"/>
      <c r="AD276" s="25"/>
      <c r="AE276" s="25"/>
      <c r="AF276" s="25"/>
    </row>
    <row r="277" ht="12.75" customHeight="1">
      <c r="B277" s="21"/>
      <c r="C277" s="21"/>
      <c r="E277" s="21"/>
      <c r="F277" s="21"/>
      <c r="J277" s="21"/>
      <c r="K277" s="21"/>
      <c r="L277" s="21"/>
      <c r="M277" s="21"/>
      <c r="O277" s="24"/>
      <c r="P277" s="24"/>
      <c r="U277" s="27"/>
      <c r="X277" s="21"/>
      <c r="Y277" s="21"/>
      <c r="Z277" s="21"/>
      <c r="AA277" s="28"/>
      <c r="AB277" s="29"/>
      <c r="AC277" s="21"/>
      <c r="AD277" s="25"/>
      <c r="AE277" s="25"/>
      <c r="AF277" s="25"/>
    </row>
    <row r="278" ht="12.75" customHeight="1">
      <c r="B278" s="21"/>
      <c r="C278" s="21"/>
      <c r="E278" s="21"/>
      <c r="F278" s="21"/>
      <c r="J278" s="21"/>
      <c r="K278" s="21"/>
      <c r="L278" s="21"/>
      <c r="M278" s="21"/>
      <c r="O278" s="24"/>
      <c r="P278" s="24"/>
      <c r="U278" s="27"/>
      <c r="X278" s="21"/>
      <c r="Y278" s="21"/>
      <c r="Z278" s="21"/>
      <c r="AA278" s="28"/>
      <c r="AB278" s="29"/>
      <c r="AC278" s="21"/>
      <c r="AD278" s="25"/>
      <c r="AE278" s="25"/>
      <c r="AF278" s="25"/>
    </row>
    <row r="279" ht="12.75" customHeight="1">
      <c r="B279" s="21"/>
      <c r="C279" s="21"/>
      <c r="E279" s="21"/>
      <c r="F279" s="21"/>
      <c r="J279" s="21"/>
      <c r="K279" s="21"/>
      <c r="L279" s="21"/>
      <c r="M279" s="21"/>
      <c r="O279" s="24"/>
      <c r="P279" s="24"/>
      <c r="U279" s="27"/>
      <c r="X279" s="21"/>
      <c r="Y279" s="21"/>
      <c r="Z279" s="21"/>
      <c r="AA279" s="28"/>
      <c r="AB279" s="29"/>
      <c r="AC279" s="21"/>
      <c r="AD279" s="25"/>
      <c r="AE279" s="25"/>
      <c r="AF279" s="25"/>
    </row>
    <row r="280" ht="12.75" customHeight="1">
      <c r="B280" s="21"/>
      <c r="C280" s="21"/>
      <c r="E280" s="21"/>
      <c r="F280" s="21"/>
      <c r="J280" s="21"/>
      <c r="K280" s="21"/>
      <c r="L280" s="21"/>
      <c r="M280" s="21"/>
      <c r="O280" s="24"/>
      <c r="P280" s="24"/>
      <c r="U280" s="27"/>
      <c r="X280" s="21"/>
      <c r="Y280" s="21"/>
      <c r="Z280" s="21"/>
      <c r="AA280" s="28"/>
      <c r="AB280" s="29"/>
      <c r="AC280" s="21"/>
      <c r="AD280" s="25"/>
      <c r="AE280" s="25"/>
      <c r="AF280" s="25"/>
    </row>
    <row r="281" ht="12.75" customHeight="1">
      <c r="B281" s="21"/>
      <c r="C281" s="21"/>
      <c r="E281" s="21"/>
      <c r="F281" s="21"/>
      <c r="J281" s="21"/>
      <c r="K281" s="21"/>
      <c r="L281" s="21"/>
      <c r="M281" s="21"/>
      <c r="O281" s="24"/>
      <c r="P281" s="24"/>
      <c r="U281" s="27"/>
      <c r="X281" s="21"/>
      <c r="Y281" s="21"/>
      <c r="Z281" s="21"/>
      <c r="AA281" s="28"/>
      <c r="AB281" s="29"/>
      <c r="AC281" s="21"/>
      <c r="AD281" s="25"/>
      <c r="AE281" s="25"/>
      <c r="AF281" s="25"/>
    </row>
    <row r="282" ht="12.75" customHeight="1">
      <c r="B282" s="21"/>
      <c r="C282" s="21"/>
      <c r="E282" s="21"/>
      <c r="F282" s="21"/>
      <c r="J282" s="21"/>
      <c r="K282" s="21"/>
      <c r="L282" s="21"/>
      <c r="M282" s="21"/>
      <c r="O282" s="24"/>
      <c r="P282" s="24"/>
      <c r="U282" s="27"/>
      <c r="X282" s="21"/>
      <c r="Y282" s="21"/>
      <c r="Z282" s="21"/>
      <c r="AA282" s="28"/>
      <c r="AB282" s="29"/>
      <c r="AC282" s="21"/>
      <c r="AD282" s="25"/>
      <c r="AE282" s="25"/>
      <c r="AF282" s="25"/>
    </row>
    <row r="283" ht="12.75" customHeight="1">
      <c r="B283" s="21"/>
      <c r="C283" s="21"/>
      <c r="E283" s="21"/>
      <c r="F283" s="21"/>
      <c r="J283" s="21"/>
      <c r="K283" s="21"/>
      <c r="L283" s="21"/>
      <c r="M283" s="21"/>
      <c r="O283" s="24"/>
      <c r="P283" s="24"/>
      <c r="U283" s="27"/>
      <c r="X283" s="21"/>
      <c r="Y283" s="21"/>
      <c r="Z283" s="21"/>
      <c r="AA283" s="28"/>
      <c r="AB283" s="29"/>
      <c r="AC283" s="21"/>
      <c r="AD283" s="25"/>
      <c r="AE283" s="25"/>
      <c r="AF283" s="25"/>
    </row>
    <row r="284" ht="12.75" customHeight="1">
      <c r="B284" s="21"/>
      <c r="C284" s="21"/>
      <c r="E284" s="21"/>
      <c r="F284" s="21"/>
      <c r="J284" s="21"/>
      <c r="K284" s="21"/>
      <c r="L284" s="21"/>
      <c r="M284" s="21"/>
      <c r="O284" s="24"/>
      <c r="P284" s="24"/>
      <c r="U284" s="27"/>
      <c r="X284" s="21"/>
      <c r="Y284" s="21"/>
      <c r="Z284" s="21"/>
      <c r="AA284" s="28"/>
      <c r="AB284" s="29"/>
      <c r="AC284" s="21"/>
      <c r="AD284" s="25"/>
      <c r="AE284" s="25"/>
      <c r="AF284" s="25"/>
    </row>
    <row r="285" ht="12.75" customHeight="1">
      <c r="B285" s="21"/>
      <c r="C285" s="21"/>
      <c r="E285" s="21"/>
      <c r="F285" s="21"/>
      <c r="J285" s="21"/>
      <c r="K285" s="21"/>
      <c r="L285" s="21"/>
      <c r="M285" s="21"/>
      <c r="O285" s="24"/>
      <c r="P285" s="24"/>
      <c r="U285" s="27"/>
      <c r="X285" s="21"/>
      <c r="Y285" s="21"/>
      <c r="Z285" s="21"/>
      <c r="AA285" s="28"/>
      <c r="AB285" s="29"/>
      <c r="AC285" s="21"/>
      <c r="AD285" s="25"/>
      <c r="AE285" s="25"/>
      <c r="AF285" s="25"/>
    </row>
    <row r="286" ht="12.75" customHeight="1">
      <c r="B286" s="21"/>
      <c r="C286" s="21"/>
      <c r="E286" s="21"/>
      <c r="F286" s="21"/>
      <c r="J286" s="21"/>
      <c r="K286" s="21"/>
      <c r="L286" s="21"/>
      <c r="M286" s="21"/>
      <c r="O286" s="24"/>
      <c r="P286" s="24"/>
      <c r="U286" s="27"/>
      <c r="X286" s="21"/>
      <c r="Y286" s="21"/>
      <c r="Z286" s="21"/>
      <c r="AA286" s="28"/>
      <c r="AB286" s="29"/>
      <c r="AC286" s="21"/>
      <c r="AD286" s="25"/>
      <c r="AE286" s="25"/>
      <c r="AF286" s="25"/>
    </row>
    <row r="287" ht="12.75" customHeight="1">
      <c r="B287" s="21"/>
      <c r="C287" s="21"/>
      <c r="E287" s="21"/>
      <c r="F287" s="21"/>
      <c r="J287" s="21"/>
      <c r="K287" s="21"/>
      <c r="L287" s="21"/>
      <c r="M287" s="21"/>
      <c r="O287" s="24"/>
      <c r="P287" s="24"/>
      <c r="U287" s="27"/>
      <c r="X287" s="21"/>
      <c r="Y287" s="21"/>
      <c r="Z287" s="21"/>
      <c r="AA287" s="28"/>
      <c r="AB287" s="29"/>
      <c r="AC287" s="21"/>
      <c r="AD287" s="25"/>
      <c r="AE287" s="25"/>
      <c r="AF287" s="25"/>
    </row>
    <row r="288" ht="12.75" customHeight="1">
      <c r="B288" s="21"/>
      <c r="C288" s="21"/>
      <c r="E288" s="21"/>
      <c r="F288" s="21"/>
      <c r="J288" s="21"/>
      <c r="K288" s="21"/>
      <c r="L288" s="21"/>
      <c r="M288" s="21"/>
      <c r="O288" s="24"/>
      <c r="P288" s="24"/>
      <c r="U288" s="27"/>
      <c r="X288" s="21"/>
      <c r="Y288" s="21"/>
      <c r="Z288" s="21"/>
      <c r="AA288" s="28"/>
      <c r="AB288" s="29"/>
      <c r="AC288" s="21"/>
      <c r="AD288" s="25"/>
      <c r="AE288" s="25"/>
      <c r="AF288" s="25"/>
    </row>
    <row r="289" ht="12.75" customHeight="1">
      <c r="B289" s="21"/>
      <c r="C289" s="21"/>
      <c r="E289" s="21"/>
      <c r="F289" s="21"/>
      <c r="J289" s="21"/>
      <c r="K289" s="21"/>
      <c r="L289" s="21"/>
      <c r="M289" s="21"/>
      <c r="O289" s="24"/>
      <c r="P289" s="24"/>
      <c r="U289" s="27"/>
      <c r="X289" s="21"/>
      <c r="Y289" s="21"/>
      <c r="Z289" s="21"/>
      <c r="AA289" s="28"/>
      <c r="AB289" s="29"/>
      <c r="AC289" s="21"/>
      <c r="AD289" s="25"/>
      <c r="AE289" s="25"/>
      <c r="AF289" s="25"/>
    </row>
    <row r="290" ht="12.75" customHeight="1">
      <c r="B290" s="21"/>
      <c r="C290" s="21"/>
      <c r="E290" s="21"/>
      <c r="F290" s="21"/>
      <c r="J290" s="21"/>
      <c r="K290" s="21"/>
      <c r="L290" s="21"/>
      <c r="M290" s="21"/>
      <c r="O290" s="24"/>
      <c r="P290" s="24"/>
      <c r="U290" s="27"/>
      <c r="X290" s="21"/>
      <c r="Y290" s="21"/>
      <c r="Z290" s="21"/>
      <c r="AA290" s="28"/>
      <c r="AB290" s="29"/>
      <c r="AC290" s="21"/>
      <c r="AD290" s="25"/>
      <c r="AE290" s="25"/>
      <c r="AF290" s="25"/>
    </row>
    <row r="291" ht="12.75" customHeight="1">
      <c r="B291" s="21"/>
      <c r="C291" s="21"/>
      <c r="E291" s="21"/>
      <c r="F291" s="21"/>
      <c r="J291" s="21"/>
      <c r="K291" s="21"/>
      <c r="L291" s="21"/>
      <c r="M291" s="21"/>
      <c r="O291" s="24"/>
      <c r="P291" s="24"/>
      <c r="U291" s="27"/>
      <c r="X291" s="21"/>
      <c r="Y291" s="21"/>
      <c r="Z291" s="21"/>
      <c r="AA291" s="28"/>
      <c r="AB291" s="29"/>
      <c r="AC291" s="21"/>
      <c r="AD291" s="25"/>
      <c r="AE291" s="25"/>
      <c r="AF291" s="25"/>
    </row>
    <row r="292" ht="12.75" customHeight="1">
      <c r="B292" s="21"/>
      <c r="C292" s="21"/>
      <c r="E292" s="21"/>
      <c r="F292" s="21"/>
      <c r="J292" s="21"/>
      <c r="K292" s="21"/>
      <c r="L292" s="21"/>
      <c r="M292" s="21"/>
      <c r="O292" s="24"/>
      <c r="P292" s="24"/>
      <c r="U292" s="27"/>
      <c r="X292" s="21"/>
      <c r="Y292" s="21"/>
      <c r="Z292" s="21"/>
      <c r="AA292" s="28"/>
      <c r="AB292" s="29"/>
      <c r="AC292" s="21"/>
      <c r="AD292" s="25"/>
      <c r="AE292" s="25"/>
      <c r="AF292" s="25"/>
    </row>
    <row r="293" ht="12.75" customHeight="1">
      <c r="B293" s="21"/>
      <c r="C293" s="21"/>
      <c r="E293" s="21"/>
      <c r="F293" s="21"/>
      <c r="J293" s="21"/>
      <c r="K293" s="21"/>
      <c r="L293" s="21"/>
      <c r="M293" s="21"/>
      <c r="O293" s="24"/>
      <c r="P293" s="24"/>
      <c r="U293" s="27"/>
      <c r="X293" s="21"/>
      <c r="Y293" s="21"/>
      <c r="Z293" s="21"/>
      <c r="AA293" s="28"/>
      <c r="AB293" s="29"/>
      <c r="AC293" s="21"/>
      <c r="AD293" s="25"/>
      <c r="AE293" s="25"/>
      <c r="AF293" s="25"/>
    </row>
    <row r="294" ht="12.75" customHeight="1">
      <c r="B294" s="21"/>
      <c r="C294" s="21"/>
      <c r="E294" s="21"/>
      <c r="F294" s="21"/>
      <c r="J294" s="21"/>
      <c r="K294" s="21"/>
      <c r="L294" s="21"/>
      <c r="M294" s="21"/>
      <c r="O294" s="24"/>
      <c r="P294" s="24"/>
      <c r="U294" s="27"/>
      <c r="X294" s="21"/>
      <c r="Y294" s="21"/>
      <c r="Z294" s="21"/>
      <c r="AA294" s="28"/>
      <c r="AB294" s="29"/>
      <c r="AC294" s="21"/>
      <c r="AD294" s="25"/>
      <c r="AE294" s="25"/>
      <c r="AF294" s="25"/>
    </row>
    <row r="295" ht="12.75" customHeight="1">
      <c r="B295" s="21"/>
      <c r="C295" s="21"/>
      <c r="E295" s="21"/>
      <c r="F295" s="21"/>
      <c r="J295" s="21"/>
      <c r="K295" s="21"/>
      <c r="L295" s="21"/>
      <c r="M295" s="21"/>
      <c r="O295" s="24"/>
      <c r="P295" s="24"/>
      <c r="U295" s="27"/>
      <c r="X295" s="21"/>
      <c r="Y295" s="21"/>
      <c r="Z295" s="21"/>
      <c r="AA295" s="28"/>
      <c r="AB295" s="29"/>
      <c r="AC295" s="21"/>
      <c r="AD295" s="25"/>
      <c r="AE295" s="25"/>
      <c r="AF295" s="25"/>
    </row>
    <row r="296" ht="12.75" customHeight="1">
      <c r="B296" s="21"/>
      <c r="C296" s="21"/>
      <c r="E296" s="21"/>
      <c r="F296" s="21"/>
      <c r="J296" s="21"/>
      <c r="K296" s="21"/>
      <c r="L296" s="21"/>
      <c r="M296" s="21"/>
      <c r="O296" s="24"/>
      <c r="P296" s="24"/>
      <c r="U296" s="27"/>
      <c r="X296" s="21"/>
      <c r="Y296" s="21"/>
      <c r="Z296" s="21"/>
      <c r="AA296" s="28"/>
      <c r="AB296" s="29"/>
      <c r="AC296" s="21"/>
      <c r="AD296" s="25"/>
      <c r="AE296" s="25"/>
      <c r="AF296" s="25"/>
    </row>
    <row r="297" ht="12.75" customHeight="1">
      <c r="B297" s="21"/>
      <c r="C297" s="21"/>
      <c r="E297" s="21"/>
      <c r="F297" s="21"/>
      <c r="J297" s="21"/>
      <c r="K297" s="21"/>
      <c r="L297" s="21"/>
      <c r="M297" s="21"/>
      <c r="O297" s="24"/>
      <c r="P297" s="24"/>
      <c r="U297" s="27"/>
      <c r="X297" s="21"/>
      <c r="Y297" s="21"/>
      <c r="Z297" s="21"/>
      <c r="AA297" s="28"/>
      <c r="AB297" s="29"/>
      <c r="AC297" s="21"/>
      <c r="AD297" s="25"/>
      <c r="AE297" s="25"/>
      <c r="AF297" s="25"/>
    </row>
    <row r="298" ht="12.75" customHeight="1">
      <c r="B298" s="21"/>
      <c r="C298" s="21"/>
      <c r="E298" s="21"/>
      <c r="F298" s="21"/>
      <c r="J298" s="21"/>
      <c r="K298" s="21"/>
      <c r="L298" s="21"/>
      <c r="M298" s="21"/>
      <c r="O298" s="24"/>
      <c r="P298" s="24"/>
      <c r="U298" s="27"/>
      <c r="X298" s="21"/>
      <c r="Y298" s="21"/>
      <c r="Z298" s="21"/>
      <c r="AA298" s="28"/>
      <c r="AB298" s="29"/>
      <c r="AC298" s="21"/>
      <c r="AD298" s="25"/>
      <c r="AE298" s="25"/>
      <c r="AF298" s="25"/>
    </row>
    <row r="299" ht="12.75" customHeight="1">
      <c r="B299" s="21"/>
      <c r="C299" s="21"/>
      <c r="E299" s="21"/>
      <c r="F299" s="21"/>
      <c r="J299" s="21"/>
      <c r="K299" s="21"/>
      <c r="L299" s="21"/>
      <c r="M299" s="21"/>
      <c r="O299" s="24"/>
      <c r="P299" s="24"/>
      <c r="U299" s="27"/>
      <c r="X299" s="21"/>
      <c r="Y299" s="21"/>
      <c r="Z299" s="21"/>
      <c r="AA299" s="28"/>
      <c r="AB299" s="29"/>
      <c r="AC299" s="21"/>
      <c r="AD299" s="25"/>
      <c r="AE299" s="25"/>
      <c r="AF299" s="25"/>
    </row>
    <row r="300" ht="12.75" customHeight="1">
      <c r="B300" s="21"/>
      <c r="C300" s="21"/>
      <c r="E300" s="21"/>
      <c r="F300" s="21"/>
      <c r="J300" s="21"/>
      <c r="K300" s="21"/>
      <c r="L300" s="21"/>
      <c r="M300" s="21"/>
      <c r="O300" s="24"/>
      <c r="P300" s="24"/>
      <c r="U300" s="27"/>
      <c r="X300" s="21"/>
      <c r="Y300" s="21"/>
      <c r="Z300" s="21"/>
      <c r="AA300" s="28"/>
      <c r="AB300" s="29"/>
      <c r="AC300" s="21"/>
      <c r="AD300" s="25"/>
      <c r="AE300" s="25"/>
      <c r="AF300" s="25"/>
    </row>
    <row r="301" ht="12.75" customHeight="1">
      <c r="B301" s="21"/>
      <c r="C301" s="21"/>
      <c r="E301" s="21"/>
      <c r="F301" s="21"/>
      <c r="J301" s="21"/>
      <c r="K301" s="21"/>
      <c r="L301" s="21"/>
      <c r="M301" s="21"/>
      <c r="O301" s="24"/>
      <c r="P301" s="24"/>
      <c r="U301" s="27"/>
      <c r="X301" s="21"/>
      <c r="Y301" s="21"/>
      <c r="Z301" s="21"/>
      <c r="AA301" s="28"/>
      <c r="AB301" s="29"/>
      <c r="AC301" s="21"/>
      <c r="AD301" s="25"/>
      <c r="AE301" s="25"/>
      <c r="AF301" s="25"/>
    </row>
    <row r="302" ht="12.75" customHeight="1">
      <c r="B302" s="21"/>
      <c r="C302" s="21"/>
      <c r="E302" s="21"/>
      <c r="F302" s="21"/>
      <c r="J302" s="21"/>
      <c r="K302" s="21"/>
      <c r="L302" s="21"/>
      <c r="M302" s="21"/>
      <c r="O302" s="24"/>
      <c r="P302" s="24"/>
      <c r="U302" s="27"/>
      <c r="X302" s="21"/>
      <c r="Y302" s="21"/>
      <c r="Z302" s="21"/>
      <c r="AA302" s="28"/>
      <c r="AB302" s="29"/>
      <c r="AC302" s="21"/>
      <c r="AD302" s="25"/>
      <c r="AE302" s="25"/>
      <c r="AF302" s="25"/>
    </row>
    <row r="303" ht="12.75" customHeight="1">
      <c r="B303" s="21"/>
      <c r="C303" s="21"/>
      <c r="E303" s="21"/>
      <c r="F303" s="21"/>
      <c r="J303" s="21"/>
      <c r="K303" s="21"/>
      <c r="L303" s="21"/>
      <c r="M303" s="21"/>
      <c r="O303" s="24"/>
      <c r="P303" s="24"/>
      <c r="U303" s="27"/>
      <c r="X303" s="21"/>
      <c r="Y303" s="21"/>
      <c r="Z303" s="21"/>
      <c r="AA303" s="28"/>
      <c r="AB303" s="29"/>
      <c r="AC303" s="21"/>
      <c r="AD303" s="25"/>
      <c r="AE303" s="25"/>
      <c r="AF303" s="25"/>
    </row>
    <row r="304" ht="12.75" customHeight="1">
      <c r="B304" s="21"/>
      <c r="C304" s="21"/>
      <c r="E304" s="21"/>
      <c r="F304" s="21"/>
      <c r="J304" s="21"/>
      <c r="K304" s="21"/>
      <c r="L304" s="21"/>
      <c r="M304" s="21"/>
      <c r="O304" s="24"/>
      <c r="P304" s="24"/>
      <c r="U304" s="27"/>
      <c r="X304" s="21"/>
      <c r="Y304" s="21"/>
      <c r="Z304" s="21"/>
      <c r="AA304" s="28"/>
      <c r="AB304" s="29"/>
      <c r="AC304" s="21"/>
      <c r="AD304" s="25"/>
      <c r="AE304" s="25"/>
      <c r="AF304" s="25"/>
    </row>
    <row r="305" ht="12.75" customHeight="1">
      <c r="B305" s="21"/>
      <c r="C305" s="21"/>
      <c r="E305" s="21"/>
      <c r="F305" s="21"/>
      <c r="J305" s="21"/>
      <c r="K305" s="21"/>
      <c r="L305" s="21"/>
      <c r="M305" s="21"/>
      <c r="O305" s="24"/>
      <c r="P305" s="24"/>
      <c r="U305" s="27"/>
      <c r="X305" s="21"/>
      <c r="Y305" s="21"/>
      <c r="Z305" s="21"/>
      <c r="AA305" s="28"/>
      <c r="AB305" s="29"/>
      <c r="AC305" s="21"/>
      <c r="AD305" s="25"/>
      <c r="AE305" s="25"/>
      <c r="AF305" s="25"/>
    </row>
    <row r="306" ht="12.75" customHeight="1">
      <c r="B306" s="21"/>
      <c r="C306" s="21"/>
      <c r="E306" s="21"/>
      <c r="F306" s="21"/>
      <c r="J306" s="21"/>
      <c r="K306" s="21"/>
      <c r="L306" s="21"/>
      <c r="M306" s="21"/>
      <c r="O306" s="24"/>
      <c r="P306" s="24"/>
      <c r="U306" s="27"/>
      <c r="X306" s="21"/>
      <c r="Y306" s="21"/>
      <c r="Z306" s="21"/>
      <c r="AA306" s="28"/>
      <c r="AB306" s="29"/>
      <c r="AC306" s="21"/>
      <c r="AD306" s="25"/>
      <c r="AE306" s="25"/>
      <c r="AF306" s="25"/>
    </row>
    <row r="307" ht="12.75" customHeight="1">
      <c r="B307" s="21"/>
      <c r="C307" s="21"/>
      <c r="E307" s="21"/>
      <c r="F307" s="21"/>
      <c r="J307" s="21"/>
      <c r="K307" s="21"/>
      <c r="L307" s="21"/>
      <c r="M307" s="21"/>
      <c r="O307" s="24"/>
      <c r="P307" s="24"/>
      <c r="U307" s="27"/>
      <c r="X307" s="21"/>
      <c r="Y307" s="21"/>
      <c r="Z307" s="21"/>
      <c r="AA307" s="28"/>
      <c r="AB307" s="29"/>
      <c r="AC307" s="21"/>
      <c r="AD307" s="25"/>
      <c r="AE307" s="25"/>
      <c r="AF307" s="25"/>
    </row>
    <row r="308" ht="12.75" customHeight="1">
      <c r="B308" s="21"/>
      <c r="C308" s="21"/>
      <c r="E308" s="21"/>
      <c r="F308" s="21"/>
      <c r="J308" s="21"/>
      <c r="K308" s="21"/>
      <c r="L308" s="21"/>
      <c r="M308" s="21"/>
      <c r="O308" s="24"/>
      <c r="P308" s="24"/>
      <c r="U308" s="27"/>
      <c r="X308" s="21"/>
      <c r="Y308" s="21"/>
      <c r="Z308" s="21"/>
      <c r="AA308" s="28"/>
      <c r="AB308" s="29"/>
      <c r="AC308" s="21"/>
      <c r="AD308" s="25"/>
      <c r="AE308" s="25"/>
      <c r="AF308" s="25"/>
    </row>
    <row r="309" ht="12.75" customHeight="1">
      <c r="B309" s="21"/>
      <c r="C309" s="21"/>
      <c r="E309" s="21"/>
      <c r="F309" s="21"/>
      <c r="J309" s="21"/>
      <c r="K309" s="21"/>
      <c r="L309" s="21"/>
      <c r="M309" s="21"/>
      <c r="O309" s="24"/>
      <c r="P309" s="24"/>
      <c r="U309" s="27"/>
      <c r="X309" s="21"/>
      <c r="Y309" s="21"/>
      <c r="Z309" s="21"/>
      <c r="AA309" s="28"/>
      <c r="AB309" s="29"/>
      <c r="AC309" s="21"/>
      <c r="AD309" s="25"/>
      <c r="AE309" s="25"/>
      <c r="AF309" s="25"/>
    </row>
    <row r="310" ht="12.75" customHeight="1">
      <c r="B310" s="21"/>
      <c r="C310" s="21"/>
      <c r="E310" s="21"/>
      <c r="F310" s="21"/>
      <c r="J310" s="21"/>
      <c r="K310" s="21"/>
      <c r="L310" s="21"/>
      <c r="M310" s="21"/>
      <c r="O310" s="24"/>
      <c r="P310" s="24"/>
      <c r="U310" s="27"/>
      <c r="X310" s="21"/>
      <c r="Y310" s="21"/>
      <c r="Z310" s="21"/>
      <c r="AA310" s="28"/>
      <c r="AB310" s="29"/>
      <c r="AC310" s="21"/>
      <c r="AD310" s="25"/>
      <c r="AE310" s="25"/>
      <c r="AF310" s="25"/>
    </row>
    <row r="311" ht="12.75" customHeight="1">
      <c r="B311" s="21"/>
      <c r="C311" s="21"/>
      <c r="E311" s="21"/>
      <c r="F311" s="21"/>
      <c r="J311" s="21"/>
      <c r="K311" s="21"/>
      <c r="L311" s="21"/>
      <c r="M311" s="21"/>
      <c r="O311" s="24"/>
      <c r="P311" s="24"/>
      <c r="U311" s="27"/>
      <c r="X311" s="21"/>
      <c r="Y311" s="21"/>
      <c r="Z311" s="21"/>
      <c r="AA311" s="28"/>
      <c r="AB311" s="29"/>
      <c r="AC311" s="21"/>
      <c r="AD311" s="25"/>
      <c r="AE311" s="25"/>
      <c r="AF311" s="25"/>
    </row>
    <row r="312" ht="12.75" customHeight="1">
      <c r="B312" s="21"/>
      <c r="C312" s="21"/>
      <c r="E312" s="21"/>
      <c r="F312" s="21"/>
      <c r="J312" s="21"/>
      <c r="K312" s="21"/>
      <c r="L312" s="21"/>
      <c r="M312" s="21"/>
      <c r="O312" s="24"/>
      <c r="P312" s="24"/>
      <c r="U312" s="27"/>
      <c r="X312" s="21"/>
      <c r="Y312" s="21"/>
      <c r="Z312" s="21"/>
      <c r="AA312" s="28"/>
      <c r="AB312" s="29"/>
      <c r="AC312" s="21"/>
      <c r="AD312" s="25"/>
      <c r="AE312" s="25"/>
      <c r="AF312" s="25"/>
    </row>
    <row r="313" ht="12.75" customHeight="1">
      <c r="B313" s="21"/>
      <c r="C313" s="21"/>
      <c r="E313" s="21"/>
      <c r="F313" s="21"/>
      <c r="J313" s="21"/>
      <c r="K313" s="21"/>
      <c r="L313" s="21"/>
      <c r="M313" s="21"/>
      <c r="O313" s="24"/>
      <c r="P313" s="24"/>
      <c r="U313" s="27"/>
      <c r="X313" s="21"/>
      <c r="Y313" s="21"/>
      <c r="Z313" s="21"/>
      <c r="AA313" s="28"/>
      <c r="AB313" s="29"/>
      <c r="AC313" s="21"/>
      <c r="AD313" s="25"/>
      <c r="AE313" s="25"/>
      <c r="AF313" s="25"/>
    </row>
    <row r="314" ht="12.75" customHeight="1">
      <c r="B314" s="21"/>
      <c r="C314" s="21"/>
      <c r="E314" s="21"/>
      <c r="F314" s="21"/>
      <c r="J314" s="21"/>
      <c r="K314" s="21"/>
      <c r="L314" s="21"/>
      <c r="M314" s="21"/>
      <c r="O314" s="24"/>
      <c r="P314" s="24"/>
      <c r="U314" s="27"/>
      <c r="X314" s="21"/>
      <c r="Y314" s="21"/>
      <c r="Z314" s="21"/>
      <c r="AA314" s="28"/>
      <c r="AB314" s="29"/>
      <c r="AC314" s="21"/>
      <c r="AD314" s="25"/>
      <c r="AE314" s="25"/>
      <c r="AF314" s="25"/>
    </row>
    <row r="315" ht="12.75" customHeight="1">
      <c r="B315" s="21"/>
      <c r="C315" s="21"/>
      <c r="E315" s="21"/>
      <c r="F315" s="21"/>
      <c r="J315" s="21"/>
      <c r="K315" s="21"/>
      <c r="L315" s="21"/>
      <c r="M315" s="21"/>
      <c r="O315" s="24"/>
      <c r="P315" s="24"/>
      <c r="U315" s="27"/>
      <c r="X315" s="21"/>
      <c r="Y315" s="21"/>
      <c r="Z315" s="21"/>
      <c r="AA315" s="28"/>
      <c r="AB315" s="29"/>
      <c r="AC315" s="21"/>
      <c r="AD315" s="25"/>
      <c r="AE315" s="25"/>
      <c r="AF315" s="25"/>
    </row>
    <row r="316" ht="12.75" customHeight="1">
      <c r="B316" s="21"/>
      <c r="C316" s="21"/>
      <c r="E316" s="21"/>
      <c r="F316" s="21"/>
      <c r="J316" s="21"/>
      <c r="K316" s="21"/>
      <c r="L316" s="21"/>
      <c r="M316" s="21"/>
      <c r="O316" s="24"/>
      <c r="P316" s="24"/>
      <c r="U316" s="27"/>
      <c r="X316" s="21"/>
      <c r="Y316" s="21"/>
      <c r="Z316" s="21"/>
      <c r="AA316" s="28"/>
      <c r="AB316" s="29"/>
      <c r="AC316" s="21"/>
      <c r="AD316" s="25"/>
      <c r="AE316" s="25"/>
      <c r="AF316" s="25"/>
    </row>
    <row r="317" ht="12.75" customHeight="1">
      <c r="B317" s="21"/>
      <c r="C317" s="21"/>
      <c r="E317" s="21"/>
      <c r="F317" s="21"/>
      <c r="J317" s="21"/>
      <c r="K317" s="21"/>
      <c r="L317" s="21"/>
      <c r="M317" s="21"/>
      <c r="O317" s="24"/>
      <c r="P317" s="24"/>
      <c r="U317" s="27"/>
      <c r="X317" s="21"/>
      <c r="Y317" s="21"/>
      <c r="Z317" s="21"/>
      <c r="AA317" s="28"/>
      <c r="AB317" s="29"/>
      <c r="AC317" s="21"/>
      <c r="AD317" s="25"/>
      <c r="AE317" s="25"/>
      <c r="AF317" s="25"/>
    </row>
    <row r="318" ht="12.75" customHeight="1">
      <c r="B318" s="21"/>
      <c r="C318" s="21"/>
      <c r="E318" s="21"/>
      <c r="F318" s="21"/>
      <c r="J318" s="21"/>
      <c r="K318" s="21"/>
      <c r="L318" s="21"/>
      <c r="M318" s="21"/>
      <c r="O318" s="24"/>
      <c r="P318" s="24"/>
      <c r="U318" s="27"/>
      <c r="X318" s="21"/>
      <c r="Y318" s="21"/>
      <c r="Z318" s="21"/>
      <c r="AA318" s="28"/>
      <c r="AB318" s="29"/>
      <c r="AC318" s="21"/>
      <c r="AD318" s="25"/>
      <c r="AE318" s="25"/>
      <c r="AF318" s="25"/>
    </row>
    <row r="319" ht="12.75" customHeight="1">
      <c r="B319" s="21"/>
      <c r="C319" s="21"/>
      <c r="E319" s="21"/>
      <c r="F319" s="21"/>
      <c r="J319" s="21"/>
      <c r="K319" s="21"/>
      <c r="L319" s="21"/>
      <c r="M319" s="21"/>
      <c r="O319" s="24"/>
      <c r="P319" s="24"/>
      <c r="U319" s="27"/>
      <c r="X319" s="21"/>
      <c r="Y319" s="21"/>
      <c r="Z319" s="21"/>
      <c r="AA319" s="28"/>
      <c r="AB319" s="29"/>
      <c r="AC319" s="21"/>
      <c r="AD319" s="25"/>
      <c r="AE319" s="25"/>
      <c r="AF319" s="25"/>
    </row>
    <row r="320" ht="12.75" customHeight="1">
      <c r="B320" s="21"/>
      <c r="C320" s="21"/>
      <c r="E320" s="21"/>
      <c r="F320" s="21"/>
      <c r="J320" s="21"/>
      <c r="K320" s="21"/>
      <c r="L320" s="21"/>
      <c r="M320" s="21"/>
      <c r="O320" s="24"/>
      <c r="P320" s="24"/>
      <c r="U320" s="27"/>
      <c r="X320" s="21"/>
      <c r="Y320" s="21"/>
      <c r="Z320" s="21"/>
      <c r="AA320" s="28"/>
      <c r="AB320" s="29"/>
      <c r="AC320" s="21"/>
      <c r="AD320" s="25"/>
      <c r="AE320" s="25"/>
      <c r="AF320" s="25"/>
    </row>
    <row r="321" ht="12.75" customHeight="1">
      <c r="B321" s="21"/>
      <c r="C321" s="21"/>
      <c r="E321" s="21"/>
      <c r="F321" s="21"/>
      <c r="J321" s="21"/>
      <c r="K321" s="21"/>
      <c r="L321" s="21"/>
      <c r="M321" s="21"/>
      <c r="O321" s="24"/>
      <c r="P321" s="24"/>
      <c r="U321" s="27"/>
      <c r="X321" s="21"/>
      <c r="Y321" s="21"/>
      <c r="Z321" s="21"/>
      <c r="AA321" s="28"/>
      <c r="AB321" s="29"/>
      <c r="AC321" s="21"/>
      <c r="AD321" s="25"/>
      <c r="AE321" s="25"/>
      <c r="AF321" s="25"/>
    </row>
    <row r="322" ht="12.75" customHeight="1">
      <c r="B322" s="21"/>
      <c r="C322" s="21"/>
      <c r="E322" s="21"/>
      <c r="F322" s="21"/>
      <c r="J322" s="21"/>
      <c r="K322" s="21"/>
      <c r="L322" s="21"/>
      <c r="M322" s="21"/>
      <c r="O322" s="24"/>
      <c r="P322" s="24"/>
      <c r="U322" s="27"/>
      <c r="X322" s="21"/>
      <c r="Y322" s="21"/>
      <c r="Z322" s="21"/>
      <c r="AA322" s="28"/>
      <c r="AB322" s="29"/>
      <c r="AC322" s="21"/>
      <c r="AD322" s="25"/>
      <c r="AE322" s="25"/>
      <c r="AF322" s="25"/>
    </row>
    <row r="323" ht="12.75" customHeight="1">
      <c r="B323" s="21"/>
      <c r="C323" s="21"/>
      <c r="E323" s="21"/>
      <c r="F323" s="21"/>
      <c r="J323" s="21"/>
      <c r="K323" s="21"/>
      <c r="L323" s="21"/>
      <c r="M323" s="21"/>
      <c r="O323" s="24"/>
      <c r="P323" s="24"/>
      <c r="U323" s="27"/>
      <c r="X323" s="21"/>
      <c r="Y323" s="21"/>
      <c r="Z323" s="21"/>
      <c r="AA323" s="28"/>
      <c r="AB323" s="29"/>
      <c r="AC323" s="21"/>
      <c r="AD323" s="25"/>
      <c r="AE323" s="25"/>
      <c r="AF323" s="25"/>
    </row>
    <row r="324" ht="12.75" customHeight="1">
      <c r="B324" s="21"/>
      <c r="C324" s="21"/>
      <c r="E324" s="21"/>
      <c r="F324" s="21"/>
      <c r="J324" s="21"/>
      <c r="K324" s="21"/>
      <c r="L324" s="21"/>
      <c r="M324" s="21"/>
      <c r="O324" s="24"/>
      <c r="P324" s="24"/>
      <c r="U324" s="27"/>
      <c r="X324" s="21"/>
      <c r="Y324" s="21"/>
      <c r="Z324" s="21"/>
      <c r="AA324" s="28"/>
      <c r="AB324" s="29"/>
      <c r="AC324" s="21"/>
      <c r="AD324" s="25"/>
      <c r="AE324" s="25"/>
      <c r="AF324" s="25"/>
    </row>
    <row r="325" ht="12.75" customHeight="1">
      <c r="B325" s="21"/>
      <c r="C325" s="21"/>
      <c r="E325" s="21"/>
      <c r="F325" s="21"/>
      <c r="J325" s="21"/>
      <c r="K325" s="21"/>
      <c r="L325" s="21"/>
      <c r="M325" s="21"/>
      <c r="O325" s="24"/>
      <c r="P325" s="24"/>
      <c r="U325" s="27"/>
      <c r="X325" s="21"/>
      <c r="Y325" s="21"/>
      <c r="Z325" s="21"/>
      <c r="AA325" s="28"/>
      <c r="AB325" s="29"/>
      <c r="AC325" s="21"/>
      <c r="AD325" s="25"/>
      <c r="AE325" s="25"/>
      <c r="AF325" s="25"/>
    </row>
    <row r="326" ht="12.75" customHeight="1">
      <c r="B326" s="21"/>
      <c r="C326" s="21"/>
      <c r="E326" s="21"/>
      <c r="F326" s="21"/>
      <c r="J326" s="21"/>
      <c r="K326" s="21"/>
      <c r="L326" s="21"/>
      <c r="M326" s="21"/>
      <c r="O326" s="24"/>
      <c r="P326" s="24"/>
      <c r="U326" s="27"/>
      <c r="X326" s="21"/>
      <c r="Y326" s="21"/>
      <c r="Z326" s="21"/>
      <c r="AA326" s="28"/>
      <c r="AB326" s="29"/>
      <c r="AC326" s="21"/>
      <c r="AD326" s="25"/>
      <c r="AE326" s="25"/>
      <c r="AF326" s="25"/>
    </row>
    <row r="327" ht="12.75" customHeight="1">
      <c r="B327" s="21"/>
      <c r="C327" s="21"/>
      <c r="E327" s="21"/>
      <c r="F327" s="21"/>
      <c r="J327" s="21"/>
      <c r="K327" s="21"/>
      <c r="L327" s="21"/>
      <c r="M327" s="21"/>
      <c r="O327" s="24"/>
      <c r="P327" s="24"/>
      <c r="U327" s="27"/>
      <c r="X327" s="21"/>
      <c r="Y327" s="21"/>
      <c r="Z327" s="21"/>
      <c r="AA327" s="28"/>
      <c r="AB327" s="29"/>
      <c r="AC327" s="21"/>
      <c r="AD327" s="25"/>
      <c r="AE327" s="25"/>
      <c r="AF327" s="25"/>
    </row>
    <row r="328" ht="12.75" customHeight="1">
      <c r="B328" s="21"/>
      <c r="C328" s="21"/>
      <c r="E328" s="21"/>
      <c r="F328" s="21"/>
      <c r="J328" s="21"/>
      <c r="K328" s="21"/>
      <c r="L328" s="21"/>
      <c r="M328" s="21"/>
      <c r="O328" s="24"/>
      <c r="P328" s="24"/>
      <c r="U328" s="27"/>
      <c r="X328" s="21"/>
      <c r="Y328" s="21"/>
      <c r="Z328" s="21"/>
      <c r="AA328" s="28"/>
      <c r="AB328" s="29"/>
      <c r="AC328" s="21"/>
      <c r="AD328" s="25"/>
      <c r="AE328" s="25"/>
      <c r="AF328" s="25"/>
    </row>
    <row r="329" ht="12.75" customHeight="1">
      <c r="B329" s="21"/>
      <c r="C329" s="21"/>
      <c r="E329" s="21"/>
      <c r="F329" s="21"/>
      <c r="J329" s="21"/>
      <c r="K329" s="21"/>
      <c r="L329" s="21"/>
      <c r="M329" s="21"/>
      <c r="O329" s="24"/>
      <c r="P329" s="24"/>
      <c r="U329" s="27"/>
      <c r="X329" s="21"/>
      <c r="Y329" s="21"/>
      <c r="Z329" s="21"/>
      <c r="AA329" s="28"/>
      <c r="AB329" s="29"/>
      <c r="AC329" s="21"/>
      <c r="AD329" s="25"/>
      <c r="AE329" s="25"/>
      <c r="AF329" s="25"/>
    </row>
    <row r="330" ht="12.75" customHeight="1">
      <c r="B330" s="21"/>
      <c r="C330" s="21"/>
      <c r="E330" s="21"/>
      <c r="F330" s="21"/>
      <c r="J330" s="21"/>
      <c r="K330" s="21"/>
      <c r="L330" s="21"/>
      <c r="M330" s="21"/>
      <c r="O330" s="24"/>
      <c r="P330" s="24"/>
      <c r="U330" s="27"/>
      <c r="X330" s="21"/>
      <c r="Y330" s="21"/>
      <c r="Z330" s="21"/>
      <c r="AA330" s="28"/>
      <c r="AB330" s="29"/>
      <c r="AC330" s="21"/>
      <c r="AD330" s="25"/>
      <c r="AE330" s="25"/>
      <c r="AF330" s="25"/>
    </row>
    <row r="331" ht="12.75" customHeight="1">
      <c r="B331" s="21"/>
      <c r="C331" s="21"/>
      <c r="E331" s="21"/>
      <c r="F331" s="21"/>
      <c r="J331" s="21"/>
      <c r="K331" s="21"/>
      <c r="L331" s="21"/>
      <c r="M331" s="21"/>
      <c r="O331" s="24"/>
      <c r="P331" s="24"/>
      <c r="U331" s="27"/>
      <c r="X331" s="21"/>
      <c r="Y331" s="21"/>
      <c r="Z331" s="21"/>
      <c r="AA331" s="28"/>
      <c r="AB331" s="29"/>
      <c r="AC331" s="21"/>
      <c r="AD331" s="25"/>
      <c r="AE331" s="25"/>
      <c r="AF331" s="25"/>
    </row>
    <row r="332" ht="12.75" customHeight="1">
      <c r="B332" s="21"/>
      <c r="C332" s="21"/>
      <c r="E332" s="21"/>
      <c r="F332" s="21"/>
      <c r="J332" s="21"/>
      <c r="K332" s="21"/>
      <c r="L332" s="21"/>
      <c r="M332" s="21"/>
      <c r="O332" s="24"/>
      <c r="P332" s="24"/>
      <c r="U332" s="27"/>
      <c r="X332" s="21"/>
      <c r="Y332" s="21"/>
      <c r="Z332" s="21"/>
      <c r="AA332" s="28"/>
      <c r="AB332" s="29"/>
      <c r="AC332" s="21"/>
      <c r="AD332" s="25"/>
      <c r="AE332" s="25"/>
      <c r="AF332" s="25"/>
    </row>
    <row r="333" ht="12.75" customHeight="1">
      <c r="B333" s="21"/>
      <c r="C333" s="21"/>
      <c r="E333" s="21"/>
      <c r="F333" s="21"/>
      <c r="J333" s="21"/>
      <c r="K333" s="21"/>
      <c r="L333" s="21"/>
      <c r="M333" s="21"/>
      <c r="O333" s="24"/>
      <c r="P333" s="24"/>
      <c r="U333" s="27"/>
      <c r="X333" s="21"/>
      <c r="Y333" s="21"/>
      <c r="Z333" s="21"/>
      <c r="AA333" s="28"/>
      <c r="AB333" s="29"/>
      <c r="AC333" s="21"/>
      <c r="AD333" s="25"/>
      <c r="AE333" s="25"/>
      <c r="AF333" s="25"/>
    </row>
    <row r="334" ht="12.75" customHeight="1">
      <c r="B334" s="21"/>
      <c r="C334" s="21"/>
      <c r="E334" s="21"/>
      <c r="F334" s="21"/>
      <c r="J334" s="21"/>
      <c r="K334" s="21"/>
      <c r="L334" s="21"/>
      <c r="M334" s="21"/>
      <c r="O334" s="24"/>
      <c r="P334" s="24"/>
      <c r="U334" s="27"/>
      <c r="X334" s="21"/>
      <c r="Y334" s="21"/>
      <c r="Z334" s="21"/>
      <c r="AA334" s="28"/>
      <c r="AB334" s="29"/>
      <c r="AC334" s="21"/>
      <c r="AD334" s="25"/>
      <c r="AE334" s="25"/>
      <c r="AF334" s="25"/>
    </row>
    <row r="335" ht="12.75" customHeight="1">
      <c r="B335" s="21"/>
      <c r="C335" s="21"/>
      <c r="E335" s="21"/>
      <c r="F335" s="21"/>
      <c r="J335" s="21"/>
      <c r="K335" s="21"/>
      <c r="L335" s="21"/>
      <c r="M335" s="21"/>
      <c r="O335" s="24"/>
      <c r="P335" s="24"/>
      <c r="U335" s="27"/>
      <c r="X335" s="21"/>
      <c r="Y335" s="21"/>
      <c r="Z335" s="21"/>
      <c r="AA335" s="28"/>
      <c r="AB335" s="29"/>
      <c r="AC335" s="21"/>
      <c r="AD335" s="25"/>
      <c r="AE335" s="25"/>
      <c r="AF335" s="25"/>
    </row>
    <row r="336" ht="12.75" customHeight="1">
      <c r="B336" s="21"/>
      <c r="C336" s="21"/>
      <c r="E336" s="21"/>
      <c r="F336" s="21"/>
      <c r="J336" s="21"/>
      <c r="K336" s="21"/>
      <c r="L336" s="21"/>
      <c r="M336" s="21"/>
      <c r="O336" s="24"/>
      <c r="P336" s="24"/>
      <c r="U336" s="27"/>
      <c r="X336" s="21"/>
      <c r="Y336" s="21"/>
      <c r="Z336" s="21"/>
      <c r="AA336" s="28"/>
      <c r="AB336" s="29"/>
      <c r="AC336" s="21"/>
      <c r="AD336" s="25"/>
      <c r="AE336" s="25"/>
      <c r="AF336" s="25"/>
    </row>
    <row r="337" ht="12.75" customHeight="1">
      <c r="B337" s="21"/>
      <c r="C337" s="21"/>
      <c r="E337" s="21"/>
      <c r="F337" s="21"/>
      <c r="J337" s="21"/>
      <c r="K337" s="21"/>
      <c r="L337" s="21"/>
      <c r="M337" s="21"/>
      <c r="O337" s="24"/>
      <c r="P337" s="24"/>
      <c r="U337" s="27"/>
      <c r="X337" s="21"/>
      <c r="Y337" s="21"/>
      <c r="Z337" s="21"/>
      <c r="AA337" s="28"/>
      <c r="AB337" s="29"/>
      <c r="AC337" s="21"/>
      <c r="AD337" s="25"/>
      <c r="AE337" s="25"/>
      <c r="AF337" s="25"/>
    </row>
    <row r="338" ht="12.75" customHeight="1">
      <c r="B338" s="21"/>
      <c r="C338" s="21"/>
      <c r="E338" s="21"/>
      <c r="F338" s="21"/>
      <c r="J338" s="21"/>
      <c r="K338" s="21"/>
      <c r="L338" s="21"/>
      <c r="M338" s="21"/>
      <c r="O338" s="24"/>
      <c r="P338" s="24"/>
      <c r="U338" s="27"/>
      <c r="X338" s="21"/>
      <c r="Y338" s="21"/>
      <c r="Z338" s="21"/>
      <c r="AA338" s="28"/>
      <c r="AB338" s="29"/>
      <c r="AC338" s="21"/>
      <c r="AD338" s="25"/>
      <c r="AE338" s="25"/>
      <c r="AF338" s="25"/>
    </row>
    <row r="339" ht="12.75" customHeight="1">
      <c r="B339" s="21"/>
      <c r="C339" s="21"/>
      <c r="E339" s="21"/>
      <c r="F339" s="21"/>
      <c r="J339" s="21"/>
      <c r="K339" s="21"/>
      <c r="L339" s="21"/>
      <c r="M339" s="21"/>
      <c r="O339" s="24"/>
      <c r="P339" s="24"/>
      <c r="U339" s="27"/>
      <c r="X339" s="21"/>
      <c r="Y339" s="21"/>
      <c r="Z339" s="21"/>
      <c r="AA339" s="28"/>
      <c r="AB339" s="29"/>
      <c r="AC339" s="21"/>
      <c r="AD339" s="25"/>
      <c r="AE339" s="25"/>
      <c r="AF339" s="25"/>
    </row>
    <row r="340" ht="12.75" customHeight="1">
      <c r="B340" s="21"/>
      <c r="C340" s="21"/>
      <c r="E340" s="21"/>
      <c r="F340" s="21"/>
      <c r="J340" s="21"/>
      <c r="K340" s="21"/>
      <c r="L340" s="21"/>
      <c r="M340" s="21"/>
      <c r="O340" s="24"/>
      <c r="P340" s="24"/>
      <c r="U340" s="27"/>
      <c r="X340" s="21"/>
      <c r="Y340" s="21"/>
      <c r="Z340" s="21"/>
      <c r="AA340" s="28"/>
      <c r="AB340" s="29"/>
      <c r="AC340" s="21"/>
      <c r="AD340" s="25"/>
      <c r="AE340" s="25"/>
      <c r="AF340" s="25"/>
    </row>
    <row r="341" ht="12.75" customHeight="1">
      <c r="B341" s="21"/>
      <c r="C341" s="21"/>
      <c r="E341" s="21"/>
      <c r="F341" s="21"/>
      <c r="J341" s="21"/>
      <c r="K341" s="21"/>
      <c r="L341" s="21"/>
      <c r="M341" s="21"/>
      <c r="O341" s="24"/>
      <c r="P341" s="24"/>
      <c r="U341" s="27"/>
      <c r="X341" s="21"/>
      <c r="Y341" s="21"/>
      <c r="Z341" s="21"/>
      <c r="AA341" s="28"/>
      <c r="AB341" s="29"/>
      <c r="AC341" s="21"/>
      <c r="AD341" s="25"/>
      <c r="AE341" s="25"/>
      <c r="AF341" s="25"/>
    </row>
    <row r="342" ht="12.75" customHeight="1">
      <c r="B342" s="21"/>
      <c r="C342" s="21"/>
      <c r="E342" s="21"/>
      <c r="F342" s="21"/>
      <c r="J342" s="21"/>
      <c r="K342" s="21"/>
      <c r="L342" s="21"/>
      <c r="M342" s="21"/>
      <c r="O342" s="24"/>
      <c r="P342" s="24"/>
      <c r="U342" s="27"/>
      <c r="X342" s="21"/>
      <c r="Y342" s="21"/>
      <c r="Z342" s="21"/>
      <c r="AA342" s="28"/>
      <c r="AB342" s="29"/>
      <c r="AC342" s="21"/>
      <c r="AD342" s="25"/>
      <c r="AE342" s="25"/>
      <c r="AF342" s="25"/>
    </row>
    <row r="343" ht="12.75" customHeight="1">
      <c r="B343" s="21"/>
      <c r="C343" s="21"/>
      <c r="E343" s="21"/>
      <c r="F343" s="21"/>
      <c r="J343" s="21"/>
      <c r="K343" s="21"/>
      <c r="L343" s="21"/>
      <c r="M343" s="21"/>
      <c r="O343" s="24"/>
      <c r="P343" s="24"/>
      <c r="U343" s="27"/>
      <c r="X343" s="21"/>
      <c r="Y343" s="21"/>
      <c r="Z343" s="21"/>
      <c r="AA343" s="28"/>
      <c r="AB343" s="29"/>
      <c r="AC343" s="21"/>
      <c r="AD343" s="25"/>
      <c r="AE343" s="25"/>
      <c r="AF343" s="25"/>
    </row>
    <row r="344" ht="12.75" customHeight="1">
      <c r="B344" s="21"/>
      <c r="C344" s="21"/>
      <c r="E344" s="21"/>
      <c r="F344" s="21"/>
      <c r="J344" s="21"/>
      <c r="K344" s="21"/>
      <c r="L344" s="21"/>
      <c r="M344" s="21"/>
      <c r="O344" s="24"/>
      <c r="P344" s="24"/>
      <c r="U344" s="27"/>
      <c r="X344" s="21"/>
      <c r="Y344" s="21"/>
      <c r="Z344" s="21"/>
      <c r="AA344" s="28"/>
      <c r="AB344" s="29"/>
      <c r="AC344" s="21"/>
      <c r="AD344" s="25"/>
      <c r="AE344" s="25"/>
      <c r="AF344" s="25"/>
    </row>
    <row r="345" ht="12.75" customHeight="1">
      <c r="B345" s="21"/>
      <c r="C345" s="21"/>
      <c r="E345" s="21"/>
      <c r="F345" s="21"/>
      <c r="J345" s="21"/>
      <c r="K345" s="21"/>
      <c r="L345" s="21"/>
      <c r="M345" s="21"/>
      <c r="O345" s="24"/>
      <c r="P345" s="24"/>
      <c r="U345" s="27"/>
      <c r="X345" s="21"/>
      <c r="Y345" s="21"/>
      <c r="Z345" s="21"/>
      <c r="AA345" s="28"/>
      <c r="AB345" s="29"/>
      <c r="AC345" s="21"/>
      <c r="AD345" s="25"/>
      <c r="AE345" s="25"/>
      <c r="AF345" s="25"/>
    </row>
    <row r="346" ht="12.75" customHeight="1">
      <c r="B346" s="21"/>
      <c r="C346" s="21"/>
      <c r="E346" s="21"/>
      <c r="F346" s="21"/>
      <c r="J346" s="21"/>
      <c r="K346" s="21"/>
      <c r="L346" s="21"/>
      <c r="M346" s="21"/>
      <c r="O346" s="24"/>
      <c r="P346" s="24"/>
      <c r="U346" s="27"/>
      <c r="X346" s="21"/>
      <c r="Y346" s="21"/>
      <c r="Z346" s="21"/>
      <c r="AA346" s="28"/>
      <c r="AB346" s="29"/>
      <c r="AC346" s="21"/>
      <c r="AD346" s="25"/>
      <c r="AE346" s="25"/>
      <c r="AF346" s="25"/>
    </row>
    <row r="347" ht="12.75" customHeight="1">
      <c r="B347" s="21"/>
      <c r="C347" s="21"/>
      <c r="E347" s="21"/>
      <c r="F347" s="21"/>
      <c r="J347" s="21"/>
      <c r="K347" s="21"/>
      <c r="L347" s="21"/>
      <c r="M347" s="21"/>
      <c r="O347" s="24"/>
      <c r="P347" s="24"/>
      <c r="U347" s="27"/>
      <c r="X347" s="21"/>
      <c r="Y347" s="21"/>
      <c r="Z347" s="21"/>
      <c r="AA347" s="28"/>
      <c r="AB347" s="29"/>
      <c r="AC347" s="21"/>
      <c r="AD347" s="25"/>
      <c r="AE347" s="25"/>
      <c r="AF347" s="25"/>
    </row>
    <row r="348" ht="12.75" customHeight="1">
      <c r="B348" s="21"/>
      <c r="C348" s="21"/>
      <c r="E348" s="21"/>
      <c r="F348" s="21"/>
      <c r="J348" s="21"/>
      <c r="K348" s="21"/>
      <c r="L348" s="21"/>
      <c r="M348" s="21"/>
      <c r="O348" s="24"/>
      <c r="P348" s="24"/>
      <c r="U348" s="27"/>
      <c r="X348" s="21"/>
      <c r="Y348" s="21"/>
      <c r="Z348" s="21"/>
      <c r="AA348" s="28"/>
      <c r="AB348" s="29"/>
      <c r="AC348" s="21"/>
      <c r="AD348" s="25"/>
      <c r="AE348" s="25"/>
      <c r="AF348" s="25"/>
    </row>
    <row r="349" ht="12.75" customHeight="1">
      <c r="B349" s="21"/>
      <c r="C349" s="21"/>
      <c r="E349" s="21"/>
      <c r="F349" s="21"/>
      <c r="J349" s="21"/>
      <c r="K349" s="21"/>
      <c r="L349" s="21"/>
      <c r="M349" s="21"/>
      <c r="O349" s="24"/>
      <c r="P349" s="24"/>
      <c r="U349" s="27"/>
      <c r="X349" s="21"/>
      <c r="Y349" s="21"/>
      <c r="Z349" s="21"/>
      <c r="AA349" s="28"/>
      <c r="AB349" s="29"/>
      <c r="AC349" s="21"/>
      <c r="AD349" s="25"/>
      <c r="AE349" s="25"/>
      <c r="AF349" s="25"/>
    </row>
    <row r="350" ht="12.75" customHeight="1">
      <c r="B350" s="21"/>
      <c r="C350" s="21"/>
      <c r="E350" s="21"/>
      <c r="F350" s="21"/>
      <c r="J350" s="21"/>
      <c r="K350" s="21"/>
      <c r="L350" s="21"/>
      <c r="M350" s="21"/>
      <c r="O350" s="24"/>
      <c r="P350" s="24"/>
      <c r="U350" s="27"/>
      <c r="X350" s="21"/>
      <c r="Y350" s="21"/>
      <c r="Z350" s="21"/>
      <c r="AA350" s="28"/>
      <c r="AB350" s="29"/>
      <c r="AC350" s="21"/>
      <c r="AD350" s="25"/>
      <c r="AE350" s="25"/>
      <c r="AF350" s="25"/>
    </row>
    <row r="351" ht="12.75" customHeight="1">
      <c r="B351" s="21"/>
      <c r="C351" s="21"/>
      <c r="E351" s="21"/>
      <c r="F351" s="21"/>
      <c r="J351" s="21"/>
      <c r="K351" s="21"/>
      <c r="L351" s="21"/>
      <c r="M351" s="21"/>
      <c r="O351" s="24"/>
      <c r="P351" s="24"/>
      <c r="U351" s="27"/>
      <c r="X351" s="21"/>
      <c r="Y351" s="21"/>
      <c r="Z351" s="21"/>
      <c r="AA351" s="28"/>
      <c r="AB351" s="29"/>
      <c r="AC351" s="21"/>
      <c r="AD351" s="25"/>
      <c r="AE351" s="25"/>
      <c r="AF351" s="25"/>
    </row>
    <row r="352" ht="12.75" customHeight="1">
      <c r="B352" s="21"/>
      <c r="C352" s="21"/>
      <c r="E352" s="21"/>
      <c r="F352" s="21"/>
      <c r="J352" s="21"/>
      <c r="K352" s="21"/>
      <c r="L352" s="21"/>
      <c r="M352" s="21"/>
      <c r="O352" s="24"/>
      <c r="P352" s="24"/>
      <c r="U352" s="27"/>
      <c r="X352" s="21"/>
      <c r="Y352" s="21"/>
      <c r="Z352" s="21"/>
      <c r="AA352" s="28"/>
      <c r="AB352" s="29"/>
      <c r="AC352" s="21"/>
      <c r="AD352" s="25"/>
      <c r="AE352" s="25"/>
      <c r="AF352" s="25"/>
    </row>
    <row r="353" ht="12.75" customHeight="1">
      <c r="B353" s="21"/>
      <c r="C353" s="21"/>
      <c r="E353" s="21"/>
      <c r="F353" s="21"/>
      <c r="J353" s="21"/>
      <c r="K353" s="21"/>
      <c r="L353" s="21"/>
      <c r="M353" s="21"/>
      <c r="O353" s="24"/>
      <c r="P353" s="24"/>
      <c r="U353" s="27"/>
      <c r="X353" s="21"/>
      <c r="Y353" s="21"/>
      <c r="Z353" s="21"/>
      <c r="AA353" s="28"/>
      <c r="AB353" s="29"/>
      <c r="AC353" s="21"/>
      <c r="AD353" s="25"/>
      <c r="AE353" s="25"/>
      <c r="AF353" s="25"/>
    </row>
    <row r="354" ht="12.75" customHeight="1">
      <c r="B354" s="21"/>
      <c r="C354" s="21"/>
      <c r="E354" s="21"/>
      <c r="F354" s="21"/>
      <c r="J354" s="21"/>
      <c r="K354" s="21"/>
      <c r="L354" s="21"/>
      <c r="M354" s="21"/>
      <c r="O354" s="24"/>
      <c r="P354" s="24"/>
      <c r="U354" s="27"/>
      <c r="X354" s="21"/>
      <c r="Y354" s="21"/>
      <c r="Z354" s="21"/>
      <c r="AA354" s="28"/>
      <c r="AB354" s="29"/>
      <c r="AC354" s="21"/>
      <c r="AD354" s="25"/>
      <c r="AE354" s="25"/>
      <c r="AF354" s="25"/>
    </row>
    <row r="355" ht="12.75" customHeight="1">
      <c r="B355" s="21"/>
      <c r="C355" s="21"/>
      <c r="E355" s="21"/>
      <c r="F355" s="21"/>
      <c r="J355" s="21"/>
      <c r="K355" s="21"/>
      <c r="L355" s="21"/>
      <c r="M355" s="21"/>
      <c r="O355" s="24"/>
      <c r="P355" s="24"/>
      <c r="U355" s="27"/>
      <c r="X355" s="21"/>
      <c r="Y355" s="21"/>
      <c r="Z355" s="21"/>
      <c r="AA355" s="28"/>
      <c r="AB355" s="29"/>
      <c r="AC355" s="21"/>
      <c r="AD355" s="25"/>
      <c r="AE355" s="25"/>
      <c r="AF355" s="25"/>
    </row>
    <row r="356" ht="12.75" customHeight="1">
      <c r="B356" s="21"/>
      <c r="C356" s="21"/>
      <c r="E356" s="21"/>
      <c r="F356" s="21"/>
      <c r="J356" s="21"/>
      <c r="K356" s="21"/>
      <c r="L356" s="21"/>
      <c r="M356" s="21"/>
      <c r="O356" s="24"/>
      <c r="P356" s="24"/>
      <c r="U356" s="27"/>
      <c r="X356" s="21"/>
      <c r="Y356" s="21"/>
      <c r="Z356" s="21"/>
      <c r="AA356" s="28"/>
      <c r="AB356" s="29"/>
      <c r="AC356" s="21"/>
      <c r="AD356" s="25"/>
      <c r="AE356" s="25"/>
      <c r="AF356" s="25"/>
    </row>
    <row r="357" ht="12.75" customHeight="1">
      <c r="B357" s="21"/>
      <c r="C357" s="21"/>
      <c r="E357" s="21"/>
      <c r="F357" s="21"/>
      <c r="J357" s="21"/>
      <c r="K357" s="21"/>
      <c r="L357" s="21"/>
      <c r="M357" s="21"/>
      <c r="O357" s="24"/>
      <c r="P357" s="24"/>
      <c r="U357" s="27"/>
      <c r="X357" s="21"/>
      <c r="Y357" s="21"/>
      <c r="Z357" s="21"/>
      <c r="AA357" s="28"/>
      <c r="AB357" s="29"/>
      <c r="AC357" s="21"/>
      <c r="AD357" s="25"/>
      <c r="AE357" s="25"/>
      <c r="AF357" s="25"/>
    </row>
    <row r="358" ht="12.75" customHeight="1">
      <c r="B358" s="21"/>
      <c r="C358" s="21"/>
      <c r="E358" s="21"/>
      <c r="F358" s="21"/>
      <c r="J358" s="21"/>
      <c r="K358" s="21"/>
      <c r="L358" s="21"/>
      <c r="M358" s="21"/>
      <c r="O358" s="24"/>
      <c r="P358" s="24"/>
      <c r="U358" s="27"/>
      <c r="X358" s="21"/>
      <c r="Y358" s="21"/>
      <c r="Z358" s="21"/>
      <c r="AA358" s="28"/>
      <c r="AB358" s="29"/>
      <c r="AC358" s="21"/>
      <c r="AD358" s="25"/>
      <c r="AE358" s="25"/>
      <c r="AF358" s="25"/>
    </row>
    <row r="359" ht="12.75" customHeight="1">
      <c r="B359" s="21"/>
      <c r="C359" s="21"/>
      <c r="E359" s="21"/>
      <c r="F359" s="21"/>
      <c r="J359" s="21"/>
      <c r="K359" s="21"/>
      <c r="L359" s="21"/>
      <c r="M359" s="21"/>
      <c r="O359" s="24"/>
      <c r="P359" s="24"/>
      <c r="U359" s="27"/>
      <c r="X359" s="21"/>
      <c r="Y359" s="21"/>
      <c r="Z359" s="21"/>
      <c r="AA359" s="28"/>
      <c r="AB359" s="29"/>
      <c r="AC359" s="21"/>
      <c r="AD359" s="25"/>
      <c r="AE359" s="25"/>
      <c r="AF359" s="25"/>
    </row>
    <row r="360" ht="12.75" customHeight="1">
      <c r="B360" s="21"/>
      <c r="C360" s="21"/>
      <c r="E360" s="21"/>
      <c r="F360" s="21"/>
      <c r="J360" s="21"/>
      <c r="K360" s="21"/>
      <c r="L360" s="21"/>
      <c r="M360" s="21"/>
      <c r="O360" s="24"/>
      <c r="P360" s="24"/>
      <c r="U360" s="27"/>
      <c r="X360" s="21"/>
      <c r="Y360" s="21"/>
      <c r="Z360" s="21"/>
      <c r="AA360" s="28"/>
      <c r="AB360" s="29"/>
      <c r="AC360" s="21"/>
      <c r="AD360" s="25"/>
      <c r="AE360" s="25"/>
      <c r="AF360" s="25"/>
    </row>
    <row r="361" ht="12.75" customHeight="1">
      <c r="B361" s="21"/>
      <c r="C361" s="21"/>
      <c r="E361" s="21"/>
      <c r="F361" s="21"/>
      <c r="J361" s="21"/>
      <c r="K361" s="21"/>
      <c r="L361" s="21"/>
      <c r="M361" s="21"/>
      <c r="O361" s="24"/>
      <c r="P361" s="24"/>
      <c r="U361" s="27"/>
      <c r="X361" s="21"/>
      <c r="Y361" s="21"/>
      <c r="Z361" s="21"/>
      <c r="AA361" s="28"/>
      <c r="AB361" s="29"/>
      <c r="AC361" s="21"/>
      <c r="AD361" s="25"/>
      <c r="AE361" s="25"/>
      <c r="AF361" s="25"/>
    </row>
    <row r="362" ht="12.75" customHeight="1">
      <c r="B362" s="21"/>
      <c r="C362" s="21"/>
      <c r="E362" s="21"/>
      <c r="F362" s="21"/>
      <c r="J362" s="21"/>
      <c r="K362" s="21"/>
      <c r="L362" s="21"/>
      <c r="M362" s="21"/>
      <c r="O362" s="24"/>
      <c r="P362" s="24"/>
      <c r="U362" s="27"/>
      <c r="X362" s="21"/>
      <c r="Y362" s="21"/>
      <c r="Z362" s="21"/>
      <c r="AA362" s="28"/>
      <c r="AB362" s="29"/>
      <c r="AC362" s="21"/>
      <c r="AD362" s="25"/>
      <c r="AE362" s="25"/>
      <c r="AF362" s="25"/>
    </row>
    <row r="363" ht="12.75" customHeight="1">
      <c r="B363" s="21"/>
      <c r="C363" s="21"/>
      <c r="E363" s="21"/>
      <c r="F363" s="21"/>
      <c r="J363" s="21"/>
      <c r="K363" s="21"/>
      <c r="L363" s="21"/>
      <c r="M363" s="21"/>
      <c r="O363" s="24"/>
      <c r="P363" s="24"/>
      <c r="U363" s="27"/>
      <c r="X363" s="21"/>
      <c r="Y363" s="21"/>
      <c r="Z363" s="21"/>
      <c r="AA363" s="28"/>
      <c r="AB363" s="29"/>
      <c r="AC363" s="21"/>
      <c r="AD363" s="25"/>
      <c r="AE363" s="25"/>
      <c r="AF363" s="25"/>
    </row>
    <row r="364" ht="12.75" customHeight="1">
      <c r="B364" s="21"/>
      <c r="C364" s="21"/>
      <c r="E364" s="21"/>
      <c r="F364" s="21"/>
      <c r="J364" s="21"/>
      <c r="K364" s="21"/>
      <c r="L364" s="21"/>
      <c r="M364" s="21"/>
      <c r="O364" s="24"/>
      <c r="P364" s="24"/>
      <c r="U364" s="27"/>
      <c r="X364" s="21"/>
      <c r="Y364" s="21"/>
      <c r="Z364" s="21"/>
      <c r="AA364" s="28"/>
      <c r="AB364" s="29"/>
      <c r="AC364" s="21"/>
      <c r="AD364" s="25"/>
      <c r="AE364" s="25"/>
      <c r="AF364" s="25"/>
    </row>
    <row r="365" ht="12.75" customHeight="1">
      <c r="B365" s="21"/>
      <c r="C365" s="21"/>
      <c r="E365" s="21"/>
      <c r="F365" s="21"/>
      <c r="J365" s="21"/>
      <c r="K365" s="21"/>
      <c r="L365" s="21"/>
      <c r="M365" s="21"/>
      <c r="O365" s="24"/>
      <c r="P365" s="24"/>
      <c r="U365" s="27"/>
      <c r="X365" s="21"/>
      <c r="Y365" s="21"/>
      <c r="Z365" s="21"/>
      <c r="AA365" s="28"/>
      <c r="AB365" s="29"/>
      <c r="AC365" s="21"/>
      <c r="AD365" s="25"/>
      <c r="AE365" s="25"/>
      <c r="AF365" s="25"/>
    </row>
    <row r="366" ht="12.75" customHeight="1">
      <c r="B366" s="21"/>
      <c r="C366" s="21"/>
      <c r="E366" s="21"/>
      <c r="F366" s="21"/>
      <c r="J366" s="21"/>
      <c r="K366" s="21"/>
      <c r="L366" s="21"/>
      <c r="M366" s="21"/>
      <c r="O366" s="24"/>
      <c r="P366" s="24"/>
      <c r="U366" s="27"/>
      <c r="X366" s="21"/>
      <c r="Y366" s="21"/>
      <c r="Z366" s="21"/>
      <c r="AA366" s="28"/>
      <c r="AB366" s="29"/>
      <c r="AC366" s="21"/>
      <c r="AD366" s="25"/>
      <c r="AE366" s="25"/>
      <c r="AF366" s="25"/>
    </row>
    <row r="367" ht="12.75" customHeight="1">
      <c r="B367" s="21"/>
      <c r="C367" s="21"/>
      <c r="E367" s="21"/>
      <c r="F367" s="21"/>
      <c r="J367" s="21"/>
      <c r="K367" s="21"/>
      <c r="L367" s="21"/>
      <c r="M367" s="21"/>
      <c r="O367" s="24"/>
      <c r="P367" s="24"/>
      <c r="U367" s="27"/>
      <c r="X367" s="21"/>
      <c r="Y367" s="21"/>
      <c r="Z367" s="21"/>
      <c r="AA367" s="28"/>
      <c r="AB367" s="29"/>
      <c r="AC367" s="21"/>
      <c r="AD367" s="25"/>
      <c r="AE367" s="25"/>
      <c r="AF367" s="25"/>
    </row>
    <row r="368" ht="12.75" customHeight="1">
      <c r="B368" s="21"/>
      <c r="C368" s="21"/>
      <c r="E368" s="21"/>
      <c r="F368" s="21"/>
      <c r="J368" s="21"/>
      <c r="K368" s="21"/>
      <c r="L368" s="21"/>
      <c r="M368" s="21"/>
      <c r="O368" s="24"/>
      <c r="P368" s="24"/>
      <c r="U368" s="27"/>
      <c r="X368" s="21"/>
      <c r="Y368" s="21"/>
      <c r="Z368" s="21"/>
      <c r="AA368" s="28"/>
      <c r="AB368" s="29"/>
      <c r="AC368" s="21"/>
      <c r="AD368" s="25"/>
      <c r="AE368" s="25"/>
      <c r="AF368" s="25"/>
    </row>
    <row r="369" ht="12.75" customHeight="1">
      <c r="B369" s="21"/>
      <c r="C369" s="21"/>
      <c r="E369" s="21"/>
      <c r="F369" s="21"/>
      <c r="J369" s="21"/>
      <c r="K369" s="21"/>
      <c r="L369" s="21"/>
      <c r="M369" s="21"/>
      <c r="O369" s="24"/>
      <c r="P369" s="24"/>
      <c r="U369" s="27"/>
      <c r="X369" s="21"/>
      <c r="Y369" s="21"/>
      <c r="Z369" s="21"/>
      <c r="AA369" s="28"/>
      <c r="AB369" s="29"/>
      <c r="AC369" s="21"/>
      <c r="AD369" s="25"/>
      <c r="AE369" s="25"/>
      <c r="AF369" s="25"/>
    </row>
    <row r="370" ht="12.75" customHeight="1">
      <c r="B370" s="21"/>
      <c r="C370" s="21"/>
      <c r="E370" s="21"/>
      <c r="F370" s="21"/>
      <c r="J370" s="21"/>
      <c r="K370" s="21"/>
      <c r="L370" s="21"/>
      <c r="M370" s="21"/>
      <c r="O370" s="24"/>
      <c r="P370" s="24"/>
      <c r="U370" s="27"/>
      <c r="X370" s="21"/>
      <c r="Y370" s="21"/>
      <c r="Z370" s="21"/>
      <c r="AA370" s="28"/>
      <c r="AB370" s="29"/>
      <c r="AC370" s="21"/>
      <c r="AD370" s="25"/>
      <c r="AE370" s="25"/>
      <c r="AF370" s="25"/>
    </row>
    <row r="371" ht="12.75" customHeight="1">
      <c r="B371" s="21"/>
      <c r="C371" s="21"/>
      <c r="E371" s="21"/>
      <c r="F371" s="21"/>
      <c r="J371" s="21"/>
      <c r="K371" s="21"/>
      <c r="L371" s="21"/>
      <c r="M371" s="21"/>
      <c r="O371" s="24"/>
      <c r="P371" s="24"/>
      <c r="U371" s="27"/>
      <c r="X371" s="21"/>
      <c r="Y371" s="21"/>
      <c r="Z371" s="21"/>
      <c r="AA371" s="28"/>
      <c r="AB371" s="29"/>
      <c r="AC371" s="21"/>
      <c r="AD371" s="25"/>
      <c r="AE371" s="25"/>
      <c r="AF371" s="25"/>
    </row>
    <row r="372" ht="12.75" customHeight="1">
      <c r="B372" s="21"/>
      <c r="C372" s="21"/>
      <c r="E372" s="21"/>
      <c r="F372" s="21"/>
      <c r="J372" s="21"/>
      <c r="K372" s="21"/>
      <c r="L372" s="21"/>
      <c r="M372" s="21"/>
      <c r="O372" s="24"/>
      <c r="P372" s="24"/>
      <c r="U372" s="27"/>
      <c r="X372" s="21"/>
      <c r="Y372" s="21"/>
      <c r="Z372" s="21"/>
      <c r="AA372" s="28"/>
      <c r="AB372" s="29"/>
      <c r="AC372" s="21"/>
      <c r="AD372" s="25"/>
      <c r="AE372" s="25"/>
      <c r="AF372" s="25"/>
    </row>
    <row r="373" ht="12.75" customHeight="1">
      <c r="B373" s="21"/>
      <c r="C373" s="21"/>
      <c r="E373" s="21"/>
      <c r="F373" s="21"/>
      <c r="J373" s="21"/>
      <c r="K373" s="21"/>
      <c r="L373" s="21"/>
      <c r="M373" s="21"/>
      <c r="O373" s="24"/>
      <c r="P373" s="24"/>
      <c r="U373" s="27"/>
      <c r="X373" s="21"/>
      <c r="Y373" s="21"/>
      <c r="Z373" s="21"/>
      <c r="AA373" s="28"/>
      <c r="AB373" s="29"/>
      <c r="AC373" s="21"/>
      <c r="AD373" s="25"/>
      <c r="AE373" s="25"/>
      <c r="AF373" s="25"/>
    </row>
    <row r="374" ht="12.75" customHeight="1">
      <c r="B374" s="21"/>
      <c r="C374" s="21"/>
      <c r="E374" s="21"/>
      <c r="F374" s="21"/>
      <c r="J374" s="21"/>
      <c r="K374" s="21"/>
      <c r="L374" s="21"/>
      <c r="M374" s="21"/>
      <c r="O374" s="24"/>
      <c r="P374" s="24"/>
      <c r="U374" s="27"/>
      <c r="X374" s="21"/>
      <c r="Y374" s="21"/>
      <c r="Z374" s="21"/>
      <c r="AA374" s="28"/>
      <c r="AB374" s="29"/>
      <c r="AC374" s="21"/>
      <c r="AD374" s="25"/>
      <c r="AE374" s="25"/>
      <c r="AF374" s="25"/>
    </row>
    <row r="375" ht="12.75" customHeight="1">
      <c r="B375" s="21"/>
      <c r="C375" s="21"/>
      <c r="E375" s="21"/>
      <c r="F375" s="21"/>
      <c r="J375" s="21"/>
      <c r="K375" s="21"/>
      <c r="L375" s="21"/>
      <c r="M375" s="21"/>
      <c r="O375" s="24"/>
      <c r="P375" s="24"/>
      <c r="U375" s="27"/>
      <c r="X375" s="21"/>
      <c r="Y375" s="21"/>
      <c r="Z375" s="21"/>
      <c r="AA375" s="28"/>
      <c r="AB375" s="29"/>
      <c r="AC375" s="21"/>
      <c r="AD375" s="25"/>
      <c r="AE375" s="25"/>
      <c r="AF375" s="25"/>
    </row>
    <row r="376" ht="12.75" customHeight="1">
      <c r="B376" s="21"/>
      <c r="C376" s="21"/>
      <c r="E376" s="21"/>
      <c r="F376" s="21"/>
      <c r="J376" s="21"/>
      <c r="K376" s="21"/>
      <c r="L376" s="21"/>
      <c r="M376" s="21"/>
      <c r="O376" s="24"/>
      <c r="P376" s="24"/>
      <c r="U376" s="27"/>
      <c r="X376" s="21"/>
      <c r="Y376" s="21"/>
      <c r="Z376" s="21"/>
      <c r="AA376" s="28"/>
      <c r="AB376" s="29"/>
      <c r="AC376" s="21"/>
      <c r="AD376" s="25"/>
      <c r="AE376" s="25"/>
      <c r="AF376" s="25"/>
    </row>
    <row r="377" ht="12.75" customHeight="1">
      <c r="B377" s="21"/>
      <c r="C377" s="21"/>
      <c r="E377" s="21"/>
      <c r="F377" s="21"/>
      <c r="J377" s="21"/>
      <c r="K377" s="21"/>
      <c r="L377" s="21"/>
      <c r="M377" s="21"/>
      <c r="O377" s="24"/>
      <c r="P377" s="24"/>
      <c r="U377" s="27"/>
      <c r="X377" s="21"/>
      <c r="Y377" s="21"/>
      <c r="Z377" s="21"/>
      <c r="AA377" s="28"/>
      <c r="AB377" s="29"/>
      <c r="AC377" s="21"/>
      <c r="AD377" s="25"/>
      <c r="AE377" s="25"/>
      <c r="AF377" s="25"/>
    </row>
    <row r="378" ht="12.75" customHeight="1">
      <c r="B378" s="21"/>
      <c r="C378" s="21"/>
      <c r="E378" s="21"/>
      <c r="F378" s="21"/>
      <c r="J378" s="21"/>
      <c r="K378" s="21"/>
      <c r="L378" s="21"/>
      <c r="M378" s="21"/>
      <c r="O378" s="24"/>
      <c r="P378" s="24"/>
      <c r="U378" s="27"/>
      <c r="X378" s="21"/>
      <c r="Y378" s="21"/>
      <c r="Z378" s="21"/>
      <c r="AA378" s="28"/>
      <c r="AB378" s="29"/>
      <c r="AC378" s="21"/>
      <c r="AD378" s="25"/>
      <c r="AE378" s="25"/>
      <c r="AF378" s="25"/>
    </row>
    <row r="379" ht="12.75" customHeight="1">
      <c r="B379" s="21"/>
      <c r="C379" s="21"/>
      <c r="E379" s="21"/>
      <c r="F379" s="21"/>
      <c r="J379" s="21"/>
      <c r="K379" s="21"/>
      <c r="L379" s="21"/>
      <c r="M379" s="21"/>
      <c r="O379" s="24"/>
      <c r="P379" s="24"/>
      <c r="U379" s="27"/>
      <c r="X379" s="21"/>
      <c r="Y379" s="21"/>
      <c r="Z379" s="21"/>
      <c r="AA379" s="28"/>
      <c r="AB379" s="29"/>
      <c r="AC379" s="21"/>
      <c r="AD379" s="25"/>
      <c r="AE379" s="25"/>
      <c r="AF379" s="25"/>
    </row>
    <row r="380" ht="12.75" customHeight="1">
      <c r="B380" s="21"/>
      <c r="C380" s="21"/>
      <c r="E380" s="21"/>
      <c r="F380" s="21"/>
      <c r="J380" s="21"/>
      <c r="K380" s="21"/>
      <c r="L380" s="21"/>
      <c r="M380" s="21"/>
      <c r="O380" s="24"/>
      <c r="P380" s="24"/>
      <c r="U380" s="27"/>
      <c r="X380" s="21"/>
      <c r="Y380" s="21"/>
      <c r="Z380" s="21"/>
      <c r="AA380" s="28"/>
      <c r="AB380" s="29"/>
      <c r="AC380" s="21"/>
      <c r="AD380" s="25"/>
      <c r="AE380" s="25"/>
      <c r="AF380" s="25"/>
    </row>
    <row r="381" ht="12.75" customHeight="1">
      <c r="B381" s="21"/>
      <c r="C381" s="21"/>
      <c r="E381" s="21"/>
      <c r="F381" s="21"/>
      <c r="J381" s="21"/>
      <c r="K381" s="21"/>
      <c r="L381" s="21"/>
      <c r="M381" s="21"/>
      <c r="O381" s="24"/>
      <c r="P381" s="24"/>
      <c r="U381" s="27"/>
      <c r="X381" s="21"/>
      <c r="Y381" s="21"/>
      <c r="Z381" s="21"/>
      <c r="AA381" s="28"/>
      <c r="AB381" s="29"/>
      <c r="AC381" s="21"/>
      <c r="AD381" s="25"/>
      <c r="AE381" s="25"/>
      <c r="AF381" s="25"/>
    </row>
    <row r="382" ht="12.75" customHeight="1">
      <c r="B382" s="21"/>
      <c r="C382" s="21"/>
      <c r="E382" s="21"/>
      <c r="F382" s="21"/>
      <c r="J382" s="21"/>
      <c r="K382" s="21"/>
      <c r="L382" s="21"/>
      <c r="M382" s="21"/>
      <c r="O382" s="24"/>
      <c r="P382" s="24"/>
      <c r="U382" s="27"/>
      <c r="X382" s="21"/>
      <c r="Y382" s="21"/>
      <c r="Z382" s="21"/>
      <c r="AA382" s="28"/>
      <c r="AB382" s="29"/>
      <c r="AC382" s="21"/>
      <c r="AD382" s="25"/>
      <c r="AE382" s="25"/>
      <c r="AF382" s="25"/>
    </row>
    <row r="383" ht="12.75" customHeight="1">
      <c r="B383" s="21"/>
      <c r="C383" s="21"/>
      <c r="E383" s="21"/>
      <c r="F383" s="21"/>
      <c r="J383" s="21"/>
      <c r="K383" s="21"/>
      <c r="L383" s="21"/>
      <c r="M383" s="21"/>
      <c r="O383" s="24"/>
      <c r="P383" s="24"/>
      <c r="U383" s="27"/>
      <c r="X383" s="21"/>
      <c r="Y383" s="21"/>
      <c r="Z383" s="21"/>
      <c r="AA383" s="28"/>
      <c r="AB383" s="29"/>
      <c r="AC383" s="21"/>
      <c r="AD383" s="25"/>
      <c r="AE383" s="25"/>
      <c r="AF383" s="25"/>
    </row>
    <row r="384" ht="12.75" customHeight="1">
      <c r="B384" s="21"/>
      <c r="C384" s="21"/>
      <c r="E384" s="21"/>
      <c r="F384" s="21"/>
      <c r="J384" s="21"/>
      <c r="K384" s="21"/>
      <c r="L384" s="21"/>
      <c r="M384" s="21"/>
      <c r="O384" s="24"/>
      <c r="P384" s="24"/>
      <c r="U384" s="27"/>
      <c r="X384" s="21"/>
      <c r="Y384" s="21"/>
      <c r="Z384" s="21"/>
      <c r="AA384" s="28"/>
      <c r="AB384" s="29"/>
      <c r="AC384" s="21"/>
      <c r="AD384" s="25"/>
      <c r="AE384" s="25"/>
      <c r="AF384" s="25"/>
    </row>
    <row r="385" ht="12.75" customHeight="1">
      <c r="B385" s="21"/>
      <c r="C385" s="21"/>
      <c r="E385" s="21"/>
      <c r="F385" s="21"/>
      <c r="J385" s="21"/>
      <c r="K385" s="21"/>
      <c r="L385" s="21"/>
      <c r="M385" s="21"/>
      <c r="O385" s="24"/>
      <c r="P385" s="24"/>
      <c r="U385" s="27"/>
      <c r="X385" s="21"/>
      <c r="Y385" s="21"/>
      <c r="Z385" s="21"/>
      <c r="AA385" s="28"/>
      <c r="AB385" s="29"/>
      <c r="AC385" s="21"/>
      <c r="AD385" s="25"/>
      <c r="AE385" s="25"/>
      <c r="AF385" s="25"/>
    </row>
    <row r="386" ht="12.75" customHeight="1">
      <c r="B386" s="21"/>
      <c r="C386" s="21"/>
      <c r="E386" s="21"/>
      <c r="F386" s="21"/>
      <c r="J386" s="21"/>
      <c r="K386" s="21"/>
      <c r="L386" s="21"/>
      <c r="M386" s="21"/>
      <c r="O386" s="24"/>
      <c r="P386" s="24"/>
      <c r="U386" s="27"/>
      <c r="X386" s="21"/>
      <c r="Y386" s="21"/>
      <c r="Z386" s="21"/>
      <c r="AA386" s="28"/>
      <c r="AB386" s="29"/>
      <c r="AC386" s="21"/>
      <c r="AD386" s="25"/>
      <c r="AE386" s="25"/>
      <c r="AF386" s="25"/>
    </row>
    <row r="387" ht="12.75" customHeight="1">
      <c r="B387" s="21"/>
      <c r="C387" s="21"/>
      <c r="E387" s="21"/>
      <c r="F387" s="21"/>
      <c r="J387" s="21"/>
      <c r="K387" s="21"/>
      <c r="L387" s="21"/>
      <c r="M387" s="21"/>
      <c r="O387" s="24"/>
      <c r="P387" s="24"/>
      <c r="U387" s="27"/>
      <c r="X387" s="21"/>
      <c r="Y387" s="21"/>
      <c r="Z387" s="21"/>
      <c r="AA387" s="28"/>
      <c r="AB387" s="29"/>
      <c r="AC387" s="21"/>
      <c r="AD387" s="25"/>
      <c r="AE387" s="25"/>
      <c r="AF387" s="25"/>
    </row>
    <row r="388" ht="12.75" customHeight="1">
      <c r="B388" s="21"/>
      <c r="C388" s="21"/>
      <c r="E388" s="21"/>
      <c r="F388" s="21"/>
      <c r="J388" s="21"/>
      <c r="K388" s="21"/>
      <c r="L388" s="21"/>
      <c r="M388" s="21"/>
      <c r="O388" s="24"/>
      <c r="P388" s="24"/>
      <c r="U388" s="27"/>
      <c r="X388" s="21"/>
      <c r="Y388" s="21"/>
      <c r="Z388" s="21"/>
      <c r="AA388" s="28"/>
      <c r="AB388" s="29"/>
      <c r="AC388" s="21"/>
      <c r="AD388" s="25"/>
      <c r="AE388" s="25"/>
      <c r="AF388" s="25"/>
    </row>
    <row r="389" ht="12.75" customHeight="1">
      <c r="B389" s="21"/>
      <c r="C389" s="21"/>
      <c r="E389" s="21"/>
      <c r="F389" s="21"/>
      <c r="J389" s="21"/>
      <c r="K389" s="21"/>
      <c r="L389" s="21"/>
      <c r="M389" s="21"/>
      <c r="O389" s="24"/>
      <c r="P389" s="24"/>
      <c r="U389" s="27"/>
      <c r="X389" s="21"/>
      <c r="Y389" s="21"/>
      <c r="Z389" s="21"/>
      <c r="AA389" s="28"/>
      <c r="AB389" s="29"/>
      <c r="AC389" s="21"/>
      <c r="AD389" s="25"/>
      <c r="AE389" s="25"/>
      <c r="AF389" s="25"/>
    </row>
    <row r="390" ht="12.75" customHeight="1">
      <c r="B390" s="21"/>
      <c r="C390" s="21"/>
      <c r="E390" s="21"/>
      <c r="F390" s="21"/>
      <c r="J390" s="21"/>
      <c r="K390" s="21"/>
      <c r="L390" s="21"/>
      <c r="M390" s="21"/>
      <c r="O390" s="24"/>
      <c r="P390" s="24"/>
      <c r="U390" s="27"/>
      <c r="X390" s="21"/>
      <c r="Y390" s="21"/>
      <c r="Z390" s="21"/>
      <c r="AA390" s="28"/>
      <c r="AB390" s="29"/>
      <c r="AC390" s="21"/>
      <c r="AD390" s="25"/>
      <c r="AE390" s="25"/>
      <c r="AF390" s="25"/>
    </row>
    <row r="391" ht="12.75" customHeight="1">
      <c r="B391" s="21"/>
      <c r="C391" s="21"/>
      <c r="E391" s="21"/>
      <c r="F391" s="21"/>
      <c r="J391" s="21"/>
      <c r="K391" s="21"/>
      <c r="L391" s="21"/>
      <c r="M391" s="21"/>
      <c r="O391" s="24"/>
      <c r="P391" s="24"/>
      <c r="U391" s="27"/>
      <c r="X391" s="21"/>
      <c r="Y391" s="21"/>
      <c r="Z391" s="21"/>
      <c r="AA391" s="28"/>
      <c r="AB391" s="29"/>
      <c r="AC391" s="21"/>
      <c r="AD391" s="25"/>
      <c r="AE391" s="25"/>
      <c r="AF391" s="25"/>
    </row>
    <row r="392" ht="12.75" customHeight="1">
      <c r="B392" s="21"/>
      <c r="C392" s="21"/>
      <c r="E392" s="21"/>
      <c r="F392" s="21"/>
      <c r="J392" s="21"/>
      <c r="K392" s="21"/>
      <c r="L392" s="21"/>
      <c r="M392" s="21"/>
      <c r="O392" s="24"/>
      <c r="P392" s="24"/>
      <c r="U392" s="27"/>
      <c r="X392" s="21"/>
      <c r="Y392" s="21"/>
      <c r="Z392" s="21"/>
      <c r="AA392" s="28"/>
      <c r="AB392" s="29"/>
      <c r="AC392" s="21"/>
      <c r="AD392" s="25"/>
      <c r="AE392" s="25"/>
      <c r="AF392" s="25"/>
    </row>
    <row r="393" ht="12.75" customHeight="1">
      <c r="B393" s="21"/>
      <c r="C393" s="21"/>
      <c r="E393" s="21"/>
      <c r="F393" s="21"/>
      <c r="J393" s="21"/>
      <c r="K393" s="21"/>
      <c r="L393" s="21"/>
      <c r="M393" s="21"/>
      <c r="O393" s="24"/>
      <c r="P393" s="24"/>
      <c r="U393" s="27"/>
      <c r="X393" s="21"/>
      <c r="Y393" s="21"/>
      <c r="Z393" s="21"/>
      <c r="AA393" s="28"/>
      <c r="AB393" s="29"/>
      <c r="AC393" s="21"/>
      <c r="AD393" s="25"/>
      <c r="AE393" s="25"/>
      <c r="AF393" s="25"/>
    </row>
    <row r="394" ht="12.75" customHeight="1">
      <c r="B394" s="21"/>
      <c r="C394" s="21"/>
      <c r="E394" s="21"/>
      <c r="F394" s="21"/>
      <c r="J394" s="21"/>
      <c r="K394" s="21"/>
      <c r="L394" s="21"/>
      <c r="M394" s="21"/>
      <c r="O394" s="24"/>
      <c r="P394" s="24"/>
      <c r="U394" s="27"/>
      <c r="X394" s="21"/>
      <c r="Y394" s="21"/>
      <c r="Z394" s="21"/>
      <c r="AA394" s="28"/>
      <c r="AB394" s="29"/>
      <c r="AC394" s="21"/>
      <c r="AD394" s="25"/>
      <c r="AE394" s="25"/>
      <c r="AF394" s="25"/>
    </row>
    <row r="395" ht="12.75" customHeight="1">
      <c r="B395" s="21"/>
      <c r="C395" s="21"/>
      <c r="E395" s="21"/>
      <c r="F395" s="21"/>
      <c r="J395" s="21"/>
      <c r="K395" s="21"/>
      <c r="L395" s="21"/>
      <c r="M395" s="21"/>
      <c r="O395" s="24"/>
      <c r="P395" s="24"/>
      <c r="U395" s="27"/>
      <c r="X395" s="21"/>
      <c r="Y395" s="21"/>
      <c r="Z395" s="21"/>
      <c r="AA395" s="28"/>
      <c r="AB395" s="29"/>
      <c r="AC395" s="21"/>
      <c r="AD395" s="25"/>
      <c r="AE395" s="25"/>
      <c r="AF395" s="25"/>
    </row>
    <row r="396" ht="12.75" customHeight="1">
      <c r="B396" s="21"/>
      <c r="C396" s="21"/>
      <c r="E396" s="21"/>
      <c r="F396" s="21"/>
      <c r="J396" s="21"/>
      <c r="K396" s="21"/>
      <c r="L396" s="21"/>
      <c r="M396" s="21"/>
      <c r="O396" s="24"/>
      <c r="P396" s="24"/>
      <c r="U396" s="27"/>
      <c r="X396" s="21"/>
      <c r="Y396" s="21"/>
      <c r="Z396" s="21"/>
      <c r="AA396" s="28"/>
      <c r="AB396" s="29"/>
      <c r="AC396" s="21"/>
      <c r="AD396" s="25"/>
      <c r="AE396" s="25"/>
      <c r="AF396" s="25"/>
    </row>
    <row r="397" ht="12.75" customHeight="1">
      <c r="B397" s="21"/>
      <c r="C397" s="21"/>
      <c r="E397" s="21"/>
      <c r="F397" s="21"/>
      <c r="J397" s="21"/>
      <c r="K397" s="21"/>
      <c r="L397" s="21"/>
      <c r="M397" s="21"/>
      <c r="O397" s="24"/>
      <c r="P397" s="24"/>
      <c r="U397" s="27"/>
      <c r="X397" s="21"/>
      <c r="Y397" s="21"/>
      <c r="Z397" s="21"/>
      <c r="AA397" s="28"/>
      <c r="AB397" s="29"/>
      <c r="AC397" s="21"/>
      <c r="AD397" s="25"/>
      <c r="AE397" s="25"/>
      <c r="AF397" s="25"/>
    </row>
    <row r="398" ht="12.75" customHeight="1">
      <c r="B398" s="21"/>
      <c r="C398" s="21"/>
      <c r="E398" s="21"/>
      <c r="F398" s="21"/>
      <c r="J398" s="21"/>
      <c r="K398" s="21"/>
      <c r="L398" s="21"/>
      <c r="M398" s="21"/>
      <c r="O398" s="24"/>
      <c r="P398" s="24"/>
      <c r="U398" s="27"/>
      <c r="X398" s="21"/>
      <c r="Y398" s="21"/>
      <c r="Z398" s="21"/>
      <c r="AA398" s="28"/>
      <c r="AB398" s="29"/>
      <c r="AC398" s="21"/>
      <c r="AD398" s="25"/>
      <c r="AE398" s="25"/>
      <c r="AF398" s="25"/>
    </row>
    <row r="399" ht="12.75" customHeight="1">
      <c r="B399" s="21"/>
      <c r="C399" s="21"/>
      <c r="E399" s="21"/>
      <c r="F399" s="21"/>
      <c r="J399" s="21"/>
      <c r="K399" s="21"/>
      <c r="L399" s="21"/>
      <c r="M399" s="21"/>
      <c r="O399" s="24"/>
      <c r="P399" s="24"/>
      <c r="U399" s="27"/>
      <c r="X399" s="21"/>
      <c r="Y399" s="21"/>
      <c r="Z399" s="21"/>
      <c r="AA399" s="28"/>
      <c r="AB399" s="29"/>
      <c r="AC399" s="21"/>
      <c r="AD399" s="25"/>
      <c r="AE399" s="25"/>
      <c r="AF399" s="25"/>
    </row>
    <row r="400" ht="12.75" customHeight="1">
      <c r="B400" s="21"/>
      <c r="C400" s="21"/>
      <c r="E400" s="21"/>
      <c r="F400" s="21"/>
      <c r="J400" s="21"/>
      <c r="K400" s="21"/>
      <c r="L400" s="21"/>
      <c r="M400" s="21"/>
      <c r="O400" s="24"/>
      <c r="P400" s="24"/>
      <c r="U400" s="27"/>
      <c r="X400" s="21"/>
      <c r="Y400" s="21"/>
      <c r="Z400" s="21"/>
      <c r="AA400" s="28"/>
      <c r="AB400" s="29"/>
      <c r="AC400" s="21"/>
      <c r="AD400" s="25"/>
      <c r="AE400" s="25"/>
      <c r="AF400" s="25"/>
    </row>
    <row r="401" ht="12.75" customHeight="1">
      <c r="B401" s="21"/>
      <c r="C401" s="21"/>
      <c r="E401" s="21"/>
      <c r="F401" s="21"/>
      <c r="J401" s="21"/>
      <c r="K401" s="21"/>
      <c r="L401" s="21"/>
      <c r="M401" s="21"/>
      <c r="O401" s="24"/>
      <c r="P401" s="24"/>
      <c r="U401" s="27"/>
      <c r="X401" s="21"/>
      <c r="Y401" s="21"/>
      <c r="Z401" s="21"/>
      <c r="AA401" s="28"/>
      <c r="AB401" s="29"/>
      <c r="AC401" s="21"/>
      <c r="AD401" s="25"/>
      <c r="AE401" s="25"/>
      <c r="AF401" s="25"/>
    </row>
    <row r="402" ht="12.75" customHeight="1">
      <c r="B402" s="21"/>
      <c r="C402" s="21"/>
      <c r="E402" s="21"/>
      <c r="F402" s="21"/>
      <c r="J402" s="21"/>
      <c r="K402" s="21"/>
      <c r="L402" s="21"/>
      <c r="M402" s="21"/>
      <c r="O402" s="24"/>
      <c r="P402" s="24"/>
      <c r="U402" s="27"/>
      <c r="X402" s="21"/>
      <c r="Y402" s="21"/>
      <c r="Z402" s="21"/>
      <c r="AA402" s="28"/>
      <c r="AB402" s="29"/>
      <c r="AC402" s="21"/>
      <c r="AD402" s="25"/>
      <c r="AE402" s="25"/>
      <c r="AF402" s="25"/>
    </row>
    <row r="403" ht="12.75" customHeight="1">
      <c r="B403" s="21"/>
      <c r="C403" s="21"/>
      <c r="E403" s="21"/>
      <c r="F403" s="21"/>
      <c r="J403" s="21"/>
      <c r="K403" s="21"/>
      <c r="L403" s="21"/>
      <c r="M403" s="21"/>
      <c r="O403" s="24"/>
      <c r="P403" s="24"/>
      <c r="U403" s="27"/>
      <c r="X403" s="21"/>
      <c r="Y403" s="21"/>
      <c r="Z403" s="21"/>
      <c r="AA403" s="28"/>
      <c r="AB403" s="29"/>
      <c r="AC403" s="21"/>
      <c r="AD403" s="25"/>
      <c r="AE403" s="25"/>
      <c r="AF403" s="25"/>
    </row>
    <row r="404" ht="12.75" customHeight="1">
      <c r="B404" s="21"/>
      <c r="C404" s="21"/>
      <c r="E404" s="21"/>
      <c r="F404" s="21"/>
      <c r="J404" s="21"/>
      <c r="K404" s="21"/>
      <c r="L404" s="21"/>
      <c r="M404" s="21"/>
      <c r="O404" s="24"/>
      <c r="P404" s="24"/>
      <c r="U404" s="27"/>
      <c r="X404" s="21"/>
      <c r="Y404" s="21"/>
      <c r="Z404" s="21"/>
      <c r="AA404" s="28"/>
      <c r="AB404" s="29"/>
      <c r="AC404" s="21"/>
      <c r="AD404" s="25"/>
      <c r="AE404" s="25"/>
      <c r="AF404" s="25"/>
    </row>
    <row r="405" ht="12.75" customHeight="1">
      <c r="B405" s="21"/>
      <c r="C405" s="21"/>
      <c r="E405" s="21"/>
      <c r="F405" s="21"/>
      <c r="J405" s="21"/>
      <c r="K405" s="21"/>
      <c r="L405" s="21"/>
      <c r="M405" s="21"/>
      <c r="O405" s="24"/>
      <c r="P405" s="24"/>
      <c r="U405" s="27"/>
      <c r="X405" s="21"/>
      <c r="Y405" s="21"/>
      <c r="Z405" s="21"/>
      <c r="AA405" s="28"/>
      <c r="AB405" s="29"/>
      <c r="AC405" s="21"/>
      <c r="AD405" s="25"/>
      <c r="AE405" s="25"/>
      <c r="AF405" s="25"/>
    </row>
    <row r="406" ht="12.75" customHeight="1">
      <c r="B406" s="21"/>
      <c r="C406" s="21"/>
      <c r="E406" s="21"/>
      <c r="F406" s="21"/>
      <c r="J406" s="21"/>
      <c r="K406" s="21"/>
      <c r="L406" s="21"/>
      <c r="M406" s="21"/>
      <c r="O406" s="24"/>
      <c r="P406" s="24"/>
      <c r="U406" s="27"/>
      <c r="X406" s="21"/>
      <c r="Y406" s="21"/>
      <c r="Z406" s="21"/>
      <c r="AA406" s="28"/>
      <c r="AB406" s="29"/>
      <c r="AC406" s="21"/>
      <c r="AD406" s="25"/>
      <c r="AE406" s="25"/>
      <c r="AF406" s="25"/>
    </row>
    <row r="407" ht="12.75" customHeight="1">
      <c r="B407" s="21"/>
      <c r="C407" s="21"/>
      <c r="E407" s="21"/>
      <c r="F407" s="21"/>
      <c r="J407" s="21"/>
      <c r="K407" s="21"/>
      <c r="L407" s="21"/>
      <c r="M407" s="21"/>
      <c r="O407" s="24"/>
      <c r="P407" s="24"/>
      <c r="U407" s="27"/>
      <c r="X407" s="21"/>
      <c r="Y407" s="21"/>
      <c r="Z407" s="21"/>
      <c r="AA407" s="28"/>
      <c r="AB407" s="29"/>
      <c r="AC407" s="21"/>
      <c r="AD407" s="25"/>
      <c r="AE407" s="25"/>
      <c r="AF407" s="25"/>
    </row>
    <row r="408" ht="12.75" customHeight="1">
      <c r="B408" s="21"/>
      <c r="C408" s="21"/>
      <c r="E408" s="21"/>
      <c r="F408" s="21"/>
      <c r="J408" s="21"/>
      <c r="K408" s="21"/>
      <c r="L408" s="21"/>
      <c r="M408" s="21"/>
      <c r="O408" s="24"/>
      <c r="P408" s="24"/>
      <c r="U408" s="27"/>
      <c r="X408" s="21"/>
      <c r="Y408" s="21"/>
      <c r="Z408" s="21"/>
      <c r="AA408" s="28"/>
      <c r="AB408" s="29"/>
      <c r="AC408" s="21"/>
      <c r="AD408" s="25"/>
      <c r="AE408" s="25"/>
      <c r="AF408" s="25"/>
    </row>
    <row r="409" ht="12.75" customHeight="1">
      <c r="B409" s="21"/>
      <c r="C409" s="21"/>
      <c r="E409" s="21"/>
      <c r="F409" s="21"/>
      <c r="J409" s="21"/>
      <c r="K409" s="21"/>
      <c r="L409" s="21"/>
      <c r="M409" s="21"/>
      <c r="O409" s="24"/>
      <c r="P409" s="24"/>
      <c r="U409" s="27"/>
      <c r="X409" s="21"/>
      <c r="Y409" s="21"/>
      <c r="Z409" s="21"/>
      <c r="AA409" s="28"/>
      <c r="AB409" s="29"/>
      <c r="AC409" s="21"/>
      <c r="AD409" s="25"/>
      <c r="AE409" s="25"/>
      <c r="AF409" s="25"/>
    </row>
    <row r="410" ht="12.75" customHeight="1">
      <c r="B410" s="21"/>
      <c r="C410" s="21"/>
      <c r="E410" s="21"/>
      <c r="F410" s="21"/>
      <c r="J410" s="21"/>
      <c r="K410" s="21"/>
      <c r="L410" s="21"/>
      <c r="M410" s="21"/>
      <c r="O410" s="24"/>
      <c r="P410" s="24"/>
      <c r="U410" s="27"/>
      <c r="X410" s="21"/>
      <c r="Y410" s="21"/>
      <c r="Z410" s="21"/>
      <c r="AA410" s="28"/>
      <c r="AB410" s="29"/>
      <c r="AC410" s="21"/>
      <c r="AD410" s="25"/>
      <c r="AE410" s="25"/>
      <c r="AF410" s="25"/>
    </row>
    <row r="411" ht="12.75" customHeight="1">
      <c r="B411" s="21"/>
      <c r="C411" s="21"/>
      <c r="E411" s="21"/>
      <c r="F411" s="21"/>
      <c r="J411" s="21"/>
      <c r="K411" s="21"/>
      <c r="L411" s="21"/>
      <c r="M411" s="21"/>
      <c r="O411" s="24"/>
      <c r="P411" s="24"/>
      <c r="U411" s="27"/>
      <c r="X411" s="21"/>
      <c r="Y411" s="21"/>
      <c r="Z411" s="21"/>
      <c r="AA411" s="28"/>
      <c r="AB411" s="29"/>
      <c r="AC411" s="21"/>
      <c r="AD411" s="25"/>
      <c r="AE411" s="25"/>
      <c r="AF411" s="25"/>
    </row>
    <row r="412" ht="12.75" customHeight="1">
      <c r="B412" s="21"/>
      <c r="C412" s="21"/>
      <c r="E412" s="21"/>
      <c r="F412" s="21"/>
      <c r="J412" s="21"/>
      <c r="K412" s="21"/>
      <c r="L412" s="21"/>
      <c r="M412" s="21"/>
      <c r="O412" s="24"/>
      <c r="P412" s="24"/>
      <c r="U412" s="27"/>
      <c r="X412" s="21"/>
      <c r="Y412" s="21"/>
      <c r="Z412" s="21"/>
      <c r="AA412" s="28"/>
      <c r="AB412" s="29"/>
      <c r="AC412" s="21"/>
      <c r="AD412" s="25"/>
      <c r="AE412" s="25"/>
      <c r="AF412" s="25"/>
    </row>
    <row r="413" ht="12.75" customHeight="1">
      <c r="B413" s="21"/>
      <c r="C413" s="21"/>
      <c r="E413" s="21"/>
      <c r="F413" s="21"/>
      <c r="J413" s="21"/>
      <c r="K413" s="21"/>
      <c r="L413" s="21"/>
      <c r="M413" s="21"/>
      <c r="O413" s="24"/>
      <c r="P413" s="24"/>
      <c r="U413" s="27"/>
      <c r="X413" s="21"/>
      <c r="Y413" s="21"/>
      <c r="Z413" s="21"/>
      <c r="AA413" s="28"/>
      <c r="AB413" s="29"/>
      <c r="AC413" s="21"/>
      <c r="AD413" s="25"/>
      <c r="AE413" s="25"/>
      <c r="AF413" s="25"/>
    </row>
    <row r="414" ht="12.75" customHeight="1">
      <c r="B414" s="21"/>
      <c r="C414" s="21"/>
      <c r="E414" s="21"/>
      <c r="F414" s="21"/>
      <c r="J414" s="21"/>
      <c r="K414" s="21"/>
      <c r="L414" s="21"/>
      <c r="M414" s="21"/>
      <c r="O414" s="24"/>
      <c r="P414" s="24"/>
      <c r="U414" s="27"/>
      <c r="X414" s="21"/>
      <c r="Y414" s="21"/>
      <c r="Z414" s="21"/>
      <c r="AA414" s="28"/>
      <c r="AB414" s="29"/>
      <c r="AC414" s="21"/>
      <c r="AD414" s="25"/>
      <c r="AE414" s="25"/>
      <c r="AF414" s="25"/>
    </row>
    <row r="415" ht="12.75" customHeight="1">
      <c r="B415" s="21"/>
      <c r="C415" s="21"/>
      <c r="E415" s="21"/>
      <c r="F415" s="21"/>
      <c r="J415" s="21"/>
      <c r="K415" s="21"/>
      <c r="L415" s="21"/>
      <c r="M415" s="21"/>
      <c r="O415" s="24"/>
      <c r="P415" s="24"/>
      <c r="U415" s="27"/>
      <c r="X415" s="21"/>
      <c r="Y415" s="21"/>
      <c r="Z415" s="21"/>
      <c r="AA415" s="28"/>
      <c r="AB415" s="29"/>
      <c r="AC415" s="21"/>
      <c r="AD415" s="25"/>
      <c r="AE415" s="25"/>
      <c r="AF415" s="25"/>
    </row>
    <row r="416" ht="12.75" customHeight="1">
      <c r="B416" s="21"/>
      <c r="C416" s="21"/>
      <c r="E416" s="21"/>
      <c r="F416" s="21"/>
      <c r="J416" s="21"/>
      <c r="K416" s="21"/>
      <c r="L416" s="21"/>
      <c r="M416" s="21"/>
      <c r="O416" s="24"/>
      <c r="P416" s="24"/>
      <c r="U416" s="27"/>
      <c r="X416" s="21"/>
      <c r="Y416" s="21"/>
      <c r="Z416" s="21"/>
      <c r="AA416" s="28"/>
      <c r="AB416" s="29"/>
      <c r="AC416" s="21"/>
      <c r="AD416" s="25"/>
      <c r="AE416" s="25"/>
      <c r="AF416" s="25"/>
    </row>
    <row r="417" ht="12.75" customHeight="1">
      <c r="B417" s="21"/>
      <c r="C417" s="21"/>
      <c r="E417" s="21"/>
      <c r="F417" s="21"/>
      <c r="J417" s="21"/>
      <c r="K417" s="21"/>
      <c r="L417" s="21"/>
      <c r="M417" s="21"/>
      <c r="O417" s="24"/>
      <c r="P417" s="24"/>
      <c r="U417" s="27"/>
      <c r="X417" s="21"/>
      <c r="Y417" s="21"/>
      <c r="Z417" s="21"/>
      <c r="AA417" s="28"/>
      <c r="AB417" s="29"/>
      <c r="AC417" s="21"/>
      <c r="AD417" s="25"/>
      <c r="AE417" s="25"/>
      <c r="AF417" s="25"/>
    </row>
    <row r="418" ht="12.75" customHeight="1">
      <c r="B418" s="21"/>
      <c r="C418" s="21"/>
      <c r="E418" s="21"/>
      <c r="F418" s="21"/>
      <c r="J418" s="21"/>
      <c r="K418" s="21"/>
      <c r="L418" s="21"/>
      <c r="M418" s="21"/>
      <c r="O418" s="24"/>
      <c r="P418" s="24"/>
      <c r="U418" s="27"/>
      <c r="X418" s="21"/>
      <c r="Y418" s="21"/>
      <c r="Z418" s="21"/>
      <c r="AA418" s="28"/>
      <c r="AB418" s="29"/>
      <c r="AC418" s="21"/>
      <c r="AD418" s="25"/>
      <c r="AE418" s="25"/>
      <c r="AF418" s="25"/>
    </row>
    <row r="419" ht="12.75" customHeight="1">
      <c r="B419" s="21"/>
      <c r="C419" s="21"/>
      <c r="E419" s="21"/>
      <c r="F419" s="21"/>
      <c r="J419" s="21"/>
      <c r="K419" s="21"/>
      <c r="L419" s="21"/>
      <c r="M419" s="21"/>
      <c r="O419" s="24"/>
      <c r="P419" s="24"/>
      <c r="U419" s="27"/>
      <c r="X419" s="21"/>
      <c r="Y419" s="21"/>
      <c r="Z419" s="21"/>
      <c r="AA419" s="28"/>
      <c r="AB419" s="29"/>
      <c r="AC419" s="21"/>
      <c r="AD419" s="25"/>
      <c r="AE419" s="25"/>
      <c r="AF419" s="25"/>
    </row>
    <row r="420" ht="12.75" customHeight="1">
      <c r="B420" s="21"/>
      <c r="C420" s="21"/>
      <c r="E420" s="21"/>
      <c r="F420" s="21"/>
      <c r="J420" s="21"/>
      <c r="K420" s="21"/>
      <c r="L420" s="21"/>
      <c r="M420" s="21"/>
      <c r="O420" s="24"/>
      <c r="P420" s="24"/>
      <c r="U420" s="27"/>
      <c r="X420" s="21"/>
      <c r="Y420" s="21"/>
      <c r="Z420" s="21"/>
      <c r="AA420" s="28"/>
      <c r="AB420" s="29"/>
      <c r="AC420" s="21"/>
      <c r="AD420" s="25"/>
      <c r="AE420" s="25"/>
      <c r="AF420" s="25"/>
    </row>
    <row r="421" ht="12.75" customHeight="1">
      <c r="B421" s="21"/>
      <c r="C421" s="21"/>
      <c r="E421" s="21"/>
      <c r="F421" s="21"/>
      <c r="J421" s="21"/>
      <c r="K421" s="21"/>
      <c r="L421" s="21"/>
      <c r="M421" s="21"/>
      <c r="O421" s="24"/>
      <c r="P421" s="24"/>
      <c r="U421" s="27"/>
      <c r="X421" s="21"/>
      <c r="Y421" s="21"/>
      <c r="Z421" s="21"/>
      <c r="AA421" s="28"/>
      <c r="AB421" s="29"/>
      <c r="AC421" s="21"/>
      <c r="AD421" s="25"/>
      <c r="AE421" s="25"/>
      <c r="AF421" s="25"/>
    </row>
    <row r="422" ht="12.75" customHeight="1">
      <c r="B422" s="21"/>
      <c r="C422" s="21"/>
      <c r="E422" s="21"/>
      <c r="F422" s="21"/>
      <c r="J422" s="21"/>
      <c r="K422" s="21"/>
      <c r="L422" s="21"/>
      <c r="M422" s="21"/>
      <c r="O422" s="24"/>
      <c r="P422" s="24"/>
      <c r="U422" s="27"/>
      <c r="X422" s="21"/>
      <c r="Y422" s="21"/>
      <c r="Z422" s="21"/>
      <c r="AA422" s="28"/>
      <c r="AB422" s="29"/>
      <c r="AC422" s="21"/>
      <c r="AD422" s="25"/>
      <c r="AE422" s="25"/>
      <c r="AF422" s="25"/>
    </row>
    <row r="423" ht="12.75" customHeight="1">
      <c r="B423" s="21"/>
      <c r="C423" s="21"/>
      <c r="E423" s="21"/>
      <c r="F423" s="21"/>
      <c r="J423" s="21"/>
      <c r="K423" s="21"/>
      <c r="L423" s="21"/>
      <c r="M423" s="21"/>
      <c r="O423" s="24"/>
      <c r="P423" s="24"/>
      <c r="U423" s="27"/>
      <c r="X423" s="21"/>
      <c r="Y423" s="21"/>
      <c r="Z423" s="21"/>
      <c r="AA423" s="28"/>
      <c r="AB423" s="29"/>
      <c r="AC423" s="21"/>
      <c r="AD423" s="25"/>
      <c r="AE423" s="25"/>
      <c r="AF423" s="25"/>
    </row>
    <row r="424" ht="12.75" customHeight="1">
      <c r="B424" s="21"/>
      <c r="C424" s="21"/>
      <c r="E424" s="21"/>
      <c r="F424" s="21"/>
      <c r="J424" s="21"/>
      <c r="K424" s="21"/>
      <c r="L424" s="21"/>
      <c r="M424" s="21"/>
      <c r="O424" s="24"/>
      <c r="P424" s="24"/>
      <c r="U424" s="27"/>
      <c r="X424" s="21"/>
      <c r="Y424" s="21"/>
      <c r="Z424" s="21"/>
      <c r="AA424" s="28"/>
      <c r="AB424" s="29"/>
      <c r="AC424" s="21"/>
      <c r="AD424" s="25"/>
      <c r="AE424" s="25"/>
      <c r="AF424" s="25"/>
    </row>
    <row r="425" ht="12.75" customHeight="1">
      <c r="B425" s="21"/>
      <c r="C425" s="21"/>
      <c r="E425" s="21"/>
      <c r="F425" s="21"/>
      <c r="J425" s="21"/>
      <c r="K425" s="21"/>
      <c r="L425" s="21"/>
      <c r="M425" s="21"/>
      <c r="O425" s="24"/>
      <c r="P425" s="24"/>
      <c r="U425" s="27"/>
      <c r="X425" s="21"/>
      <c r="Y425" s="21"/>
      <c r="Z425" s="21"/>
      <c r="AA425" s="28"/>
      <c r="AB425" s="29"/>
      <c r="AC425" s="21"/>
      <c r="AD425" s="25"/>
      <c r="AE425" s="25"/>
      <c r="AF425" s="25"/>
    </row>
    <row r="426" ht="12.75" customHeight="1">
      <c r="B426" s="21"/>
      <c r="C426" s="21"/>
      <c r="E426" s="21"/>
      <c r="F426" s="21"/>
      <c r="J426" s="21"/>
      <c r="K426" s="21"/>
      <c r="L426" s="21"/>
      <c r="M426" s="21"/>
      <c r="O426" s="24"/>
      <c r="P426" s="24"/>
      <c r="U426" s="27"/>
      <c r="X426" s="21"/>
      <c r="Y426" s="21"/>
      <c r="Z426" s="21"/>
      <c r="AA426" s="28"/>
      <c r="AB426" s="29"/>
      <c r="AC426" s="21"/>
      <c r="AD426" s="25"/>
      <c r="AE426" s="25"/>
      <c r="AF426" s="25"/>
    </row>
    <row r="427" ht="12.75" customHeight="1">
      <c r="B427" s="21"/>
      <c r="C427" s="21"/>
      <c r="E427" s="21"/>
      <c r="F427" s="21"/>
      <c r="J427" s="21"/>
      <c r="K427" s="21"/>
      <c r="L427" s="21"/>
      <c r="M427" s="21"/>
      <c r="O427" s="24"/>
      <c r="P427" s="24"/>
      <c r="U427" s="27"/>
      <c r="X427" s="21"/>
      <c r="Y427" s="21"/>
      <c r="Z427" s="21"/>
      <c r="AA427" s="28"/>
      <c r="AB427" s="29"/>
      <c r="AC427" s="21"/>
      <c r="AD427" s="25"/>
      <c r="AE427" s="25"/>
      <c r="AF427" s="25"/>
    </row>
    <row r="428" ht="12.75" customHeight="1">
      <c r="B428" s="21"/>
      <c r="C428" s="21"/>
      <c r="E428" s="21"/>
      <c r="F428" s="21"/>
      <c r="J428" s="21"/>
      <c r="K428" s="21"/>
      <c r="L428" s="21"/>
      <c r="M428" s="21"/>
      <c r="O428" s="24"/>
      <c r="P428" s="24"/>
      <c r="U428" s="27"/>
      <c r="X428" s="21"/>
      <c r="Y428" s="21"/>
      <c r="Z428" s="21"/>
      <c r="AA428" s="28"/>
      <c r="AB428" s="29"/>
      <c r="AC428" s="21"/>
      <c r="AD428" s="25"/>
      <c r="AE428" s="25"/>
      <c r="AF428" s="25"/>
    </row>
    <row r="429" ht="12.75" customHeight="1">
      <c r="B429" s="21"/>
      <c r="C429" s="21"/>
      <c r="E429" s="21"/>
      <c r="F429" s="21"/>
      <c r="J429" s="21"/>
      <c r="K429" s="21"/>
      <c r="L429" s="21"/>
      <c r="M429" s="21"/>
      <c r="O429" s="24"/>
      <c r="P429" s="24"/>
      <c r="U429" s="27"/>
      <c r="X429" s="21"/>
      <c r="Y429" s="21"/>
      <c r="Z429" s="21"/>
      <c r="AA429" s="28"/>
      <c r="AB429" s="29"/>
      <c r="AC429" s="21"/>
      <c r="AD429" s="25"/>
      <c r="AE429" s="25"/>
      <c r="AF429" s="25"/>
    </row>
    <row r="430" ht="12.75" customHeight="1">
      <c r="B430" s="21"/>
      <c r="C430" s="21"/>
      <c r="E430" s="21"/>
      <c r="F430" s="21"/>
      <c r="J430" s="21"/>
      <c r="K430" s="21"/>
      <c r="L430" s="21"/>
      <c r="M430" s="21"/>
      <c r="O430" s="24"/>
      <c r="P430" s="24"/>
      <c r="U430" s="27"/>
      <c r="X430" s="21"/>
      <c r="Y430" s="21"/>
      <c r="Z430" s="21"/>
      <c r="AA430" s="28"/>
      <c r="AB430" s="29"/>
      <c r="AC430" s="21"/>
      <c r="AD430" s="25"/>
      <c r="AE430" s="25"/>
      <c r="AF430" s="25"/>
    </row>
    <row r="431" ht="12.75" customHeight="1">
      <c r="B431" s="21"/>
      <c r="C431" s="21"/>
      <c r="E431" s="21"/>
      <c r="F431" s="21"/>
      <c r="J431" s="21"/>
      <c r="K431" s="21"/>
      <c r="L431" s="21"/>
      <c r="M431" s="21"/>
      <c r="O431" s="24"/>
      <c r="P431" s="24"/>
      <c r="U431" s="27"/>
      <c r="X431" s="21"/>
      <c r="Y431" s="21"/>
      <c r="Z431" s="21"/>
      <c r="AA431" s="28"/>
      <c r="AB431" s="29"/>
      <c r="AC431" s="21"/>
      <c r="AD431" s="25"/>
      <c r="AE431" s="25"/>
      <c r="AF431" s="25"/>
    </row>
    <row r="432" ht="12.75" customHeight="1">
      <c r="B432" s="21"/>
      <c r="C432" s="21"/>
      <c r="E432" s="21"/>
      <c r="F432" s="21"/>
      <c r="J432" s="21"/>
      <c r="K432" s="21"/>
      <c r="L432" s="21"/>
      <c r="M432" s="21"/>
      <c r="O432" s="24"/>
      <c r="P432" s="24"/>
      <c r="U432" s="27"/>
      <c r="X432" s="21"/>
      <c r="Y432" s="21"/>
      <c r="Z432" s="21"/>
      <c r="AA432" s="28"/>
      <c r="AB432" s="29"/>
      <c r="AC432" s="21"/>
      <c r="AD432" s="25"/>
      <c r="AE432" s="25"/>
      <c r="AF432" s="25"/>
    </row>
    <row r="433" ht="12.75" customHeight="1">
      <c r="B433" s="21"/>
      <c r="C433" s="21"/>
      <c r="E433" s="21"/>
      <c r="F433" s="21"/>
      <c r="J433" s="21"/>
      <c r="K433" s="21"/>
      <c r="L433" s="21"/>
      <c r="M433" s="21"/>
      <c r="O433" s="24"/>
      <c r="P433" s="24"/>
      <c r="U433" s="27"/>
      <c r="X433" s="21"/>
      <c r="Y433" s="21"/>
      <c r="Z433" s="21"/>
      <c r="AA433" s="28"/>
      <c r="AB433" s="29"/>
      <c r="AC433" s="21"/>
      <c r="AD433" s="25"/>
      <c r="AE433" s="25"/>
      <c r="AF433" s="25"/>
    </row>
    <row r="434" ht="12.75" customHeight="1">
      <c r="B434" s="21"/>
      <c r="C434" s="21"/>
      <c r="E434" s="21"/>
      <c r="F434" s="21"/>
      <c r="J434" s="21"/>
      <c r="K434" s="21"/>
      <c r="L434" s="21"/>
      <c r="M434" s="21"/>
      <c r="O434" s="24"/>
      <c r="P434" s="24"/>
      <c r="U434" s="27"/>
      <c r="X434" s="21"/>
      <c r="Y434" s="21"/>
      <c r="Z434" s="21"/>
      <c r="AA434" s="28"/>
      <c r="AB434" s="29"/>
      <c r="AC434" s="21"/>
      <c r="AD434" s="25"/>
      <c r="AE434" s="25"/>
      <c r="AF434" s="25"/>
    </row>
    <row r="435" ht="12.75" customHeight="1">
      <c r="B435" s="21"/>
      <c r="C435" s="21"/>
      <c r="E435" s="21"/>
      <c r="F435" s="21"/>
      <c r="J435" s="21"/>
      <c r="K435" s="21"/>
      <c r="L435" s="21"/>
      <c r="M435" s="21"/>
      <c r="O435" s="24"/>
      <c r="P435" s="24"/>
      <c r="U435" s="27"/>
      <c r="X435" s="21"/>
      <c r="Y435" s="21"/>
      <c r="Z435" s="21"/>
      <c r="AA435" s="28"/>
      <c r="AB435" s="29"/>
      <c r="AC435" s="21"/>
      <c r="AD435" s="25"/>
      <c r="AE435" s="25"/>
      <c r="AF435" s="25"/>
    </row>
    <row r="436" ht="12.75" customHeight="1">
      <c r="B436" s="21"/>
      <c r="C436" s="21"/>
      <c r="E436" s="21"/>
      <c r="F436" s="21"/>
      <c r="J436" s="21"/>
      <c r="K436" s="21"/>
      <c r="L436" s="21"/>
      <c r="M436" s="21"/>
      <c r="O436" s="24"/>
      <c r="P436" s="24"/>
      <c r="U436" s="27"/>
      <c r="X436" s="21"/>
      <c r="Y436" s="21"/>
      <c r="Z436" s="21"/>
      <c r="AA436" s="28"/>
      <c r="AB436" s="29"/>
      <c r="AC436" s="21"/>
      <c r="AD436" s="25"/>
      <c r="AE436" s="25"/>
      <c r="AF436" s="25"/>
    </row>
    <row r="437" ht="12.75" customHeight="1">
      <c r="B437" s="21"/>
      <c r="C437" s="21"/>
      <c r="E437" s="21"/>
      <c r="F437" s="21"/>
      <c r="J437" s="21"/>
      <c r="K437" s="21"/>
      <c r="L437" s="21"/>
      <c r="M437" s="21"/>
      <c r="O437" s="24"/>
      <c r="P437" s="24"/>
      <c r="U437" s="27"/>
      <c r="X437" s="21"/>
      <c r="Y437" s="21"/>
      <c r="Z437" s="21"/>
      <c r="AA437" s="28"/>
      <c r="AB437" s="29"/>
      <c r="AC437" s="21"/>
      <c r="AD437" s="25"/>
      <c r="AE437" s="25"/>
      <c r="AF437" s="25"/>
    </row>
    <row r="438" ht="12.75" customHeight="1">
      <c r="B438" s="21"/>
      <c r="C438" s="21"/>
      <c r="E438" s="21"/>
      <c r="F438" s="21"/>
      <c r="J438" s="21"/>
      <c r="K438" s="21"/>
      <c r="L438" s="21"/>
      <c r="M438" s="21"/>
      <c r="O438" s="24"/>
      <c r="P438" s="24"/>
      <c r="U438" s="27"/>
      <c r="X438" s="21"/>
      <c r="Y438" s="21"/>
      <c r="Z438" s="21"/>
      <c r="AA438" s="28"/>
      <c r="AB438" s="29"/>
      <c r="AC438" s="21"/>
      <c r="AD438" s="25"/>
      <c r="AE438" s="25"/>
      <c r="AF438" s="25"/>
    </row>
    <row r="439" ht="12.75" customHeight="1">
      <c r="B439" s="21"/>
      <c r="C439" s="21"/>
      <c r="E439" s="21"/>
      <c r="F439" s="21"/>
      <c r="J439" s="21"/>
      <c r="K439" s="21"/>
      <c r="L439" s="21"/>
      <c r="M439" s="21"/>
      <c r="O439" s="24"/>
      <c r="P439" s="24"/>
      <c r="U439" s="27"/>
      <c r="X439" s="21"/>
      <c r="Y439" s="21"/>
      <c r="Z439" s="21"/>
      <c r="AA439" s="28"/>
      <c r="AB439" s="29"/>
      <c r="AC439" s="21"/>
      <c r="AD439" s="25"/>
      <c r="AE439" s="25"/>
      <c r="AF439" s="25"/>
    </row>
    <row r="440" ht="12.75" customHeight="1">
      <c r="B440" s="21"/>
      <c r="C440" s="21"/>
      <c r="E440" s="21"/>
      <c r="F440" s="21"/>
      <c r="J440" s="21"/>
      <c r="K440" s="21"/>
      <c r="L440" s="21"/>
      <c r="M440" s="21"/>
      <c r="O440" s="24"/>
      <c r="P440" s="24"/>
      <c r="U440" s="27"/>
      <c r="X440" s="21"/>
      <c r="Y440" s="21"/>
      <c r="Z440" s="21"/>
      <c r="AA440" s="28"/>
      <c r="AB440" s="29"/>
      <c r="AC440" s="21"/>
      <c r="AD440" s="25"/>
      <c r="AE440" s="25"/>
      <c r="AF440" s="25"/>
    </row>
    <row r="441" ht="12.75" customHeight="1">
      <c r="B441" s="21"/>
      <c r="C441" s="21"/>
      <c r="E441" s="21"/>
      <c r="F441" s="21"/>
      <c r="J441" s="21"/>
      <c r="K441" s="21"/>
      <c r="L441" s="21"/>
      <c r="M441" s="21"/>
      <c r="O441" s="24"/>
      <c r="P441" s="24"/>
      <c r="U441" s="27"/>
      <c r="X441" s="21"/>
      <c r="Y441" s="21"/>
      <c r="Z441" s="21"/>
      <c r="AA441" s="28"/>
      <c r="AB441" s="29"/>
      <c r="AC441" s="21"/>
      <c r="AD441" s="25"/>
      <c r="AE441" s="25"/>
      <c r="AF441" s="25"/>
    </row>
    <row r="442" ht="12.75" customHeight="1">
      <c r="B442" s="21"/>
      <c r="C442" s="21"/>
      <c r="E442" s="21"/>
      <c r="F442" s="21"/>
      <c r="J442" s="21"/>
      <c r="K442" s="21"/>
      <c r="L442" s="21"/>
      <c r="M442" s="21"/>
      <c r="O442" s="24"/>
      <c r="P442" s="24"/>
      <c r="U442" s="27"/>
      <c r="X442" s="21"/>
      <c r="Y442" s="21"/>
      <c r="Z442" s="21"/>
      <c r="AA442" s="28"/>
      <c r="AB442" s="29"/>
      <c r="AC442" s="21"/>
      <c r="AD442" s="25"/>
      <c r="AE442" s="25"/>
      <c r="AF442" s="25"/>
    </row>
    <row r="443" ht="12.75" customHeight="1">
      <c r="B443" s="21"/>
      <c r="C443" s="21"/>
      <c r="E443" s="21"/>
      <c r="F443" s="21"/>
      <c r="J443" s="21"/>
      <c r="K443" s="21"/>
      <c r="L443" s="21"/>
      <c r="M443" s="21"/>
      <c r="O443" s="24"/>
      <c r="P443" s="24"/>
      <c r="U443" s="27"/>
      <c r="X443" s="21"/>
      <c r="Y443" s="21"/>
      <c r="Z443" s="21"/>
      <c r="AA443" s="28"/>
      <c r="AB443" s="29"/>
      <c r="AC443" s="21"/>
      <c r="AD443" s="25"/>
      <c r="AE443" s="25"/>
      <c r="AF443" s="25"/>
    </row>
    <row r="444" ht="12.75" customHeight="1">
      <c r="B444" s="21"/>
      <c r="C444" s="21"/>
      <c r="E444" s="21"/>
      <c r="F444" s="21"/>
      <c r="J444" s="21"/>
      <c r="K444" s="21"/>
      <c r="L444" s="21"/>
      <c r="M444" s="21"/>
      <c r="O444" s="24"/>
      <c r="P444" s="24"/>
      <c r="U444" s="27"/>
      <c r="X444" s="21"/>
      <c r="Y444" s="21"/>
      <c r="Z444" s="21"/>
      <c r="AA444" s="28"/>
      <c r="AB444" s="29"/>
      <c r="AC444" s="21"/>
      <c r="AD444" s="25"/>
      <c r="AE444" s="25"/>
      <c r="AF444" s="25"/>
    </row>
    <row r="445" ht="12.75" customHeight="1">
      <c r="B445" s="21"/>
      <c r="C445" s="21"/>
      <c r="E445" s="21"/>
      <c r="F445" s="21"/>
      <c r="J445" s="21"/>
      <c r="K445" s="21"/>
      <c r="L445" s="21"/>
      <c r="M445" s="21"/>
      <c r="O445" s="24"/>
      <c r="P445" s="24"/>
      <c r="U445" s="27"/>
      <c r="X445" s="21"/>
      <c r="Y445" s="21"/>
      <c r="Z445" s="21"/>
      <c r="AA445" s="28"/>
      <c r="AB445" s="29"/>
      <c r="AC445" s="21"/>
      <c r="AD445" s="25"/>
      <c r="AE445" s="25"/>
      <c r="AF445" s="25"/>
    </row>
    <row r="446" ht="12.75" customHeight="1">
      <c r="B446" s="21"/>
      <c r="C446" s="21"/>
      <c r="E446" s="21"/>
      <c r="F446" s="21"/>
      <c r="J446" s="21"/>
      <c r="K446" s="21"/>
      <c r="L446" s="21"/>
      <c r="M446" s="21"/>
      <c r="O446" s="24"/>
      <c r="P446" s="24"/>
      <c r="U446" s="27"/>
      <c r="X446" s="21"/>
      <c r="Y446" s="21"/>
      <c r="Z446" s="21"/>
      <c r="AA446" s="28"/>
      <c r="AB446" s="29"/>
      <c r="AC446" s="21"/>
      <c r="AD446" s="25"/>
      <c r="AE446" s="25"/>
      <c r="AF446" s="25"/>
    </row>
    <row r="447" ht="12.75" customHeight="1">
      <c r="B447" s="21"/>
      <c r="C447" s="21"/>
      <c r="E447" s="21"/>
      <c r="F447" s="21"/>
      <c r="J447" s="21"/>
      <c r="K447" s="21"/>
      <c r="L447" s="21"/>
      <c r="M447" s="21"/>
      <c r="O447" s="24"/>
      <c r="P447" s="24"/>
      <c r="U447" s="27"/>
      <c r="X447" s="21"/>
      <c r="Y447" s="21"/>
      <c r="Z447" s="21"/>
      <c r="AA447" s="28"/>
      <c r="AB447" s="29"/>
      <c r="AC447" s="21"/>
      <c r="AD447" s="25"/>
      <c r="AE447" s="25"/>
      <c r="AF447" s="25"/>
    </row>
    <row r="448" ht="12.75" customHeight="1">
      <c r="B448" s="21"/>
      <c r="C448" s="21"/>
      <c r="E448" s="21"/>
      <c r="F448" s="21"/>
      <c r="J448" s="21"/>
      <c r="K448" s="21"/>
      <c r="L448" s="21"/>
      <c r="M448" s="21"/>
      <c r="O448" s="24"/>
      <c r="P448" s="24"/>
      <c r="U448" s="27"/>
      <c r="X448" s="21"/>
      <c r="Y448" s="21"/>
      <c r="Z448" s="21"/>
      <c r="AA448" s="28"/>
      <c r="AB448" s="29"/>
      <c r="AC448" s="21"/>
      <c r="AD448" s="25"/>
      <c r="AE448" s="25"/>
      <c r="AF448" s="25"/>
    </row>
    <row r="449" ht="12.75" customHeight="1">
      <c r="B449" s="21"/>
      <c r="C449" s="21"/>
      <c r="E449" s="21"/>
      <c r="F449" s="21"/>
      <c r="J449" s="21"/>
      <c r="K449" s="21"/>
      <c r="L449" s="21"/>
      <c r="M449" s="21"/>
      <c r="O449" s="24"/>
      <c r="P449" s="24"/>
      <c r="U449" s="27"/>
      <c r="X449" s="21"/>
      <c r="Y449" s="21"/>
      <c r="Z449" s="21"/>
      <c r="AA449" s="28"/>
      <c r="AB449" s="29"/>
      <c r="AC449" s="21"/>
      <c r="AD449" s="25"/>
      <c r="AE449" s="25"/>
      <c r="AF449" s="25"/>
    </row>
    <row r="450" ht="12.75" customHeight="1">
      <c r="B450" s="21"/>
      <c r="C450" s="21"/>
      <c r="E450" s="21"/>
      <c r="F450" s="21"/>
      <c r="J450" s="21"/>
      <c r="K450" s="21"/>
      <c r="L450" s="21"/>
      <c r="M450" s="21"/>
      <c r="O450" s="24"/>
      <c r="P450" s="24"/>
      <c r="U450" s="27"/>
      <c r="X450" s="21"/>
      <c r="Y450" s="21"/>
      <c r="Z450" s="21"/>
      <c r="AA450" s="28"/>
      <c r="AB450" s="29"/>
      <c r="AC450" s="21"/>
      <c r="AD450" s="25"/>
      <c r="AE450" s="25"/>
      <c r="AF450" s="25"/>
    </row>
    <row r="451" ht="12.75" customHeight="1">
      <c r="B451" s="21"/>
      <c r="C451" s="21"/>
      <c r="E451" s="21"/>
      <c r="F451" s="21"/>
      <c r="J451" s="21"/>
      <c r="K451" s="21"/>
      <c r="L451" s="21"/>
      <c r="M451" s="21"/>
      <c r="O451" s="24"/>
      <c r="P451" s="24"/>
      <c r="U451" s="27"/>
      <c r="X451" s="21"/>
      <c r="Y451" s="21"/>
      <c r="Z451" s="21"/>
      <c r="AA451" s="28"/>
      <c r="AB451" s="29"/>
      <c r="AC451" s="21"/>
      <c r="AD451" s="25"/>
      <c r="AE451" s="25"/>
      <c r="AF451" s="25"/>
    </row>
    <row r="452" ht="12.75" customHeight="1">
      <c r="B452" s="21"/>
      <c r="C452" s="21"/>
      <c r="E452" s="21"/>
      <c r="F452" s="21"/>
      <c r="J452" s="21"/>
      <c r="K452" s="21"/>
      <c r="L452" s="21"/>
      <c r="M452" s="21"/>
      <c r="O452" s="24"/>
      <c r="P452" s="24"/>
      <c r="U452" s="27"/>
      <c r="X452" s="21"/>
      <c r="Y452" s="21"/>
      <c r="Z452" s="21"/>
      <c r="AA452" s="28"/>
      <c r="AB452" s="29"/>
      <c r="AC452" s="21"/>
      <c r="AD452" s="25"/>
      <c r="AE452" s="25"/>
      <c r="AF452" s="25"/>
    </row>
    <row r="453" ht="12.75" customHeight="1">
      <c r="B453" s="21"/>
      <c r="C453" s="21"/>
      <c r="E453" s="21"/>
      <c r="F453" s="21"/>
      <c r="J453" s="21"/>
      <c r="K453" s="21"/>
      <c r="L453" s="21"/>
      <c r="M453" s="21"/>
      <c r="O453" s="24"/>
      <c r="P453" s="24"/>
      <c r="U453" s="27"/>
      <c r="X453" s="21"/>
      <c r="Y453" s="21"/>
      <c r="Z453" s="21"/>
      <c r="AA453" s="28"/>
      <c r="AB453" s="29"/>
      <c r="AC453" s="21"/>
      <c r="AD453" s="25"/>
      <c r="AE453" s="25"/>
      <c r="AF453" s="25"/>
    </row>
    <row r="454" ht="12.75" customHeight="1">
      <c r="B454" s="21"/>
      <c r="C454" s="21"/>
      <c r="E454" s="21"/>
      <c r="F454" s="21"/>
      <c r="J454" s="21"/>
      <c r="K454" s="21"/>
      <c r="L454" s="21"/>
      <c r="M454" s="21"/>
      <c r="O454" s="24"/>
      <c r="P454" s="24"/>
      <c r="U454" s="27"/>
      <c r="X454" s="21"/>
      <c r="Y454" s="21"/>
      <c r="Z454" s="21"/>
      <c r="AA454" s="28"/>
      <c r="AB454" s="29"/>
      <c r="AC454" s="21"/>
      <c r="AD454" s="25"/>
      <c r="AE454" s="25"/>
      <c r="AF454" s="25"/>
    </row>
    <row r="455" ht="12.75" customHeight="1">
      <c r="B455" s="21"/>
      <c r="C455" s="21"/>
      <c r="E455" s="21"/>
      <c r="F455" s="21"/>
      <c r="J455" s="21"/>
      <c r="K455" s="21"/>
      <c r="L455" s="21"/>
      <c r="M455" s="21"/>
      <c r="O455" s="24"/>
      <c r="P455" s="24"/>
      <c r="U455" s="27"/>
      <c r="X455" s="21"/>
      <c r="Y455" s="21"/>
      <c r="Z455" s="21"/>
      <c r="AA455" s="28"/>
      <c r="AB455" s="29"/>
      <c r="AC455" s="21"/>
      <c r="AD455" s="25"/>
      <c r="AE455" s="25"/>
      <c r="AF455" s="25"/>
    </row>
    <row r="456" ht="12.75" customHeight="1">
      <c r="B456" s="21"/>
      <c r="C456" s="21"/>
      <c r="E456" s="21"/>
      <c r="F456" s="21"/>
      <c r="J456" s="21"/>
      <c r="K456" s="21"/>
      <c r="L456" s="21"/>
      <c r="M456" s="21"/>
      <c r="O456" s="24"/>
      <c r="P456" s="24"/>
      <c r="U456" s="27"/>
      <c r="X456" s="21"/>
      <c r="Y456" s="21"/>
      <c r="Z456" s="21"/>
      <c r="AA456" s="28"/>
      <c r="AB456" s="29"/>
      <c r="AC456" s="21"/>
      <c r="AD456" s="25"/>
      <c r="AE456" s="25"/>
      <c r="AF456" s="25"/>
    </row>
    <row r="457" ht="12.75" customHeight="1">
      <c r="B457" s="21"/>
      <c r="C457" s="21"/>
      <c r="E457" s="21"/>
      <c r="F457" s="21"/>
      <c r="J457" s="21"/>
      <c r="K457" s="21"/>
      <c r="L457" s="21"/>
      <c r="M457" s="21"/>
      <c r="O457" s="24"/>
      <c r="P457" s="24"/>
      <c r="U457" s="27"/>
      <c r="X457" s="21"/>
      <c r="Y457" s="21"/>
      <c r="Z457" s="21"/>
      <c r="AA457" s="28"/>
      <c r="AB457" s="29"/>
      <c r="AC457" s="21"/>
      <c r="AD457" s="25"/>
      <c r="AE457" s="25"/>
      <c r="AF457" s="25"/>
    </row>
    <row r="458" ht="12.75" customHeight="1">
      <c r="B458" s="21"/>
      <c r="C458" s="21"/>
      <c r="E458" s="21"/>
      <c r="F458" s="21"/>
      <c r="J458" s="21"/>
      <c r="K458" s="21"/>
      <c r="L458" s="21"/>
      <c r="M458" s="21"/>
      <c r="O458" s="24"/>
      <c r="P458" s="24"/>
      <c r="U458" s="27"/>
      <c r="X458" s="21"/>
      <c r="Y458" s="21"/>
      <c r="Z458" s="21"/>
      <c r="AA458" s="28"/>
      <c r="AB458" s="29"/>
      <c r="AC458" s="21"/>
      <c r="AD458" s="25"/>
      <c r="AE458" s="25"/>
      <c r="AF458" s="25"/>
    </row>
    <row r="459" ht="12.75" customHeight="1">
      <c r="B459" s="21"/>
      <c r="C459" s="21"/>
      <c r="E459" s="21"/>
      <c r="F459" s="21"/>
      <c r="J459" s="21"/>
      <c r="K459" s="21"/>
      <c r="L459" s="21"/>
      <c r="M459" s="21"/>
      <c r="O459" s="24"/>
      <c r="P459" s="24"/>
      <c r="U459" s="27"/>
      <c r="X459" s="21"/>
      <c r="Y459" s="21"/>
      <c r="Z459" s="21"/>
      <c r="AA459" s="28"/>
      <c r="AB459" s="29"/>
      <c r="AC459" s="21"/>
      <c r="AD459" s="25"/>
      <c r="AE459" s="25"/>
      <c r="AF459" s="25"/>
    </row>
    <row r="460" ht="12.75" customHeight="1">
      <c r="B460" s="21"/>
      <c r="C460" s="21"/>
      <c r="E460" s="21"/>
      <c r="F460" s="21"/>
      <c r="J460" s="21"/>
      <c r="K460" s="21"/>
      <c r="L460" s="21"/>
      <c r="M460" s="21"/>
      <c r="O460" s="24"/>
      <c r="P460" s="24"/>
      <c r="U460" s="27"/>
      <c r="X460" s="21"/>
      <c r="Y460" s="21"/>
      <c r="Z460" s="21"/>
      <c r="AA460" s="28"/>
      <c r="AB460" s="29"/>
      <c r="AC460" s="21"/>
      <c r="AD460" s="25"/>
      <c r="AE460" s="25"/>
      <c r="AF460" s="25"/>
    </row>
    <row r="461" ht="12.75" customHeight="1">
      <c r="B461" s="21"/>
      <c r="C461" s="21"/>
      <c r="E461" s="21"/>
      <c r="F461" s="21"/>
      <c r="J461" s="21"/>
      <c r="K461" s="21"/>
      <c r="L461" s="21"/>
      <c r="M461" s="21"/>
      <c r="O461" s="24"/>
      <c r="P461" s="24"/>
      <c r="U461" s="27"/>
      <c r="X461" s="21"/>
      <c r="Y461" s="21"/>
      <c r="Z461" s="21"/>
      <c r="AA461" s="28"/>
      <c r="AB461" s="29"/>
      <c r="AC461" s="21"/>
      <c r="AD461" s="25"/>
      <c r="AE461" s="25"/>
      <c r="AF461" s="25"/>
    </row>
    <row r="462" ht="12.75" customHeight="1">
      <c r="B462" s="21"/>
      <c r="C462" s="21"/>
      <c r="E462" s="21"/>
      <c r="F462" s="21"/>
      <c r="J462" s="21"/>
      <c r="K462" s="21"/>
      <c r="L462" s="21"/>
      <c r="M462" s="21"/>
      <c r="O462" s="24"/>
      <c r="P462" s="24"/>
      <c r="U462" s="27"/>
      <c r="X462" s="21"/>
      <c r="Y462" s="21"/>
      <c r="Z462" s="21"/>
      <c r="AA462" s="28"/>
      <c r="AB462" s="29"/>
      <c r="AC462" s="21"/>
      <c r="AD462" s="25"/>
      <c r="AE462" s="25"/>
      <c r="AF462" s="25"/>
    </row>
    <row r="463" ht="12.75" customHeight="1">
      <c r="B463" s="21"/>
      <c r="C463" s="21"/>
      <c r="E463" s="21"/>
      <c r="F463" s="21"/>
      <c r="J463" s="21"/>
      <c r="K463" s="21"/>
      <c r="L463" s="21"/>
      <c r="M463" s="21"/>
      <c r="O463" s="24"/>
      <c r="P463" s="24"/>
      <c r="U463" s="27"/>
      <c r="X463" s="21"/>
      <c r="Y463" s="21"/>
      <c r="Z463" s="21"/>
      <c r="AA463" s="28"/>
      <c r="AB463" s="29"/>
      <c r="AC463" s="21"/>
      <c r="AD463" s="25"/>
      <c r="AE463" s="25"/>
      <c r="AF463" s="25"/>
    </row>
    <row r="464" ht="12.75" customHeight="1">
      <c r="B464" s="21"/>
      <c r="C464" s="21"/>
      <c r="E464" s="21"/>
      <c r="F464" s="21"/>
      <c r="J464" s="21"/>
      <c r="K464" s="21"/>
      <c r="L464" s="21"/>
      <c r="M464" s="21"/>
      <c r="O464" s="24"/>
      <c r="P464" s="24"/>
      <c r="U464" s="27"/>
      <c r="X464" s="21"/>
      <c r="Y464" s="21"/>
      <c r="Z464" s="21"/>
      <c r="AA464" s="28"/>
      <c r="AB464" s="29"/>
      <c r="AC464" s="21"/>
      <c r="AD464" s="25"/>
      <c r="AE464" s="25"/>
      <c r="AF464" s="25"/>
    </row>
    <row r="465" ht="12.75" customHeight="1">
      <c r="B465" s="21"/>
      <c r="C465" s="21"/>
      <c r="E465" s="21"/>
      <c r="F465" s="21"/>
      <c r="J465" s="21"/>
      <c r="K465" s="21"/>
      <c r="L465" s="21"/>
      <c r="M465" s="21"/>
      <c r="O465" s="24"/>
      <c r="P465" s="24"/>
      <c r="U465" s="27"/>
      <c r="X465" s="21"/>
      <c r="Y465" s="21"/>
      <c r="Z465" s="21"/>
      <c r="AA465" s="28"/>
      <c r="AB465" s="29"/>
      <c r="AC465" s="21"/>
      <c r="AD465" s="25"/>
      <c r="AE465" s="25"/>
      <c r="AF465" s="25"/>
    </row>
    <row r="466" ht="12.75" customHeight="1">
      <c r="B466" s="21"/>
      <c r="C466" s="21"/>
      <c r="E466" s="21"/>
      <c r="F466" s="21"/>
      <c r="J466" s="21"/>
      <c r="K466" s="21"/>
      <c r="L466" s="21"/>
      <c r="M466" s="21"/>
      <c r="O466" s="24"/>
      <c r="P466" s="24"/>
      <c r="U466" s="27"/>
      <c r="X466" s="21"/>
      <c r="Y466" s="21"/>
      <c r="Z466" s="21"/>
      <c r="AA466" s="28"/>
      <c r="AB466" s="29"/>
      <c r="AC466" s="21"/>
      <c r="AD466" s="25"/>
      <c r="AE466" s="25"/>
      <c r="AF466" s="25"/>
    </row>
    <row r="467" ht="12.75" customHeight="1">
      <c r="B467" s="21"/>
      <c r="C467" s="21"/>
      <c r="E467" s="21"/>
      <c r="F467" s="21"/>
      <c r="J467" s="21"/>
      <c r="K467" s="21"/>
      <c r="L467" s="21"/>
      <c r="M467" s="21"/>
      <c r="O467" s="24"/>
      <c r="P467" s="24"/>
      <c r="U467" s="27"/>
      <c r="X467" s="21"/>
      <c r="Y467" s="21"/>
      <c r="Z467" s="21"/>
      <c r="AA467" s="28"/>
      <c r="AB467" s="29"/>
      <c r="AC467" s="21"/>
      <c r="AD467" s="25"/>
      <c r="AE467" s="25"/>
      <c r="AF467" s="25"/>
    </row>
    <row r="468" ht="12.75" customHeight="1">
      <c r="B468" s="21"/>
      <c r="C468" s="21"/>
      <c r="E468" s="21"/>
      <c r="F468" s="21"/>
      <c r="J468" s="21"/>
      <c r="K468" s="21"/>
      <c r="L468" s="21"/>
      <c r="M468" s="21"/>
      <c r="O468" s="24"/>
      <c r="P468" s="24"/>
      <c r="U468" s="27"/>
      <c r="X468" s="21"/>
      <c r="Y468" s="21"/>
      <c r="Z468" s="21"/>
      <c r="AA468" s="28"/>
      <c r="AB468" s="29"/>
      <c r="AC468" s="21"/>
      <c r="AD468" s="25"/>
      <c r="AE468" s="25"/>
      <c r="AF468" s="25"/>
    </row>
    <row r="469" ht="12.75" customHeight="1">
      <c r="B469" s="21"/>
      <c r="C469" s="21"/>
      <c r="E469" s="21"/>
      <c r="F469" s="21"/>
      <c r="J469" s="21"/>
      <c r="K469" s="21"/>
      <c r="L469" s="21"/>
      <c r="M469" s="21"/>
      <c r="O469" s="24"/>
      <c r="P469" s="24"/>
      <c r="U469" s="27"/>
      <c r="X469" s="21"/>
      <c r="Y469" s="21"/>
      <c r="Z469" s="21"/>
      <c r="AA469" s="28"/>
      <c r="AB469" s="29"/>
      <c r="AC469" s="21"/>
      <c r="AD469" s="25"/>
      <c r="AE469" s="25"/>
      <c r="AF469" s="25"/>
    </row>
    <row r="470" ht="12.75" customHeight="1">
      <c r="B470" s="21"/>
      <c r="C470" s="21"/>
      <c r="E470" s="21"/>
      <c r="F470" s="21"/>
      <c r="J470" s="21"/>
      <c r="K470" s="21"/>
      <c r="L470" s="21"/>
      <c r="M470" s="21"/>
      <c r="O470" s="24"/>
      <c r="P470" s="24"/>
      <c r="U470" s="27"/>
      <c r="X470" s="21"/>
      <c r="Y470" s="21"/>
      <c r="Z470" s="21"/>
      <c r="AA470" s="28"/>
      <c r="AB470" s="29"/>
      <c r="AC470" s="21"/>
      <c r="AD470" s="25"/>
      <c r="AE470" s="25"/>
      <c r="AF470" s="25"/>
    </row>
    <row r="471" ht="12.75" customHeight="1">
      <c r="B471" s="21"/>
      <c r="C471" s="21"/>
      <c r="E471" s="21"/>
      <c r="F471" s="21"/>
      <c r="J471" s="21"/>
      <c r="K471" s="21"/>
      <c r="L471" s="21"/>
      <c r="M471" s="21"/>
      <c r="O471" s="24"/>
      <c r="P471" s="24"/>
      <c r="U471" s="27"/>
      <c r="X471" s="21"/>
      <c r="Y471" s="21"/>
      <c r="Z471" s="21"/>
      <c r="AA471" s="28"/>
      <c r="AB471" s="29"/>
      <c r="AC471" s="21"/>
      <c r="AD471" s="25"/>
      <c r="AE471" s="25"/>
      <c r="AF471" s="25"/>
    </row>
    <row r="472" ht="12.75" customHeight="1">
      <c r="B472" s="21"/>
      <c r="C472" s="21"/>
      <c r="E472" s="21"/>
      <c r="F472" s="21"/>
      <c r="J472" s="21"/>
      <c r="K472" s="21"/>
      <c r="L472" s="21"/>
      <c r="M472" s="21"/>
      <c r="O472" s="24"/>
      <c r="P472" s="24"/>
      <c r="U472" s="27"/>
      <c r="X472" s="21"/>
      <c r="Y472" s="21"/>
      <c r="Z472" s="21"/>
      <c r="AA472" s="28"/>
      <c r="AB472" s="29"/>
      <c r="AC472" s="21"/>
      <c r="AD472" s="25"/>
      <c r="AE472" s="25"/>
      <c r="AF472" s="25"/>
    </row>
    <row r="473" ht="12.75" customHeight="1">
      <c r="B473" s="21"/>
      <c r="C473" s="21"/>
      <c r="E473" s="21"/>
      <c r="F473" s="21"/>
      <c r="J473" s="21"/>
      <c r="K473" s="21"/>
      <c r="L473" s="21"/>
      <c r="M473" s="21"/>
      <c r="O473" s="24"/>
      <c r="P473" s="24"/>
      <c r="U473" s="27"/>
      <c r="X473" s="21"/>
      <c r="Y473" s="21"/>
      <c r="Z473" s="21"/>
      <c r="AA473" s="28"/>
      <c r="AB473" s="29"/>
      <c r="AC473" s="21"/>
      <c r="AD473" s="25"/>
      <c r="AE473" s="25"/>
      <c r="AF473" s="25"/>
    </row>
    <row r="474" ht="12.75" customHeight="1">
      <c r="B474" s="21"/>
      <c r="C474" s="21"/>
      <c r="E474" s="21"/>
      <c r="F474" s="21"/>
      <c r="J474" s="21"/>
      <c r="K474" s="21"/>
      <c r="L474" s="21"/>
      <c r="M474" s="21"/>
      <c r="O474" s="24"/>
      <c r="P474" s="24"/>
      <c r="U474" s="27"/>
      <c r="X474" s="21"/>
      <c r="Y474" s="21"/>
      <c r="Z474" s="21"/>
      <c r="AA474" s="28"/>
      <c r="AB474" s="29"/>
      <c r="AC474" s="21"/>
      <c r="AD474" s="25"/>
      <c r="AE474" s="25"/>
      <c r="AF474" s="25"/>
    </row>
    <row r="475" ht="12.75" customHeight="1">
      <c r="B475" s="21"/>
      <c r="C475" s="21"/>
      <c r="E475" s="21"/>
      <c r="F475" s="21"/>
      <c r="J475" s="21"/>
      <c r="K475" s="21"/>
      <c r="L475" s="21"/>
      <c r="M475" s="21"/>
      <c r="O475" s="24"/>
      <c r="P475" s="24"/>
      <c r="U475" s="27"/>
      <c r="X475" s="21"/>
      <c r="Y475" s="21"/>
      <c r="Z475" s="21"/>
      <c r="AA475" s="28"/>
      <c r="AB475" s="29"/>
      <c r="AC475" s="21"/>
      <c r="AD475" s="25"/>
      <c r="AE475" s="25"/>
      <c r="AF475" s="25"/>
    </row>
    <row r="476" ht="12.75" customHeight="1">
      <c r="B476" s="21"/>
      <c r="C476" s="21"/>
      <c r="E476" s="21"/>
      <c r="F476" s="21"/>
      <c r="J476" s="21"/>
      <c r="K476" s="21"/>
      <c r="L476" s="21"/>
      <c r="M476" s="21"/>
      <c r="O476" s="24"/>
      <c r="P476" s="24"/>
      <c r="U476" s="27"/>
      <c r="X476" s="21"/>
      <c r="Y476" s="21"/>
      <c r="Z476" s="21"/>
      <c r="AA476" s="28"/>
      <c r="AB476" s="29"/>
      <c r="AC476" s="21"/>
      <c r="AD476" s="25"/>
      <c r="AE476" s="25"/>
      <c r="AF476" s="25"/>
    </row>
    <row r="477" ht="12.75" customHeight="1">
      <c r="B477" s="21"/>
      <c r="C477" s="21"/>
      <c r="E477" s="21"/>
      <c r="F477" s="21"/>
      <c r="J477" s="21"/>
      <c r="K477" s="21"/>
      <c r="L477" s="21"/>
      <c r="M477" s="21"/>
      <c r="O477" s="24"/>
      <c r="P477" s="24"/>
      <c r="U477" s="27"/>
      <c r="X477" s="21"/>
      <c r="Y477" s="21"/>
      <c r="Z477" s="21"/>
      <c r="AA477" s="28"/>
      <c r="AB477" s="29"/>
      <c r="AC477" s="21"/>
      <c r="AD477" s="25"/>
      <c r="AE477" s="25"/>
      <c r="AF477" s="25"/>
    </row>
    <row r="478" ht="12.75" customHeight="1">
      <c r="B478" s="21"/>
      <c r="C478" s="21"/>
      <c r="E478" s="21"/>
      <c r="F478" s="21"/>
      <c r="J478" s="21"/>
      <c r="K478" s="21"/>
      <c r="L478" s="21"/>
      <c r="M478" s="21"/>
      <c r="O478" s="24"/>
      <c r="P478" s="24"/>
      <c r="U478" s="27"/>
      <c r="X478" s="21"/>
      <c r="Y478" s="21"/>
      <c r="Z478" s="21"/>
      <c r="AA478" s="28"/>
      <c r="AB478" s="29"/>
      <c r="AC478" s="21"/>
      <c r="AD478" s="25"/>
      <c r="AE478" s="25"/>
      <c r="AF478" s="25"/>
    </row>
    <row r="479" ht="12.75" customHeight="1">
      <c r="B479" s="21"/>
      <c r="C479" s="21"/>
      <c r="E479" s="21"/>
      <c r="F479" s="21"/>
      <c r="J479" s="21"/>
      <c r="K479" s="21"/>
      <c r="L479" s="21"/>
      <c r="M479" s="21"/>
      <c r="O479" s="24"/>
      <c r="P479" s="24"/>
      <c r="U479" s="27"/>
      <c r="X479" s="21"/>
      <c r="Y479" s="21"/>
      <c r="Z479" s="21"/>
      <c r="AA479" s="28"/>
      <c r="AB479" s="29"/>
      <c r="AC479" s="21"/>
      <c r="AD479" s="25"/>
      <c r="AE479" s="25"/>
      <c r="AF479" s="25"/>
    </row>
    <row r="480" ht="12.75" customHeight="1">
      <c r="B480" s="21"/>
      <c r="C480" s="21"/>
      <c r="E480" s="21"/>
      <c r="F480" s="21"/>
      <c r="J480" s="21"/>
      <c r="K480" s="21"/>
      <c r="L480" s="21"/>
      <c r="M480" s="21"/>
      <c r="O480" s="24"/>
      <c r="P480" s="24"/>
      <c r="U480" s="27"/>
      <c r="X480" s="21"/>
      <c r="Y480" s="21"/>
      <c r="Z480" s="21"/>
      <c r="AA480" s="28"/>
      <c r="AB480" s="29"/>
      <c r="AC480" s="21"/>
      <c r="AD480" s="25"/>
      <c r="AE480" s="25"/>
      <c r="AF480" s="25"/>
    </row>
    <row r="481" ht="12.75" customHeight="1">
      <c r="B481" s="21"/>
      <c r="C481" s="21"/>
      <c r="E481" s="21"/>
      <c r="F481" s="21"/>
      <c r="J481" s="21"/>
      <c r="K481" s="21"/>
      <c r="L481" s="21"/>
      <c r="M481" s="21"/>
      <c r="O481" s="24"/>
      <c r="P481" s="24"/>
      <c r="U481" s="27"/>
      <c r="X481" s="21"/>
      <c r="Y481" s="21"/>
      <c r="Z481" s="21"/>
      <c r="AA481" s="28"/>
      <c r="AB481" s="29"/>
      <c r="AC481" s="21"/>
      <c r="AD481" s="25"/>
      <c r="AE481" s="25"/>
      <c r="AF481" s="25"/>
    </row>
    <row r="482" ht="12.75" customHeight="1">
      <c r="B482" s="21"/>
      <c r="C482" s="21"/>
      <c r="E482" s="21"/>
      <c r="F482" s="21"/>
      <c r="J482" s="21"/>
      <c r="K482" s="21"/>
      <c r="L482" s="21"/>
      <c r="M482" s="21"/>
      <c r="O482" s="24"/>
      <c r="P482" s="24"/>
      <c r="U482" s="27"/>
      <c r="X482" s="21"/>
      <c r="Y482" s="21"/>
      <c r="Z482" s="21"/>
      <c r="AA482" s="28"/>
      <c r="AB482" s="29"/>
      <c r="AC482" s="21"/>
      <c r="AD482" s="25"/>
      <c r="AE482" s="25"/>
      <c r="AF482" s="25"/>
    </row>
    <row r="483" ht="12.75" customHeight="1">
      <c r="B483" s="21"/>
      <c r="C483" s="21"/>
      <c r="E483" s="21"/>
      <c r="F483" s="21"/>
      <c r="J483" s="21"/>
      <c r="K483" s="21"/>
      <c r="L483" s="21"/>
      <c r="M483" s="21"/>
      <c r="O483" s="24"/>
      <c r="P483" s="24"/>
      <c r="U483" s="27"/>
      <c r="X483" s="21"/>
      <c r="Y483" s="21"/>
      <c r="Z483" s="21"/>
      <c r="AA483" s="28"/>
      <c r="AB483" s="29"/>
      <c r="AC483" s="21"/>
      <c r="AD483" s="25"/>
      <c r="AE483" s="25"/>
      <c r="AF483" s="25"/>
    </row>
    <row r="484" ht="12.75" customHeight="1">
      <c r="B484" s="21"/>
      <c r="C484" s="21"/>
      <c r="E484" s="21"/>
      <c r="F484" s="21"/>
      <c r="J484" s="21"/>
      <c r="K484" s="21"/>
      <c r="L484" s="21"/>
      <c r="M484" s="21"/>
      <c r="O484" s="24"/>
      <c r="P484" s="24"/>
      <c r="U484" s="27"/>
      <c r="X484" s="21"/>
      <c r="Y484" s="21"/>
      <c r="Z484" s="21"/>
      <c r="AA484" s="28"/>
      <c r="AB484" s="29"/>
      <c r="AC484" s="21"/>
      <c r="AD484" s="25"/>
      <c r="AE484" s="25"/>
      <c r="AF484" s="25"/>
    </row>
    <row r="485" ht="12.75" customHeight="1">
      <c r="B485" s="21"/>
      <c r="C485" s="21"/>
      <c r="E485" s="21"/>
      <c r="F485" s="21"/>
      <c r="J485" s="21"/>
      <c r="K485" s="21"/>
      <c r="L485" s="21"/>
      <c r="M485" s="21"/>
      <c r="O485" s="24"/>
      <c r="P485" s="24"/>
      <c r="U485" s="27"/>
      <c r="X485" s="21"/>
      <c r="Y485" s="21"/>
      <c r="Z485" s="21"/>
      <c r="AA485" s="28"/>
      <c r="AB485" s="29"/>
      <c r="AC485" s="21"/>
      <c r="AD485" s="25"/>
      <c r="AE485" s="25"/>
      <c r="AF485" s="25"/>
    </row>
    <row r="486" ht="12.75" customHeight="1">
      <c r="B486" s="21"/>
      <c r="C486" s="21"/>
      <c r="E486" s="21"/>
      <c r="F486" s="21"/>
      <c r="J486" s="21"/>
      <c r="K486" s="21"/>
      <c r="L486" s="21"/>
      <c r="M486" s="21"/>
      <c r="O486" s="24"/>
      <c r="P486" s="24"/>
      <c r="U486" s="27"/>
      <c r="X486" s="21"/>
      <c r="Y486" s="21"/>
      <c r="Z486" s="21"/>
      <c r="AA486" s="28"/>
      <c r="AB486" s="29"/>
      <c r="AC486" s="21"/>
      <c r="AD486" s="25"/>
      <c r="AE486" s="25"/>
      <c r="AF486" s="25"/>
    </row>
    <row r="487" ht="12.75" customHeight="1">
      <c r="B487" s="21"/>
      <c r="C487" s="21"/>
      <c r="E487" s="21"/>
      <c r="F487" s="21"/>
      <c r="J487" s="21"/>
      <c r="K487" s="21"/>
      <c r="L487" s="21"/>
      <c r="M487" s="21"/>
      <c r="O487" s="24"/>
      <c r="P487" s="24"/>
      <c r="U487" s="27"/>
      <c r="X487" s="21"/>
      <c r="Y487" s="21"/>
      <c r="Z487" s="21"/>
      <c r="AA487" s="28"/>
      <c r="AB487" s="29"/>
      <c r="AC487" s="21"/>
      <c r="AD487" s="25"/>
      <c r="AE487" s="25"/>
      <c r="AF487" s="25"/>
    </row>
    <row r="488" ht="12.75" customHeight="1">
      <c r="B488" s="21"/>
      <c r="C488" s="21"/>
      <c r="E488" s="21"/>
      <c r="F488" s="21"/>
      <c r="J488" s="21"/>
      <c r="K488" s="21"/>
      <c r="L488" s="21"/>
      <c r="M488" s="21"/>
      <c r="O488" s="24"/>
      <c r="P488" s="24"/>
      <c r="U488" s="27"/>
      <c r="X488" s="21"/>
      <c r="Y488" s="21"/>
      <c r="Z488" s="21"/>
      <c r="AA488" s="28"/>
      <c r="AB488" s="29"/>
      <c r="AC488" s="21"/>
      <c r="AD488" s="25"/>
      <c r="AE488" s="25"/>
      <c r="AF488" s="25"/>
    </row>
    <row r="489" ht="12.75" customHeight="1">
      <c r="B489" s="21"/>
      <c r="C489" s="21"/>
      <c r="E489" s="21"/>
      <c r="F489" s="21"/>
      <c r="J489" s="21"/>
      <c r="K489" s="21"/>
      <c r="L489" s="21"/>
      <c r="M489" s="21"/>
      <c r="O489" s="24"/>
      <c r="P489" s="24"/>
      <c r="U489" s="27"/>
      <c r="X489" s="21"/>
      <c r="Y489" s="21"/>
      <c r="Z489" s="21"/>
      <c r="AA489" s="28"/>
      <c r="AB489" s="29"/>
      <c r="AC489" s="21"/>
      <c r="AD489" s="25"/>
      <c r="AE489" s="25"/>
      <c r="AF489" s="25"/>
    </row>
    <row r="490" ht="12.75" customHeight="1">
      <c r="B490" s="21"/>
      <c r="C490" s="21"/>
      <c r="E490" s="21"/>
      <c r="F490" s="21"/>
      <c r="J490" s="21"/>
      <c r="K490" s="21"/>
      <c r="L490" s="21"/>
      <c r="M490" s="21"/>
      <c r="O490" s="24"/>
      <c r="P490" s="24"/>
      <c r="U490" s="27"/>
      <c r="X490" s="21"/>
      <c r="Y490" s="21"/>
      <c r="Z490" s="21"/>
      <c r="AA490" s="28"/>
      <c r="AB490" s="29"/>
      <c r="AC490" s="21"/>
      <c r="AD490" s="25"/>
      <c r="AE490" s="25"/>
      <c r="AF490" s="25"/>
    </row>
    <row r="491" ht="12.75" customHeight="1">
      <c r="B491" s="21"/>
      <c r="C491" s="21"/>
      <c r="E491" s="21"/>
      <c r="F491" s="21"/>
      <c r="J491" s="21"/>
      <c r="K491" s="21"/>
      <c r="L491" s="21"/>
      <c r="M491" s="21"/>
      <c r="O491" s="24"/>
      <c r="P491" s="24"/>
      <c r="U491" s="27"/>
      <c r="X491" s="21"/>
      <c r="Y491" s="21"/>
      <c r="Z491" s="21"/>
      <c r="AA491" s="28"/>
      <c r="AB491" s="29"/>
      <c r="AC491" s="21"/>
      <c r="AD491" s="25"/>
      <c r="AE491" s="25"/>
      <c r="AF491" s="25"/>
    </row>
    <row r="492" ht="12.75" customHeight="1">
      <c r="B492" s="21"/>
      <c r="C492" s="21"/>
      <c r="E492" s="21"/>
      <c r="F492" s="21"/>
      <c r="J492" s="21"/>
      <c r="K492" s="21"/>
      <c r="L492" s="21"/>
      <c r="M492" s="21"/>
      <c r="O492" s="24"/>
      <c r="P492" s="24"/>
      <c r="U492" s="27"/>
      <c r="X492" s="21"/>
      <c r="Y492" s="21"/>
      <c r="Z492" s="21"/>
      <c r="AA492" s="28"/>
      <c r="AB492" s="29"/>
      <c r="AC492" s="21"/>
      <c r="AD492" s="25"/>
      <c r="AE492" s="25"/>
      <c r="AF492" s="25"/>
    </row>
    <row r="493" ht="12.75" customHeight="1">
      <c r="B493" s="21"/>
      <c r="C493" s="21"/>
      <c r="E493" s="21"/>
      <c r="F493" s="21"/>
      <c r="J493" s="21"/>
      <c r="K493" s="21"/>
      <c r="L493" s="21"/>
      <c r="M493" s="21"/>
      <c r="O493" s="24"/>
      <c r="P493" s="24"/>
      <c r="U493" s="27"/>
      <c r="X493" s="21"/>
      <c r="Y493" s="21"/>
      <c r="Z493" s="21"/>
      <c r="AA493" s="28"/>
      <c r="AB493" s="29"/>
      <c r="AC493" s="21"/>
      <c r="AD493" s="25"/>
      <c r="AE493" s="25"/>
      <c r="AF493" s="25"/>
    </row>
    <row r="494" ht="12.75" customHeight="1">
      <c r="B494" s="21"/>
      <c r="C494" s="21"/>
      <c r="E494" s="21"/>
      <c r="F494" s="21"/>
      <c r="J494" s="21"/>
      <c r="K494" s="21"/>
      <c r="L494" s="21"/>
      <c r="M494" s="21"/>
      <c r="O494" s="24"/>
      <c r="P494" s="24"/>
      <c r="U494" s="27"/>
      <c r="X494" s="21"/>
      <c r="Y494" s="21"/>
      <c r="Z494" s="21"/>
      <c r="AA494" s="28"/>
      <c r="AB494" s="29"/>
      <c r="AC494" s="21"/>
      <c r="AD494" s="25"/>
      <c r="AE494" s="25"/>
      <c r="AF494" s="25"/>
    </row>
    <row r="495" ht="12.75" customHeight="1">
      <c r="B495" s="21"/>
      <c r="C495" s="21"/>
      <c r="E495" s="21"/>
      <c r="F495" s="21"/>
      <c r="J495" s="21"/>
      <c r="K495" s="21"/>
      <c r="L495" s="21"/>
      <c r="M495" s="21"/>
      <c r="O495" s="24"/>
      <c r="P495" s="24"/>
      <c r="U495" s="27"/>
      <c r="X495" s="21"/>
      <c r="Y495" s="21"/>
      <c r="Z495" s="21"/>
      <c r="AA495" s="28"/>
      <c r="AB495" s="29"/>
      <c r="AC495" s="21"/>
      <c r="AD495" s="25"/>
      <c r="AE495" s="25"/>
      <c r="AF495" s="25"/>
    </row>
    <row r="496" ht="12.75" customHeight="1">
      <c r="B496" s="21"/>
      <c r="C496" s="21"/>
      <c r="E496" s="21"/>
      <c r="F496" s="21"/>
      <c r="J496" s="21"/>
      <c r="K496" s="21"/>
      <c r="L496" s="21"/>
      <c r="M496" s="21"/>
      <c r="O496" s="24"/>
      <c r="P496" s="24"/>
      <c r="U496" s="27"/>
      <c r="X496" s="21"/>
      <c r="Y496" s="21"/>
      <c r="Z496" s="21"/>
      <c r="AA496" s="28"/>
      <c r="AB496" s="29"/>
      <c r="AC496" s="21"/>
      <c r="AD496" s="25"/>
      <c r="AE496" s="25"/>
      <c r="AF496" s="25"/>
    </row>
    <row r="497" ht="12.75" customHeight="1">
      <c r="B497" s="21"/>
      <c r="C497" s="21"/>
      <c r="E497" s="21"/>
      <c r="F497" s="21"/>
      <c r="J497" s="21"/>
      <c r="K497" s="21"/>
      <c r="L497" s="21"/>
      <c r="M497" s="21"/>
      <c r="O497" s="24"/>
      <c r="P497" s="24"/>
      <c r="U497" s="27"/>
      <c r="X497" s="21"/>
      <c r="Y497" s="21"/>
      <c r="Z497" s="21"/>
      <c r="AA497" s="28"/>
      <c r="AB497" s="29"/>
      <c r="AC497" s="21"/>
      <c r="AD497" s="25"/>
      <c r="AE497" s="25"/>
      <c r="AF497" s="25"/>
    </row>
    <row r="498" ht="12.75" customHeight="1">
      <c r="B498" s="21"/>
      <c r="C498" s="21"/>
      <c r="E498" s="21"/>
      <c r="F498" s="21"/>
      <c r="J498" s="21"/>
      <c r="K498" s="21"/>
      <c r="L498" s="21"/>
      <c r="M498" s="21"/>
      <c r="O498" s="24"/>
      <c r="P498" s="24"/>
      <c r="U498" s="27"/>
      <c r="X498" s="21"/>
      <c r="Y498" s="21"/>
      <c r="Z498" s="21"/>
      <c r="AA498" s="28"/>
      <c r="AB498" s="29"/>
      <c r="AC498" s="21"/>
      <c r="AD498" s="25"/>
      <c r="AE498" s="25"/>
      <c r="AF498" s="25"/>
    </row>
    <row r="499" ht="12.75" customHeight="1">
      <c r="B499" s="21"/>
      <c r="C499" s="21"/>
      <c r="E499" s="21"/>
      <c r="F499" s="21"/>
      <c r="J499" s="21"/>
      <c r="K499" s="21"/>
      <c r="L499" s="21"/>
      <c r="M499" s="21"/>
      <c r="O499" s="24"/>
      <c r="P499" s="24"/>
      <c r="U499" s="27"/>
      <c r="X499" s="21"/>
      <c r="Y499" s="21"/>
      <c r="Z499" s="21"/>
      <c r="AA499" s="28"/>
      <c r="AB499" s="29"/>
      <c r="AC499" s="21"/>
      <c r="AD499" s="25"/>
      <c r="AE499" s="25"/>
      <c r="AF499" s="25"/>
    </row>
    <row r="500" ht="12.75" customHeight="1">
      <c r="B500" s="21"/>
      <c r="C500" s="21"/>
      <c r="E500" s="21"/>
      <c r="F500" s="21"/>
      <c r="J500" s="21"/>
      <c r="K500" s="21"/>
      <c r="L500" s="21"/>
      <c r="M500" s="21"/>
      <c r="O500" s="24"/>
      <c r="P500" s="24"/>
      <c r="U500" s="27"/>
      <c r="X500" s="21"/>
      <c r="Y500" s="21"/>
      <c r="Z500" s="21"/>
      <c r="AA500" s="28"/>
      <c r="AB500" s="29"/>
      <c r="AC500" s="21"/>
      <c r="AD500" s="25"/>
      <c r="AE500" s="25"/>
      <c r="AF500" s="25"/>
    </row>
    <row r="501" ht="12.75" customHeight="1">
      <c r="B501" s="21"/>
      <c r="C501" s="21"/>
      <c r="E501" s="21"/>
      <c r="F501" s="21"/>
      <c r="J501" s="21"/>
      <c r="K501" s="21"/>
      <c r="L501" s="21"/>
      <c r="M501" s="21"/>
      <c r="O501" s="24"/>
      <c r="P501" s="24"/>
      <c r="U501" s="27"/>
      <c r="X501" s="21"/>
      <c r="Y501" s="21"/>
      <c r="Z501" s="21"/>
      <c r="AA501" s="28"/>
      <c r="AB501" s="29"/>
      <c r="AC501" s="21"/>
      <c r="AD501" s="25"/>
      <c r="AE501" s="25"/>
      <c r="AF501" s="25"/>
    </row>
    <row r="502" ht="12.75" customHeight="1">
      <c r="B502" s="21"/>
      <c r="C502" s="21"/>
      <c r="E502" s="21"/>
      <c r="F502" s="21"/>
      <c r="J502" s="21"/>
      <c r="K502" s="21"/>
      <c r="L502" s="21"/>
      <c r="M502" s="21"/>
      <c r="O502" s="24"/>
      <c r="P502" s="24"/>
      <c r="U502" s="27"/>
      <c r="X502" s="21"/>
      <c r="Y502" s="21"/>
      <c r="Z502" s="21"/>
      <c r="AA502" s="28"/>
      <c r="AB502" s="29"/>
      <c r="AC502" s="21"/>
      <c r="AD502" s="25"/>
      <c r="AE502" s="25"/>
      <c r="AF502" s="25"/>
    </row>
    <row r="503" ht="12.75" customHeight="1">
      <c r="B503" s="21"/>
      <c r="C503" s="21"/>
      <c r="E503" s="21"/>
      <c r="F503" s="21"/>
      <c r="J503" s="21"/>
      <c r="K503" s="21"/>
      <c r="L503" s="21"/>
      <c r="M503" s="21"/>
      <c r="O503" s="24"/>
      <c r="P503" s="24"/>
      <c r="U503" s="27"/>
      <c r="X503" s="21"/>
      <c r="Y503" s="21"/>
      <c r="Z503" s="21"/>
      <c r="AA503" s="28"/>
      <c r="AB503" s="29"/>
      <c r="AC503" s="21"/>
      <c r="AD503" s="25"/>
      <c r="AE503" s="25"/>
      <c r="AF503" s="25"/>
    </row>
    <row r="504" ht="12.75" customHeight="1">
      <c r="B504" s="21"/>
      <c r="C504" s="21"/>
      <c r="E504" s="21"/>
      <c r="F504" s="21"/>
      <c r="J504" s="21"/>
      <c r="K504" s="21"/>
      <c r="L504" s="21"/>
      <c r="M504" s="21"/>
      <c r="O504" s="24"/>
      <c r="P504" s="24"/>
      <c r="U504" s="27"/>
      <c r="X504" s="21"/>
      <c r="Y504" s="21"/>
      <c r="Z504" s="21"/>
      <c r="AA504" s="28"/>
      <c r="AB504" s="29"/>
      <c r="AC504" s="21"/>
      <c r="AD504" s="25"/>
      <c r="AE504" s="25"/>
      <c r="AF504" s="25"/>
    </row>
    <row r="505" ht="12.75" customHeight="1">
      <c r="B505" s="21"/>
      <c r="C505" s="21"/>
      <c r="E505" s="21"/>
      <c r="F505" s="21"/>
      <c r="J505" s="21"/>
      <c r="K505" s="21"/>
      <c r="L505" s="21"/>
      <c r="M505" s="21"/>
      <c r="O505" s="24"/>
      <c r="P505" s="24"/>
      <c r="U505" s="27"/>
      <c r="X505" s="21"/>
      <c r="Y505" s="21"/>
      <c r="Z505" s="21"/>
      <c r="AA505" s="28"/>
      <c r="AB505" s="29"/>
      <c r="AC505" s="21"/>
      <c r="AD505" s="25"/>
      <c r="AE505" s="25"/>
      <c r="AF505" s="25"/>
    </row>
    <row r="506" ht="12.75" customHeight="1">
      <c r="B506" s="21"/>
      <c r="C506" s="21"/>
      <c r="E506" s="21"/>
      <c r="F506" s="21"/>
      <c r="J506" s="21"/>
      <c r="K506" s="21"/>
      <c r="L506" s="21"/>
      <c r="M506" s="21"/>
      <c r="O506" s="24"/>
      <c r="P506" s="24"/>
      <c r="U506" s="27"/>
      <c r="X506" s="21"/>
      <c r="Y506" s="21"/>
      <c r="Z506" s="21"/>
      <c r="AA506" s="28"/>
      <c r="AB506" s="29"/>
      <c r="AC506" s="21"/>
      <c r="AD506" s="25"/>
      <c r="AE506" s="25"/>
      <c r="AF506" s="25"/>
    </row>
    <row r="507" ht="12.75" customHeight="1">
      <c r="B507" s="21"/>
      <c r="C507" s="21"/>
      <c r="E507" s="21"/>
      <c r="F507" s="21"/>
      <c r="J507" s="21"/>
      <c r="K507" s="21"/>
      <c r="L507" s="21"/>
      <c r="M507" s="21"/>
      <c r="O507" s="24"/>
      <c r="P507" s="24"/>
      <c r="U507" s="27"/>
      <c r="X507" s="21"/>
      <c r="Y507" s="21"/>
      <c r="Z507" s="21"/>
      <c r="AA507" s="28"/>
      <c r="AB507" s="29"/>
      <c r="AC507" s="21"/>
      <c r="AD507" s="25"/>
      <c r="AE507" s="25"/>
      <c r="AF507" s="25"/>
    </row>
    <row r="508" ht="12.75" customHeight="1">
      <c r="B508" s="21"/>
      <c r="C508" s="21"/>
      <c r="E508" s="21"/>
      <c r="F508" s="21"/>
      <c r="J508" s="21"/>
      <c r="K508" s="21"/>
      <c r="L508" s="21"/>
      <c r="M508" s="21"/>
      <c r="O508" s="24"/>
      <c r="P508" s="24"/>
      <c r="U508" s="27"/>
      <c r="X508" s="21"/>
      <c r="Y508" s="21"/>
      <c r="Z508" s="21"/>
      <c r="AA508" s="28"/>
      <c r="AB508" s="29"/>
      <c r="AC508" s="21"/>
      <c r="AD508" s="25"/>
      <c r="AE508" s="25"/>
      <c r="AF508" s="25"/>
    </row>
    <row r="509" ht="12.75" customHeight="1">
      <c r="B509" s="21"/>
      <c r="C509" s="21"/>
      <c r="E509" s="21"/>
      <c r="F509" s="21"/>
      <c r="J509" s="21"/>
      <c r="K509" s="21"/>
      <c r="L509" s="21"/>
      <c r="M509" s="21"/>
      <c r="O509" s="24"/>
      <c r="P509" s="24"/>
      <c r="U509" s="27"/>
      <c r="X509" s="21"/>
      <c r="Y509" s="21"/>
      <c r="Z509" s="21"/>
      <c r="AA509" s="28"/>
      <c r="AB509" s="29"/>
      <c r="AC509" s="21"/>
      <c r="AD509" s="25"/>
      <c r="AE509" s="25"/>
      <c r="AF509" s="25"/>
    </row>
    <row r="510" ht="12.75" customHeight="1">
      <c r="B510" s="21"/>
      <c r="C510" s="21"/>
      <c r="E510" s="21"/>
      <c r="F510" s="21"/>
      <c r="J510" s="21"/>
      <c r="K510" s="21"/>
      <c r="L510" s="21"/>
      <c r="M510" s="21"/>
      <c r="O510" s="24"/>
      <c r="P510" s="24"/>
      <c r="U510" s="27"/>
      <c r="X510" s="21"/>
      <c r="Y510" s="21"/>
      <c r="Z510" s="21"/>
      <c r="AA510" s="28"/>
      <c r="AB510" s="29"/>
      <c r="AC510" s="21"/>
      <c r="AD510" s="25"/>
      <c r="AE510" s="25"/>
      <c r="AF510" s="25"/>
    </row>
    <row r="511" ht="12.75" customHeight="1">
      <c r="B511" s="21"/>
      <c r="C511" s="21"/>
      <c r="E511" s="21"/>
      <c r="F511" s="21"/>
      <c r="J511" s="21"/>
      <c r="K511" s="21"/>
      <c r="L511" s="21"/>
      <c r="M511" s="21"/>
      <c r="O511" s="24"/>
      <c r="P511" s="24"/>
      <c r="U511" s="27"/>
      <c r="X511" s="21"/>
      <c r="Y511" s="21"/>
      <c r="Z511" s="21"/>
      <c r="AA511" s="28"/>
      <c r="AB511" s="29"/>
      <c r="AC511" s="21"/>
      <c r="AD511" s="25"/>
      <c r="AE511" s="25"/>
      <c r="AF511" s="25"/>
    </row>
    <row r="512" ht="12.75" customHeight="1">
      <c r="B512" s="21"/>
      <c r="C512" s="21"/>
      <c r="E512" s="21"/>
      <c r="F512" s="21"/>
      <c r="J512" s="21"/>
      <c r="K512" s="21"/>
      <c r="L512" s="21"/>
      <c r="M512" s="21"/>
      <c r="O512" s="24"/>
      <c r="P512" s="24"/>
      <c r="U512" s="27"/>
      <c r="X512" s="21"/>
      <c r="Y512" s="21"/>
      <c r="Z512" s="21"/>
      <c r="AA512" s="28"/>
      <c r="AB512" s="29"/>
      <c r="AC512" s="21"/>
      <c r="AD512" s="25"/>
      <c r="AE512" s="25"/>
      <c r="AF512" s="25"/>
    </row>
    <row r="513" ht="12.75" customHeight="1">
      <c r="B513" s="21"/>
      <c r="C513" s="21"/>
      <c r="E513" s="21"/>
      <c r="F513" s="21"/>
      <c r="J513" s="21"/>
      <c r="K513" s="21"/>
      <c r="L513" s="21"/>
      <c r="M513" s="21"/>
      <c r="O513" s="24"/>
      <c r="P513" s="24"/>
      <c r="U513" s="27"/>
      <c r="X513" s="21"/>
      <c r="Y513" s="21"/>
      <c r="Z513" s="21"/>
      <c r="AA513" s="28"/>
      <c r="AB513" s="29"/>
      <c r="AC513" s="21"/>
      <c r="AD513" s="25"/>
      <c r="AE513" s="25"/>
      <c r="AF513" s="25"/>
    </row>
    <row r="514" ht="12.75" customHeight="1">
      <c r="B514" s="21"/>
      <c r="C514" s="21"/>
      <c r="E514" s="21"/>
      <c r="F514" s="21"/>
      <c r="J514" s="21"/>
      <c r="K514" s="21"/>
      <c r="L514" s="21"/>
      <c r="M514" s="21"/>
      <c r="O514" s="24"/>
      <c r="P514" s="24"/>
      <c r="U514" s="27"/>
      <c r="X514" s="21"/>
      <c r="Y514" s="21"/>
      <c r="Z514" s="21"/>
      <c r="AA514" s="28"/>
      <c r="AB514" s="29"/>
      <c r="AC514" s="21"/>
      <c r="AD514" s="25"/>
      <c r="AE514" s="25"/>
      <c r="AF514" s="25"/>
    </row>
    <row r="515" ht="12.75" customHeight="1">
      <c r="B515" s="21"/>
      <c r="C515" s="21"/>
      <c r="E515" s="21"/>
      <c r="F515" s="21"/>
      <c r="J515" s="21"/>
      <c r="K515" s="21"/>
      <c r="L515" s="21"/>
      <c r="M515" s="21"/>
      <c r="O515" s="24"/>
      <c r="P515" s="24"/>
      <c r="U515" s="27"/>
      <c r="X515" s="21"/>
      <c r="Y515" s="21"/>
      <c r="Z515" s="21"/>
      <c r="AA515" s="28"/>
      <c r="AB515" s="29"/>
      <c r="AC515" s="21"/>
      <c r="AD515" s="25"/>
      <c r="AE515" s="25"/>
      <c r="AF515" s="25"/>
    </row>
    <row r="516" ht="12.75" customHeight="1">
      <c r="B516" s="21"/>
      <c r="C516" s="21"/>
      <c r="E516" s="21"/>
      <c r="F516" s="21"/>
      <c r="J516" s="21"/>
      <c r="K516" s="21"/>
      <c r="L516" s="21"/>
      <c r="M516" s="21"/>
      <c r="O516" s="24"/>
      <c r="P516" s="24"/>
      <c r="U516" s="27"/>
      <c r="X516" s="21"/>
      <c r="Y516" s="21"/>
      <c r="Z516" s="21"/>
      <c r="AA516" s="28"/>
      <c r="AB516" s="29"/>
      <c r="AC516" s="21"/>
      <c r="AD516" s="25"/>
      <c r="AE516" s="25"/>
      <c r="AF516" s="25"/>
    </row>
    <row r="517" ht="12.75" customHeight="1">
      <c r="B517" s="21"/>
      <c r="C517" s="21"/>
      <c r="E517" s="21"/>
      <c r="F517" s="21"/>
      <c r="J517" s="21"/>
      <c r="K517" s="21"/>
      <c r="L517" s="21"/>
      <c r="M517" s="21"/>
      <c r="O517" s="24"/>
      <c r="P517" s="24"/>
      <c r="U517" s="27"/>
      <c r="X517" s="21"/>
      <c r="Y517" s="21"/>
      <c r="Z517" s="21"/>
      <c r="AA517" s="28"/>
      <c r="AB517" s="29"/>
      <c r="AC517" s="21"/>
      <c r="AD517" s="25"/>
      <c r="AE517" s="25"/>
      <c r="AF517" s="25"/>
    </row>
    <row r="518" ht="12.75" customHeight="1">
      <c r="B518" s="21"/>
      <c r="C518" s="21"/>
      <c r="E518" s="21"/>
      <c r="F518" s="21"/>
      <c r="J518" s="21"/>
      <c r="K518" s="21"/>
      <c r="L518" s="21"/>
      <c r="M518" s="21"/>
      <c r="O518" s="24"/>
      <c r="P518" s="24"/>
      <c r="U518" s="27"/>
      <c r="X518" s="21"/>
      <c r="Y518" s="21"/>
      <c r="Z518" s="21"/>
      <c r="AA518" s="28"/>
      <c r="AB518" s="29"/>
      <c r="AC518" s="21"/>
      <c r="AD518" s="25"/>
      <c r="AE518" s="25"/>
      <c r="AF518" s="25"/>
    </row>
    <row r="519" ht="12.75" customHeight="1">
      <c r="B519" s="21"/>
      <c r="C519" s="21"/>
      <c r="E519" s="21"/>
      <c r="F519" s="21"/>
      <c r="J519" s="21"/>
      <c r="K519" s="21"/>
      <c r="L519" s="21"/>
      <c r="M519" s="21"/>
      <c r="O519" s="24"/>
      <c r="P519" s="24"/>
      <c r="U519" s="27"/>
      <c r="X519" s="21"/>
      <c r="Y519" s="21"/>
      <c r="Z519" s="21"/>
      <c r="AA519" s="28"/>
      <c r="AB519" s="29"/>
      <c r="AC519" s="21"/>
      <c r="AD519" s="25"/>
      <c r="AE519" s="25"/>
      <c r="AF519" s="25"/>
    </row>
    <row r="520" ht="12.75" customHeight="1">
      <c r="B520" s="21"/>
      <c r="C520" s="21"/>
      <c r="E520" s="21"/>
      <c r="F520" s="21"/>
      <c r="J520" s="21"/>
      <c r="K520" s="21"/>
      <c r="L520" s="21"/>
      <c r="M520" s="21"/>
      <c r="O520" s="24"/>
      <c r="P520" s="24"/>
      <c r="U520" s="27"/>
      <c r="X520" s="21"/>
      <c r="Y520" s="21"/>
      <c r="Z520" s="21"/>
      <c r="AA520" s="28"/>
      <c r="AB520" s="29"/>
      <c r="AC520" s="21"/>
      <c r="AD520" s="25"/>
      <c r="AE520" s="25"/>
      <c r="AF520" s="25"/>
    </row>
    <row r="521" ht="12.75" customHeight="1">
      <c r="B521" s="21"/>
      <c r="C521" s="21"/>
      <c r="E521" s="21"/>
      <c r="F521" s="21"/>
      <c r="J521" s="21"/>
      <c r="K521" s="21"/>
      <c r="L521" s="21"/>
      <c r="M521" s="21"/>
      <c r="O521" s="24"/>
      <c r="P521" s="24"/>
      <c r="U521" s="27"/>
      <c r="X521" s="21"/>
      <c r="Y521" s="21"/>
      <c r="Z521" s="21"/>
      <c r="AA521" s="28"/>
      <c r="AB521" s="29"/>
      <c r="AC521" s="21"/>
      <c r="AD521" s="25"/>
      <c r="AE521" s="25"/>
      <c r="AF521" s="25"/>
    </row>
    <row r="522" ht="12.75" customHeight="1">
      <c r="B522" s="21"/>
      <c r="C522" s="21"/>
      <c r="E522" s="21"/>
      <c r="F522" s="21"/>
      <c r="J522" s="21"/>
      <c r="K522" s="21"/>
      <c r="L522" s="21"/>
      <c r="M522" s="21"/>
      <c r="O522" s="24"/>
      <c r="P522" s="24"/>
      <c r="U522" s="27"/>
      <c r="X522" s="21"/>
      <c r="Y522" s="21"/>
      <c r="Z522" s="21"/>
      <c r="AA522" s="28"/>
      <c r="AB522" s="29"/>
      <c r="AC522" s="21"/>
      <c r="AD522" s="25"/>
      <c r="AE522" s="25"/>
      <c r="AF522" s="25"/>
    </row>
    <row r="523" ht="12.75" customHeight="1">
      <c r="B523" s="21"/>
      <c r="C523" s="21"/>
      <c r="E523" s="21"/>
      <c r="F523" s="21"/>
      <c r="J523" s="21"/>
      <c r="K523" s="21"/>
      <c r="L523" s="21"/>
      <c r="M523" s="21"/>
      <c r="O523" s="24"/>
      <c r="P523" s="24"/>
      <c r="U523" s="27"/>
      <c r="X523" s="21"/>
      <c r="Y523" s="21"/>
      <c r="Z523" s="21"/>
      <c r="AA523" s="28"/>
      <c r="AB523" s="29"/>
      <c r="AC523" s="21"/>
      <c r="AD523" s="25"/>
      <c r="AE523" s="25"/>
      <c r="AF523" s="25"/>
    </row>
    <row r="524" ht="12.75" customHeight="1">
      <c r="B524" s="21"/>
      <c r="C524" s="21"/>
      <c r="E524" s="21"/>
      <c r="F524" s="21"/>
      <c r="J524" s="21"/>
      <c r="K524" s="21"/>
      <c r="L524" s="21"/>
      <c r="M524" s="21"/>
      <c r="O524" s="24"/>
      <c r="P524" s="24"/>
      <c r="U524" s="27"/>
      <c r="X524" s="21"/>
      <c r="Y524" s="21"/>
      <c r="Z524" s="21"/>
      <c r="AA524" s="28"/>
      <c r="AB524" s="29"/>
      <c r="AC524" s="21"/>
      <c r="AD524" s="25"/>
      <c r="AE524" s="25"/>
      <c r="AF524" s="25"/>
    </row>
    <row r="525" ht="12.75" customHeight="1">
      <c r="B525" s="21"/>
      <c r="C525" s="21"/>
      <c r="E525" s="21"/>
      <c r="F525" s="21"/>
      <c r="J525" s="21"/>
      <c r="K525" s="21"/>
      <c r="L525" s="21"/>
      <c r="M525" s="21"/>
      <c r="O525" s="24"/>
      <c r="P525" s="24"/>
      <c r="U525" s="27"/>
      <c r="X525" s="21"/>
      <c r="Y525" s="21"/>
      <c r="Z525" s="21"/>
      <c r="AA525" s="28"/>
      <c r="AB525" s="29"/>
      <c r="AC525" s="21"/>
      <c r="AD525" s="25"/>
      <c r="AE525" s="25"/>
      <c r="AF525" s="25"/>
    </row>
    <row r="526" ht="12.75" customHeight="1">
      <c r="B526" s="21"/>
      <c r="C526" s="21"/>
      <c r="E526" s="21"/>
      <c r="F526" s="21"/>
      <c r="J526" s="21"/>
      <c r="K526" s="21"/>
      <c r="L526" s="21"/>
      <c r="M526" s="21"/>
      <c r="O526" s="24"/>
      <c r="P526" s="24"/>
      <c r="U526" s="27"/>
      <c r="X526" s="21"/>
      <c r="Y526" s="21"/>
      <c r="Z526" s="21"/>
      <c r="AA526" s="28"/>
      <c r="AB526" s="29"/>
      <c r="AC526" s="21"/>
      <c r="AD526" s="25"/>
      <c r="AE526" s="25"/>
      <c r="AF526" s="25"/>
    </row>
    <row r="527" ht="12.75" customHeight="1">
      <c r="B527" s="21"/>
      <c r="C527" s="21"/>
      <c r="E527" s="21"/>
      <c r="F527" s="21"/>
      <c r="J527" s="21"/>
      <c r="K527" s="21"/>
      <c r="L527" s="21"/>
      <c r="M527" s="21"/>
      <c r="O527" s="24"/>
      <c r="P527" s="24"/>
      <c r="U527" s="27"/>
      <c r="X527" s="21"/>
      <c r="Y527" s="21"/>
      <c r="Z527" s="21"/>
      <c r="AA527" s="28"/>
      <c r="AB527" s="29"/>
      <c r="AC527" s="21"/>
      <c r="AD527" s="25"/>
      <c r="AE527" s="25"/>
      <c r="AF527" s="25"/>
    </row>
    <row r="528" ht="12.75" customHeight="1">
      <c r="B528" s="21"/>
      <c r="C528" s="21"/>
      <c r="E528" s="21"/>
      <c r="F528" s="21"/>
      <c r="J528" s="21"/>
      <c r="K528" s="21"/>
      <c r="L528" s="21"/>
      <c r="M528" s="21"/>
      <c r="O528" s="24"/>
      <c r="P528" s="24"/>
      <c r="U528" s="27"/>
      <c r="X528" s="21"/>
      <c r="Y528" s="21"/>
      <c r="Z528" s="21"/>
      <c r="AA528" s="28"/>
      <c r="AB528" s="29"/>
      <c r="AC528" s="21"/>
      <c r="AD528" s="25"/>
      <c r="AE528" s="25"/>
      <c r="AF528" s="25"/>
    </row>
    <row r="529" ht="12.75" customHeight="1">
      <c r="B529" s="21"/>
      <c r="C529" s="21"/>
      <c r="E529" s="21"/>
      <c r="F529" s="21"/>
      <c r="J529" s="21"/>
      <c r="K529" s="21"/>
      <c r="L529" s="21"/>
      <c r="M529" s="21"/>
      <c r="O529" s="24"/>
      <c r="P529" s="24"/>
      <c r="U529" s="27"/>
      <c r="X529" s="21"/>
      <c r="Y529" s="21"/>
      <c r="Z529" s="21"/>
      <c r="AA529" s="28"/>
      <c r="AB529" s="29"/>
      <c r="AC529" s="21"/>
      <c r="AD529" s="25"/>
      <c r="AE529" s="25"/>
      <c r="AF529" s="25"/>
    </row>
    <row r="530" ht="12.75" customHeight="1">
      <c r="B530" s="21"/>
      <c r="C530" s="21"/>
      <c r="E530" s="21"/>
      <c r="F530" s="21"/>
      <c r="J530" s="21"/>
      <c r="K530" s="21"/>
      <c r="L530" s="21"/>
      <c r="M530" s="21"/>
      <c r="O530" s="24"/>
      <c r="P530" s="24"/>
      <c r="U530" s="27"/>
      <c r="X530" s="21"/>
      <c r="Y530" s="21"/>
      <c r="Z530" s="21"/>
      <c r="AA530" s="28"/>
      <c r="AB530" s="29"/>
      <c r="AC530" s="21"/>
      <c r="AD530" s="25"/>
      <c r="AE530" s="25"/>
      <c r="AF530" s="25"/>
    </row>
    <row r="531" ht="12.75" customHeight="1">
      <c r="B531" s="21"/>
      <c r="C531" s="21"/>
      <c r="E531" s="21"/>
      <c r="F531" s="21"/>
      <c r="J531" s="21"/>
      <c r="K531" s="21"/>
      <c r="L531" s="21"/>
      <c r="M531" s="21"/>
      <c r="O531" s="24"/>
      <c r="P531" s="24"/>
      <c r="U531" s="27"/>
      <c r="X531" s="21"/>
      <c r="Y531" s="21"/>
      <c r="Z531" s="21"/>
      <c r="AA531" s="28"/>
      <c r="AB531" s="29"/>
      <c r="AC531" s="21"/>
      <c r="AD531" s="25"/>
      <c r="AE531" s="25"/>
      <c r="AF531" s="25"/>
    </row>
    <row r="532" ht="12.75" customHeight="1">
      <c r="B532" s="21"/>
      <c r="C532" s="21"/>
      <c r="E532" s="21"/>
      <c r="F532" s="21"/>
      <c r="J532" s="21"/>
      <c r="K532" s="21"/>
      <c r="L532" s="21"/>
      <c r="M532" s="21"/>
      <c r="O532" s="24"/>
      <c r="P532" s="24"/>
      <c r="U532" s="27"/>
      <c r="X532" s="21"/>
      <c r="Y532" s="21"/>
      <c r="Z532" s="21"/>
      <c r="AA532" s="28"/>
      <c r="AB532" s="29"/>
      <c r="AC532" s="21"/>
      <c r="AD532" s="25"/>
      <c r="AE532" s="25"/>
      <c r="AF532" s="25"/>
    </row>
    <row r="533" ht="12.75" customHeight="1">
      <c r="B533" s="21"/>
      <c r="C533" s="21"/>
      <c r="E533" s="21"/>
      <c r="F533" s="21"/>
      <c r="J533" s="21"/>
      <c r="K533" s="21"/>
      <c r="L533" s="21"/>
      <c r="M533" s="21"/>
      <c r="O533" s="24"/>
      <c r="P533" s="24"/>
      <c r="U533" s="27"/>
      <c r="X533" s="21"/>
      <c r="Y533" s="21"/>
      <c r="Z533" s="21"/>
      <c r="AA533" s="28"/>
      <c r="AB533" s="29"/>
      <c r="AC533" s="21"/>
      <c r="AD533" s="25"/>
      <c r="AE533" s="25"/>
      <c r="AF533" s="25"/>
    </row>
    <row r="534" ht="12.75" customHeight="1">
      <c r="B534" s="21"/>
      <c r="C534" s="21"/>
      <c r="E534" s="21"/>
      <c r="F534" s="21"/>
      <c r="J534" s="21"/>
      <c r="K534" s="21"/>
      <c r="L534" s="21"/>
      <c r="M534" s="21"/>
      <c r="O534" s="24"/>
      <c r="P534" s="24"/>
      <c r="U534" s="27"/>
      <c r="X534" s="21"/>
      <c r="Y534" s="21"/>
      <c r="Z534" s="21"/>
      <c r="AA534" s="28"/>
      <c r="AB534" s="29"/>
      <c r="AC534" s="21"/>
      <c r="AD534" s="25"/>
      <c r="AE534" s="25"/>
      <c r="AF534" s="25"/>
    </row>
    <row r="535" ht="12.75" customHeight="1">
      <c r="B535" s="21"/>
      <c r="C535" s="21"/>
      <c r="E535" s="21"/>
      <c r="F535" s="21"/>
      <c r="J535" s="21"/>
      <c r="K535" s="21"/>
      <c r="L535" s="21"/>
      <c r="M535" s="21"/>
      <c r="O535" s="24"/>
      <c r="P535" s="24"/>
      <c r="U535" s="27"/>
      <c r="X535" s="21"/>
      <c r="Y535" s="21"/>
      <c r="Z535" s="21"/>
      <c r="AA535" s="28"/>
      <c r="AB535" s="29"/>
      <c r="AC535" s="21"/>
      <c r="AD535" s="25"/>
      <c r="AE535" s="25"/>
      <c r="AF535" s="25"/>
    </row>
    <row r="536" ht="12.75" customHeight="1">
      <c r="B536" s="21"/>
      <c r="C536" s="21"/>
      <c r="E536" s="21"/>
      <c r="F536" s="21"/>
      <c r="J536" s="21"/>
      <c r="K536" s="21"/>
      <c r="L536" s="21"/>
      <c r="M536" s="21"/>
      <c r="O536" s="24"/>
      <c r="P536" s="24"/>
      <c r="U536" s="27"/>
      <c r="X536" s="21"/>
      <c r="Y536" s="21"/>
      <c r="Z536" s="21"/>
      <c r="AA536" s="28"/>
      <c r="AB536" s="29"/>
      <c r="AC536" s="21"/>
      <c r="AD536" s="25"/>
      <c r="AE536" s="25"/>
      <c r="AF536" s="25"/>
    </row>
    <row r="537" ht="12.75" customHeight="1">
      <c r="B537" s="21"/>
      <c r="C537" s="21"/>
      <c r="E537" s="21"/>
      <c r="F537" s="21"/>
      <c r="J537" s="21"/>
      <c r="K537" s="21"/>
      <c r="L537" s="21"/>
      <c r="M537" s="21"/>
      <c r="O537" s="24"/>
      <c r="P537" s="24"/>
      <c r="U537" s="27"/>
      <c r="X537" s="21"/>
      <c r="Y537" s="21"/>
      <c r="Z537" s="21"/>
      <c r="AA537" s="28"/>
      <c r="AB537" s="29"/>
      <c r="AC537" s="21"/>
      <c r="AD537" s="25"/>
      <c r="AE537" s="25"/>
      <c r="AF537" s="25"/>
    </row>
    <row r="538" ht="12.75" customHeight="1">
      <c r="B538" s="21"/>
      <c r="C538" s="21"/>
      <c r="E538" s="21"/>
      <c r="F538" s="21"/>
      <c r="J538" s="21"/>
      <c r="K538" s="21"/>
      <c r="L538" s="21"/>
      <c r="M538" s="21"/>
      <c r="O538" s="24"/>
      <c r="P538" s="24"/>
      <c r="U538" s="27"/>
      <c r="X538" s="21"/>
      <c r="Y538" s="21"/>
      <c r="Z538" s="21"/>
      <c r="AA538" s="28"/>
      <c r="AB538" s="29"/>
      <c r="AC538" s="21"/>
      <c r="AD538" s="25"/>
      <c r="AE538" s="25"/>
      <c r="AF538" s="25"/>
    </row>
    <row r="539" ht="12.75" customHeight="1">
      <c r="B539" s="21"/>
      <c r="C539" s="21"/>
      <c r="E539" s="21"/>
      <c r="F539" s="21"/>
      <c r="J539" s="21"/>
      <c r="K539" s="21"/>
      <c r="L539" s="21"/>
      <c r="M539" s="21"/>
      <c r="O539" s="24"/>
      <c r="P539" s="24"/>
      <c r="U539" s="27"/>
      <c r="X539" s="21"/>
      <c r="Y539" s="21"/>
      <c r="Z539" s="21"/>
      <c r="AA539" s="28"/>
      <c r="AB539" s="29"/>
      <c r="AC539" s="21"/>
      <c r="AD539" s="25"/>
      <c r="AE539" s="25"/>
      <c r="AF539" s="25"/>
    </row>
    <row r="540" ht="12.75" customHeight="1">
      <c r="B540" s="21"/>
      <c r="C540" s="21"/>
      <c r="E540" s="21"/>
      <c r="F540" s="21"/>
      <c r="J540" s="21"/>
      <c r="K540" s="21"/>
      <c r="L540" s="21"/>
      <c r="M540" s="21"/>
      <c r="O540" s="24"/>
      <c r="P540" s="24"/>
      <c r="U540" s="27"/>
      <c r="X540" s="21"/>
      <c r="Y540" s="21"/>
      <c r="Z540" s="21"/>
      <c r="AA540" s="28"/>
      <c r="AB540" s="29"/>
      <c r="AC540" s="21"/>
      <c r="AD540" s="25"/>
      <c r="AE540" s="25"/>
      <c r="AF540" s="25"/>
    </row>
    <row r="541" ht="12.75" customHeight="1">
      <c r="B541" s="21"/>
      <c r="C541" s="21"/>
      <c r="E541" s="21"/>
      <c r="F541" s="21"/>
      <c r="J541" s="21"/>
      <c r="K541" s="21"/>
      <c r="L541" s="21"/>
      <c r="M541" s="21"/>
      <c r="O541" s="24"/>
      <c r="P541" s="24"/>
      <c r="U541" s="27"/>
      <c r="X541" s="21"/>
      <c r="Y541" s="21"/>
      <c r="Z541" s="21"/>
      <c r="AA541" s="28"/>
      <c r="AB541" s="29"/>
      <c r="AC541" s="21"/>
      <c r="AD541" s="25"/>
      <c r="AE541" s="25"/>
      <c r="AF541" s="25"/>
    </row>
    <row r="542" ht="12.75" customHeight="1">
      <c r="B542" s="21"/>
      <c r="C542" s="21"/>
      <c r="E542" s="21"/>
      <c r="F542" s="21"/>
      <c r="J542" s="21"/>
      <c r="K542" s="21"/>
      <c r="L542" s="21"/>
      <c r="M542" s="21"/>
      <c r="O542" s="24"/>
      <c r="P542" s="24"/>
      <c r="U542" s="27"/>
      <c r="X542" s="21"/>
      <c r="Y542" s="21"/>
      <c r="Z542" s="21"/>
      <c r="AA542" s="28"/>
      <c r="AB542" s="29"/>
      <c r="AC542" s="21"/>
      <c r="AD542" s="25"/>
      <c r="AE542" s="25"/>
      <c r="AF542" s="25"/>
    </row>
    <row r="543" ht="12.75" customHeight="1">
      <c r="B543" s="21"/>
      <c r="C543" s="21"/>
      <c r="E543" s="21"/>
      <c r="F543" s="21"/>
      <c r="J543" s="21"/>
      <c r="K543" s="21"/>
      <c r="L543" s="21"/>
      <c r="M543" s="21"/>
      <c r="O543" s="24"/>
      <c r="P543" s="24"/>
      <c r="U543" s="27"/>
      <c r="X543" s="21"/>
      <c r="Y543" s="21"/>
      <c r="Z543" s="21"/>
      <c r="AA543" s="28"/>
      <c r="AB543" s="29"/>
      <c r="AC543" s="21"/>
      <c r="AD543" s="25"/>
      <c r="AE543" s="25"/>
      <c r="AF543" s="25"/>
    </row>
    <row r="544" ht="12.75" customHeight="1">
      <c r="B544" s="21"/>
      <c r="C544" s="21"/>
      <c r="E544" s="21"/>
      <c r="F544" s="21"/>
      <c r="J544" s="21"/>
      <c r="K544" s="21"/>
      <c r="L544" s="21"/>
      <c r="M544" s="21"/>
      <c r="O544" s="24"/>
      <c r="P544" s="24"/>
      <c r="U544" s="27"/>
      <c r="X544" s="21"/>
      <c r="Y544" s="21"/>
      <c r="Z544" s="21"/>
      <c r="AA544" s="28"/>
      <c r="AB544" s="29"/>
      <c r="AC544" s="21"/>
      <c r="AD544" s="25"/>
      <c r="AE544" s="25"/>
      <c r="AF544" s="25"/>
    </row>
    <row r="545" ht="12.75" customHeight="1">
      <c r="B545" s="21"/>
      <c r="C545" s="21"/>
      <c r="E545" s="21"/>
      <c r="F545" s="21"/>
      <c r="J545" s="21"/>
      <c r="K545" s="21"/>
      <c r="L545" s="21"/>
      <c r="M545" s="21"/>
      <c r="O545" s="24"/>
      <c r="P545" s="24"/>
      <c r="U545" s="27"/>
      <c r="X545" s="21"/>
      <c r="Y545" s="21"/>
      <c r="Z545" s="21"/>
      <c r="AA545" s="28"/>
      <c r="AB545" s="29"/>
      <c r="AC545" s="21"/>
      <c r="AD545" s="25"/>
      <c r="AE545" s="25"/>
      <c r="AF545" s="25"/>
    </row>
    <row r="546" ht="12.75" customHeight="1">
      <c r="B546" s="21"/>
      <c r="C546" s="21"/>
      <c r="E546" s="21"/>
      <c r="F546" s="21"/>
      <c r="J546" s="21"/>
      <c r="K546" s="21"/>
      <c r="L546" s="21"/>
      <c r="M546" s="21"/>
      <c r="O546" s="24"/>
      <c r="P546" s="24"/>
      <c r="U546" s="27"/>
      <c r="X546" s="21"/>
      <c r="Y546" s="21"/>
      <c r="Z546" s="21"/>
      <c r="AA546" s="28"/>
      <c r="AB546" s="29"/>
      <c r="AC546" s="21"/>
      <c r="AD546" s="25"/>
      <c r="AE546" s="25"/>
      <c r="AF546" s="25"/>
    </row>
    <row r="547" ht="12.75" customHeight="1">
      <c r="B547" s="21"/>
      <c r="C547" s="21"/>
      <c r="E547" s="21"/>
      <c r="F547" s="21"/>
      <c r="J547" s="21"/>
      <c r="K547" s="21"/>
      <c r="L547" s="21"/>
      <c r="M547" s="21"/>
      <c r="O547" s="24"/>
      <c r="P547" s="24"/>
      <c r="U547" s="27"/>
      <c r="X547" s="21"/>
      <c r="Y547" s="21"/>
      <c r="Z547" s="21"/>
      <c r="AA547" s="28"/>
      <c r="AB547" s="29"/>
      <c r="AC547" s="21"/>
      <c r="AD547" s="25"/>
      <c r="AE547" s="25"/>
      <c r="AF547" s="25"/>
    </row>
    <row r="548" ht="12.75" customHeight="1">
      <c r="B548" s="21"/>
      <c r="C548" s="21"/>
      <c r="E548" s="21"/>
      <c r="F548" s="21"/>
      <c r="J548" s="21"/>
      <c r="K548" s="21"/>
      <c r="L548" s="21"/>
      <c r="M548" s="21"/>
      <c r="O548" s="24"/>
      <c r="P548" s="24"/>
      <c r="U548" s="27"/>
      <c r="X548" s="21"/>
      <c r="Y548" s="21"/>
      <c r="Z548" s="21"/>
      <c r="AA548" s="28"/>
      <c r="AB548" s="29"/>
      <c r="AC548" s="21"/>
      <c r="AD548" s="25"/>
      <c r="AE548" s="25"/>
      <c r="AF548" s="25"/>
    </row>
    <row r="549" ht="12.75" customHeight="1">
      <c r="B549" s="21"/>
      <c r="C549" s="21"/>
      <c r="E549" s="21"/>
      <c r="F549" s="21"/>
      <c r="J549" s="21"/>
      <c r="K549" s="21"/>
      <c r="L549" s="21"/>
      <c r="M549" s="21"/>
      <c r="O549" s="24"/>
      <c r="P549" s="24"/>
      <c r="U549" s="27"/>
      <c r="X549" s="21"/>
      <c r="Y549" s="21"/>
      <c r="Z549" s="21"/>
      <c r="AA549" s="28"/>
      <c r="AB549" s="29"/>
      <c r="AC549" s="21"/>
      <c r="AD549" s="25"/>
      <c r="AE549" s="25"/>
      <c r="AF549" s="25"/>
    </row>
    <row r="550" ht="12.75" customHeight="1">
      <c r="B550" s="21"/>
      <c r="C550" s="21"/>
      <c r="E550" s="21"/>
      <c r="F550" s="21"/>
      <c r="J550" s="21"/>
      <c r="K550" s="21"/>
      <c r="L550" s="21"/>
      <c r="M550" s="21"/>
      <c r="O550" s="24"/>
      <c r="P550" s="24"/>
      <c r="U550" s="27"/>
      <c r="X550" s="21"/>
      <c r="Y550" s="21"/>
      <c r="Z550" s="21"/>
      <c r="AA550" s="28"/>
      <c r="AB550" s="29"/>
      <c r="AC550" s="21"/>
      <c r="AD550" s="25"/>
      <c r="AE550" s="25"/>
      <c r="AF550" s="25"/>
    </row>
    <row r="551" ht="12.75" customHeight="1">
      <c r="B551" s="21"/>
      <c r="C551" s="21"/>
      <c r="E551" s="21"/>
      <c r="F551" s="21"/>
      <c r="J551" s="21"/>
      <c r="K551" s="21"/>
      <c r="L551" s="21"/>
      <c r="M551" s="21"/>
      <c r="O551" s="24"/>
      <c r="P551" s="24"/>
      <c r="U551" s="27"/>
      <c r="X551" s="21"/>
      <c r="Y551" s="21"/>
      <c r="Z551" s="21"/>
      <c r="AA551" s="28"/>
      <c r="AB551" s="29"/>
      <c r="AC551" s="21"/>
      <c r="AD551" s="25"/>
      <c r="AE551" s="25"/>
      <c r="AF551" s="25"/>
    </row>
    <row r="552" ht="12.75" customHeight="1">
      <c r="B552" s="21"/>
      <c r="C552" s="21"/>
      <c r="E552" s="21"/>
      <c r="F552" s="21"/>
      <c r="J552" s="21"/>
      <c r="K552" s="21"/>
      <c r="L552" s="21"/>
      <c r="M552" s="21"/>
      <c r="O552" s="24"/>
      <c r="P552" s="24"/>
      <c r="U552" s="27"/>
      <c r="X552" s="21"/>
      <c r="Y552" s="21"/>
      <c r="Z552" s="21"/>
      <c r="AA552" s="28"/>
      <c r="AB552" s="29"/>
      <c r="AC552" s="21"/>
      <c r="AD552" s="25"/>
      <c r="AE552" s="25"/>
      <c r="AF552" s="25"/>
    </row>
    <row r="553" ht="12.75" customHeight="1">
      <c r="B553" s="21"/>
      <c r="C553" s="21"/>
      <c r="E553" s="21"/>
      <c r="F553" s="21"/>
      <c r="J553" s="21"/>
      <c r="K553" s="21"/>
      <c r="L553" s="21"/>
      <c r="M553" s="21"/>
      <c r="O553" s="24"/>
      <c r="P553" s="24"/>
      <c r="U553" s="27"/>
      <c r="X553" s="21"/>
      <c r="Y553" s="21"/>
      <c r="Z553" s="21"/>
      <c r="AA553" s="28"/>
      <c r="AB553" s="29"/>
      <c r="AC553" s="21"/>
      <c r="AD553" s="25"/>
      <c r="AE553" s="25"/>
      <c r="AF553" s="25"/>
    </row>
    <row r="554" ht="12.75" customHeight="1">
      <c r="B554" s="21"/>
      <c r="C554" s="21"/>
      <c r="E554" s="21"/>
      <c r="F554" s="21"/>
      <c r="J554" s="21"/>
      <c r="K554" s="21"/>
      <c r="L554" s="21"/>
      <c r="M554" s="21"/>
      <c r="O554" s="24"/>
      <c r="P554" s="24"/>
      <c r="U554" s="27"/>
      <c r="X554" s="21"/>
      <c r="Y554" s="21"/>
      <c r="Z554" s="21"/>
      <c r="AA554" s="28"/>
      <c r="AB554" s="29"/>
      <c r="AC554" s="21"/>
      <c r="AD554" s="25"/>
      <c r="AE554" s="25"/>
      <c r="AF554" s="25"/>
    </row>
    <row r="555" ht="12.75" customHeight="1">
      <c r="B555" s="21"/>
      <c r="C555" s="21"/>
      <c r="E555" s="21"/>
      <c r="F555" s="21"/>
      <c r="J555" s="21"/>
      <c r="K555" s="21"/>
      <c r="L555" s="21"/>
      <c r="M555" s="21"/>
      <c r="O555" s="24"/>
      <c r="P555" s="24"/>
      <c r="U555" s="27"/>
      <c r="X555" s="21"/>
      <c r="Y555" s="21"/>
      <c r="Z555" s="21"/>
      <c r="AA555" s="28"/>
      <c r="AB555" s="29"/>
      <c r="AC555" s="21"/>
      <c r="AD555" s="25"/>
      <c r="AE555" s="25"/>
      <c r="AF555" s="25"/>
    </row>
    <row r="556" ht="12.75" customHeight="1">
      <c r="B556" s="21"/>
      <c r="C556" s="21"/>
      <c r="E556" s="21"/>
      <c r="F556" s="21"/>
      <c r="J556" s="21"/>
      <c r="K556" s="21"/>
      <c r="L556" s="21"/>
      <c r="M556" s="21"/>
      <c r="O556" s="24"/>
      <c r="P556" s="24"/>
      <c r="U556" s="27"/>
      <c r="X556" s="21"/>
      <c r="Y556" s="21"/>
      <c r="Z556" s="21"/>
      <c r="AA556" s="28"/>
      <c r="AB556" s="29"/>
      <c r="AC556" s="21"/>
      <c r="AD556" s="25"/>
      <c r="AE556" s="25"/>
      <c r="AF556" s="25"/>
    </row>
    <row r="557" ht="12.75" customHeight="1">
      <c r="B557" s="21"/>
      <c r="C557" s="21"/>
      <c r="E557" s="21"/>
      <c r="F557" s="21"/>
      <c r="J557" s="21"/>
      <c r="K557" s="21"/>
      <c r="L557" s="21"/>
      <c r="M557" s="21"/>
      <c r="O557" s="24"/>
      <c r="P557" s="24"/>
      <c r="U557" s="27"/>
      <c r="X557" s="21"/>
      <c r="Y557" s="21"/>
      <c r="Z557" s="21"/>
      <c r="AA557" s="28"/>
      <c r="AB557" s="29"/>
      <c r="AC557" s="21"/>
      <c r="AD557" s="25"/>
      <c r="AE557" s="25"/>
      <c r="AF557" s="25"/>
    </row>
    <row r="558" ht="12.75" customHeight="1">
      <c r="B558" s="21"/>
      <c r="C558" s="21"/>
      <c r="E558" s="21"/>
      <c r="F558" s="21"/>
      <c r="J558" s="21"/>
      <c r="K558" s="21"/>
      <c r="L558" s="21"/>
      <c r="M558" s="21"/>
      <c r="O558" s="24"/>
      <c r="P558" s="24"/>
      <c r="U558" s="27"/>
      <c r="X558" s="21"/>
      <c r="Y558" s="21"/>
      <c r="Z558" s="21"/>
      <c r="AA558" s="28"/>
      <c r="AB558" s="29"/>
      <c r="AC558" s="21"/>
      <c r="AD558" s="25"/>
      <c r="AE558" s="25"/>
      <c r="AF558" s="25"/>
    </row>
    <row r="559" ht="12.75" customHeight="1">
      <c r="B559" s="21"/>
      <c r="C559" s="21"/>
      <c r="E559" s="21"/>
      <c r="F559" s="21"/>
      <c r="J559" s="21"/>
      <c r="K559" s="21"/>
      <c r="L559" s="21"/>
      <c r="M559" s="21"/>
      <c r="O559" s="24"/>
      <c r="P559" s="24"/>
      <c r="U559" s="27"/>
      <c r="X559" s="21"/>
      <c r="Y559" s="21"/>
      <c r="Z559" s="21"/>
      <c r="AA559" s="28"/>
      <c r="AB559" s="29"/>
      <c r="AC559" s="21"/>
      <c r="AD559" s="25"/>
      <c r="AE559" s="25"/>
      <c r="AF559" s="25"/>
    </row>
    <row r="560" ht="12.75" customHeight="1">
      <c r="B560" s="21"/>
      <c r="C560" s="21"/>
      <c r="E560" s="21"/>
      <c r="F560" s="21"/>
      <c r="J560" s="21"/>
      <c r="K560" s="21"/>
      <c r="L560" s="21"/>
      <c r="M560" s="21"/>
      <c r="O560" s="24"/>
      <c r="P560" s="24"/>
      <c r="U560" s="27"/>
      <c r="X560" s="21"/>
      <c r="Y560" s="21"/>
      <c r="Z560" s="21"/>
      <c r="AA560" s="28"/>
      <c r="AB560" s="29"/>
      <c r="AC560" s="21"/>
      <c r="AD560" s="25"/>
      <c r="AE560" s="25"/>
      <c r="AF560" s="25"/>
    </row>
    <row r="561" ht="12.75" customHeight="1">
      <c r="B561" s="21"/>
      <c r="C561" s="21"/>
      <c r="E561" s="21"/>
      <c r="F561" s="21"/>
      <c r="J561" s="21"/>
      <c r="K561" s="21"/>
      <c r="L561" s="21"/>
      <c r="M561" s="21"/>
      <c r="O561" s="24"/>
      <c r="P561" s="24"/>
      <c r="U561" s="27"/>
      <c r="X561" s="21"/>
      <c r="Y561" s="21"/>
      <c r="Z561" s="21"/>
      <c r="AA561" s="28"/>
      <c r="AB561" s="29"/>
      <c r="AC561" s="21"/>
      <c r="AD561" s="25"/>
      <c r="AE561" s="25"/>
      <c r="AF561" s="25"/>
    </row>
    <row r="562" ht="12.75" customHeight="1">
      <c r="B562" s="21"/>
      <c r="C562" s="21"/>
      <c r="E562" s="21"/>
      <c r="F562" s="21"/>
      <c r="J562" s="21"/>
      <c r="K562" s="21"/>
      <c r="L562" s="21"/>
      <c r="M562" s="21"/>
      <c r="O562" s="24"/>
      <c r="P562" s="24"/>
      <c r="U562" s="27"/>
      <c r="X562" s="21"/>
      <c r="Y562" s="21"/>
      <c r="Z562" s="21"/>
      <c r="AA562" s="28"/>
      <c r="AB562" s="29"/>
      <c r="AC562" s="21"/>
      <c r="AD562" s="25"/>
      <c r="AE562" s="25"/>
      <c r="AF562" s="25"/>
    </row>
    <row r="563" ht="12.75" customHeight="1">
      <c r="B563" s="21"/>
      <c r="C563" s="21"/>
      <c r="E563" s="21"/>
      <c r="F563" s="21"/>
      <c r="J563" s="21"/>
      <c r="K563" s="21"/>
      <c r="L563" s="21"/>
      <c r="M563" s="21"/>
      <c r="O563" s="24"/>
      <c r="P563" s="24"/>
      <c r="U563" s="27"/>
      <c r="X563" s="21"/>
      <c r="Y563" s="21"/>
      <c r="Z563" s="21"/>
      <c r="AA563" s="28"/>
      <c r="AB563" s="29"/>
      <c r="AC563" s="21"/>
      <c r="AD563" s="25"/>
      <c r="AE563" s="25"/>
      <c r="AF563" s="25"/>
    </row>
    <row r="564" ht="12.75" customHeight="1">
      <c r="B564" s="21"/>
      <c r="C564" s="21"/>
      <c r="E564" s="21"/>
      <c r="F564" s="21"/>
      <c r="J564" s="21"/>
      <c r="K564" s="21"/>
      <c r="L564" s="21"/>
      <c r="M564" s="21"/>
      <c r="O564" s="24"/>
      <c r="P564" s="24"/>
      <c r="U564" s="27"/>
      <c r="X564" s="21"/>
      <c r="Y564" s="21"/>
      <c r="Z564" s="21"/>
      <c r="AA564" s="28"/>
      <c r="AB564" s="29"/>
      <c r="AC564" s="21"/>
      <c r="AD564" s="25"/>
      <c r="AE564" s="25"/>
      <c r="AF564" s="25"/>
    </row>
    <row r="565" ht="12.75" customHeight="1">
      <c r="B565" s="21"/>
      <c r="C565" s="21"/>
      <c r="E565" s="21"/>
      <c r="F565" s="21"/>
      <c r="J565" s="21"/>
      <c r="K565" s="21"/>
      <c r="L565" s="21"/>
      <c r="M565" s="21"/>
      <c r="O565" s="24"/>
      <c r="P565" s="24"/>
      <c r="U565" s="27"/>
      <c r="X565" s="21"/>
      <c r="Y565" s="21"/>
      <c r="Z565" s="21"/>
      <c r="AA565" s="28"/>
      <c r="AB565" s="29"/>
      <c r="AC565" s="21"/>
      <c r="AD565" s="25"/>
      <c r="AE565" s="25"/>
      <c r="AF565" s="25"/>
    </row>
    <row r="566" ht="12.75" customHeight="1">
      <c r="B566" s="21"/>
      <c r="C566" s="21"/>
      <c r="E566" s="21"/>
      <c r="F566" s="21"/>
      <c r="J566" s="21"/>
      <c r="K566" s="21"/>
      <c r="L566" s="21"/>
      <c r="M566" s="21"/>
      <c r="O566" s="24"/>
      <c r="P566" s="24"/>
      <c r="U566" s="27"/>
      <c r="X566" s="21"/>
      <c r="Y566" s="21"/>
      <c r="Z566" s="21"/>
      <c r="AA566" s="28"/>
      <c r="AB566" s="29"/>
      <c r="AC566" s="21"/>
      <c r="AD566" s="25"/>
      <c r="AE566" s="25"/>
      <c r="AF566" s="25"/>
    </row>
    <row r="567" ht="12.75" customHeight="1">
      <c r="B567" s="21"/>
      <c r="C567" s="21"/>
      <c r="E567" s="21"/>
      <c r="F567" s="21"/>
      <c r="J567" s="21"/>
      <c r="K567" s="21"/>
      <c r="L567" s="21"/>
      <c r="M567" s="21"/>
      <c r="O567" s="24"/>
      <c r="P567" s="24"/>
      <c r="U567" s="27"/>
      <c r="X567" s="21"/>
      <c r="Y567" s="21"/>
      <c r="Z567" s="21"/>
      <c r="AA567" s="28"/>
      <c r="AB567" s="29"/>
      <c r="AC567" s="21"/>
      <c r="AD567" s="25"/>
      <c r="AE567" s="25"/>
      <c r="AF567" s="25"/>
    </row>
    <row r="568" ht="12.75" customHeight="1">
      <c r="B568" s="21"/>
      <c r="C568" s="21"/>
      <c r="E568" s="21"/>
      <c r="F568" s="21"/>
      <c r="J568" s="21"/>
      <c r="K568" s="21"/>
      <c r="L568" s="21"/>
      <c r="M568" s="21"/>
      <c r="O568" s="24"/>
      <c r="P568" s="24"/>
      <c r="U568" s="27"/>
      <c r="X568" s="21"/>
      <c r="Y568" s="21"/>
      <c r="Z568" s="21"/>
      <c r="AA568" s="28"/>
      <c r="AB568" s="29"/>
      <c r="AC568" s="21"/>
      <c r="AD568" s="25"/>
      <c r="AE568" s="25"/>
      <c r="AF568" s="25"/>
    </row>
    <row r="569" ht="12.75" customHeight="1">
      <c r="B569" s="21"/>
      <c r="C569" s="21"/>
      <c r="E569" s="21"/>
      <c r="F569" s="21"/>
      <c r="J569" s="21"/>
      <c r="K569" s="21"/>
      <c r="L569" s="21"/>
      <c r="M569" s="21"/>
      <c r="O569" s="24"/>
      <c r="P569" s="24"/>
      <c r="U569" s="27"/>
      <c r="X569" s="21"/>
      <c r="Y569" s="21"/>
      <c r="Z569" s="21"/>
      <c r="AA569" s="28"/>
      <c r="AB569" s="29"/>
      <c r="AC569" s="21"/>
      <c r="AD569" s="25"/>
      <c r="AE569" s="25"/>
      <c r="AF569" s="25"/>
    </row>
    <row r="570" ht="12.75" customHeight="1">
      <c r="B570" s="21"/>
      <c r="C570" s="21"/>
      <c r="E570" s="21"/>
      <c r="F570" s="21"/>
      <c r="J570" s="21"/>
      <c r="K570" s="21"/>
      <c r="L570" s="21"/>
      <c r="M570" s="21"/>
      <c r="O570" s="24"/>
      <c r="P570" s="24"/>
      <c r="U570" s="27"/>
      <c r="X570" s="21"/>
      <c r="Y570" s="21"/>
      <c r="Z570" s="21"/>
      <c r="AA570" s="28"/>
      <c r="AB570" s="29"/>
      <c r="AC570" s="21"/>
      <c r="AD570" s="25"/>
      <c r="AE570" s="25"/>
      <c r="AF570" s="25"/>
    </row>
    <row r="571" ht="12.75" customHeight="1">
      <c r="B571" s="21"/>
      <c r="C571" s="21"/>
      <c r="E571" s="21"/>
      <c r="F571" s="21"/>
      <c r="J571" s="21"/>
      <c r="K571" s="21"/>
      <c r="L571" s="21"/>
      <c r="M571" s="21"/>
      <c r="O571" s="24"/>
      <c r="P571" s="24"/>
      <c r="U571" s="27"/>
      <c r="X571" s="21"/>
      <c r="Y571" s="21"/>
      <c r="Z571" s="21"/>
      <c r="AA571" s="28"/>
      <c r="AB571" s="29"/>
      <c r="AC571" s="21"/>
      <c r="AD571" s="25"/>
      <c r="AE571" s="25"/>
      <c r="AF571" s="25"/>
    </row>
    <row r="572" ht="12.75" customHeight="1">
      <c r="B572" s="21"/>
      <c r="C572" s="21"/>
      <c r="E572" s="21"/>
      <c r="F572" s="21"/>
      <c r="J572" s="21"/>
      <c r="K572" s="21"/>
      <c r="L572" s="21"/>
      <c r="M572" s="21"/>
      <c r="O572" s="24"/>
      <c r="P572" s="24"/>
      <c r="U572" s="27"/>
      <c r="X572" s="21"/>
      <c r="Y572" s="21"/>
      <c r="Z572" s="21"/>
      <c r="AA572" s="28"/>
      <c r="AB572" s="29"/>
      <c r="AC572" s="21"/>
      <c r="AD572" s="25"/>
      <c r="AE572" s="25"/>
      <c r="AF572" s="25"/>
    </row>
    <row r="573" ht="12.75" customHeight="1">
      <c r="B573" s="21"/>
      <c r="C573" s="21"/>
      <c r="E573" s="21"/>
      <c r="F573" s="21"/>
      <c r="J573" s="21"/>
      <c r="K573" s="21"/>
      <c r="L573" s="21"/>
      <c r="M573" s="21"/>
      <c r="O573" s="24"/>
      <c r="P573" s="24"/>
      <c r="U573" s="27"/>
      <c r="X573" s="21"/>
      <c r="Y573" s="21"/>
      <c r="Z573" s="21"/>
      <c r="AA573" s="28"/>
      <c r="AB573" s="29"/>
      <c r="AC573" s="21"/>
      <c r="AD573" s="25"/>
      <c r="AE573" s="25"/>
      <c r="AF573" s="25"/>
    </row>
    <row r="574" ht="12.75" customHeight="1">
      <c r="B574" s="21"/>
      <c r="C574" s="21"/>
      <c r="E574" s="21"/>
      <c r="F574" s="21"/>
      <c r="J574" s="21"/>
      <c r="K574" s="21"/>
      <c r="L574" s="21"/>
      <c r="M574" s="21"/>
      <c r="O574" s="24"/>
      <c r="P574" s="24"/>
      <c r="U574" s="27"/>
      <c r="X574" s="21"/>
      <c r="Y574" s="21"/>
      <c r="Z574" s="21"/>
      <c r="AA574" s="28"/>
      <c r="AB574" s="29"/>
      <c r="AC574" s="21"/>
      <c r="AD574" s="25"/>
      <c r="AE574" s="25"/>
      <c r="AF574" s="25"/>
    </row>
    <row r="575" ht="12.75" customHeight="1">
      <c r="B575" s="21"/>
      <c r="C575" s="21"/>
      <c r="E575" s="21"/>
      <c r="F575" s="21"/>
      <c r="J575" s="21"/>
      <c r="K575" s="21"/>
      <c r="L575" s="21"/>
      <c r="M575" s="21"/>
      <c r="O575" s="24"/>
      <c r="P575" s="24"/>
      <c r="U575" s="27"/>
      <c r="X575" s="21"/>
      <c r="Y575" s="21"/>
      <c r="Z575" s="21"/>
      <c r="AA575" s="28"/>
      <c r="AB575" s="29"/>
      <c r="AC575" s="21"/>
      <c r="AD575" s="25"/>
      <c r="AE575" s="25"/>
      <c r="AF575" s="25"/>
    </row>
    <row r="576" ht="12.75" customHeight="1">
      <c r="B576" s="21"/>
      <c r="C576" s="21"/>
      <c r="E576" s="21"/>
      <c r="F576" s="21"/>
      <c r="J576" s="21"/>
      <c r="K576" s="21"/>
      <c r="L576" s="21"/>
      <c r="M576" s="21"/>
      <c r="O576" s="24"/>
      <c r="P576" s="24"/>
      <c r="U576" s="27"/>
      <c r="X576" s="21"/>
      <c r="Y576" s="21"/>
      <c r="Z576" s="21"/>
      <c r="AA576" s="28"/>
      <c r="AB576" s="29"/>
      <c r="AC576" s="21"/>
      <c r="AD576" s="25"/>
      <c r="AE576" s="25"/>
      <c r="AF576" s="25"/>
    </row>
    <row r="577" ht="12.75" customHeight="1">
      <c r="B577" s="21"/>
      <c r="C577" s="21"/>
      <c r="E577" s="21"/>
      <c r="F577" s="21"/>
      <c r="J577" s="21"/>
      <c r="K577" s="21"/>
      <c r="L577" s="21"/>
      <c r="M577" s="21"/>
      <c r="O577" s="24"/>
      <c r="P577" s="24"/>
      <c r="U577" s="27"/>
      <c r="X577" s="21"/>
      <c r="Y577" s="21"/>
      <c r="Z577" s="21"/>
      <c r="AA577" s="28"/>
      <c r="AB577" s="29"/>
      <c r="AC577" s="21"/>
      <c r="AD577" s="25"/>
      <c r="AE577" s="25"/>
      <c r="AF577" s="25"/>
    </row>
    <row r="578" ht="12.75" customHeight="1">
      <c r="B578" s="21"/>
      <c r="C578" s="21"/>
      <c r="E578" s="21"/>
      <c r="F578" s="21"/>
      <c r="J578" s="21"/>
      <c r="K578" s="21"/>
      <c r="L578" s="21"/>
      <c r="M578" s="21"/>
      <c r="O578" s="24"/>
      <c r="P578" s="24"/>
      <c r="U578" s="27"/>
      <c r="X578" s="21"/>
      <c r="Y578" s="21"/>
      <c r="Z578" s="21"/>
      <c r="AA578" s="28"/>
      <c r="AB578" s="29"/>
      <c r="AC578" s="21"/>
      <c r="AD578" s="25"/>
      <c r="AE578" s="25"/>
      <c r="AF578" s="25"/>
    </row>
    <row r="579" ht="12.75" customHeight="1">
      <c r="B579" s="21"/>
      <c r="C579" s="21"/>
      <c r="E579" s="21"/>
      <c r="F579" s="21"/>
      <c r="J579" s="21"/>
      <c r="K579" s="21"/>
      <c r="L579" s="21"/>
      <c r="M579" s="21"/>
      <c r="O579" s="24"/>
      <c r="P579" s="24"/>
      <c r="U579" s="27"/>
      <c r="X579" s="21"/>
      <c r="Y579" s="21"/>
      <c r="Z579" s="21"/>
      <c r="AA579" s="28"/>
      <c r="AB579" s="29"/>
      <c r="AC579" s="21"/>
      <c r="AD579" s="25"/>
      <c r="AE579" s="25"/>
      <c r="AF579" s="25"/>
    </row>
    <row r="580" ht="12.75" customHeight="1">
      <c r="B580" s="21"/>
      <c r="C580" s="21"/>
      <c r="E580" s="21"/>
      <c r="F580" s="21"/>
      <c r="J580" s="21"/>
      <c r="K580" s="21"/>
      <c r="L580" s="21"/>
      <c r="M580" s="21"/>
      <c r="O580" s="24"/>
      <c r="P580" s="24"/>
      <c r="U580" s="27"/>
      <c r="X580" s="21"/>
      <c r="Y580" s="21"/>
      <c r="Z580" s="21"/>
      <c r="AA580" s="28"/>
      <c r="AB580" s="29"/>
      <c r="AC580" s="21"/>
      <c r="AD580" s="25"/>
      <c r="AE580" s="25"/>
      <c r="AF580" s="25"/>
    </row>
    <row r="581" ht="12.75" customHeight="1">
      <c r="B581" s="21"/>
      <c r="C581" s="21"/>
      <c r="E581" s="21"/>
      <c r="F581" s="21"/>
      <c r="J581" s="21"/>
      <c r="K581" s="21"/>
      <c r="L581" s="21"/>
      <c r="M581" s="21"/>
      <c r="O581" s="24"/>
      <c r="P581" s="24"/>
      <c r="U581" s="27"/>
      <c r="X581" s="21"/>
      <c r="Y581" s="21"/>
      <c r="Z581" s="21"/>
      <c r="AA581" s="28"/>
      <c r="AB581" s="29"/>
      <c r="AC581" s="21"/>
      <c r="AD581" s="25"/>
      <c r="AE581" s="25"/>
      <c r="AF581" s="25"/>
    </row>
    <row r="582" ht="12.75" customHeight="1">
      <c r="B582" s="21"/>
      <c r="C582" s="21"/>
      <c r="E582" s="21"/>
      <c r="F582" s="21"/>
      <c r="J582" s="21"/>
      <c r="K582" s="21"/>
      <c r="L582" s="21"/>
      <c r="M582" s="21"/>
      <c r="O582" s="24"/>
      <c r="P582" s="24"/>
      <c r="U582" s="27"/>
      <c r="X582" s="21"/>
      <c r="Y582" s="21"/>
      <c r="Z582" s="21"/>
      <c r="AA582" s="28"/>
      <c r="AB582" s="29"/>
      <c r="AC582" s="21"/>
      <c r="AD582" s="25"/>
      <c r="AE582" s="25"/>
      <c r="AF582" s="25"/>
    </row>
    <row r="583" ht="12.75" customHeight="1">
      <c r="B583" s="21"/>
      <c r="C583" s="21"/>
      <c r="E583" s="21"/>
      <c r="F583" s="21"/>
      <c r="J583" s="21"/>
      <c r="K583" s="21"/>
      <c r="L583" s="21"/>
      <c r="M583" s="21"/>
      <c r="O583" s="24"/>
      <c r="P583" s="24"/>
      <c r="U583" s="27"/>
      <c r="X583" s="21"/>
      <c r="Y583" s="21"/>
      <c r="Z583" s="21"/>
      <c r="AA583" s="28"/>
      <c r="AB583" s="29"/>
      <c r="AC583" s="21"/>
      <c r="AD583" s="25"/>
      <c r="AE583" s="25"/>
      <c r="AF583" s="25"/>
    </row>
    <row r="584" ht="12.75" customHeight="1">
      <c r="B584" s="21"/>
      <c r="C584" s="21"/>
      <c r="E584" s="21"/>
      <c r="F584" s="21"/>
      <c r="J584" s="21"/>
      <c r="K584" s="21"/>
      <c r="L584" s="21"/>
      <c r="M584" s="21"/>
      <c r="O584" s="24"/>
      <c r="P584" s="24"/>
      <c r="U584" s="27"/>
      <c r="X584" s="21"/>
      <c r="Y584" s="21"/>
      <c r="Z584" s="21"/>
      <c r="AA584" s="28"/>
      <c r="AB584" s="29"/>
      <c r="AC584" s="21"/>
      <c r="AD584" s="25"/>
      <c r="AE584" s="25"/>
      <c r="AF584" s="25"/>
    </row>
    <row r="585" ht="12.75" customHeight="1">
      <c r="B585" s="21"/>
      <c r="C585" s="21"/>
      <c r="E585" s="21"/>
      <c r="F585" s="21"/>
      <c r="J585" s="21"/>
      <c r="K585" s="21"/>
      <c r="L585" s="21"/>
      <c r="M585" s="21"/>
      <c r="O585" s="24"/>
      <c r="P585" s="24"/>
      <c r="U585" s="27"/>
      <c r="X585" s="21"/>
      <c r="Y585" s="21"/>
      <c r="Z585" s="21"/>
      <c r="AA585" s="28"/>
      <c r="AB585" s="29"/>
      <c r="AC585" s="21"/>
      <c r="AD585" s="25"/>
      <c r="AE585" s="25"/>
      <c r="AF585" s="25"/>
    </row>
    <row r="586" ht="12.75" customHeight="1">
      <c r="B586" s="21"/>
      <c r="C586" s="21"/>
      <c r="E586" s="21"/>
      <c r="F586" s="21"/>
      <c r="J586" s="21"/>
      <c r="K586" s="21"/>
      <c r="L586" s="21"/>
      <c r="M586" s="21"/>
      <c r="O586" s="24"/>
      <c r="P586" s="24"/>
      <c r="U586" s="27"/>
      <c r="X586" s="21"/>
      <c r="Y586" s="21"/>
      <c r="Z586" s="21"/>
      <c r="AA586" s="28"/>
      <c r="AB586" s="29"/>
      <c r="AC586" s="21"/>
      <c r="AD586" s="25"/>
      <c r="AE586" s="25"/>
      <c r="AF586" s="25"/>
    </row>
    <row r="587" ht="12.75" customHeight="1">
      <c r="B587" s="21"/>
      <c r="C587" s="21"/>
      <c r="E587" s="21"/>
      <c r="F587" s="21"/>
      <c r="J587" s="21"/>
      <c r="K587" s="21"/>
      <c r="L587" s="21"/>
      <c r="M587" s="21"/>
      <c r="O587" s="24"/>
      <c r="P587" s="24"/>
      <c r="U587" s="27"/>
      <c r="X587" s="21"/>
      <c r="Y587" s="21"/>
      <c r="Z587" s="21"/>
      <c r="AA587" s="28"/>
      <c r="AB587" s="29"/>
      <c r="AC587" s="21"/>
      <c r="AD587" s="25"/>
      <c r="AE587" s="25"/>
      <c r="AF587" s="25"/>
    </row>
    <row r="588" ht="12.75" customHeight="1">
      <c r="B588" s="21"/>
      <c r="C588" s="21"/>
      <c r="E588" s="21"/>
      <c r="F588" s="21"/>
      <c r="J588" s="21"/>
      <c r="K588" s="21"/>
      <c r="L588" s="21"/>
      <c r="M588" s="21"/>
      <c r="O588" s="24"/>
      <c r="P588" s="24"/>
      <c r="U588" s="27"/>
      <c r="X588" s="21"/>
      <c r="Y588" s="21"/>
      <c r="Z588" s="21"/>
      <c r="AA588" s="28"/>
      <c r="AB588" s="29"/>
      <c r="AC588" s="21"/>
      <c r="AD588" s="25"/>
      <c r="AE588" s="25"/>
      <c r="AF588" s="25"/>
    </row>
    <row r="589" ht="12.75" customHeight="1">
      <c r="B589" s="21"/>
      <c r="C589" s="21"/>
      <c r="E589" s="21"/>
      <c r="F589" s="21"/>
      <c r="J589" s="21"/>
      <c r="K589" s="21"/>
      <c r="L589" s="21"/>
      <c r="M589" s="21"/>
      <c r="O589" s="24"/>
      <c r="P589" s="24"/>
      <c r="U589" s="27"/>
      <c r="X589" s="21"/>
      <c r="Y589" s="21"/>
      <c r="Z589" s="21"/>
      <c r="AA589" s="28"/>
      <c r="AB589" s="29"/>
      <c r="AC589" s="21"/>
      <c r="AD589" s="25"/>
      <c r="AE589" s="25"/>
      <c r="AF589" s="25"/>
    </row>
    <row r="590" ht="12.75" customHeight="1">
      <c r="B590" s="21"/>
      <c r="C590" s="21"/>
      <c r="E590" s="21"/>
      <c r="F590" s="21"/>
      <c r="J590" s="21"/>
      <c r="K590" s="21"/>
      <c r="L590" s="21"/>
      <c r="M590" s="21"/>
      <c r="O590" s="24"/>
      <c r="P590" s="24"/>
      <c r="U590" s="27"/>
      <c r="X590" s="21"/>
      <c r="Y590" s="21"/>
      <c r="Z590" s="21"/>
      <c r="AA590" s="28"/>
      <c r="AB590" s="29"/>
      <c r="AC590" s="21"/>
      <c r="AD590" s="25"/>
      <c r="AE590" s="25"/>
      <c r="AF590" s="25"/>
    </row>
    <row r="591" ht="12.75" customHeight="1">
      <c r="B591" s="21"/>
      <c r="C591" s="21"/>
      <c r="E591" s="21"/>
      <c r="F591" s="21"/>
      <c r="J591" s="21"/>
      <c r="K591" s="21"/>
      <c r="L591" s="21"/>
      <c r="M591" s="21"/>
      <c r="O591" s="24"/>
      <c r="P591" s="24"/>
      <c r="U591" s="27"/>
      <c r="X591" s="21"/>
      <c r="Y591" s="21"/>
      <c r="Z591" s="21"/>
      <c r="AA591" s="28"/>
      <c r="AB591" s="29"/>
      <c r="AC591" s="21"/>
      <c r="AD591" s="25"/>
      <c r="AE591" s="25"/>
      <c r="AF591" s="25"/>
    </row>
    <row r="592" ht="12.75" customHeight="1">
      <c r="B592" s="21"/>
      <c r="C592" s="21"/>
      <c r="E592" s="21"/>
      <c r="F592" s="21"/>
      <c r="J592" s="21"/>
      <c r="K592" s="21"/>
      <c r="L592" s="21"/>
      <c r="M592" s="21"/>
      <c r="O592" s="24"/>
      <c r="P592" s="24"/>
      <c r="U592" s="27"/>
      <c r="X592" s="21"/>
      <c r="Y592" s="21"/>
      <c r="Z592" s="21"/>
      <c r="AA592" s="28"/>
      <c r="AB592" s="29"/>
      <c r="AC592" s="21"/>
      <c r="AD592" s="25"/>
      <c r="AE592" s="25"/>
      <c r="AF592" s="25"/>
    </row>
    <row r="593" ht="12.75" customHeight="1">
      <c r="B593" s="21"/>
      <c r="C593" s="21"/>
      <c r="E593" s="21"/>
      <c r="F593" s="21"/>
      <c r="J593" s="21"/>
      <c r="K593" s="21"/>
      <c r="L593" s="21"/>
      <c r="M593" s="21"/>
      <c r="O593" s="24"/>
      <c r="P593" s="24"/>
      <c r="U593" s="27"/>
      <c r="X593" s="21"/>
      <c r="Y593" s="21"/>
      <c r="Z593" s="21"/>
      <c r="AA593" s="28"/>
      <c r="AB593" s="29"/>
      <c r="AC593" s="21"/>
      <c r="AD593" s="25"/>
      <c r="AE593" s="25"/>
      <c r="AF593" s="25"/>
    </row>
    <row r="594" ht="12.75" customHeight="1">
      <c r="B594" s="21"/>
      <c r="C594" s="21"/>
      <c r="E594" s="21"/>
      <c r="F594" s="21"/>
      <c r="J594" s="21"/>
      <c r="K594" s="21"/>
      <c r="L594" s="21"/>
      <c r="M594" s="21"/>
      <c r="O594" s="24"/>
      <c r="P594" s="24"/>
      <c r="U594" s="27"/>
      <c r="X594" s="21"/>
      <c r="Y594" s="21"/>
      <c r="Z594" s="21"/>
      <c r="AA594" s="28"/>
      <c r="AB594" s="29"/>
      <c r="AC594" s="21"/>
      <c r="AD594" s="25"/>
      <c r="AE594" s="25"/>
      <c r="AF594" s="25"/>
    </row>
    <row r="595" ht="12.75" customHeight="1">
      <c r="B595" s="21"/>
      <c r="C595" s="21"/>
      <c r="E595" s="21"/>
      <c r="F595" s="21"/>
      <c r="J595" s="21"/>
      <c r="K595" s="21"/>
      <c r="L595" s="21"/>
      <c r="M595" s="21"/>
      <c r="O595" s="24"/>
      <c r="P595" s="24"/>
      <c r="U595" s="27"/>
      <c r="X595" s="21"/>
      <c r="Y595" s="21"/>
      <c r="Z595" s="21"/>
      <c r="AA595" s="28"/>
      <c r="AB595" s="29"/>
      <c r="AC595" s="21"/>
      <c r="AD595" s="25"/>
      <c r="AE595" s="25"/>
      <c r="AF595" s="25"/>
    </row>
    <row r="596" ht="12.75" customHeight="1">
      <c r="B596" s="21"/>
      <c r="C596" s="21"/>
      <c r="E596" s="21"/>
      <c r="F596" s="21"/>
      <c r="J596" s="21"/>
      <c r="K596" s="21"/>
      <c r="L596" s="21"/>
      <c r="M596" s="21"/>
      <c r="O596" s="24"/>
      <c r="P596" s="24"/>
      <c r="U596" s="27"/>
      <c r="X596" s="21"/>
      <c r="Y596" s="21"/>
      <c r="Z596" s="21"/>
      <c r="AA596" s="28"/>
      <c r="AB596" s="29"/>
      <c r="AC596" s="21"/>
      <c r="AD596" s="25"/>
      <c r="AE596" s="25"/>
      <c r="AF596" s="25"/>
    </row>
    <row r="597" ht="12.75" customHeight="1">
      <c r="B597" s="21"/>
      <c r="C597" s="21"/>
      <c r="E597" s="21"/>
      <c r="F597" s="21"/>
      <c r="J597" s="21"/>
      <c r="K597" s="21"/>
      <c r="L597" s="21"/>
      <c r="M597" s="21"/>
      <c r="O597" s="24"/>
      <c r="P597" s="24"/>
      <c r="U597" s="27"/>
      <c r="X597" s="21"/>
      <c r="Y597" s="21"/>
      <c r="Z597" s="21"/>
      <c r="AA597" s="28"/>
      <c r="AB597" s="29"/>
      <c r="AC597" s="21"/>
      <c r="AD597" s="25"/>
      <c r="AE597" s="25"/>
      <c r="AF597" s="25"/>
    </row>
    <row r="598" ht="12.75" customHeight="1">
      <c r="B598" s="21"/>
      <c r="C598" s="21"/>
      <c r="E598" s="21"/>
      <c r="F598" s="21"/>
      <c r="J598" s="21"/>
      <c r="K598" s="21"/>
      <c r="L598" s="21"/>
      <c r="M598" s="21"/>
      <c r="O598" s="24"/>
      <c r="P598" s="24"/>
      <c r="U598" s="27"/>
      <c r="X598" s="21"/>
      <c r="Y598" s="21"/>
      <c r="Z598" s="21"/>
      <c r="AA598" s="28"/>
      <c r="AB598" s="29"/>
      <c r="AC598" s="21"/>
      <c r="AD598" s="25"/>
      <c r="AE598" s="25"/>
      <c r="AF598" s="25"/>
    </row>
    <row r="599" ht="12.75" customHeight="1">
      <c r="B599" s="21"/>
      <c r="C599" s="21"/>
      <c r="E599" s="21"/>
      <c r="F599" s="21"/>
      <c r="J599" s="21"/>
      <c r="K599" s="21"/>
      <c r="L599" s="21"/>
      <c r="M599" s="21"/>
      <c r="O599" s="24"/>
      <c r="P599" s="24"/>
      <c r="U599" s="27"/>
      <c r="X599" s="21"/>
      <c r="Y599" s="21"/>
      <c r="Z599" s="21"/>
      <c r="AA599" s="28"/>
      <c r="AB599" s="29"/>
      <c r="AC599" s="21"/>
      <c r="AD599" s="25"/>
      <c r="AE599" s="25"/>
      <c r="AF599" s="25"/>
    </row>
    <row r="600" ht="12.75" customHeight="1">
      <c r="B600" s="21"/>
      <c r="C600" s="21"/>
      <c r="E600" s="21"/>
      <c r="F600" s="21"/>
      <c r="J600" s="21"/>
      <c r="K600" s="21"/>
      <c r="L600" s="21"/>
      <c r="M600" s="21"/>
      <c r="O600" s="24"/>
      <c r="P600" s="24"/>
      <c r="U600" s="27"/>
      <c r="X600" s="21"/>
      <c r="Y600" s="21"/>
      <c r="Z600" s="21"/>
      <c r="AA600" s="28"/>
      <c r="AB600" s="29"/>
      <c r="AC600" s="21"/>
      <c r="AD600" s="25"/>
      <c r="AE600" s="25"/>
      <c r="AF600" s="25"/>
    </row>
    <row r="601" ht="12.75" customHeight="1">
      <c r="B601" s="21"/>
      <c r="C601" s="21"/>
      <c r="E601" s="21"/>
      <c r="F601" s="21"/>
      <c r="J601" s="21"/>
      <c r="K601" s="21"/>
      <c r="L601" s="21"/>
      <c r="M601" s="21"/>
      <c r="O601" s="24"/>
      <c r="P601" s="24"/>
      <c r="U601" s="27"/>
      <c r="X601" s="21"/>
      <c r="Y601" s="21"/>
      <c r="Z601" s="21"/>
      <c r="AA601" s="28"/>
      <c r="AB601" s="29"/>
      <c r="AC601" s="21"/>
      <c r="AD601" s="25"/>
      <c r="AE601" s="25"/>
      <c r="AF601" s="25"/>
    </row>
    <row r="602" ht="12.75" customHeight="1">
      <c r="B602" s="21"/>
      <c r="C602" s="21"/>
      <c r="E602" s="21"/>
      <c r="F602" s="21"/>
      <c r="J602" s="21"/>
      <c r="K602" s="21"/>
      <c r="L602" s="21"/>
      <c r="M602" s="21"/>
      <c r="O602" s="24"/>
      <c r="P602" s="24"/>
      <c r="U602" s="27"/>
      <c r="X602" s="21"/>
      <c r="Y602" s="21"/>
      <c r="Z602" s="21"/>
      <c r="AA602" s="28"/>
      <c r="AB602" s="29"/>
      <c r="AC602" s="21"/>
      <c r="AD602" s="25"/>
      <c r="AE602" s="25"/>
      <c r="AF602" s="25"/>
    </row>
    <row r="603" ht="12.75" customHeight="1">
      <c r="B603" s="21"/>
      <c r="C603" s="21"/>
      <c r="E603" s="21"/>
      <c r="F603" s="21"/>
      <c r="J603" s="21"/>
      <c r="K603" s="21"/>
      <c r="L603" s="21"/>
      <c r="M603" s="21"/>
      <c r="O603" s="24"/>
      <c r="P603" s="24"/>
      <c r="U603" s="27"/>
      <c r="X603" s="21"/>
      <c r="Y603" s="21"/>
      <c r="Z603" s="21"/>
      <c r="AA603" s="28"/>
      <c r="AB603" s="29"/>
      <c r="AC603" s="21"/>
      <c r="AD603" s="25"/>
      <c r="AE603" s="25"/>
      <c r="AF603" s="25"/>
    </row>
    <row r="604" ht="12.75" customHeight="1">
      <c r="B604" s="21"/>
      <c r="C604" s="21"/>
      <c r="E604" s="21"/>
      <c r="F604" s="21"/>
      <c r="J604" s="21"/>
      <c r="K604" s="21"/>
      <c r="L604" s="21"/>
      <c r="M604" s="21"/>
      <c r="O604" s="24"/>
      <c r="P604" s="24"/>
      <c r="U604" s="27"/>
      <c r="X604" s="21"/>
      <c r="Y604" s="21"/>
      <c r="Z604" s="21"/>
      <c r="AA604" s="28"/>
      <c r="AB604" s="29"/>
      <c r="AC604" s="21"/>
      <c r="AD604" s="25"/>
      <c r="AE604" s="25"/>
      <c r="AF604" s="25"/>
    </row>
    <row r="605" ht="12.75" customHeight="1">
      <c r="B605" s="21"/>
      <c r="C605" s="21"/>
      <c r="E605" s="21"/>
      <c r="F605" s="21"/>
      <c r="J605" s="21"/>
      <c r="K605" s="21"/>
      <c r="L605" s="21"/>
      <c r="M605" s="21"/>
      <c r="O605" s="24"/>
      <c r="P605" s="24"/>
      <c r="U605" s="27"/>
      <c r="X605" s="21"/>
      <c r="Y605" s="21"/>
      <c r="Z605" s="21"/>
      <c r="AA605" s="28"/>
      <c r="AB605" s="29"/>
      <c r="AC605" s="21"/>
      <c r="AD605" s="25"/>
      <c r="AE605" s="25"/>
      <c r="AF605" s="25"/>
    </row>
    <row r="606" ht="12.75" customHeight="1">
      <c r="B606" s="21"/>
      <c r="C606" s="21"/>
      <c r="E606" s="21"/>
      <c r="F606" s="21"/>
      <c r="J606" s="21"/>
      <c r="K606" s="21"/>
      <c r="L606" s="21"/>
      <c r="M606" s="21"/>
      <c r="O606" s="24"/>
      <c r="P606" s="24"/>
      <c r="U606" s="27"/>
      <c r="X606" s="21"/>
      <c r="Y606" s="21"/>
      <c r="Z606" s="21"/>
      <c r="AA606" s="28"/>
      <c r="AB606" s="29"/>
      <c r="AC606" s="21"/>
      <c r="AD606" s="25"/>
      <c r="AE606" s="25"/>
      <c r="AF606" s="25"/>
    </row>
    <row r="607" ht="12.75" customHeight="1">
      <c r="B607" s="21"/>
      <c r="C607" s="21"/>
      <c r="E607" s="21"/>
      <c r="F607" s="21"/>
      <c r="J607" s="21"/>
      <c r="K607" s="21"/>
      <c r="L607" s="21"/>
      <c r="M607" s="21"/>
      <c r="O607" s="24"/>
      <c r="P607" s="24"/>
      <c r="U607" s="27"/>
      <c r="X607" s="21"/>
      <c r="Y607" s="21"/>
      <c r="Z607" s="21"/>
      <c r="AA607" s="28"/>
      <c r="AB607" s="29"/>
      <c r="AC607" s="21"/>
      <c r="AD607" s="25"/>
      <c r="AE607" s="25"/>
      <c r="AF607" s="25"/>
    </row>
    <row r="608" ht="12.75" customHeight="1">
      <c r="B608" s="21"/>
      <c r="C608" s="21"/>
      <c r="E608" s="21"/>
      <c r="F608" s="21"/>
      <c r="J608" s="21"/>
      <c r="K608" s="21"/>
      <c r="L608" s="21"/>
      <c r="M608" s="21"/>
      <c r="O608" s="24"/>
      <c r="P608" s="24"/>
      <c r="U608" s="27"/>
      <c r="X608" s="21"/>
      <c r="Y608" s="21"/>
      <c r="Z608" s="21"/>
      <c r="AA608" s="28"/>
      <c r="AB608" s="29"/>
      <c r="AC608" s="21"/>
      <c r="AD608" s="25"/>
      <c r="AE608" s="25"/>
      <c r="AF608" s="25"/>
    </row>
    <row r="609" ht="12.75" customHeight="1">
      <c r="B609" s="21"/>
      <c r="C609" s="21"/>
      <c r="E609" s="21"/>
      <c r="F609" s="21"/>
      <c r="J609" s="21"/>
      <c r="K609" s="21"/>
      <c r="L609" s="21"/>
      <c r="M609" s="21"/>
      <c r="O609" s="24"/>
      <c r="P609" s="24"/>
      <c r="U609" s="27"/>
      <c r="X609" s="21"/>
      <c r="Y609" s="21"/>
      <c r="Z609" s="21"/>
      <c r="AA609" s="28"/>
      <c r="AB609" s="29"/>
      <c r="AC609" s="21"/>
      <c r="AD609" s="25"/>
      <c r="AE609" s="25"/>
      <c r="AF609" s="25"/>
    </row>
    <row r="610" ht="12.75" customHeight="1">
      <c r="B610" s="21"/>
      <c r="C610" s="21"/>
      <c r="E610" s="21"/>
      <c r="F610" s="21"/>
      <c r="J610" s="21"/>
      <c r="K610" s="21"/>
      <c r="L610" s="21"/>
      <c r="M610" s="21"/>
      <c r="O610" s="24"/>
      <c r="P610" s="24"/>
      <c r="U610" s="27"/>
      <c r="X610" s="21"/>
      <c r="Y610" s="21"/>
      <c r="Z610" s="21"/>
      <c r="AA610" s="28"/>
      <c r="AB610" s="29"/>
      <c r="AC610" s="21"/>
      <c r="AD610" s="25"/>
      <c r="AE610" s="25"/>
      <c r="AF610" s="25"/>
    </row>
    <row r="611" ht="12.75" customHeight="1">
      <c r="B611" s="21"/>
      <c r="C611" s="21"/>
      <c r="E611" s="21"/>
      <c r="F611" s="21"/>
      <c r="J611" s="21"/>
      <c r="K611" s="21"/>
      <c r="L611" s="21"/>
      <c r="M611" s="21"/>
      <c r="O611" s="24"/>
      <c r="P611" s="24"/>
      <c r="U611" s="27"/>
      <c r="X611" s="21"/>
      <c r="Y611" s="21"/>
      <c r="Z611" s="21"/>
      <c r="AA611" s="28"/>
      <c r="AB611" s="29"/>
      <c r="AC611" s="21"/>
      <c r="AD611" s="25"/>
      <c r="AE611" s="25"/>
      <c r="AF611" s="25"/>
    </row>
    <row r="612" ht="12.75" customHeight="1">
      <c r="B612" s="21"/>
      <c r="C612" s="21"/>
      <c r="E612" s="21"/>
      <c r="F612" s="21"/>
      <c r="J612" s="21"/>
      <c r="K612" s="21"/>
      <c r="L612" s="21"/>
      <c r="M612" s="21"/>
      <c r="O612" s="24"/>
      <c r="P612" s="24"/>
      <c r="U612" s="27"/>
      <c r="X612" s="21"/>
      <c r="Y612" s="21"/>
      <c r="Z612" s="21"/>
      <c r="AA612" s="28"/>
      <c r="AB612" s="29"/>
      <c r="AC612" s="21"/>
      <c r="AD612" s="25"/>
      <c r="AE612" s="25"/>
      <c r="AF612" s="25"/>
    </row>
    <row r="613" ht="12.75" customHeight="1">
      <c r="B613" s="21"/>
      <c r="C613" s="21"/>
      <c r="E613" s="21"/>
      <c r="F613" s="21"/>
      <c r="J613" s="21"/>
      <c r="K613" s="21"/>
      <c r="L613" s="21"/>
      <c r="M613" s="21"/>
      <c r="O613" s="24"/>
      <c r="P613" s="24"/>
      <c r="U613" s="27"/>
      <c r="X613" s="21"/>
      <c r="Y613" s="21"/>
      <c r="Z613" s="21"/>
      <c r="AA613" s="28"/>
      <c r="AB613" s="29"/>
      <c r="AC613" s="21"/>
      <c r="AD613" s="25"/>
      <c r="AE613" s="25"/>
      <c r="AF613" s="25"/>
    </row>
    <row r="614" ht="12.75" customHeight="1">
      <c r="B614" s="21"/>
      <c r="C614" s="21"/>
      <c r="E614" s="21"/>
      <c r="F614" s="21"/>
      <c r="J614" s="21"/>
      <c r="K614" s="21"/>
      <c r="L614" s="21"/>
      <c r="M614" s="21"/>
      <c r="O614" s="24"/>
      <c r="P614" s="24"/>
      <c r="U614" s="27"/>
      <c r="X614" s="21"/>
      <c r="Y614" s="21"/>
      <c r="Z614" s="21"/>
      <c r="AA614" s="28"/>
      <c r="AB614" s="29"/>
      <c r="AC614" s="21"/>
      <c r="AD614" s="25"/>
      <c r="AE614" s="25"/>
      <c r="AF614" s="25"/>
    </row>
    <row r="615" ht="12.75" customHeight="1">
      <c r="B615" s="21"/>
      <c r="C615" s="21"/>
      <c r="E615" s="21"/>
      <c r="F615" s="21"/>
      <c r="J615" s="21"/>
      <c r="K615" s="21"/>
      <c r="L615" s="21"/>
      <c r="M615" s="21"/>
      <c r="O615" s="24"/>
      <c r="P615" s="24"/>
      <c r="U615" s="27"/>
      <c r="X615" s="21"/>
      <c r="Y615" s="21"/>
      <c r="Z615" s="21"/>
      <c r="AA615" s="28"/>
      <c r="AB615" s="29"/>
      <c r="AC615" s="21"/>
      <c r="AD615" s="25"/>
      <c r="AE615" s="25"/>
      <c r="AF615" s="25"/>
    </row>
    <row r="616" ht="12.75" customHeight="1">
      <c r="B616" s="21"/>
      <c r="C616" s="21"/>
      <c r="E616" s="21"/>
      <c r="F616" s="21"/>
      <c r="J616" s="21"/>
      <c r="K616" s="21"/>
      <c r="L616" s="21"/>
      <c r="M616" s="21"/>
      <c r="O616" s="24"/>
      <c r="P616" s="24"/>
      <c r="U616" s="27"/>
      <c r="X616" s="21"/>
      <c r="Y616" s="21"/>
      <c r="Z616" s="21"/>
      <c r="AA616" s="28"/>
      <c r="AB616" s="29"/>
      <c r="AC616" s="21"/>
      <c r="AD616" s="25"/>
      <c r="AE616" s="25"/>
      <c r="AF616" s="25"/>
    </row>
    <row r="617" ht="12.75" customHeight="1">
      <c r="B617" s="21"/>
      <c r="C617" s="21"/>
      <c r="E617" s="21"/>
      <c r="F617" s="21"/>
      <c r="J617" s="21"/>
      <c r="K617" s="21"/>
      <c r="L617" s="21"/>
      <c r="M617" s="21"/>
      <c r="O617" s="24"/>
      <c r="P617" s="24"/>
      <c r="U617" s="27"/>
      <c r="X617" s="21"/>
      <c r="Y617" s="21"/>
      <c r="Z617" s="21"/>
      <c r="AA617" s="28"/>
      <c r="AB617" s="29"/>
      <c r="AC617" s="21"/>
      <c r="AD617" s="25"/>
      <c r="AE617" s="25"/>
      <c r="AF617" s="25"/>
    </row>
    <row r="618" ht="12.75" customHeight="1">
      <c r="B618" s="21"/>
      <c r="C618" s="21"/>
      <c r="E618" s="21"/>
      <c r="F618" s="21"/>
      <c r="J618" s="21"/>
      <c r="K618" s="21"/>
      <c r="L618" s="21"/>
      <c r="M618" s="21"/>
      <c r="O618" s="24"/>
      <c r="P618" s="24"/>
      <c r="U618" s="27"/>
      <c r="X618" s="21"/>
      <c r="Y618" s="21"/>
      <c r="Z618" s="21"/>
      <c r="AA618" s="28"/>
      <c r="AB618" s="29"/>
      <c r="AC618" s="21"/>
      <c r="AD618" s="25"/>
      <c r="AE618" s="25"/>
      <c r="AF618" s="25"/>
    </row>
    <row r="619" ht="12.75" customHeight="1">
      <c r="B619" s="21"/>
      <c r="C619" s="21"/>
      <c r="E619" s="21"/>
      <c r="F619" s="21"/>
      <c r="J619" s="21"/>
      <c r="K619" s="21"/>
      <c r="L619" s="21"/>
      <c r="M619" s="21"/>
      <c r="O619" s="24"/>
      <c r="P619" s="24"/>
      <c r="U619" s="27"/>
      <c r="X619" s="21"/>
      <c r="Y619" s="21"/>
      <c r="Z619" s="21"/>
      <c r="AA619" s="28"/>
      <c r="AB619" s="29"/>
      <c r="AC619" s="21"/>
      <c r="AD619" s="25"/>
      <c r="AE619" s="25"/>
      <c r="AF619" s="25"/>
    </row>
    <row r="620" ht="12.75" customHeight="1">
      <c r="B620" s="21"/>
      <c r="C620" s="21"/>
      <c r="E620" s="21"/>
      <c r="F620" s="21"/>
      <c r="J620" s="21"/>
      <c r="K620" s="21"/>
      <c r="L620" s="21"/>
      <c r="M620" s="21"/>
      <c r="O620" s="24"/>
      <c r="P620" s="24"/>
      <c r="U620" s="27"/>
      <c r="X620" s="21"/>
      <c r="Y620" s="21"/>
      <c r="Z620" s="21"/>
      <c r="AA620" s="28"/>
      <c r="AB620" s="29"/>
      <c r="AC620" s="21"/>
      <c r="AD620" s="25"/>
      <c r="AE620" s="25"/>
      <c r="AF620" s="25"/>
    </row>
    <row r="621" ht="12.75" customHeight="1">
      <c r="B621" s="21"/>
      <c r="C621" s="21"/>
      <c r="E621" s="21"/>
      <c r="F621" s="21"/>
      <c r="J621" s="21"/>
      <c r="K621" s="21"/>
      <c r="L621" s="21"/>
      <c r="M621" s="21"/>
      <c r="O621" s="24"/>
      <c r="P621" s="24"/>
      <c r="U621" s="27"/>
      <c r="X621" s="21"/>
      <c r="Y621" s="21"/>
      <c r="Z621" s="21"/>
      <c r="AA621" s="28"/>
      <c r="AB621" s="29"/>
      <c r="AC621" s="21"/>
      <c r="AD621" s="25"/>
      <c r="AE621" s="25"/>
      <c r="AF621" s="25"/>
    </row>
    <row r="622" ht="12.75" customHeight="1">
      <c r="B622" s="21"/>
      <c r="C622" s="21"/>
      <c r="E622" s="21"/>
      <c r="F622" s="21"/>
      <c r="J622" s="21"/>
      <c r="K622" s="21"/>
      <c r="L622" s="21"/>
      <c r="M622" s="21"/>
      <c r="O622" s="24"/>
      <c r="P622" s="24"/>
      <c r="U622" s="27"/>
      <c r="X622" s="21"/>
      <c r="Y622" s="21"/>
      <c r="Z622" s="21"/>
      <c r="AA622" s="28"/>
      <c r="AB622" s="29"/>
      <c r="AC622" s="21"/>
      <c r="AD622" s="25"/>
      <c r="AE622" s="25"/>
      <c r="AF622" s="25"/>
    </row>
    <row r="623" ht="12.75" customHeight="1">
      <c r="B623" s="21"/>
      <c r="C623" s="21"/>
      <c r="E623" s="21"/>
      <c r="F623" s="21"/>
      <c r="J623" s="21"/>
      <c r="K623" s="21"/>
      <c r="L623" s="21"/>
      <c r="M623" s="21"/>
      <c r="O623" s="24"/>
      <c r="P623" s="24"/>
      <c r="U623" s="27"/>
      <c r="X623" s="21"/>
      <c r="Y623" s="21"/>
      <c r="Z623" s="21"/>
      <c r="AA623" s="28"/>
      <c r="AB623" s="29"/>
      <c r="AC623" s="21"/>
      <c r="AD623" s="25"/>
      <c r="AE623" s="25"/>
      <c r="AF623" s="25"/>
    </row>
    <row r="624" ht="12.75" customHeight="1">
      <c r="B624" s="21"/>
      <c r="C624" s="21"/>
      <c r="E624" s="21"/>
      <c r="F624" s="21"/>
      <c r="J624" s="21"/>
      <c r="K624" s="21"/>
      <c r="L624" s="21"/>
      <c r="M624" s="21"/>
      <c r="O624" s="24"/>
      <c r="P624" s="24"/>
      <c r="U624" s="27"/>
      <c r="X624" s="21"/>
      <c r="Y624" s="21"/>
      <c r="Z624" s="21"/>
      <c r="AA624" s="28"/>
      <c r="AB624" s="29"/>
      <c r="AC624" s="21"/>
      <c r="AD624" s="25"/>
      <c r="AE624" s="25"/>
      <c r="AF624" s="25"/>
    </row>
    <row r="625" ht="12.75" customHeight="1">
      <c r="B625" s="21"/>
      <c r="C625" s="21"/>
      <c r="E625" s="21"/>
      <c r="F625" s="21"/>
      <c r="J625" s="21"/>
      <c r="K625" s="21"/>
      <c r="L625" s="21"/>
      <c r="M625" s="21"/>
      <c r="O625" s="24"/>
      <c r="P625" s="24"/>
      <c r="U625" s="27"/>
      <c r="X625" s="21"/>
      <c r="Y625" s="21"/>
      <c r="Z625" s="21"/>
      <c r="AA625" s="28"/>
      <c r="AB625" s="29"/>
      <c r="AC625" s="21"/>
      <c r="AD625" s="25"/>
      <c r="AE625" s="25"/>
      <c r="AF625" s="25"/>
    </row>
    <row r="626" ht="12.75" customHeight="1">
      <c r="B626" s="21"/>
      <c r="C626" s="21"/>
      <c r="E626" s="21"/>
      <c r="F626" s="21"/>
      <c r="J626" s="21"/>
      <c r="K626" s="21"/>
      <c r="L626" s="21"/>
      <c r="M626" s="21"/>
      <c r="O626" s="24"/>
      <c r="P626" s="24"/>
      <c r="U626" s="27"/>
      <c r="X626" s="21"/>
      <c r="Y626" s="21"/>
      <c r="Z626" s="21"/>
      <c r="AA626" s="28"/>
      <c r="AB626" s="29"/>
      <c r="AC626" s="21"/>
      <c r="AD626" s="25"/>
      <c r="AE626" s="25"/>
      <c r="AF626" s="25"/>
    </row>
    <row r="627" ht="12.75" customHeight="1">
      <c r="B627" s="21"/>
      <c r="C627" s="21"/>
      <c r="E627" s="21"/>
      <c r="F627" s="21"/>
      <c r="J627" s="21"/>
      <c r="K627" s="21"/>
      <c r="L627" s="21"/>
      <c r="M627" s="21"/>
      <c r="O627" s="24"/>
      <c r="P627" s="24"/>
      <c r="U627" s="27"/>
      <c r="X627" s="21"/>
      <c r="Y627" s="21"/>
      <c r="Z627" s="21"/>
      <c r="AA627" s="28"/>
      <c r="AB627" s="29"/>
      <c r="AC627" s="21"/>
      <c r="AD627" s="25"/>
      <c r="AE627" s="25"/>
      <c r="AF627" s="25"/>
    </row>
    <row r="628" ht="12.75" customHeight="1">
      <c r="B628" s="21"/>
      <c r="C628" s="21"/>
      <c r="E628" s="21"/>
      <c r="F628" s="21"/>
      <c r="J628" s="21"/>
      <c r="K628" s="21"/>
      <c r="L628" s="21"/>
      <c r="M628" s="21"/>
      <c r="O628" s="24"/>
      <c r="P628" s="24"/>
      <c r="U628" s="27"/>
      <c r="X628" s="21"/>
      <c r="Y628" s="21"/>
      <c r="Z628" s="21"/>
      <c r="AA628" s="28"/>
      <c r="AB628" s="29"/>
      <c r="AC628" s="21"/>
      <c r="AD628" s="25"/>
      <c r="AE628" s="25"/>
      <c r="AF628" s="25"/>
    </row>
    <row r="629" ht="12.75" customHeight="1">
      <c r="B629" s="21"/>
      <c r="C629" s="21"/>
      <c r="E629" s="21"/>
      <c r="F629" s="21"/>
      <c r="J629" s="21"/>
      <c r="K629" s="21"/>
      <c r="L629" s="21"/>
      <c r="M629" s="21"/>
      <c r="O629" s="24"/>
      <c r="P629" s="24"/>
      <c r="U629" s="27"/>
      <c r="X629" s="21"/>
      <c r="Y629" s="21"/>
      <c r="Z629" s="21"/>
      <c r="AA629" s="28"/>
      <c r="AB629" s="29"/>
      <c r="AC629" s="21"/>
      <c r="AD629" s="25"/>
      <c r="AE629" s="25"/>
      <c r="AF629" s="25"/>
    </row>
    <row r="630" ht="12.75" customHeight="1">
      <c r="B630" s="21"/>
      <c r="C630" s="21"/>
      <c r="E630" s="21"/>
      <c r="F630" s="21"/>
      <c r="J630" s="21"/>
      <c r="K630" s="21"/>
      <c r="L630" s="21"/>
      <c r="M630" s="21"/>
      <c r="O630" s="24"/>
      <c r="P630" s="24"/>
      <c r="U630" s="27"/>
      <c r="X630" s="21"/>
      <c r="Y630" s="21"/>
      <c r="Z630" s="21"/>
      <c r="AA630" s="28"/>
      <c r="AB630" s="29"/>
      <c r="AC630" s="21"/>
      <c r="AD630" s="25"/>
      <c r="AE630" s="25"/>
      <c r="AF630" s="25"/>
    </row>
    <row r="631" ht="12.75" customHeight="1">
      <c r="B631" s="21"/>
      <c r="C631" s="21"/>
      <c r="E631" s="21"/>
      <c r="F631" s="21"/>
      <c r="J631" s="21"/>
      <c r="K631" s="21"/>
      <c r="L631" s="21"/>
      <c r="M631" s="21"/>
      <c r="O631" s="24"/>
      <c r="P631" s="24"/>
      <c r="U631" s="27"/>
      <c r="X631" s="21"/>
      <c r="Y631" s="21"/>
      <c r="Z631" s="21"/>
      <c r="AA631" s="28"/>
      <c r="AB631" s="29"/>
      <c r="AC631" s="21"/>
      <c r="AD631" s="25"/>
      <c r="AE631" s="25"/>
      <c r="AF631" s="25"/>
    </row>
    <row r="632" ht="12.75" customHeight="1">
      <c r="B632" s="21"/>
      <c r="C632" s="21"/>
      <c r="E632" s="21"/>
      <c r="F632" s="21"/>
      <c r="J632" s="21"/>
      <c r="K632" s="21"/>
      <c r="L632" s="21"/>
      <c r="M632" s="21"/>
      <c r="O632" s="24"/>
      <c r="P632" s="24"/>
      <c r="U632" s="27"/>
      <c r="X632" s="21"/>
      <c r="Y632" s="21"/>
      <c r="Z632" s="21"/>
      <c r="AA632" s="28"/>
      <c r="AB632" s="29"/>
      <c r="AC632" s="21"/>
      <c r="AD632" s="25"/>
      <c r="AE632" s="25"/>
      <c r="AF632" s="25"/>
    </row>
    <row r="633" ht="12.75" customHeight="1">
      <c r="B633" s="21"/>
      <c r="C633" s="21"/>
      <c r="E633" s="21"/>
      <c r="F633" s="21"/>
      <c r="J633" s="21"/>
      <c r="K633" s="21"/>
      <c r="L633" s="21"/>
      <c r="M633" s="21"/>
      <c r="O633" s="24"/>
      <c r="P633" s="24"/>
      <c r="U633" s="27"/>
      <c r="X633" s="21"/>
      <c r="Y633" s="21"/>
      <c r="Z633" s="21"/>
      <c r="AA633" s="28"/>
      <c r="AB633" s="29"/>
      <c r="AC633" s="21"/>
      <c r="AD633" s="25"/>
      <c r="AE633" s="25"/>
      <c r="AF633" s="25"/>
    </row>
    <row r="634" ht="12.75" customHeight="1">
      <c r="B634" s="21"/>
      <c r="C634" s="21"/>
      <c r="E634" s="21"/>
      <c r="F634" s="21"/>
      <c r="J634" s="21"/>
      <c r="K634" s="21"/>
      <c r="L634" s="21"/>
      <c r="M634" s="21"/>
      <c r="O634" s="24"/>
      <c r="P634" s="24"/>
      <c r="U634" s="27"/>
      <c r="X634" s="21"/>
      <c r="Y634" s="21"/>
      <c r="Z634" s="21"/>
      <c r="AA634" s="28"/>
      <c r="AB634" s="29"/>
      <c r="AC634" s="21"/>
      <c r="AD634" s="25"/>
      <c r="AE634" s="25"/>
      <c r="AF634" s="25"/>
    </row>
    <row r="635" ht="12.75" customHeight="1">
      <c r="B635" s="21"/>
      <c r="C635" s="21"/>
      <c r="E635" s="21"/>
      <c r="F635" s="21"/>
      <c r="J635" s="21"/>
      <c r="K635" s="21"/>
      <c r="L635" s="21"/>
      <c r="M635" s="21"/>
      <c r="O635" s="24"/>
      <c r="P635" s="24"/>
      <c r="U635" s="27"/>
      <c r="X635" s="21"/>
      <c r="Y635" s="21"/>
      <c r="Z635" s="21"/>
      <c r="AA635" s="28"/>
      <c r="AB635" s="29"/>
      <c r="AC635" s="21"/>
      <c r="AD635" s="25"/>
      <c r="AE635" s="25"/>
      <c r="AF635" s="25"/>
    </row>
    <row r="636" ht="12.75" customHeight="1">
      <c r="B636" s="21"/>
      <c r="C636" s="21"/>
      <c r="E636" s="21"/>
      <c r="F636" s="21"/>
      <c r="J636" s="21"/>
      <c r="K636" s="21"/>
      <c r="L636" s="21"/>
      <c r="M636" s="21"/>
      <c r="O636" s="24"/>
      <c r="P636" s="24"/>
      <c r="U636" s="27"/>
      <c r="X636" s="21"/>
      <c r="Y636" s="21"/>
      <c r="Z636" s="21"/>
      <c r="AA636" s="28"/>
      <c r="AB636" s="29"/>
      <c r="AC636" s="21"/>
      <c r="AD636" s="25"/>
      <c r="AE636" s="25"/>
      <c r="AF636" s="25"/>
    </row>
    <row r="637" ht="12.75" customHeight="1">
      <c r="B637" s="21"/>
      <c r="C637" s="21"/>
      <c r="E637" s="21"/>
      <c r="F637" s="21"/>
      <c r="J637" s="21"/>
      <c r="K637" s="21"/>
      <c r="L637" s="21"/>
      <c r="M637" s="21"/>
      <c r="O637" s="24"/>
      <c r="P637" s="24"/>
      <c r="U637" s="27"/>
      <c r="X637" s="21"/>
      <c r="Y637" s="21"/>
      <c r="Z637" s="21"/>
      <c r="AA637" s="28"/>
      <c r="AB637" s="29"/>
      <c r="AC637" s="21"/>
      <c r="AD637" s="25"/>
      <c r="AE637" s="25"/>
      <c r="AF637" s="25"/>
    </row>
    <row r="638" ht="12.75" customHeight="1">
      <c r="B638" s="21"/>
      <c r="C638" s="21"/>
      <c r="E638" s="21"/>
      <c r="F638" s="21"/>
      <c r="J638" s="21"/>
      <c r="K638" s="21"/>
      <c r="L638" s="21"/>
      <c r="M638" s="21"/>
      <c r="O638" s="24"/>
      <c r="P638" s="24"/>
      <c r="U638" s="27"/>
      <c r="X638" s="21"/>
      <c r="Y638" s="21"/>
      <c r="Z638" s="21"/>
      <c r="AA638" s="28"/>
      <c r="AB638" s="29"/>
      <c r="AC638" s="21"/>
      <c r="AD638" s="25"/>
      <c r="AE638" s="25"/>
      <c r="AF638" s="25"/>
    </row>
    <row r="639" ht="12.75" customHeight="1">
      <c r="B639" s="21"/>
      <c r="C639" s="21"/>
      <c r="E639" s="21"/>
      <c r="F639" s="21"/>
      <c r="J639" s="21"/>
      <c r="K639" s="21"/>
      <c r="L639" s="21"/>
      <c r="M639" s="21"/>
      <c r="O639" s="24"/>
      <c r="P639" s="24"/>
      <c r="U639" s="27"/>
      <c r="X639" s="21"/>
      <c r="Y639" s="21"/>
      <c r="Z639" s="21"/>
      <c r="AA639" s="28"/>
      <c r="AB639" s="29"/>
      <c r="AC639" s="21"/>
      <c r="AD639" s="25"/>
      <c r="AE639" s="25"/>
      <c r="AF639" s="25"/>
    </row>
    <row r="640" ht="12.75" customHeight="1">
      <c r="B640" s="21"/>
      <c r="C640" s="21"/>
      <c r="E640" s="21"/>
      <c r="F640" s="21"/>
      <c r="J640" s="21"/>
      <c r="K640" s="21"/>
      <c r="L640" s="21"/>
      <c r="M640" s="21"/>
      <c r="O640" s="24"/>
      <c r="P640" s="24"/>
      <c r="U640" s="27"/>
      <c r="X640" s="21"/>
      <c r="Y640" s="21"/>
      <c r="Z640" s="21"/>
      <c r="AA640" s="28"/>
      <c r="AB640" s="29"/>
      <c r="AC640" s="21"/>
      <c r="AD640" s="25"/>
      <c r="AE640" s="25"/>
      <c r="AF640" s="25"/>
    </row>
    <row r="641" ht="12.75" customHeight="1">
      <c r="B641" s="21"/>
      <c r="C641" s="21"/>
      <c r="E641" s="21"/>
      <c r="F641" s="21"/>
      <c r="J641" s="21"/>
      <c r="K641" s="21"/>
      <c r="L641" s="21"/>
      <c r="M641" s="21"/>
      <c r="O641" s="24"/>
      <c r="P641" s="24"/>
      <c r="U641" s="27"/>
      <c r="X641" s="21"/>
      <c r="Y641" s="21"/>
      <c r="Z641" s="21"/>
      <c r="AA641" s="28"/>
      <c r="AB641" s="29"/>
      <c r="AC641" s="21"/>
      <c r="AD641" s="25"/>
      <c r="AE641" s="25"/>
      <c r="AF641" s="25"/>
    </row>
    <row r="642" ht="12.75" customHeight="1">
      <c r="B642" s="21"/>
      <c r="C642" s="21"/>
      <c r="E642" s="21"/>
      <c r="F642" s="21"/>
      <c r="J642" s="21"/>
      <c r="K642" s="21"/>
      <c r="L642" s="21"/>
      <c r="M642" s="21"/>
      <c r="O642" s="24"/>
      <c r="P642" s="24"/>
      <c r="U642" s="27"/>
      <c r="X642" s="21"/>
      <c r="Y642" s="21"/>
      <c r="Z642" s="21"/>
      <c r="AA642" s="28"/>
      <c r="AB642" s="29"/>
      <c r="AC642" s="21"/>
      <c r="AD642" s="25"/>
      <c r="AE642" s="25"/>
      <c r="AF642" s="25"/>
    </row>
    <row r="643" ht="12.75" customHeight="1">
      <c r="B643" s="21"/>
      <c r="C643" s="21"/>
      <c r="E643" s="21"/>
      <c r="F643" s="21"/>
      <c r="J643" s="21"/>
      <c r="K643" s="21"/>
      <c r="L643" s="21"/>
      <c r="M643" s="21"/>
      <c r="O643" s="24"/>
      <c r="P643" s="24"/>
      <c r="U643" s="27"/>
      <c r="X643" s="21"/>
      <c r="Y643" s="21"/>
      <c r="Z643" s="21"/>
      <c r="AA643" s="28"/>
      <c r="AB643" s="29"/>
      <c r="AC643" s="21"/>
      <c r="AD643" s="25"/>
      <c r="AE643" s="25"/>
      <c r="AF643" s="25"/>
    </row>
    <row r="644" ht="12.75" customHeight="1">
      <c r="B644" s="21"/>
      <c r="C644" s="21"/>
      <c r="E644" s="21"/>
      <c r="F644" s="21"/>
      <c r="J644" s="21"/>
      <c r="K644" s="21"/>
      <c r="L644" s="21"/>
      <c r="M644" s="21"/>
      <c r="O644" s="24"/>
      <c r="P644" s="24"/>
      <c r="U644" s="27"/>
      <c r="X644" s="21"/>
      <c r="Y644" s="21"/>
      <c r="Z644" s="21"/>
      <c r="AA644" s="28"/>
      <c r="AB644" s="29"/>
      <c r="AC644" s="21"/>
      <c r="AD644" s="25"/>
      <c r="AE644" s="25"/>
      <c r="AF644" s="25"/>
    </row>
    <row r="645" ht="12.75" customHeight="1">
      <c r="B645" s="21"/>
      <c r="C645" s="21"/>
      <c r="E645" s="21"/>
      <c r="F645" s="21"/>
      <c r="J645" s="21"/>
      <c r="K645" s="21"/>
      <c r="L645" s="21"/>
      <c r="M645" s="21"/>
      <c r="O645" s="24"/>
      <c r="P645" s="24"/>
      <c r="U645" s="27"/>
      <c r="X645" s="21"/>
      <c r="Y645" s="21"/>
      <c r="Z645" s="21"/>
      <c r="AA645" s="28"/>
      <c r="AB645" s="29"/>
      <c r="AC645" s="21"/>
      <c r="AD645" s="25"/>
      <c r="AE645" s="25"/>
      <c r="AF645" s="25"/>
    </row>
    <row r="646" ht="12.75" customHeight="1">
      <c r="B646" s="21"/>
      <c r="C646" s="21"/>
      <c r="E646" s="21"/>
      <c r="F646" s="21"/>
      <c r="J646" s="21"/>
      <c r="K646" s="21"/>
      <c r="L646" s="21"/>
      <c r="M646" s="21"/>
      <c r="O646" s="24"/>
      <c r="P646" s="24"/>
      <c r="U646" s="27"/>
      <c r="X646" s="21"/>
      <c r="Y646" s="21"/>
      <c r="Z646" s="21"/>
      <c r="AA646" s="28"/>
      <c r="AB646" s="29"/>
      <c r="AC646" s="21"/>
      <c r="AD646" s="25"/>
      <c r="AE646" s="25"/>
      <c r="AF646" s="25"/>
    </row>
    <row r="647" ht="12.75" customHeight="1">
      <c r="B647" s="21"/>
      <c r="C647" s="21"/>
      <c r="E647" s="21"/>
      <c r="F647" s="21"/>
      <c r="J647" s="21"/>
      <c r="K647" s="21"/>
      <c r="L647" s="21"/>
      <c r="M647" s="21"/>
      <c r="O647" s="24"/>
      <c r="P647" s="24"/>
      <c r="U647" s="27"/>
      <c r="X647" s="21"/>
      <c r="Y647" s="21"/>
      <c r="Z647" s="21"/>
      <c r="AA647" s="28"/>
      <c r="AB647" s="29"/>
      <c r="AC647" s="21"/>
      <c r="AD647" s="25"/>
      <c r="AE647" s="25"/>
      <c r="AF647" s="25"/>
    </row>
    <row r="648" ht="12.75" customHeight="1">
      <c r="B648" s="21"/>
      <c r="C648" s="21"/>
      <c r="E648" s="21"/>
      <c r="F648" s="21"/>
      <c r="J648" s="21"/>
      <c r="K648" s="21"/>
      <c r="L648" s="21"/>
      <c r="M648" s="21"/>
      <c r="O648" s="24"/>
      <c r="P648" s="24"/>
      <c r="U648" s="27"/>
      <c r="X648" s="21"/>
      <c r="Y648" s="21"/>
      <c r="Z648" s="21"/>
      <c r="AA648" s="28"/>
      <c r="AB648" s="29"/>
      <c r="AC648" s="21"/>
      <c r="AD648" s="25"/>
      <c r="AE648" s="25"/>
      <c r="AF648" s="25"/>
    </row>
    <row r="649" ht="12.75" customHeight="1">
      <c r="B649" s="21"/>
      <c r="C649" s="21"/>
      <c r="E649" s="21"/>
      <c r="F649" s="21"/>
      <c r="J649" s="21"/>
      <c r="K649" s="21"/>
      <c r="L649" s="21"/>
      <c r="M649" s="21"/>
      <c r="O649" s="24"/>
      <c r="P649" s="24"/>
      <c r="U649" s="27"/>
      <c r="X649" s="21"/>
      <c r="Y649" s="21"/>
      <c r="Z649" s="21"/>
      <c r="AA649" s="28"/>
      <c r="AB649" s="29"/>
      <c r="AC649" s="21"/>
      <c r="AD649" s="25"/>
      <c r="AE649" s="25"/>
      <c r="AF649" s="25"/>
    </row>
    <row r="650" ht="12.75" customHeight="1">
      <c r="B650" s="21"/>
      <c r="C650" s="21"/>
      <c r="E650" s="21"/>
      <c r="F650" s="21"/>
      <c r="J650" s="21"/>
      <c r="K650" s="21"/>
      <c r="L650" s="21"/>
      <c r="M650" s="21"/>
      <c r="O650" s="24"/>
      <c r="P650" s="24"/>
      <c r="U650" s="27"/>
      <c r="X650" s="21"/>
      <c r="Y650" s="21"/>
      <c r="Z650" s="21"/>
      <c r="AA650" s="28"/>
      <c r="AB650" s="29"/>
      <c r="AC650" s="21"/>
      <c r="AD650" s="25"/>
      <c r="AE650" s="25"/>
      <c r="AF650" s="25"/>
    </row>
    <row r="651" ht="12.75" customHeight="1">
      <c r="B651" s="21"/>
      <c r="C651" s="21"/>
      <c r="E651" s="21"/>
      <c r="F651" s="21"/>
      <c r="J651" s="21"/>
      <c r="K651" s="21"/>
      <c r="L651" s="21"/>
      <c r="M651" s="21"/>
      <c r="O651" s="24"/>
      <c r="P651" s="24"/>
      <c r="U651" s="27"/>
      <c r="X651" s="21"/>
      <c r="Y651" s="21"/>
      <c r="Z651" s="21"/>
      <c r="AA651" s="28"/>
      <c r="AB651" s="29"/>
      <c r="AC651" s="21"/>
      <c r="AD651" s="25"/>
      <c r="AE651" s="25"/>
      <c r="AF651" s="25"/>
    </row>
    <row r="652" ht="12.75" customHeight="1">
      <c r="B652" s="21"/>
      <c r="C652" s="21"/>
      <c r="E652" s="21"/>
      <c r="F652" s="21"/>
      <c r="J652" s="21"/>
      <c r="K652" s="21"/>
      <c r="L652" s="21"/>
      <c r="M652" s="21"/>
      <c r="O652" s="24"/>
      <c r="P652" s="24"/>
      <c r="U652" s="27"/>
      <c r="X652" s="21"/>
      <c r="Y652" s="21"/>
      <c r="Z652" s="21"/>
      <c r="AA652" s="28"/>
      <c r="AB652" s="29"/>
      <c r="AC652" s="21"/>
      <c r="AD652" s="25"/>
      <c r="AE652" s="25"/>
      <c r="AF652" s="25"/>
    </row>
    <row r="653" ht="12.75" customHeight="1">
      <c r="B653" s="21"/>
      <c r="C653" s="21"/>
      <c r="E653" s="21"/>
      <c r="F653" s="21"/>
      <c r="J653" s="21"/>
      <c r="K653" s="21"/>
      <c r="L653" s="21"/>
      <c r="M653" s="21"/>
      <c r="O653" s="24"/>
      <c r="P653" s="24"/>
      <c r="U653" s="27"/>
      <c r="X653" s="21"/>
      <c r="Y653" s="21"/>
      <c r="Z653" s="21"/>
      <c r="AA653" s="28"/>
      <c r="AB653" s="29"/>
      <c r="AC653" s="21"/>
      <c r="AD653" s="25"/>
      <c r="AE653" s="25"/>
      <c r="AF653" s="25"/>
    </row>
    <row r="654" ht="12.75" customHeight="1">
      <c r="B654" s="21"/>
      <c r="C654" s="21"/>
      <c r="E654" s="21"/>
      <c r="F654" s="21"/>
      <c r="J654" s="21"/>
      <c r="K654" s="21"/>
      <c r="L654" s="21"/>
      <c r="M654" s="21"/>
      <c r="O654" s="24"/>
      <c r="P654" s="24"/>
      <c r="U654" s="27"/>
      <c r="X654" s="21"/>
      <c r="Y654" s="21"/>
      <c r="Z654" s="21"/>
      <c r="AA654" s="28"/>
      <c r="AB654" s="29"/>
      <c r="AC654" s="21"/>
      <c r="AD654" s="25"/>
      <c r="AE654" s="25"/>
      <c r="AF654" s="25"/>
    </row>
    <row r="655" ht="12.75" customHeight="1">
      <c r="B655" s="21"/>
      <c r="C655" s="21"/>
      <c r="E655" s="21"/>
      <c r="F655" s="21"/>
      <c r="J655" s="21"/>
      <c r="K655" s="21"/>
      <c r="L655" s="21"/>
      <c r="M655" s="21"/>
      <c r="O655" s="24"/>
      <c r="P655" s="24"/>
      <c r="U655" s="27"/>
      <c r="X655" s="21"/>
      <c r="Y655" s="21"/>
      <c r="Z655" s="21"/>
      <c r="AA655" s="28"/>
      <c r="AB655" s="29"/>
      <c r="AC655" s="21"/>
      <c r="AD655" s="25"/>
      <c r="AE655" s="25"/>
      <c r="AF655" s="25"/>
    </row>
    <row r="656" ht="12.75" customHeight="1">
      <c r="B656" s="21"/>
      <c r="C656" s="21"/>
      <c r="E656" s="21"/>
      <c r="F656" s="21"/>
      <c r="J656" s="21"/>
      <c r="K656" s="21"/>
      <c r="L656" s="21"/>
      <c r="M656" s="21"/>
      <c r="O656" s="24"/>
      <c r="P656" s="24"/>
      <c r="U656" s="27"/>
      <c r="X656" s="21"/>
      <c r="Y656" s="21"/>
      <c r="Z656" s="21"/>
      <c r="AA656" s="28"/>
      <c r="AB656" s="29"/>
      <c r="AC656" s="21"/>
      <c r="AD656" s="25"/>
      <c r="AE656" s="25"/>
      <c r="AF656" s="25"/>
    </row>
    <row r="657" ht="12.75" customHeight="1">
      <c r="B657" s="21"/>
      <c r="C657" s="21"/>
      <c r="E657" s="21"/>
      <c r="F657" s="21"/>
      <c r="J657" s="21"/>
      <c r="K657" s="21"/>
      <c r="L657" s="21"/>
      <c r="M657" s="21"/>
      <c r="O657" s="24"/>
      <c r="P657" s="24"/>
      <c r="U657" s="27"/>
      <c r="X657" s="21"/>
      <c r="Y657" s="21"/>
      <c r="Z657" s="21"/>
      <c r="AA657" s="28"/>
      <c r="AB657" s="29"/>
      <c r="AC657" s="21"/>
      <c r="AD657" s="25"/>
      <c r="AE657" s="25"/>
      <c r="AF657" s="25"/>
    </row>
    <row r="658" ht="12.75" customHeight="1">
      <c r="B658" s="21"/>
      <c r="C658" s="21"/>
      <c r="E658" s="21"/>
      <c r="F658" s="21"/>
      <c r="J658" s="21"/>
      <c r="K658" s="21"/>
      <c r="L658" s="21"/>
      <c r="M658" s="21"/>
      <c r="O658" s="24"/>
      <c r="P658" s="24"/>
      <c r="U658" s="27"/>
      <c r="X658" s="21"/>
      <c r="Y658" s="21"/>
      <c r="Z658" s="21"/>
      <c r="AA658" s="28"/>
      <c r="AB658" s="29"/>
      <c r="AC658" s="21"/>
      <c r="AD658" s="25"/>
      <c r="AE658" s="25"/>
      <c r="AF658" s="25"/>
    </row>
    <row r="659" ht="12.75" customHeight="1">
      <c r="B659" s="21"/>
      <c r="C659" s="21"/>
      <c r="E659" s="21"/>
      <c r="F659" s="21"/>
      <c r="J659" s="21"/>
      <c r="K659" s="21"/>
      <c r="L659" s="21"/>
      <c r="M659" s="21"/>
      <c r="O659" s="24"/>
      <c r="P659" s="24"/>
      <c r="U659" s="27"/>
      <c r="X659" s="21"/>
      <c r="Y659" s="21"/>
      <c r="Z659" s="21"/>
      <c r="AA659" s="28"/>
      <c r="AB659" s="29"/>
      <c r="AC659" s="21"/>
      <c r="AD659" s="25"/>
      <c r="AE659" s="25"/>
      <c r="AF659" s="25"/>
    </row>
    <row r="660" ht="12.75" customHeight="1">
      <c r="B660" s="21"/>
      <c r="C660" s="21"/>
      <c r="E660" s="21"/>
      <c r="F660" s="21"/>
      <c r="J660" s="21"/>
      <c r="K660" s="21"/>
      <c r="L660" s="21"/>
      <c r="M660" s="21"/>
      <c r="O660" s="24"/>
      <c r="P660" s="24"/>
      <c r="U660" s="27"/>
      <c r="X660" s="21"/>
      <c r="Y660" s="21"/>
      <c r="Z660" s="21"/>
      <c r="AA660" s="28"/>
      <c r="AB660" s="29"/>
      <c r="AC660" s="21"/>
      <c r="AD660" s="25"/>
      <c r="AE660" s="25"/>
      <c r="AF660" s="25"/>
    </row>
    <row r="661" ht="12.75" customHeight="1">
      <c r="B661" s="21"/>
      <c r="C661" s="21"/>
      <c r="E661" s="21"/>
      <c r="F661" s="21"/>
      <c r="J661" s="21"/>
      <c r="K661" s="21"/>
      <c r="L661" s="21"/>
      <c r="M661" s="21"/>
      <c r="O661" s="24"/>
      <c r="P661" s="24"/>
      <c r="U661" s="27"/>
      <c r="X661" s="21"/>
      <c r="Y661" s="21"/>
      <c r="Z661" s="21"/>
      <c r="AA661" s="28"/>
      <c r="AB661" s="29"/>
      <c r="AC661" s="21"/>
      <c r="AD661" s="25"/>
      <c r="AE661" s="25"/>
      <c r="AF661" s="25"/>
    </row>
    <row r="662" ht="12.75" customHeight="1">
      <c r="B662" s="21"/>
      <c r="C662" s="21"/>
      <c r="E662" s="21"/>
      <c r="F662" s="21"/>
      <c r="J662" s="21"/>
      <c r="K662" s="21"/>
      <c r="L662" s="21"/>
      <c r="M662" s="21"/>
      <c r="O662" s="24"/>
      <c r="P662" s="24"/>
      <c r="U662" s="27"/>
      <c r="X662" s="21"/>
      <c r="Y662" s="21"/>
      <c r="Z662" s="21"/>
      <c r="AA662" s="28"/>
      <c r="AB662" s="29"/>
      <c r="AC662" s="21"/>
      <c r="AD662" s="25"/>
      <c r="AE662" s="25"/>
      <c r="AF662" s="25"/>
    </row>
    <row r="663" ht="12.75" customHeight="1">
      <c r="B663" s="21"/>
      <c r="C663" s="21"/>
      <c r="E663" s="21"/>
      <c r="F663" s="21"/>
      <c r="J663" s="21"/>
      <c r="K663" s="21"/>
      <c r="L663" s="21"/>
      <c r="M663" s="21"/>
      <c r="O663" s="24"/>
      <c r="P663" s="24"/>
      <c r="U663" s="27"/>
      <c r="X663" s="21"/>
      <c r="Y663" s="21"/>
      <c r="Z663" s="21"/>
      <c r="AA663" s="28"/>
      <c r="AB663" s="29"/>
      <c r="AC663" s="21"/>
      <c r="AD663" s="25"/>
      <c r="AE663" s="25"/>
      <c r="AF663" s="25"/>
    </row>
    <row r="664" ht="12.75" customHeight="1">
      <c r="B664" s="21"/>
      <c r="C664" s="21"/>
      <c r="E664" s="21"/>
      <c r="F664" s="21"/>
      <c r="J664" s="21"/>
      <c r="K664" s="21"/>
      <c r="L664" s="21"/>
      <c r="M664" s="21"/>
      <c r="O664" s="24"/>
      <c r="P664" s="24"/>
      <c r="U664" s="27"/>
      <c r="X664" s="21"/>
      <c r="Y664" s="21"/>
      <c r="Z664" s="21"/>
      <c r="AA664" s="28"/>
      <c r="AB664" s="29"/>
      <c r="AC664" s="21"/>
      <c r="AD664" s="25"/>
      <c r="AE664" s="25"/>
      <c r="AF664" s="25"/>
    </row>
    <row r="665" ht="12.75" customHeight="1">
      <c r="B665" s="21"/>
      <c r="C665" s="21"/>
      <c r="E665" s="21"/>
      <c r="F665" s="21"/>
      <c r="J665" s="21"/>
      <c r="K665" s="21"/>
      <c r="L665" s="21"/>
      <c r="M665" s="21"/>
      <c r="O665" s="24"/>
      <c r="P665" s="24"/>
      <c r="U665" s="27"/>
      <c r="X665" s="21"/>
      <c r="Y665" s="21"/>
      <c r="Z665" s="21"/>
      <c r="AA665" s="28"/>
      <c r="AB665" s="29"/>
      <c r="AC665" s="21"/>
      <c r="AD665" s="25"/>
      <c r="AE665" s="25"/>
      <c r="AF665" s="25"/>
    </row>
    <row r="666" ht="12.75" customHeight="1">
      <c r="B666" s="21"/>
      <c r="C666" s="21"/>
      <c r="E666" s="21"/>
      <c r="F666" s="21"/>
      <c r="J666" s="21"/>
      <c r="K666" s="21"/>
      <c r="L666" s="21"/>
      <c r="M666" s="21"/>
      <c r="O666" s="24"/>
      <c r="P666" s="24"/>
      <c r="U666" s="27"/>
      <c r="X666" s="21"/>
      <c r="Y666" s="21"/>
      <c r="Z666" s="21"/>
      <c r="AA666" s="28"/>
      <c r="AB666" s="29"/>
      <c r="AC666" s="21"/>
      <c r="AD666" s="25"/>
      <c r="AE666" s="25"/>
      <c r="AF666" s="25"/>
    </row>
    <row r="667" ht="12.75" customHeight="1">
      <c r="B667" s="21"/>
      <c r="C667" s="21"/>
      <c r="E667" s="21"/>
      <c r="F667" s="21"/>
      <c r="J667" s="21"/>
      <c r="K667" s="21"/>
      <c r="L667" s="21"/>
      <c r="M667" s="21"/>
      <c r="O667" s="24"/>
      <c r="P667" s="24"/>
      <c r="U667" s="27"/>
      <c r="X667" s="21"/>
      <c r="Y667" s="21"/>
      <c r="Z667" s="21"/>
      <c r="AA667" s="28"/>
      <c r="AB667" s="29"/>
      <c r="AC667" s="21"/>
      <c r="AD667" s="25"/>
      <c r="AE667" s="25"/>
      <c r="AF667" s="25"/>
    </row>
    <row r="668" ht="12.75" customHeight="1">
      <c r="B668" s="21"/>
      <c r="C668" s="21"/>
      <c r="E668" s="21"/>
      <c r="F668" s="21"/>
      <c r="J668" s="21"/>
      <c r="K668" s="21"/>
      <c r="L668" s="21"/>
      <c r="M668" s="21"/>
      <c r="O668" s="24"/>
      <c r="P668" s="24"/>
      <c r="U668" s="27"/>
      <c r="X668" s="21"/>
      <c r="Y668" s="21"/>
      <c r="Z668" s="21"/>
      <c r="AA668" s="28"/>
      <c r="AB668" s="29"/>
      <c r="AC668" s="21"/>
      <c r="AD668" s="25"/>
      <c r="AE668" s="25"/>
      <c r="AF668" s="25"/>
    </row>
    <row r="669" ht="12.75" customHeight="1">
      <c r="B669" s="21"/>
      <c r="C669" s="21"/>
      <c r="E669" s="21"/>
      <c r="F669" s="21"/>
      <c r="J669" s="21"/>
      <c r="K669" s="21"/>
      <c r="L669" s="21"/>
      <c r="M669" s="21"/>
      <c r="O669" s="24"/>
      <c r="P669" s="24"/>
      <c r="U669" s="27"/>
      <c r="X669" s="21"/>
      <c r="Y669" s="21"/>
      <c r="Z669" s="21"/>
      <c r="AA669" s="28"/>
      <c r="AB669" s="29"/>
      <c r="AC669" s="21"/>
      <c r="AD669" s="25"/>
      <c r="AE669" s="25"/>
      <c r="AF669" s="25"/>
    </row>
    <row r="670" ht="12.75" customHeight="1">
      <c r="B670" s="21"/>
      <c r="C670" s="21"/>
      <c r="E670" s="21"/>
      <c r="F670" s="21"/>
      <c r="J670" s="21"/>
      <c r="K670" s="21"/>
      <c r="L670" s="21"/>
      <c r="M670" s="21"/>
      <c r="O670" s="24"/>
      <c r="P670" s="24"/>
      <c r="U670" s="27"/>
      <c r="X670" s="21"/>
      <c r="Y670" s="21"/>
      <c r="Z670" s="21"/>
      <c r="AA670" s="28"/>
      <c r="AB670" s="29"/>
      <c r="AC670" s="21"/>
      <c r="AD670" s="25"/>
      <c r="AE670" s="25"/>
      <c r="AF670" s="25"/>
    </row>
    <row r="671" ht="12.75" customHeight="1">
      <c r="B671" s="21"/>
      <c r="C671" s="21"/>
      <c r="E671" s="21"/>
      <c r="F671" s="21"/>
      <c r="J671" s="21"/>
      <c r="K671" s="21"/>
      <c r="L671" s="21"/>
      <c r="M671" s="21"/>
      <c r="O671" s="24"/>
      <c r="P671" s="24"/>
      <c r="U671" s="27"/>
      <c r="X671" s="21"/>
      <c r="Y671" s="21"/>
      <c r="Z671" s="21"/>
      <c r="AA671" s="28"/>
      <c r="AB671" s="29"/>
      <c r="AC671" s="21"/>
      <c r="AD671" s="25"/>
      <c r="AE671" s="25"/>
      <c r="AF671" s="25"/>
    </row>
    <row r="672" ht="12.75" customHeight="1">
      <c r="B672" s="21"/>
      <c r="C672" s="21"/>
      <c r="E672" s="21"/>
      <c r="F672" s="21"/>
      <c r="J672" s="21"/>
      <c r="K672" s="21"/>
      <c r="L672" s="21"/>
      <c r="M672" s="21"/>
      <c r="O672" s="24"/>
      <c r="P672" s="24"/>
      <c r="U672" s="27"/>
      <c r="X672" s="21"/>
      <c r="Y672" s="21"/>
      <c r="Z672" s="21"/>
      <c r="AA672" s="28"/>
      <c r="AB672" s="29"/>
      <c r="AC672" s="21"/>
      <c r="AD672" s="25"/>
      <c r="AE672" s="25"/>
      <c r="AF672" s="25"/>
    </row>
    <row r="673" ht="12.75" customHeight="1">
      <c r="B673" s="21"/>
      <c r="C673" s="21"/>
      <c r="E673" s="21"/>
      <c r="F673" s="21"/>
      <c r="J673" s="21"/>
      <c r="K673" s="21"/>
      <c r="L673" s="21"/>
      <c r="M673" s="21"/>
      <c r="O673" s="24"/>
      <c r="P673" s="24"/>
      <c r="U673" s="27"/>
      <c r="X673" s="21"/>
      <c r="Y673" s="21"/>
      <c r="Z673" s="21"/>
      <c r="AA673" s="28"/>
      <c r="AB673" s="29"/>
      <c r="AC673" s="21"/>
      <c r="AD673" s="25"/>
      <c r="AE673" s="25"/>
      <c r="AF673" s="25"/>
    </row>
    <row r="674" ht="12.75" customHeight="1">
      <c r="B674" s="21"/>
      <c r="C674" s="21"/>
      <c r="E674" s="21"/>
      <c r="F674" s="21"/>
      <c r="J674" s="21"/>
      <c r="K674" s="21"/>
      <c r="L674" s="21"/>
      <c r="M674" s="21"/>
      <c r="O674" s="24"/>
      <c r="P674" s="24"/>
      <c r="U674" s="27"/>
      <c r="X674" s="21"/>
      <c r="Y674" s="21"/>
      <c r="Z674" s="21"/>
      <c r="AA674" s="28"/>
      <c r="AB674" s="29"/>
      <c r="AC674" s="21"/>
      <c r="AD674" s="25"/>
      <c r="AE674" s="25"/>
      <c r="AF674" s="25"/>
    </row>
    <row r="675" ht="12.75" customHeight="1">
      <c r="B675" s="21"/>
      <c r="C675" s="21"/>
      <c r="E675" s="21"/>
      <c r="F675" s="21"/>
      <c r="J675" s="21"/>
      <c r="K675" s="21"/>
      <c r="L675" s="21"/>
      <c r="M675" s="21"/>
      <c r="O675" s="24"/>
      <c r="P675" s="24"/>
      <c r="U675" s="27"/>
      <c r="X675" s="21"/>
      <c r="Y675" s="21"/>
      <c r="Z675" s="21"/>
      <c r="AA675" s="28"/>
      <c r="AB675" s="29"/>
      <c r="AC675" s="21"/>
      <c r="AD675" s="25"/>
      <c r="AE675" s="25"/>
      <c r="AF675" s="25"/>
    </row>
    <row r="676" ht="12.75" customHeight="1">
      <c r="B676" s="21"/>
      <c r="C676" s="21"/>
      <c r="E676" s="21"/>
      <c r="F676" s="21"/>
      <c r="J676" s="21"/>
      <c r="K676" s="21"/>
      <c r="L676" s="21"/>
      <c r="M676" s="21"/>
      <c r="O676" s="24"/>
      <c r="P676" s="24"/>
      <c r="U676" s="27"/>
      <c r="X676" s="21"/>
      <c r="Y676" s="21"/>
      <c r="Z676" s="21"/>
      <c r="AA676" s="28"/>
      <c r="AB676" s="29"/>
      <c r="AC676" s="21"/>
      <c r="AD676" s="25"/>
      <c r="AE676" s="25"/>
      <c r="AF676" s="25"/>
    </row>
    <row r="677" ht="12.75" customHeight="1">
      <c r="B677" s="21"/>
      <c r="C677" s="21"/>
      <c r="E677" s="21"/>
      <c r="F677" s="21"/>
      <c r="J677" s="21"/>
      <c r="K677" s="21"/>
      <c r="L677" s="21"/>
      <c r="M677" s="21"/>
      <c r="O677" s="24"/>
      <c r="P677" s="24"/>
      <c r="U677" s="27"/>
      <c r="X677" s="21"/>
      <c r="Y677" s="21"/>
      <c r="Z677" s="21"/>
      <c r="AA677" s="28"/>
      <c r="AB677" s="29"/>
      <c r="AC677" s="21"/>
      <c r="AD677" s="25"/>
      <c r="AE677" s="25"/>
      <c r="AF677" s="25"/>
    </row>
    <row r="678" ht="12.75" customHeight="1">
      <c r="B678" s="21"/>
      <c r="C678" s="21"/>
      <c r="E678" s="21"/>
      <c r="F678" s="21"/>
      <c r="J678" s="21"/>
      <c r="K678" s="21"/>
      <c r="L678" s="21"/>
      <c r="M678" s="21"/>
      <c r="O678" s="24"/>
      <c r="P678" s="24"/>
      <c r="U678" s="27"/>
      <c r="X678" s="21"/>
      <c r="Y678" s="21"/>
      <c r="Z678" s="21"/>
      <c r="AA678" s="28"/>
      <c r="AB678" s="29"/>
      <c r="AC678" s="21"/>
      <c r="AD678" s="25"/>
      <c r="AE678" s="25"/>
      <c r="AF678" s="25"/>
    </row>
    <row r="679" ht="12.75" customHeight="1">
      <c r="B679" s="21"/>
      <c r="C679" s="21"/>
      <c r="E679" s="21"/>
      <c r="F679" s="21"/>
      <c r="J679" s="21"/>
      <c r="K679" s="21"/>
      <c r="L679" s="21"/>
      <c r="M679" s="21"/>
      <c r="O679" s="24"/>
      <c r="P679" s="24"/>
      <c r="U679" s="27"/>
      <c r="X679" s="21"/>
      <c r="Y679" s="21"/>
      <c r="Z679" s="21"/>
      <c r="AA679" s="28"/>
      <c r="AB679" s="29"/>
      <c r="AC679" s="21"/>
      <c r="AD679" s="25"/>
      <c r="AE679" s="25"/>
      <c r="AF679" s="25"/>
    </row>
    <row r="680" ht="12.75" customHeight="1">
      <c r="B680" s="21"/>
      <c r="C680" s="21"/>
      <c r="E680" s="21"/>
      <c r="F680" s="21"/>
      <c r="J680" s="21"/>
      <c r="K680" s="21"/>
      <c r="L680" s="21"/>
      <c r="M680" s="21"/>
      <c r="O680" s="24"/>
      <c r="P680" s="24"/>
      <c r="U680" s="27"/>
      <c r="X680" s="21"/>
      <c r="Y680" s="21"/>
      <c r="Z680" s="21"/>
      <c r="AA680" s="28"/>
      <c r="AB680" s="29"/>
      <c r="AC680" s="21"/>
      <c r="AD680" s="25"/>
      <c r="AE680" s="25"/>
      <c r="AF680" s="25"/>
    </row>
    <row r="681" ht="12.75" customHeight="1">
      <c r="B681" s="21"/>
      <c r="C681" s="21"/>
      <c r="E681" s="21"/>
      <c r="F681" s="21"/>
      <c r="J681" s="21"/>
      <c r="K681" s="21"/>
      <c r="L681" s="21"/>
      <c r="M681" s="21"/>
      <c r="O681" s="24"/>
      <c r="P681" s="24"/>
      <c r="U681" s="27"/>
      <c r="X681" s="21"/>
      <c r="Y681" s="21"/>
      <c r="Z681" s="21"/>
      <c r="AA681" s="28"/>
      <c r="AB681" s="29"/>
      <c r="AC681" s="21"/>
      <c r="AD681" s="25"/>
      <c r="AE681" s="25"/>
      <c r="AF681" s="25"/>
    </row>
    <row r="682" ht="12.75" customHeight="1">
      <c r="B682" s="21"/>
      <c r="C682" s="21"/>
      <c r="E682" s="21"/>
      <c r="F682" s="21"/>
      <c r="J682" s="21"/>
      <c r="K682" s="21"/>
      <c r="L682" s="21"/>
      <c r="M682" s="21"/>
      <c r="O682" s="24"/>
      <c r="P682" s="24"/>
      <c r="U682" s="27"/>
      <c r="X682" s="21"/>
      <c r="Y682" s="21"/>
      <c r="Z682" s="21"/>
      <c r="AA682" s="28"/>
      <c r="AB682" s="29"/>
      <c r="AC682" s="21"/>
      <c r="AD682" s="25"/>
      <c r="AE682" s="25"/>
      <c r="AF682" s="25"/>
    </row>
    <row r="683" ht="12.75" customHeight="1">
      <c r="B683" s="21"/>
      <c r="C683" s="21"/>
      <c r="E683" s="21"/>
      <c r="F683" s="21"/>
      <c r="J683" s="21"/>
      <c r="K683" s="21"/>
      <c r="L683" s="21"/>
      <c r="M683" s="21"/>
      <c r="O683" s="24"/>
      <c r="P683" s="24"/>
      <c r="U683" s="27"/>
      <c r="X683" s="21"/>
      <c r="Y683" s="21"/>
      <c r="Z683" s="21"/>
      <c r="AA683" s="28"/>
      <c r="AB683" s="29"/>
      <c r="AC683" s="21"/>
      <c r="AD683" s="25"/>
      <c r="AE683" s="25"/>
      <c r="AF683" s="25"/>
    </row>
    <row r="684" ht="12.75" customHeight="1">
      <c r="B684" s="21"/>
      <c r="C684" s="21"/>
      <c r="E684" s="21"/>
      <c r="F684" s="21"/>
      <c r="J684" s="21"/>
      <c r="K684" s="21"/>
      <c r="L684" s="21"/>
      <c r="M684" s="21"/>
      <c r="O684" s="24"/>
      <c r="P684" s="24"/>
      <c r="U684" s="27"/>
      <c r="X684" s="21"/>
      <c r="Y684" s="21"/>
      <c r="Z684" s="21"/>
      <c r="AA684" s="28"/>
      <c r="AB684" s="29"/>
      <c r="AC684" s="21"/>
      <c r="AD684" s="25"/>
      <c r="AE684" s="25"/>
      <c r="AF684" s="25"/>
    </row>
    <row r="685" ht="12.75" customHeight="1">
      <c r="B685" s="21"/>
      <c r="C685" s="21"/>
      <c r="E685" s="21"/>
      <c r="F685" s="21"/>
      <c r="J685" s="21"/>
      <c r="K685" s="21"/>
      <c r="L685" s="21"/>
      <c r="M685" s="21"/>
      <c r="O685" s="24"/>
      <c r="P685" s="24"/>
      <c r="U685" s="27"/>
      <c r="X685" s="21"/>
      <c r="Y685" s="21"/>
      <c r="Z685" s="21"/>
      <c r="AA685" s="28"/>
      <c r="AB685" s="29"/>
      <c r="AC685" s="21"/>
      <c r="AD685" s="25"/>
      <c r="AE685" s="25"/>
      <c r="AF685" s="25"/>
    </row>
    <row r="686" ht="12.75" customHeight="1">
      <c r="B686" s="21"/>
      <c r="C686" s="21"/>
      <c r="E686" s="21"/>
      <c r="F686" s="21"/>
      <c r="J686" s="21"/>
      <c r="K686" s="21"/>
      <c r="L686" s="21"/>
      <c r="M686" s="21"/>
      <c r="O686" s="24"/>
      <c r="P686" s="24"/>
      <c r="U686" s="27"/>
      <c r="X686" s="21"/>
      <c r="Y686" s="21"/>
      <c r="Z686" s="21"/>
      <c r="AA686" s="28"/>
      <c r="AB686" s="29"/>
      <c r="AC686" s="21"/>
      <c r="AD686" s="25"/>
      <c r="AE686" s="25"/>
      <c r="AF686" s="25"/>
    </row>
    <row r="687" ht="12.75" customHeight="1">
      <c r="B687" s="21"/>
      <c r="C687" s="21"/>
      <c r="E687" s="21"/>
      <c r="F687" s="21"/>
      <c r="J687" s="21"/>
      <c r="K687" s="21"/>
      <c r="L687" s="21"/>
      <c r="M687" s="21"/>
      <c r="O687" s="24"/>
      <c r="P687" s="24"/>
      <c r="U687" s="27"/>
      <c r="X687" s="21"/>
      <c r="Y687" s="21"/>
      <c r="Z687" s="21"/>
      <c r="AA687" s="28"/>
      <c r="AB687" s="29"/>
      <c r="AC687" s="21"/>
      <c r="AD687" s="25"/>
      <c r="AE687" s="25"/>
      <c r="AF687" s="25"/>
    </row>
    <row r="688" ht="12.75" customHeight="1">
      <c r="B688" s="21"/>
      <c r="C688" s="21"/>
      <c r="E688" s="21"/>
      <c r="F688" s="21"/>
      <c r="J688" s="21"/>
      <c r="K688" s="21"/>
      <c r="L688" s="21"/>
      <c r="M688" s="21"/>
      <c r="O688" s="24"/>
      <c r="P688" s="24"/>
      <c r="U688" s="27"/>
      <c r="X688" s="21"/>
      <c r="Y688" s="21"/>
      <c r="Z688" s="21"/>
      <c r="AA688" s="28"/>
      <c r="AB688" s="29"/>
      <c r="AC688" s="21"/>
      <c r="AD688" s="25"/>
      <c r="AE688" s="25"/>
      <c r="AF688" s="25"/>
    </row>
    <row r="689" ht="12.75" customHeight="1">
      <c r="B689" s="21"/>
      <c r="C689" s="21"/>
      <c r="E689" s="21"/>
      <c r="F689" s="21"/>
      <c r="J689" s="21"/>
      <c r="K689" s="21"/>
      <c r="L689" s="21"/>
      <c r="M689" s="21"/>
      <c r="O689" s="24"/>
      <c r="P689" s="24"/>
      <c r="U689" s="27"/>
      <c r="X689" s="21"/>
      <c r="Y689" s="21"/>
      <c r="Z689" s="21"/>
      <c r="AA689" s="28"/>
      <c r="AB689" s="29"/>
      <c r="AC689" s="21"/>
      <c r="AD689" s="25"/>
      <c r="AE689" s="25"/>
      <c r="AF689" s="25"/>
    </row>
    <row r="690" ht="12.75" customHeight="1">
      <c r="B690" s="21"/>
      <c r="C690" s="21"/>
      <c r="E690" s="21"/>
      <c r="F690" s="21"/>
      <c r="J690" s="21"/>
      <c r="K690" s="21"/>
      <c r="L690" s="21"/>
      <c r="M690" s="21"/>
      <c r="O690" s="24"/>
      <c r="P690" s="24"/>
      <c r="U690" s="27"/>
      <c r="X690" s="21"/>
      <c r="Y690" s="21"/>
      <c r="Z690" s="21"/>
      <c r="AA690" s="28"/>
      <c r="AB690" s="29"/>
      <c r="AC690" s="21"/>
      <c r="AD690" s="25"/>
      <c r="AE690" s="25"/>
      <c r="AF690" s="25"/>
    </row>
    <row r="691" ht="12.75" customHeight="1">
      <c r="B691" s="21"/>
      <c r="C691" s="21"/>
      <c r="E691" s="21"/>
      <c r="F691" s="21"/>
      <c r="J691" s="21"/>
      <c r="K691" s="21"/>
      <c r="L691" s="21"/>
      <c r="M691" s="21"/>
      <c r="O691" s="24"/>
      <c r="P691" s="24"/>
      <c r="U691" s="27"/>
      <c r="X691" s="21"/>
      <c r="Y691" s="21"/>
      <c r="Z691" s="21"/>
      <c r="AA691" s="28"/>
      <c r="AB691" s="29"/>
      <c r="AC691" s="21"/>
      <c r="AD691" s="25"/>
      <c r="AE691" s="25"/>
      <c r="AF691" s="25"/>
    </row>
    <row r="692" ht="12.75" customHeight="1">
      <c r="B692" s="21"/>
      <c r="C692" s="21"/>
      <c r="E692" s="21"/>
      <c r="F692" s="21"/>
      <c r="J692" s="21"/>
      <c r="K692" s="21"/>
      <c r="L692" s="21"/>
      <c r="M692" s="21"/>
      <c r="O692" s="24"/>
      <c r="P692" s="24"/>
      <c r="U692" s="27"/>
      <c r="X692" s="21"/>
      <c r="Y692" s="21"/>
      <c r="Z692" s="21"/>
      <c r="AA692" s="28"/>
      <c r="AB692" s="29"/>
      <c r="AC692" s="21"/>
      <c r="AD692" s="25"/>
      <c r="AE692" s="25"/>
      <c r="AF692" s="25"/>
    </row>
    <row r="693" ht="12.75" customHeight="1">
      <c r="B693" s="21"/>
      <c r="C693" s="21"/>
      <c r="E693" s="21"/>
      <c r="F693" s="21"/>
      <c r="J693" s="21"/>
      <c r="K693" s="21"/>
      <c r="L693" s="21"/>
      <c r="M693" s="21"/>
      <c r="O693" s="24"/>
      <c r="P693" s="24"/>
      <c r="U693" s="27"/>
      <c r="X693" s="21"/>
      <c r="Y693" s="21"/>
      <c r="Z693" s="21"/>
      <c r="AA693" s="28"/>
      <c r="AB693" s="29"/>
      <c r="AC693" s="21"/>
      <c r="AD693" s="25"/>
      <c r="AE693" s="25"/>
      <c r="AF693" s="25"/>
    </row>
    <row r="694" ht="12.75" customHeight="1">
      <c r="B694" s="21"/>
      <c r="C694" s="21"/>
      <c r="E694" s="21"/>
      <c r="F694" s="21"/>
      <c r="J694" s="21"/>
      <c r="K694" s="21"/>
      <c r="L694" s="21"/>
      <c r="M694" s="21"/>
      <c r="O694" s="24"/>
      <c r="P694" s="24"/>
      <c r="U694" s="27"/>
      <c r="X694" s="21"/>
      <c r="Y694" s="21"/>
      <c r="Z694" s="21"/>
      <c r="AA694" s="28"/>
      <c r="AB694" s="29"/>
      <c r="AC694" s="21"/>
      <c r="AD694" s="25"/>
      <c r="AE694" s="25"/>
      <c r="AF694" s="25"/>
    </row>
    <row r="695" ht="12.75" customHeight="1">
      <c r="B695" s="21"/>
      <c r="C695" s="21"/>
      <c r="E695" s="21"/>
      <c r="F695" s="21"/>
      <c r="J695" s="21"/>
      <c r="K695" s="21"/>
      <c r="L695" s="21"/>
      <c r="M695" s="21"/>
      <c r="O695" s="24"/>
      <c r="P695" s="24"/>
      <c r="U695" s="27"/>
      <c r="X695" s="21"/>
      <c r="Y695" s="21"/>
      <c r="Z695" s="21"/>
      <c r="AA695" s="28"/>
      <c r="AB695" s="29"/>
      <c r="AC695" s="21"/>
      <c r="AD695" s="25"/>
      <c r="AE695" s="25"/>
      <c r="AF695" s="25"/>
    </row>
    <row r="696" ht="12.75" customHeight="1">
      <c r="B696" s="21"/>
      <c r="C696" s="21"/>
      <c r="E696" s="21"/>
      <c r="F696" s="21"/>
      <c r="J696" s="21"/>
      <c r="K696" s="21"/>
      <c r="L696" s="21"/>
      <c r="M696" s="21"/>
      <c r="O696" s="24"/>
      <c r="P696" s="24"/>
      <c r="U696" s="27"/>
      <c r="X696" s="21"/>
      <c r="Y696" s="21"/>
      <c r="Z696" s="21"/>
      <c r="AA696" s="28"/>
      <c r="AB696" s="29"/>
      <c r="AC696" s="21"/>
      <c r="AD696" s="25"/>
      <c r="AE696" s="25"/>
      <c r="AF696" s="25"/>
    </row>
    <row r="697" ht="12.75" customHeight="1">
      <c r="B697" s="21"/>
      <c r="C697" s="21"/>
      <c r="E697" s="21"/>
      <c r="F697" s="21"/>
      <c r="J697" s="21"/>
      <c r="K697" s="21"/>
      <c r="L697" s="21"/>
      <c r="M697" s="21"/>
      <c r="O697" s="24"/>
      <c r="P697" s="24"/>
      <c r="U697" s="27"/>
      <c r="X697" s="21"/>
      <c r="Y697" s="21"/>
      <c r="Z697" s="21"/>
      <c r="AA697" s="28"/>
      <c r="AB697" s="29"/>
      <c r="AC697" s="21"/>
      <c r="AD697" s="25"/>
      <c r="AE697" s="25"/>
      <c r="AF697" s="25"/>
    </row>
    <row r="698" ht="12.75" customHeight="1">
      <c r="B698" s="21"/>
      <c r="C698" s="21"/>
      <c r="E698" s="21"/>
      <c r="F698" s="21"/>
      <c r="J698" s="21"/>
      <c r="K698" s="21"/>
      <c r="L698" s="21"/>
      <c r="M698" s="21"/>
      <c r="O698" s="24"/>
      <c r="P698" s="24"/>
      <c r="U698" s="27"/>
      <c r="X698" s="21"/>
      <c r="Y698" s="21"/>
      <c r="Z698" s="21"/>
      <c r="AA698" s="28"/>
      <c r="AB698" s="29"/>
      <c r="AC698" s="21"/>
      <c r="AD698" s="25"/>
      <c r="AE698" s="25"/>
      <c r="AF698" s="25"/>
    </row>
    <row r="699" ht="12.75" customHeight="1">
      <c r="B699" s="21"/>
      <c r="C699" s="21"/>
      <c r="E699" s="21"/>
      <c r="F699" s="21"/>
      <c r="J699" s="21"/>
      <c r="K699" s="21"/>
      <c r="L699" s="21"/>
      <c r="M699" s="21"/>
      <c r="O699" s="24"/>
      <c r="P699" s="24"/>
      <c r="U699" s="27"/>
      <c r="X699" s="21"/>
      <c r="Y699" s="21"/>
      <c r="Z699" s="21"/>
      <c r="AA699" s="28"/>
      <c r="AB699" s="29"/>
      <c r="AC699" s="21"/>
      <c r="AD699" s="25"/>
      <c r="AE699" s="25"/>
      <c r="AF699" s="25"/>
    </row>
    <row r="700" ht="12.75" customHeight="1">
      <c r="B700" s="21"/>
      <c r="C700" s="21"/>
      <c r="E700" s="21"/>
      <c r="F700" s="21"/>
      <c r="J700" s="21"/>
      <c r="K700" s="21"/>
      <c r="L700" s="21"/>
      <c r="M700" s="21"/>
      <c r="O700" s="24"/>
      <c r="P700" s="24"/>
      <c r="U700" s="27"/>
      <c r="X700" s="21"/>
      <c r="Y700" s="21"/>
      <c r="Z700" s="21"/>
      <c r="AA700" s="28"/>
      <c r="AB700" s="29"/>
      <c r="AC700" s="21"/>
      <c r="AD700" s="25"/>
      <c r="AE700" s="25"/>
      <c r="AF700" s="25"/>
    </row>
    <row r="701" ht="12.75" customHeight="1">
      <c r="B701" s="21"/>
      <c r="C701" s="21"/>
      <c r="E701" s="21"/>
      <c r="F701" s="21"/>
      <c r="J701" s="21"/>
      <c r="K701" s="21"/>
      <c r="L701" s="21"/>
      <c r="M701" s="21"/>
      <c r="O701" s="24"/>
      <c r="P701" s="24"/>
      <c r="U701" s="27"/>
      <c r="X701" s="21"/>
      <c r="Y701" s="21"/>
      <c r="Z701" s="21"/>
      <c r="AA701" s="28"/>
      <c r="AB701" s="29"/>
      <c r="AC701" s="21"/>
      <c r="AD701" s="25"/>
      <c r="AE701" s="25"/>
      <c r="AF701" s="25"/>
    </row>
    <row r="702" ht="12.75" customHeight="1">
      <c r="B702" s="21"/>
      <c r="C702" s="21"/>
      <c r="E702" s="21"/>
      <c r="F702" s="21"/>
      <c r="J702" s="21"/>
      <c r="K702" s="21"/>
      <c r="L702" s="21"/>
      <c r="M702" s="21"/>
      <c r="O702" s="24"/>
      <c r="P702" s="24"/>
      <c r="U702" s="27"/>
      <c r="X702" s="21"/>
      <c r="Y702" s="21"/>
      <c r="Z702" s="21"/>
      <c r="AA702" s="28"/>
      <c r="AB702" s="29"/>
      <c r="AC702" s="21"/>
      <c r="AD702" s="25"/>
      <c r="AE702" s="25"/>
      <c r="AF702" s="25"/>
    </row>
    <row r="703" ht="12.75" customHeight="1">
      <c r="B703" s="21"/>
      <c r="C703" s="21"/>
      <c r="E703" s="21"/>
      <c r="F703" s="21"/>
      <c r="J703" s="21"/>
      <c r="K703" s="21"/>
      <c r="L703" s="21"/>
      <c r="M703" s="21"/>
      <c r="O703" s="24"/>
      <c r="P703" s="24"/>
      <c r="U703" s="27"/>
      <c r="X703" s="21"/>
      <c r="Y703" s="21"/>
      <c r="Z703" s="21"/>
      <c r="AA703" s="28"/>
      <c r="AB703" s="29"/>
      <c r="AC703" s="21"/>
      <c r="AD703" s="25"/>
      <c r="AE703" s="25"/>
      <c r="AF703" s="25"/>
    </row>
    <row r="704" ht="12.75" customHeight="1">
      <c r="B704" s="21"/>
      <c r="C704" s="21"/>
      <c r="E704" s="21"/>
      <c r="F704" s="21"/>
      <c r="J704" s="21"/>
      <c r="K704" s="21"/>
      <c r="L704" s="21"/>
      <c r="M704" s="21"/>
      <c r="O704" s="24"/>
      <c r="P704" s="24"/>
      <c r="U704" s="27"/>
      <c r="X704" s="21"/>
      <c r="Y704" s="21"/>
      <c r="Z704" s="21"/>
      <c r="AA704" s="28"/>
      <c r="AB704" s="29"/>
      <c r="AC704" s="21"/>
      <c r="AD704" s="25"/>
      <c r="AE704" s="25"/>
      <c r="AF704" s="25"/>
    </row>
    <row r="705" ht="12.75" customHeight="1">
      <c r="B705" s="21"/>
      <c r="C705" s="21"/>
      <c r="E705" s="21"/>
      <c r="F705" s="21"/>
      <c r="J705" s="21"/>
      <c r="K705" s="21"/>
      <c r="L705" s="21"/>
      <c r="M705" s="21"/>
      <c r="O705" s="24"/>
      <c r="P705" s="24"/>
      <c r="U705" s="27"/>
      <c r="X705" s="21"/>
      <c r="Y705" s="21"/>
      <c r="Z705" s="21"/>
      <c r="AA705" s="28"/>
      <c r="AB705" s="29"/>
      <c r="AC705" s="21"/>
      <c r="AD705" s="25"/>
      <c r="AE705" s="25"/>
      <c r="AF705" s="25"/>
    </row>
    <row r="706" ht="12.75" customHeight="1">
      <c r="B706" s="21"/>
      <c r="C706" s="21"/>
      <c r="E706" s="21"/>
      <c r="F706" s="21"/>
      <c r="J706" s="21"/>
      <c r="K706" s="21"/>
      <c r="L706" s="21"/>
      <c r="M706" s="21"/>
      <c r="O706" s="24"/>
      <c r="P706" s="24"/>
      <c r="U706" s="27"/>
      <c r="X706" s="21"/>
      <c r="Y706" s="21"/>
      <c r="Z706" s="21"/>
      <c r="AA706" s="28"/>
      <c r="AB706" s="29"/>
      <c r="AC706" s="21"/>
      <c r="AD706" s="25"/>
      <c r="AE706" s="25"/>
      <c r="AF706" s="25"/>
    </row>
    <row r="707" ht="12.75" customHeight="1">
      <c r="B707" s="21"/>
      <c r="C707" s="21"/>
      <c r="E707" s="21"/>
      <c r="F707" s="21"/>
      <c r="J707" s="21"/>
      <c r="K707" s="21"/>
      <c r="L707" s="21"/>
      <c r="M707" s="21"/>
      <c r="O707" s="24"/>
      <c r="P707" s="24"/>
      <c r="U707" s="27"/>
      <c r="X707" s="21"/>
      <c r="Y707" s="21"/>
      <c r="Z707" s="21"/>
      <c r="AA707" s="28"/>
      <c r="AB707" s="29"/>
      <c r="AC707" s="21"/>
      <c r="AD707" s="25"/>
      <c r="AE707" s="25"/>
      <c r="AF707" s="25"/>
    </row>
    <row r="708" ht="12.75" customHeight="1">
      <c r="B708" s="21"/>
      <c r="C708" s="21"/>
      <c r="E708" s="21"/>
      <c r="F708" s="21"/>
      <c r="J708" s="21"/>
      <c r="K708" s="21"/>
      <c r="L708" s="21"/>
      <c r="M708" s="21"/>
      <c r="O708" s="24"/>
      <c r="P708" s="24"/>
      <c r="U708" s="27"/>
      <c r="X708" s="21"/>
      <c r="Y708" s="21"/>
      <c r="Z708" s="21"/>
      <c r="AA708" s="28"/>
      <c r="AB708" s="29"/>
      <c r="AC708" s="21"/>
      <c r="AD708" s="25"/>
      <c r="AE708" s="25"/>
      <c r="AF708" s="25"/>
    </row>
    <row r="709" ht="12.75" customHeight="1">
      <c r="B709" s="21"/>
      <c r="C709" s="21"/>
      <c r="E709" s="21"/>
      <c r="F709" s="21"/>
      <c r="J709" s="21"/>
      <c r="K709" s="21"/>
      <c r="L709" s="21"/>
      <c r="M709" s="21"/>
      <c r="O709" s="24"/>
      <c r="P709" s="24"/>
      <c r="U709" s="27"/>
      <c r="X709" s="21"/>
      <c r="Y709" s="21"/>
      <c r="Z709" s="21"/>
      <c r="AA709" s="28"/>
      <c r="AB709" s="29"/>
      <c r="AC709" s="21"/>
      <c r="AD709" s="25"/>
      <c r="AE709" s="25"/>
      <c r="AF709" s="25"/>
    </row>
    <row r="710" ht="12.75" customHeight="1">
      <c r="B710" s="21"/>
      <c r="C710" s="21"/>
      <c r="E710" s="21"/>
      <c r="F710" s="21"/>
      <c r="J710" s="21"/>
      <c r="K710" s="21"/>
      <c r="L710" s="21"/>
      <c r="M710" s="21"/>
      <c r="O710" s="24"/>
      <c r="P710" s="24"/>
      <c r="U710" s="27"/>
      <c r="X710" s="21"/>
      <c r="Y710" s="21"/>
      <c r="Z710" s="21"/>
      <c r="AA710" s="28"/>
      <c r="AB710" s="29"/>
      <c r="AC710" s="21"/>
      <c r="AD710" s="25"/>
      <c r="AE710" s="25"/>
      <c r="AF710" s="25"/>
    </row>
    <row r="711" ht="12.75" customHeight="1">
      <c r="B711" s="21"/>
      <c r="C711" s="21"/>
      <c r="E711" s="21"/>
      <c r="F711" s="21"/>
      <c r="J711" s="21"/>
      <c r="K711" s="21"/>
      <c r="L711" s="21"/>
      <c r="M711" s="21"/>
      <c r="O711" s="24"/>
      <c r="P711" s="24"/>
      <c r="U711" s="27"/>
      <c r="X711" s="21"/>
      <c r="Y711" s="21"/>
      <c r="Z711" s="21"/>
      <c r="AA711" s="28"/>
      <c r="AB711" s="29"/>
      <c r="AC711" s="21"/>
      <c r="AD711" s="25"/>
      <c r="AE711" s="25"/>
      <c r="AF711" s="25"/>
    </row>
    <row r="712" ht="12.75" customHeight="1">
      <c r="B712" s="21"/>
      <c r="C712" s="21"/>
      <c r="E712" s="21"/>
      <c r="F712" s="21"/>
      <c r="J712" s="21"/>
      <c r="K712" s="21"/>
      <c r="L712" s="21"/>
      <c r="M712" s="21"/>
      <c r="O712" s="24"/>
      <c r="P712" s="24"/>
      <c r="U712" s="27"/>
      <c r="X712" s="21"/>
      <c r="Y712" s="21"/>
      <c r="Z712" s="21"/>
      <c r="AA712" s="28"/>
      <c r="AB712" s="29"/>
      <c r="AC712" s="21"/>
      <c r="AD712" s="25"/>
      <c r="AE712" s="25"/>
      <c r="AF712" s="25"/>
    </row>
    <row r="713" ht="12.75" customHeight="1">
      <c r="B713" s="21"/>
      <c r="C713" s="21"/>
      <c r="E713" s="21"/>
      <c r="F713" s="21"/>
      <c r="J713" s="21"/>
      <c r="K713" s="21"/>
      <c r="L713" s="21"/>
      <c r="M713" s="21"/>
      <c r="O713" s="24"/>
      <c r="P713" s="24"/>
      <c r="U713" s="27"/>
      <c r="X713" s="21"/>
      <c r="Y713" s="21"/>
      <c r="Z713" s="21"/>
      <c r="AA713" s="28"/>
      <c r="AB713" s="29"/>
      <c r="AC713" s="21"/>
      <c r="AD713" s="25"/>
      <c r="AE713" s="25"/>
      <c r="AF713" s="25"/>
    </row>
    <row r="714" ht="12.75" customHeight="1">
      <c r="B714" s="21"/>
      <c r="C714" s="21"/>
      <c r="E714" s="21"/>
      <c r="F714" s="21"/>
      <c r="J714" s="21"/>
      <c r="K714" s="21"/>
      <c r="L714" s="21"/>
      <c r="M714" s="21"/>
      <c r="O714" s="24"/>
      <c r="P714" s="24"/>
      <c r="U714" s="27"/>
      <c r="X714" s="21"/>
      <c r="Y714" s="21"/>
      <c r="Z714" s="21"/>
      <c r="AA714" s="28"/>
      <c r="AB714" s="29"/>
      <c r="AC714" s="21"/>
      <c r="AD714" s="25"/>
      <c r="AE714" s="25"/>
      <c r="AF714" s="25"/>
    </row>
    <row r="715" ht="12.75" customHeight="1">
      <c r="B715" s="21"/>
      <c r="C715" s="21"/>
      <c r="E715" s="21"/>
      <c r="F715" s="21"/>
      <c r="J715" s="21"/>
      <c r="K715" s="21"/>
      <c r="L715" s="21"/>
      <c r="M715" s="21"/>
      <c r="O715" s="24"/>
      <c r="P715" s="24"/>
      <c r="U715" s="27"/>
      <c r="X715" s="21"/>
      <c r="Y715" s="21"/>
      <c r="Z715" s="21"/>
      <c r="AA715" s="28"/>
      <c r="AB715" s="29"/>
      <c r="AC715" s="21"/>
      <c r="AD715" s="25"/>
      <c r="AE715" s="25"/>
      <c r="AF715" s="25"/>
    </row>
    <row r="716" ht="12.75" customHeight="1">
      <c r="B716" s="21"/>
      <c r="C716" s="21"/>
      <c r="E716" s="21"/>
      <c r="F716" s="21"/>
      <c r="J716" s="21"/>
      <c r="K716" s="21"/>
      <c r="L716" s="21"/>
      <c r="M716" s="21"/>
      <c r="O716" s="24"/>
      <c r="P716" s="24"/>
      <c r="U716" s="27"/>
      <c r="X716" s="21"/>
      <c r="Y716" s="21"/>
      <c r="Z716" s="21"/>
      <c r="AA716" s="28"/>
      <c r="AB716" s="29"/>
      <c r="AC716" s="21"/>
      <c r="AD716" s="25"/>
      <c r="AE716" s="25"/>
      <c r="AF716" s="25"/>
    </row>
    <row r="717" ht="12.75" customHeight="1">
      <c r="B717" s="21"/>
      <c r="C717" s="21"/>
      <c r="E717" s="21"/>
      <c r="F717" s="21"/>
      <c r="J717" s="21"/>
      <c r="K717" s="21"/>
      <c r="L717" s="21"/>
      <c r="M717" s="21"/>
      <c r="O717" s="24"/>
      <c r="P717" s="24"/>
      <c r="U717" s="27"/>
      <c r="X717" s="21"/>
      <c r="Y717" s="21"/>
      <c r="Z717" s="21"/>
      <c r="AA717" s="28"/>
      <c r="AB717" s="29"/>
      <c r="AC717" s="21"/>
      <c r="AD717" s="25"/>
      <c r="AE717" s="25"/>
      <c r="AF717" s="25"/>
    </row>
    <row r="718" ht="12.75" customHeight="1">
      <c r="B718" s="21"/>
      <c r="C718" s="21"/>
      <c r="E718" s="21"/>
      <c r="F718" s="21"/>
      <c r="J718" s="21"/>
      <c r="K718" s="21"/>
      <c r="L718" s="21"/>
      <c r="M718" s="21"/>
      <c r="O718" s="24"/>
      <c r="P718" s="24"/>
      <c r="U718" s="27"/>
      <c r="X718" s="21"/>
      <c r="Y718" s="21"/>
      <c r="Z718" s="21"/>
      <c r="AA718" s="28"/>
      <c r="AB718" s="29"/>
      <c r="AC718" s="21"/>
      <c r="AD718" s="25"/>
      <c r="AE718" s="25"/>
      <c r="AF718" s="25"/>
    </row>
    <row r="719" ht="12.75" customHeight="1">
      <c r="B719" s="21"/>
      <c r="C719" s="21"/>
      <c r="E719" s="21"/>
      <c r="F719" s="21"/>
      <c r="J719" s="21"/>
      <c r="K719" s="21"/>
      <c r="L719" s="21"/>
      <c r="M719" s="21"/>
      <c r="O719" s="24"/>
      <c r="P719" s="24"/>
      <c r="U719" s="27"/>
      <c r="X719" s="21"/>
      <c r="Y719" s="21"/>
      <c r="Z719" s="21"/>
      <c r="AA719" s="28"/>
      <c r="AB719" s="29"/>
      <c r="AC719" s="21"/>
      <c r="AD719" s="25"/>
      <c r="AE719" s="25"/>
      <c r="AF719" s="25"/>
    </row>
    <row r="720" ht="12.75" customHeight="1">
      <c r="B720" s="21"/>
      <c r="C720" s="21"/>
      <c r="E720" s="21"/>
      <c r="F720" s="21"/>
      <c r="J720" s="21"/>
      <c r="K720" s="21"/>
      <c r="L720" s="21"/>
      <c r="M720" s="21"/>
      <c r="O720" s="24"/>
      <c r="P720" s="24"/>
      <c r="U720" s="27"/>
      <c r="X720" s="21"/>
      <c r="Y720" s="21"/>
      <c r="Z720" s="21"/>
      <c r="AA720" s="28"/>
      <c r="AB720" s="29"/>
      <c r="AC720" s="21"/>
      <c r="AD720" s="25"/>
      <c r="AE720" s="25"/>
      <c r="AF720" s="25"/>
    </row>
    <row r="721" ht="12.75" customHeight="1">
      <c r="B721" s="21"/>
      <c r="C721" s="21"/>
      <c r="E721" s="21"/>
      <c r="F721" s="21"/>
      <c r="J721" s="21"/>
      <c r="K721" s="21"/>
      <c r="L721" s="21"/>
      <c r="M721" s="21"/>
      <c r="O721" s="24"/>
      <c r="P721" s="24"/>
      <c r="U721" s="27"/>
      <c r="X721" s="21"/>
      <c r="Y721" s="21"/>
      <c r="Z721" s="21"/>
      <c r="AA721" s="28"/>
      <c r="AB721" s="29"/>
      <c r="AC721" s="21"/>
      <c r="AD721" s="25"/>
      <c r="AE721" s="25"/>
      <c r="AF721" s="25"/>
    </row>
    <row r="722" ht="12.75" customHeight="1">
      <c r="B722" s="21"/>
      <c r="C722" s="21"/>
      <c r="E722" s="21"/>
      <c r="F722" s="21"/>
      <c r="J722" s="21"/>
      <c r="K722" s="21"/>
      <c r="L722" s="21"/>
      <c r="M722" s="21"/>
      <c r="O722" s="24"/>
      <c r="P722" s="24"/>
      <c r="U722" s="27"/>
      <c r="X722" s="21"/>
      <c r="Y722" s="21"/>
      <c r="Z722" s="21"/>
      <c r="AA722" s="28"/>
      <c r="AB722" s="29"/>
      <c r="AC722" s="21"/>
      <c r="AD722" s="25"/>
      <c r="AE722" s="25"/>
      <c r="AF722" s="25"/>
    </row>
    <row r="723" ht="12.75" customHeight="1">
      <c r="B723" s="21"/>
      <c r="C723" s="21"/>
      <c r="E723" s="21"/>
      <c r="F723" s="21"/>
      <c r="J723" s="21"/>
      <c r="K723" s="21"/>
      <c r="L723" s="21"/>
      <c r="M723" s="21"/>
      <c r="O723" s="24"/>
      <c r="P723" s="24"/>
      <c r="U723" s="27"/>
      <c r="X723" s="21"/>
      <c r="Y723" s="21"/>
      <c r="Z723" s="21"/>
      <c r="AA723" s="28"/>
      <c r="AB723" s="29"/>
      <c r="AC723" s="21"/>
      <c r="AD723" s="25"/>
      <c r="AE723" s="25"/>
      <c r="AF723" s="25"/>
    </row>
    <row r="724" ht="12.75" customHeight="1">
      <c r="B724" s="21"/>
      <c r="C724" s="21"/>
      <c r="E724" s="21"/>
      <c r="F724" s="21"/>
      <c r="J724" s="21"/>
      <c r="K724" s="21"/>
      <c r="L724" s="21"/>
      <c r="M724" s="21"/>
      <c r="O724" s="24"/>
      <c r="P724" s="24"/>
      <c r="U724" s="27"/>
      <c r="X724" s="21"/>
      <c r="Y724" s="21"/>
      <c r="Z724" s="21"/>
      <c r="AA724" s="28"/>
      <c r="AB724" s="29"/>
      <c r="AC724" s="21"/>
      <c r="AD724" s="25"/>
      <c r="AE724" s="25"/>
      <c r="AF724" s="25"/>
    </row>
    <row r="725" ht="12.75" customHeight="1">
      <c r="B725" s="21"/>
      <c r="C725" s="21"/>
      <c r="E725" s="21"/>
      <c r="F725" s="21"/>
      <c r="J725" s="21"/>
      <c r="K725" s="21"/>
      <c r="L725" s="21"/>
      <c r="M725" s="21"/>
      <c r="O725" s="24"/>
      <c r="P725" s="24"/>
      <c r="U725" s="27"/>
      <c r="X725" s="21"/>
      <c r="Y725" s="21"/>
      <c r="Z725" s="21"/>
      <c r="AA725" s="28"/>
      <c r="AB725" s="29"/>
      <c r="AC725" s="21"/>
      <c r="AD725" s="25"/>
      <c r="AE725" s="25"/>
      <c r="AF725" s="25"/>
    </row>
    <row r="726" ht="12.75" customHeight="1">
      <c r="B726" s="21"/>
      <c r="C726" s="21"/>
      <c r="E726" s="21"/>
      <c r="F726" s="21"/>
      <c r="J726" s="21"/>
      <c r="K726" s="21"/>
      <c r="L726" s="21"/>
      <c r="M726" s="21"/>
      <c r="O726" s="24"/>
      <c r="P726" s="24"/>
      <c r="U726" s="27"/>
      <c r="X726" s="21"/>
      <c r="Y726" s="21"/>
      <c r="Z726" s="21"/>
      <c r="AA726" s="28"/>
      <c r="AB726" s="29"/>
      <c r="AC726" s="21"/>
      <c r="AD726" s="25"/>
      <c r="AE726" s="25"/>
      <c r="AF726" s="25"/>
    </row>
    <row r="727" ht="12.75" customHeight="1">
      <c r="B727" s="21"/>
      <c r="C727" s="21"/>
      <c r="E727" s="21"/>
      <c r="F727" s="21"/>
      <c r="J727" s="21"/>
      <c r="K727" s="21"/>
      <c r="L727" s="21"/>
      <c r="M727" s="21"/>
      <c r="O727" s="24"/>
      <c r="P727" s="24"/>
      <c r="U727" s="27"/>
      <c r="X727" s="21"/>
      <c r="Y727" s="21"/>
      <c r="Z727" s="21"/>
      <c r="AA727" s="28"/>
      <c r="AB727" s="29"/>
      <c r="AC727" s="21"/>
      <c r="AD727" s="25"/>
      <c r="AE727" s="25"/>
      <c r="AF727" s="25"/>
    </row>
    <row r="728" ht="12.75" customHeight="1">
      <c r="B728" s="21"/>
      <c r="C728" s="21"/>
      <c r="E728" s="21"/>
      <c r="F728" s="21"/>
      <c r="J728" s="21"/>
      <c r="K728" s="21"/>
      <c r="L728" s="21"/>
      <c r="M728" s="21"/>
      <c r="O728" s="24"/>
      <c r="P728" s="24"/>
      <c r="U728" s="27"/>
      <c r="X728" s="21"/>
      <c r="Y728" s="21"/>
      <c r="Z728" s="21"/>
      <c r="AA728" s="28"/>
      <c r="AB728" s="29"/>
      <c r="AC728" s="21"/>
      <c r="AD728" s="25"/>
      <c r="AE728" s="25"/>
      <c r="AF728" s="25"/>
    </row>
    <row r="729" ht="12.75" customHeight="1">
      <c r="B729" s="21"/>
      <c r="C729" s="21"/>
      <c r="E729" s="21"/>
      <c r="F729" s="21"/>
      <c r="J729" s="21"/>
      <c r="K729" s="21"/>
      <c r="L729" s="21"/>
      <c r="M729" s="21"/>
      <c r="O729" s="24"/>
      <c r="P729" s="24"/>
      <c r="U729" s="27"/>
      <c r="X729" s="21"/>
      <c r="Y729" s="21"/>
      <c r="Z729" s="21"/>
      <c r="AA729" s="28"/>
      <c r="AB729" s="29"/>
      <c r="AC729" s="21"/>
      <c r="AD729" s="25"/>
      <c r="AE729" s="25"/>
      <c r="AF729" s="25"/>
    </row>
    <row r="730" ht="12.75" customHeight="1">
      <c r="B730" s="21"/>
      <c r="C730" s="21"/>
      <c r="E730" s="21"/>
      <c r="F730" s="21"/>
      <c r="J730" s="21"/>
      <c r="K730" s="21"/>
      <c r="L730" s="21"/>
      <c r="M730" s="21"/>
      <c r="O730" s="24"/>
      <c r="P730" s="24"/>
      <c r="U730" s="27"/>
      <c r="X730" s="21"/>
      <c r="Y730" s="21"/>
      <c r="Z730" s="21"/>
      <c r="AA730" s="28"/>
      <c r="AB730" s="29"/>
      <c r="AC730" s="21"/>
      <c r="AD730" s="25"/>
      <c r="AE730" s="25"/>
      <c r="AF730" s="25"/>
    </row>
    <row r="731" ht="12.75" customHeight="1">
      <c r="B731" s="21"/>
      <c r="C731" s="21"/>
      <c r="E731" s="21"/>
      <c r="F731" s="21"/>
      <c r="J731" s="21"/>
      <c r="K731" s="21"/>
      <c r="L731" s="21"/>
      <c r="M731" s="21"/>
      <c r="O731" s="24"/>
      <c r="P731" s="24"/>
      <c r="U731" s="27"/>
      <c r="X731" s="21"/>
      <c r="Y731" s="21"/>
      <c r="Z731" s="21"/>
      <c r="AA731" s="28"/>
      <c r="AB731" s="29"/>
      <c r="AC731" s="21"/>
      <c r="AD731" s="25"/>
      <c r="AE731" s="25"/>
      <c r="AF731" s="25"/>
    </row>
    <row r="732" ht="12.75" customHeight="1">
      <c r="B732" s="21"/>
      <c r="C732" s="21"/>
      <c r="E732" s="21"/>
      <c r="F732" s="21"/>
      <c r="J732" s="21"/>
      <c r="K732" s="21"/>
      <c r="L732" s="21"/>
      <c r="M732" s="21"/>
      <c r="O732" s="24"/>
      <c r="P732" s="24"/>
      <c r="U732" s="27"/>
      <c r="X732" s="21"/>
      <c r="Y732" s="21"/>
      <c r="Z732" s="21"/>
      <c r="AA732" s="28"/>
      <c r="AB732" s="29"/>
      <c r="AC732" s="21"/>
      <c r="AD732" s="25"/>
      <c r="AE732" s="25"/>
      <c r="AF732" s="25"/>
    </row>
    <row r="733" ht="12.75" customHeight="1">
      <c r="B733" s="21"/>
      <c r="C733" s="21"/>
      <c r="E733" s="21"/>
      <c r="F733" s="21"/>
      <c r="J733" s="21"/>
      <c r="K733" s="21"/>
      <c r="L733" s="21"/>
      <c r="M733" s="21"/>
      <c r="O733" s="24"/>
      <c r="P733" s="24"/>
      <c r="U733" s="27"/>
      <c r="X733" s="21"/>
      <c r="Y733" s="21"/>
      <c r="Z733" s="21"/>
      <c r="AA733" s="28"/>
      <c r="AB733" s="29"/>
      <c r="AC733" s="21"/>
      <c r="AD733" s="25"/>
      <c r="AE733" s="25"/>
      <c r="AF733" s="25"/>
    </row>
    <row r="734" ht="12.75" customHeight="1">
      <c r="B734" s="21"/>
      <c r="C734" s="21"/>
      <c r="E734" s="21"/>
      <c r="F734" s="21"/>
      <c r="J734" s="21"/>
      <c r="K734" s="21"/>
      <c r="L734" s="21"/>
      <c r="M734" s="21"/>
      <c r="O734" s="24"/>
      <c r="P734" s="24"/>
      <c r="U734" s="27"/>
      <c r="X734" s="21"/>
      <c r="Y734" s="21"/>
      <c r="Z734" s="21"/>
      <c r="AA734" s="28"/>
      <c r="AB734" s="29"/>
      <c r="AC734" s="21"/>
      <c r="AD734" s="25"/>
      <c r="AE734" s="25"/>
      <c r="AF734" s="25"/>
    </row>
    <row r="735" ht="12.75" customHeight="1">
      <c r="B735" s="21"/>
      <c r="C735" s="21"/>
      <c r="E735" s="21"/>
      <c r="F735" s="21"/>
      <c r="J735" s="21"/>
      <c r="K735" s="21"/>
      <c r="L735" s="21"/>
      <c r="M735" s="21"/>
      <c r="O735" s="24"/>
      <c r="P735" s="24"/>
      <c r="U735" s="27"/>
      <c r="X735" s="21"/>
      <c r="Y735" s="21"/>
      <c r="Z735" s="21"/>
      <c r="AA735" s="28"/>
      <c r="AB735" s="29"/>
      <c r="AC735" s="21"/>
      <c r="AD735" s="25"/>
      <c r="AE735" s="25"/>
      <c r="AF735" s="25"/>
    </row>
    <row r="736" ht="12.75" customHeight="1">
      <c r="B736" s="21"/>
      <c r="C736" s="21"/>
      <c r="E736" s="21"/>
      <c r="F736" s="21"/>
      <c r="J736" s="21"/>
      <c r="K736" s="21"/>
      <c r="L736" s="21"/>
      <c r="M736" s="21"/>
      <c r="O736" s="24"/>
      <c r="P736" s="24"/>
      <c r="U736" s="27"/>
      <c r="X736" s="21"/>
      <c r="Y736" s="21"/>
      <c r="Z736" s="21"/>
      <c r="AA736" s="28"/>
      <c r="AB736" s="29"/>
      <c r="AC736" s="21"/>
      <c r="AD736" s="25"/>
      <c r="AE736" s="25"/>
      <c r="AF736" s="25"/>
    </row>
    <row r="737" ht="12.75" customHeight="1">
      <c r="B737" s="21"/>
      <c r="C737" s="21"/>
      <c r="E737" s="21"/>
      <c r="F737" s="21"/>
      <c r="J737" s="21"/>
      <c r="K737" s="21"/>
      <c r="L737" s="21"/>
      <c r="M737" s="21"/>
      <c r="O737" s="24"/>
      <c r="P737" s="24"/>
      <c r="U737" s="27"/>
      <c r="X737" s="21"/>
      <c r="Y737" s="21"/>
      <c r="Z737" s="21"/>
      <c r="AA737" s="28"/>
      <c r="AB737" s="29"/>
      <c r="AC737" s="21"/>
      <c r="AD737" s="25"/>
      <c r="AE737" s="25"/>
      <c r="AF737" s="25"/>
    </row>
    <row r="738" ht="12.75" customHeight="1">
      <c r="B738" s="21"/>
      <c r="C738" s="21"/>
      <c r="E738" s="21"/>
      <c r="F738" s="21"/>
      <c r="J738" s="21"/>
      <c r="K738" s="21"/>
      <c r="L738" s="21"/>
      <c r="M738" s="21"/>
      <c r="O738" s="24"/>
      <c r="P738" s="24"/>
      <c r="U738" s="27"/>
      <c r="X738" s="21"/>
      <c r="Y738" s="21"/>
      <c r="Z738" s="21"/>
      <c r="AA738" s="28"/>
      <c r="AB738" s="29"/>
      <c r="AC738" s="21"/>
      <c r="AD738" s="25"/>
      <c r="AE738" s="25"/>
      <c r="AF738" s="25"/>
    </row>
    <row r="739" ht="12.75" customHeight="1">
      <c r="B739" s="21"/>
      <c r="C739" s="21"/>
      <c r="E739" s="21"/>
      <c r="F739" s="21"/>
      <c r="J739" s="21"/>
      <c r="K739" s="21"/>
      <c r="L739" s="21"/>
      <c r="M739" s="21"/>
      <c r="O739" s="24"/>
      <c r="P739" s="24"/>
      <c r="U739" s="27"/>
      <c r="X739" s="21"/>
      <c r="Y739" s="21"/>
      <c r="Z739" s="21"/>
      <c r="AA739" s="28"/>
      <c r="AB739" s="29"/>
      <c r="AC739" s="21"/>
      <c r="AD739" s="25"/>
      <c r="AE739" s="25"/>
      <c r="AF739" s="25"/>
    </row>
    <row r="740" ht="12.75" customHeight="1">
      <c r="B740" s="21"/>
      <c r="C740" s="21"/>
      <c r="E740" s="21"/>
      <c r="F740" s="21"/>
      <c r="J740" s="21"/>
      <c r="K740" s="21"/>
      <c r="L740" s="21"/>
      <c r="M740" s="21"/>
      <c r="O740" s="24"/>
      <c r="P740" s="24"/>
      <c r="U740" s="27"/>
      <c r="X740" s="21"/>
      <c r="Y740" s="21"/>
      <c r="Z740" s="21"/>
      <c r="AA740" s="28"/>
      <c r="AB740" s="29"/>
      <c r="AC740" s="21"/>
      <c r="AD740" s="25"/>
      <c r="AE740" s="25"/>
      <c r="AF740" s="25"/>
    </row>
    <row r="741" ht="12.75" customHeight="1">
      <c r="B741" s="21"/>
      <c r="C741" s="21"/>
      <c r="E741" s="21"/>
      <c r="F741" s="21"/>
      <c r="J741" s="21"/>
      <c r="K741" s="21"/>
      <c r="L741" s="21"/>
      <c r="M741" s="21"/>
      <c r="O741" s="24"/>
      <c r="P741" s="24"/>
      <c r="U741" s="27"/>
      <c r="X741" s="21"/>
      <c r="Y741" s="21"/>
      <c r="Z741" s="21"/>
      <c r="AA741" s="28"/>
      <c r="AB741" s="29"/>
      <c r="AC741" s="21"/>
      <c r="AD741" s="25"/>
      <c r="AE741" s="25"/>
      <c r="AF741" s="25"/>
    </row>
    <row r="742" ht="12.75" customHeight="1">
      <c r="B742" s="21"/>
      <c r="C742" s="21"/>
      <c r="E742" s="21"/>
      <c r="F742" s="21"/>
      <c r="J742" s="21"/>
      <c r="K742" s="21"/>
      <c r="L742" s="21"/>
      <c r="M742" s="21"/>
      <c r="O742" s="24"/>
      <c r="P742" s="24"/>
      <c r="U742" s="27"/>
      <c r="X742" s="21"/>
      <c r="Y742" s="21"/>
      <c r="Z742" s="21"/>
      <c r="AA742" s="28"/>
      <c r="AB742" s="29"/>
      <c r="AC742" s="21"/>
      <c r="AD742" s="25"/>
      <c r="AE742" s="25"/>
      <c r="AF742" s="25"/>
    </row>
    <row r="743" ht="12.75" customHeight="1">
      <c r="B743" s="21"/>
      <c r="C743" s="21"/>
      <c r="E743" s="21"/>
      <c r="F743" s="21"/>
      <c r="J743" s="21"/>
      <c r="K743" s="21"/>
      <c r="L743" s="21"/>
      <c r="M743" s="21"/>
      <c r="O743" s="24"/>
      <c r="P743" s="24"/>
      <c r="U743" s="27"/>
      <c r="X743" s="21"/>
      <c r="Y743" s="21"/>
      <c r="Z743" s="21"/>
      <c r="AA743" s="28"/>
      <c r="AB743" s="29"/>
      <c r="AC743" s="21"/>
      <c r="AD743" s="25"/>
      <c r="AE743" s="25"/>
      <c r="AF743" s="25"/>
    </row>
    <row r="744" ht="12.75" customHeight="1">
      <c r="B744" s="21"/>
      <c r="C744" s="21"/>
      <c r="E744" s="21"/>
      <c r="F744" s="21"/>
      <c r="J744" s="21"/>
      <c r="K744" s="21"/>
      <c r="L744" s="21"/>
      <c r="M744" s="21"/>
      <c r="O744" s="24"/>
      <c r="P744" s="24"/>
      <c r="U744" s="27"/>
      <c r="X744" s="21"/>
      <c r="Y744" s="21"/>
      <c r="Z744" s="21"/>
      <c r="AA744" s="28"/>
      <c r="AB744" s="29"/>
      <c r="AC744" s="21"/>
      <c r="AD744" s="25"/>
      <c r="AE744" s="25"/>
      <c r="AF744" s="25"/>
    </row>
    <row r="745" ht="12.75" customHeight="1">
      <c r="B745" s="21"/>
      <c r="C745" s="21"/>
      <c r="E745" s="21"/>
      <c r="F745" s="21"/>
      <c r="J745" s="21"/>
      <c r="K745" s="21"/>
      <c r="L745" s="21"/>
      <c r="M745" s="21"/>
      <c r="O745" s="24"/>
      <c r="P745" s="24"/>
      <c r="U745" s="27"/>
      <c r="X745" s="21"/>
      <c r="Y745" s="21"/>
      <c r="Z745" s="21"/>
      <c r="AA745" s="28"/>
      <c r="AB745" s="29"/>
      <c r="AC745" s="21"/>
      <c r="AD745" s="25"/>
      <c r="AE745" s="25"/>
      <c r="AF745" s="25"/>
    </row>
    <row r="746" ht="12.75" customHeight="1">
      <c r="B746" s="21"/>
      <c r="C746" s="21"/>
      <c r="E746" s="21"/>
      <c r="F746" s="21"/>
      <c r="J746" s="21"/>
      <c r="K746" s="21"/>
      <c r="L746" s="21"/>
      <c r="M746" s="21"/>
      <c r="O746" s="24"/>
      <c r="P746" s="24"/>
      <c r="U746" s="27"/>
      <c r="X746" s="21"/>
      <c r="Y746" s="21"/>
      <c r="Z746" s="21"/>
      <c r="AA746" s="28"/>
      <c r="AB746" s="29"/>
      <c r="AC746" s="21"/>
      <c r="AD746" s="25"/>
      <c r="AE746" s="25"/>
      <c r="AF746" s="25"/>
    </row>
    <row r="747" ht="12.75" customHeight="1">
      <c r="B747" s="21"/>
      <c r="C747" s="21"/>
      <c r="E747" s="21"/>
      <c r="F747" s="21"/>
      <c r="J747" s="21"/>
      <c r="K747" s="21"/>
      <c r="L747" s="21"/>
      <c r="M747" s="21"/>
      <c r="O747" s="24"/>
      <c r="P747" s="24"/>
      <c r="U747" s="27"/>
      <c r="X747" s="21"/>
      <c r="Y747" s="21"/>
      <c r="Z747" s="21"/>
      <c r="AA747" s="28"/>
      <c r="AB747" s="29"/>
      <c r="AC747" s="21"/>
      <c r="AD747" s="25"/>
      <c r="AE747" s="25"/>
      <c r="AF747" s="25"/>
    </row>
    <row r="748" ht="12.75" customHeight="1">
      <c r="B748" s="21"/>
      <c r="C748" s="21"/>
      <c r="E748" s="21"/>
      <c r="F748" s="21"/>
      <c r="J748" s="21"/>
      <c r="K748" s="21"/>
      <c r="L748" s="21"/>
      <c r="M748" s="21"/>
      <c r="O748" s="24"/>
      <c r="P748" s="24"/>
      <c r="U748" s="27"/>
      <c r="X748" s="21"/>
      <c r="Y748" s="21"/>
      <c r="Z748" s="21"/>
      <c r="AA748" s="28"/>
      <c r="AB748" s="29"/>
      <c r="AC748" s="21"/>
      <c r="AD748" s="25"/>
      <c r="AE748" s="25"/>
      <c r="AF748" s="25"/>
    </row>
    <row r="749" ht="12.75" customHeight="1">
      <c r="B749" s="21"/>
      <c r="C749" s="21"/>
      <c r="E749" s="21"/>
      <c r="F749" s="21"/>
      <c r="J749" s="21"/>
      <c r="K749" s="21"/>
      <c r="L749" s="21"/>
      <c r="M749" s="21"/>
      <c r="O749" s="24"/>
      <c r="P749" s="24"/>
      <c r="U749" s="27"/>
      <c r="X749" s="21"/>
      <c r="Y749" s="21"/>
      <c r="Z749" s="21"/>
      <c r="AA749" s="28"/>
      <c r="AB749" s="29"/>
      <c r="AC749" s="21"/>
      <c r="AD749" s="25"/>
      <c r="AE749" s="25"/>
      <c r="AF749" s="25"/>
    </row>
    <row r="750" ht="12.75" customHeight="1">
      <c r="B750" s="21"/>
      <c r="C750" s="21"/>
      <c r="E750" s="21"/>
      <c r="F750" s="21"/>
      <c r="J750" s="21"/>
      <c r="K750" s="21"/>
      <c r="L750" s="21"/>
      <c r="M750" s="21"/>
      <c r="O750" s="24"/>
      <c r="P750" s="24"/>
      <c r="U750" s="27"/>
      <c r="X750" s="21"/>
      <c r="Y750" s="21"/>
      <c r="Z750" s="21"/>
      <c r="AA750" s="28"/>
      <c r="AB750" s="29"/>
      <c r="AC750" s="21"/>
      <c r="AD750" s="25"/>
      <c r="AE750" s="25"/>
      <c r="AF750" s="25"/>
    </row>
    <row r="751" ht="12.75" customHeight="1">
      <c r="B751" s="21"/>
      <c r="C751" s="21"/>
      <c r="E751" s="21"/>
      <c r="F751" s="21"/>
      <c r="J751" s="21"/>
      <c r="K751" s="21"/>
      <c r="L751" s="21"/>
      <c r="M751" s="21"/>
      <c r="O751" s="24"/>
      <c r="P751" s="24"/>
      <c r="U751" s="27"/>
      <c r="X751" s="21"/>
      <c r="Y751" s="21"/>
      <c r="Z751" s="21"/>
      <c r="AA751" s="28"/>
      <c r="AB751" s="29"/>
      <c r="AC751" s="21"/>
      <c r="AD751" s="25"/>
      <c r="AE751" s="25"/>
      <c r="AF751" s="25"/>
    </row>
    <row r="752" ht="12.75" customHeight="1">
      <c r="B752" s="21"/>
      <c r="C752" s="21"/>
      <c r="E752" s="21"/>
      <c r="F752" s="21"/>
      <c r="J752" s="21"/>
      <c r="K752" s="21"/>
      <c r="L752" s="21"/>
      <c r="M752" s="21"/>
      <c r="O752" s="24"/>
      <c r="P752" s="24"/>
      <c r="U752" s="27"/>
      <c r="X752" s="21"/>
      <c r="Y752" s="21"/>
      <c r="Z752" s="21"/>
      <c r="AA752" s="28"/>
      <c r="AB752" s="29"/>
      <c r="AC752" s="21"/>
      <c r="AD752" s="25"/>
      <c r="AE752" s="25"/>
      <c r="AF752" s="25"/>
    </row>
    <row r="753" ht="12.75" customHeight="1">
      <c r="B753" s="21"/>
      <c r="C753" s="21"/>
      <c r="E753" s="21"/>
      <c r="F753" s="21"/>
      <c r="J753" s="21"/>
      <c r="K753" s="21"/>
      <c r="L753" s="21"/>
      <c r="M753" s="21"/>
      <c r="O753" s="24"/>
      <c r="P753" s="24"/>
      <c r="U753" s="27"/>
      <c r="X753" s="21"/>
      <c r="Y753" s="21"/>
      <c r="Z753" s="21"/>
      <c r="AA753" s="28"/>
      <c r="AB753" s="29"/>
      <c r="AC753" s="21"/>
      <c r="AD753" s="25"/>
      <c r="AE753" s="25"/>
      <c r="AF753" s="25"/>
    </row>
    <row r="754" ht="12.75" customHeight="1">
      <c r="B754" s="21"/>
      <c r="C754" s="21"/>
      <c r="E754" s="21"/>
      <c r="F754" s="21"/>
      <c r="J754" s="21"/>
      <c r="K754" s="21"/>
      <c r="L754" s="21"/>
      <c r="M754" s="21"/>
      <c r="O754" s="24"/>
      <c r="P754" s="24"/>
      <c r="U754" s="27"/>
      <c r="X754" s="21"/>
      <c r="Y754" s="21"/>
      <c r="Z754" s="21"/>
      <c r="AA754" s="28"/>
      <c r="AB754" s="29"/>
      <c r="AC754" s="21"/>
      <c r="AD754" s="25"/>
      <c r="AE754" s="25"/>
      <c r="AF754" s="25"/>
    </row>
    <row r="755" ht="12.75" customHeight="1">
      <c r="B755" s="21"/>
      <c r="C755" s="21"/>
      <c r="E755" s="21"/>
      <c r="F755" s="21"/>
      <c r="J755" s="21"/>
      <c r="K755" s="21"/>
      <c r="L755" s="21"/>
      <c r="M755" s="21"/>
      <c r="O755" s="24"/>
      <c r="P755" s="24"/>
      <c r="U755" s="27"/>
      <c r="X755" s="21"/>
      <c r="Y755" s="21"/>
      <c r="Z755" s="21"/>
      <c r="AA755" s="28"/>
      <c r="AB755" s="29"/>
      <c r="AC755" s="21"/>
      <c r="AD755" s="25"/>
      <c r="AE755" s="25"/>
      <c r="AF755" s="25"/>
    </row>
    <row r="756" ht="12.75" customHeight="1">
      <c r="B756" s="21"/>
      <c r="C756" s="21"/>
      <c r="E756" s="21"/>
      <c r="F756" s="21"/>
      <c r="J756" s="21"/>
      <c r="K756" s="21"/>
      <c r="L756" s="21"/>
      <c r="M756" s="21"/>
      <c r="O756" s="24"/>
      <c r="P756" s="24"/>
      <c r="U756" s="27"/>
      <c r="X756" s="21"/>
      <c r="Y756" s="21"/>
      <c r="Z756" s="21"/>
      <c r="AA756" s="28"/>
      <c r="AB756" s="29"/>
      <c r="AC756" s="21"/>
      <c r="AD756" s="25"/>
      <c r="AE756" s="25"/>
      <c r="AF756" s="25"/>
    </row>
    <row r="757" ht="12.75" customHeight="1">
      <c r="B757" s="21"/>
      <c r="C757" s="21"/>
      <c r="E757" s="21"/>
      <c r="F757" s="21"/>
      <c r="J757" s="21"/>
      <c r="K757" s="21"/>
      <c r="L757" s="21"/>
      <c r="M757" s="21"/>
      <c r="O757" s="24"/>
      <c r="P757" s="24"/>
      <c r="U757" s="27"/>
      <c r="X757" s="21"/>
      <c r="Y757" s="21"/>
      <c r="Z757" s="21"/>
      <c r="AA757" s="28"/>
      <c r="AB757" s="29"/>
      <c r="AC757" s="21"/>
      <c r="AD757" s="25"/>
      <c r="AE757" s="25"/>
      <c r="AF757" s="25"/>
    </row>
    <row r="758" ht="12.75" customHeight="1">
      <c r="B758" s="21"/>
      <c r="C758" s="21"/>
      <c r="E758" s="21"/>
      <c r="F758" s="21"/>
      <c r="J758" s="21"/>
      <c r="K758" s="21"/>
      <c r="L758" s="21"/>
      <c r="M758" s="21"/>
      <c r="O758" s="24"/>
      <c r="P758" s="24"/>
      <c r="U758" s="27"/>
      <c r="X758" s="21"/>
      <c r="Y758" s="21"/>
      <c r="Z758" s="21"/>
      <c r="AA758" s="28"/>
      <c r="AB758" s="29"/>
      <c r="AC758" s="21"/>
      <c r="AD758" s="25"/>
      <c r="AE758" s="25"/>
      <c r="AF758" s="25"/>
    </row>
    <row r="759" ht="12.75" customHeight="1">
      <c r="B759" s="21"/>
      <c r="C759" s="21"/>
      <c r="E759" s="21"/>
      <c r="F759" s="21"/>
      <c r="J759" s="21"/>
      <c r="K759" s="21"/>
      <c r="L759" s="21"/>
      <c r="M759" s="21"/>
      <c r="O759" s="24"/>
      <c r="P759" s="24"/>
      <c r="U759" s="27"/>
      <c r="X759" s="21"/>
      <c r="Y759" s="21"/>
      <c r="Z759" s="21"/>
      <c r="AA759" s="28"/>
      <c r="AB759" s="29"/>
      <c r="AC759" s="21"/>
      <c r="AD759" s="25"/>
      <c r="AE759" s="25"/>
      <c r="AF759" s="25"/>
    </row>
    <row r="760" ht="12.75" customHeight="1">
      <c r="B760" s="21"/>
      <c r="C760" s="21"/>
      <c r="E760" s="21"/>
      <c r="F760" s="21"/>
      <c r="J760" s="21"/>
      <c r="K760" s="21"/>
      <c r="L760" s="21"/>
      <c r="M760" s="21"/>
      <c r="O760" s="24"/>
      <c r="P760" s="24"/>
      <c r="U760" s="27"/>
      <c r="X760" s="21"/>
      <c r="Y760" s="21"/>
      <c r="Z760" s="21"/>
      <c r="AA760" s="28"/>
      <c r="AB760" s="29"/>
      <c r="AC760" s="21"/>
      <c r="AD760" s="25"/>
      <c r="AE760" s="25"/>
      <c r="AF760" s="25"/>
    </row>
    <row r="761" ht="12.75" customHeight="1">
      <c r="B761" s="21"/>
      <c r="C761" s="21"/>
      <c r="E761" s="21"/>
      <c r="F761" s="21"/>
      <c r="J761" s="21"/>
      <c r="K761" s="21"/>
      <c r="L761" s="21"/>
      <c r="M761" s="21"/>
      <c r="O761" s="24"/>
      <c r="P761" s="24"/>
      <c r="U761" s="27"/>
      <c r="X761" s="21"/>
      <c r="Y761" s="21"/>
      <c r="Z761" s="21"/>
      <c r="AA761" s="28"/>
      <c r="AB761" s="29"/>
      <c r="AC761" s="21"/>
      <c r="AD761" s="25"/>
      <c r="AE761" s="25"/>
      <c r="AF761" s="25"/>
    </row>
    <row r="762" ht="12.75" customHeight="1">
      <c r="B762" s="21"/>
      <c r="C762" s="21"/>
      <c r="E762" s="21"/>
      <c r="F762" s="21"/>
      <c r="J762" s="21"/>
      <c r="K762" s="21"/>
      <c r="L762" s="21"/>
      <c r="M762" s="21"/>
      <c r="O762" s="24"/>
      <c r="P762" s="24"/>
      <c r="U762" s="27"/>
      <c r="X762" s="21"/>
      <c r="Y762" s="21"/>
      <c r="Z762" s="21"/>
      <c r="AA762" s="28"/>
      <c r="AB762" s="29"/>
      <c r="AC762" s="21"/>
      <c r="AD762" s="25"/>
      <c r="AE762" s="25"/>
      <c r="AF762" s="25"/>
    </row>
    <row r="763" ht="12.75" customHeight="1">
      <c r="B763" s="21"/>
      <c r="C763" s="21"/>
      <c r="E763" s="21"/>
      <c r="F763" s="21"/>
      <c r="J763" s="21"/>
      <c r="K763" s="21"/>
      <c r="L763" s="21"/>
      <c r="M763" s="21"/>
      <c r="O763" s="24"/>
      <c r="P763" s="24"/>
      <c r="U763" s="27"/>
      <c r="X763" s="21"/>
      <c r="Y763" s="21"/>
      <c r="Z763" s="21"/>
      <c r="AA763" s="28"/>
      <c r="AB763" s="29"/>
      <c r="AC763" s="21"/>
      <c r="AD763" s="25"/>
      <c r="AE763" s="25"/>
      <c r="AF763" s="25"/>
    </row>
    <row r="764" ht="12.75" customHeight="1">
      <c r="B764" s="21"/>
      <c r="C764" s="21"/>
      <c r="E764" s="21"/>
      <c r="F764" s="21"/>
      <c r="J764" s="21"/>
      <c r="K764" s="21"/>
      <c r="L764" s="21"/>
      <c r="M764" s="21"/>
      <c r="O764" s="24"/>
      <c r="P764" s="24"/>
      <c r="U764" s="27"/>
      <c r="X764" s="21"/>
      <c r="Y764" s="21"/>
      <c r="Z764" s="21"/>
      <c r="AA764" s="28"/>
      <c r="AB764" s="29"/>
      <c r="AC764" s="21"/>
      <c r="AD764" s="25"/>
      <c r="AE764" s="25"/>
      <c r="AF764" s="25"/>
    </row>
    <row r="765" ht="12.75" customHeight="1">
      <c r="B765" s="21"/>
      <c r="C765" s="21"/>
      <c r="E765" s="21"/>
      <c r="F765" s="21"/>
      <c r="J765" s="21"/>
      <c r="K765" s="21"/>
      <c r="L765" s="21"/>
      <c r="M765" s="21"/>
      <c r="O765" s="24"/>
      <c r="P765" s="24"/>
      <c r="U765" s="27"/>
      <c r="X765" s="21"/>
      <c r="Y765" s="21"/>
      <c r="Z765" s="21"/>
      <c r="AA765" s="28"/>
      <c r="AB765" s="29"/>
      <c r="AC765" s="21"/>
      <c r="AD765" s="25"/>
      <c r="AE765" s="25"/>
      <c r="AF765" s="25"/>
    </row>
    <row r="766" ht="12.75" customHeight="1">
      <c r="B766" s="21"/>
      <c r="C766" s="21"/>
      <c r="E766" s="21"/>
      <c r="F766" s="21"/>
      <c r="J766" s="21"/>
      <c r="K766" s="21"/>
      <c r="L766" s="21"/>
      <c r="M766" s="21"/>
      <c r="O766" s="24"/>
      <c r="P766" s="24"/>
      <c r="U766" s="27"/>
      <c r="X766" s="21"/>
      <c r="Y766" s="21"/>
      <c r="Z766" s="21"/>
      <c r="AA766" s="28"/>
      <c r="AB766" s="29"/>
      <c r="AC766" s="21"/>
      <c r="AD766" s="25"/>
      <c r="AE766" s="25"/>
      <c r="AF766" s="25"/>
    </row>
    <row r="767" ht="12.75" customHeight="1">
      <c r="B767" s="21"/>
      <c r="C767" s="21"/>
      <c r="E767" s="21"/>
      <c r="F767" s="21"/>
      <c r="J767" s="21"/>
      <c r="K767" s="21"/>
      <c r="L767" s="21"/>
      <c r="M767" s="21"/>
      <c r="O767" s="24"/>
      <c r="P767" s="24"/>
      <c r="U767" s="27"/>
      <c r="X767" s="21"/>
      <c r="Y767" s="21"/>
      <c r="Z767" s="21"/>
      <c r="AA767" s="28"/>
      <c r="AB767" s="29"/>
      <c r="AC767" s="21"/>
      <c r="AD767" s="25"/>
      <c r="AE767" s="25"/>
      <c r="AF767" s="25"/>
    </row>
    <row r="768" ht="12.75" customHeight="1">
      <c r="B768" s="21"/>
      <c r="C768" s="21"/>
      <c r="E768" s="21"/>
      <c r="F768" s="21"/>
      <c r="J768" s="21"/>
      <c r="K768" s="21"/>
      <c r="L768" s="21"/>
      <c r="M768" s="21"/>
      <c r="O768" s="24"/>
      <c r="P768" s="24"/>
      <c r="U768" s="27"/>
      <c r="X768" s="21"/>
      <c r="Y768" s="21"/>
      <c r="Z768" s="21"/>
      <c r="AA768" s="28"/>
      <c r="AB768" s="29"/>
      <c r="AC768" s="21"/>
      <c r="AD768" s="25"/>
      <c r="AE768" s="25"/>
      <c r="AF768" s="25"/>
    </row>
    <row r="769" ht="12.75" customHeight="1">
      <c r="B769" s="21"/>
      <c r="C769" s="21"/>
      <c r="E769" s="21"/>
      <c r="F769" s="21"/>
      <c r="J769" s="21"/>
      <c r="K769" s="21"/>
      <c r="L769" s="21"/>
      <c r="M769" s="21"/>
      <c r="O769" s="24"/>
      <c r="P769" s="24"/>
      <c r="U769" s="27"/>
      <c r="X769" s="21"/>
      <c r="Y769" s="21"/>
      <c r="Z769" s="21"/>
      <c r="AA769" s="28"/>
      <c r="AB769" s="29"/>
      <c r="AC769" s="21"/>
      <c r="AD769" s="25"/>
      <c r="AE769" s="25"/>
      <c r="AF769" s="25"/>
    </row>
    <row r="770" ht="12.75" customHeight="1">
      <c r="B770" s="21"/>
      <c r="C770" s="21"/>
      <c r="E770" s="21"/>
      <c r="F770" s="21"/>
      <c r="J770" s="21"/>
      <c r="K770" s="21"/>
      <c r="L770" s="21"/>
      <c r="M770" s="21"/>
      <c r="O770" s="24"/>
      <c r="P770" s="24"/>
      <c r="U770" s="27"/>
      <c r="X770" s="21"/>
      <c r="Y770" s="21"/>
      <c r="Z770" s="21"/>
      <c r="AA770" s="28"/>
      <c r="AB770" s="29"/>
      <c r="AC770" s="21"/>
      <c r="AD770" s="25"/>
      <c r="AE770" s="25"/>
      <c r="AF770" s="25"/>
    </row>
    <row r="771" ht="12.75" customHeight="1">
      <c r="B771" s="21"/>
      <c r="C771" s="21"/>
      <c r="E771" s="21"/>
      <c r="F771" s="21"/>
      <c r="J771" s="21"/>
      <c r="K771" s="21"/>
      <c r="L771" s="21"/>
      <c r="M771" s="21"/>
      <c r="O771" s="24"/>
      <c r="P771" s="24"/>
      <c r="U771" s="27"/>
      <c r="X771" s="21"/>
      <c r="Y771" s="21"/>
      <c r="Z771" s="21"/>
      <c r="AA771" s="28"/>
      <c r="AB771" s="29"/>
      <c r="AC771" s="21"/>
      <c r="AD771" s="25"/>
      <c r="AE771" s="25"/>
      <c r="AF771" s="25"/>
    </row>
    <row r="772" ht="12.75" customHeight="1">
      <c r="B772" s="21"/>
      <c r="C772" s="21"/>
      <c r="E772" s="21"/>
      <c r="F772" s="21"/>
      <c r="J772" s="21"/>
      <c r="K772" s="21"/>
      <c r="L772" s="21"/>
      <c r="M772" s="21"/>
      <c r="O772" s="24"/>
      <c r="P772" s="24"/>
      <c r="U772" s="27"/>
      <c r="X772" s="21"/>
      <c r="Y772" s="21"/>
      <c r="Z772" s="21"/>
      <c r="AA772" s="28"/>
      <c r="AB772" s="29"/>
      <c r="AC772" s="21"/>
      <c r="AD772" s="25"/>
      <c r="AE772" s="25"/>
      <c r="AF772" s="25"/>
    </row>
    <row r="773" ht="12.75" customHeight="1">
      <c r="B773" s="21"/>
      <c r="C773" s="21"/>
      <c r="E773" s="21"/>
      <c r="F773" s="21"/>
      <c r="J773" s="21"/>
      <c r="K773" s="21"/>
      <c r="L773" s="21"/>
      <c r="M773" s="21"/>
      <c r="O773" s="24"/>
      <c r="P773" s="24"/>
      <c r="U773" s="27"/>
      <c r="X773" s="21"/>
      <c r="Y773" s="21"/>
      <c r="Z773" s="21"/>
      <c r="AA773" s="28"/>
      <c r="AB773" s="29"/>
      <c r="AC773" s="21"/>
      <c r="AD773" s="25"/>
      <c r="AE773" s="25"/>
      <c r="AF773" s="25"/>
    </row>
    <row r="774" ht="12.75" customHeight="1">
      <c r="B774" s="21"/>
      <c r="C774" s="21"/>
      <c r="E774" s="21"/>
      <c r="F774" s="21"/>
      <c r="J774" s="21"/>
      <c r="K774" s="21"/>
      <c r="L774" s="21"/>
      <c r="M774" s="21"/>
      <c r="O774" s="24"/>
      <c r="P774" s="24"/>
      <c r="U774" s="27"/>
      <c r="X774" s="21"/>
      <c r="Y774" s="21"/>
      <c r="Z774" s="21"/>
      <c r="AA774" s="28"/>
      <c r="AB774" s="29"/>
      <c r="AC774" s="21"/>
      <c r="AD774" s="25"/>
      <c r="AE774" s="25"/>
      <c r="AF774" s="25"/>
    </row>
    <row r="775" ht="12.75" customHeight="1">
      <c r="B775" s="21"/>
      <c r="C775" s="21"/>
      <c r="E775" s="21"/>
      <c r="F775" s="21"/>
      <c r="J775" s="21"/>
      <c r="K775" s="21"/>
      <c r="L775" s="21"/>
      <c r="M775" s="21"/>
      <c r="O775" s="24"/>
      <c r="P775" s="24"/>
      <c r="U775" s="27"/>
      <c r="X775" s="21"/>
      <c r="Y775" s="21"/>
      <c r="Z775" s="21"/>
      <c r="AA775" s="28"/>
      <c r="AB775" s="29"/>
      <c r="AC775" s="21"/>
      <c r="AD775" s="25"/>
      <c r="AE775" s="25"/>
      <c r="AF775" s="25"/>
    </row>
    <row r="776" ht="12.75" customHeight="1">
      <c r="B776" s="21"/>
      <c r="C776" s="21"/>
      <c r="E776" s="21"/>
      <c r="F776" s="21"/>
      <c r="J776" s="21"/>
      <c r="K776" s="21"/>
      <c r="L776" s="21"/>
      <c r="M776" s="21"/>
      <c r="O776" s="24"/>
      <c r="P776" s="24"/>
      <c r="U776" s="27"/>
      <c r="X776" s="21"/>
      <c r="Y776" s="21"/>
      <c r="Z776" s="21"/>
      <c r="AA776" s="28"/>
      <c r="AB776" s="29"/>
      <c r="AC776" s="21"/>
      <c r="AD776" s="25"/>
      <c r="AE776" s="25"/>
      <c r="AF776" s="25"/>
    </row>
    <row r="777" ht="12.75" customHeight="1">
      <c r="B777" s="21"/>
      <c r="C777" s="21"/>
      <c r="E777" s="21"/>
      <c r="F777" s="21"/>
      <c r="J777" s="21"/>
      <c r="K777" s="21"/>
      <c r="L777" s="21"/>
      <c r="M777" s="21"/>
      <c r="O777" s="24"/>
      <c r="P777" s="24"/>
      <c r="U777" s="27"/>
      <c r="X777" s="21"/>
      <c r="Y777" s="21"/>
      <c r="Z777" s="21"/>
      <c r="AA777" s="28"/>
      <c r="AB777" s="29"/>
      <c r="AC777" s="21"/>
      <c r="AD777" s="25"/>
      <c r="AE777" s="25"/>
      <c r="AF777" s="25"/>
    </row>
    <row r="778" ht="12.75" customHeight="1">
      <c r="B778" s="21"/>
      <c r="C778" s="21"/>
      <c r="E778" s="21"/>
      <c r="F778" s="21"/>
      <c r="J778" s="21"/>
      <c r="K778" s="21"/>
      <c r="L778" s="21"/>
      <c r="M778" s="21"/>
      <c r="O778" s="24"/>
      <c r="P778" s="24"/>
      <c r="U778" s="27"/>
      <c r="X778" s="21"/>
      <c r="Y778" s="21"/>
      <c r="Z778" s="21"/>
      <c r="AA778" s="28"/>
      <c r="AB778" s="29"/>
      <c r="AC778" s="21"/>
      <c r="AD778" s="25"/>
      <c r="AE778" s="25"/>
      <c r="AF778" s="25"/>
    </row>
    <row r="779" ht="12.75" customHeight="1">
      <c r="B779" s="21"/>
      <c r="C779" s="21"/>
      <c r="E779" s="21"/>
      <c r="F779" s="21"/>
      <c r="J779" s="21"/>
      <c r="K779" s="21"/>
      <c r="L779" s="21"/>
      <c r="M779" s="21"/>
      <c r="O779" s="24"/>
      <c r="P779" s="24"/>
      <c r="U779" s="27"/>
      <c r="X779" s="21"/>
      <c r="Y779" s="21"/>
      <c r="Z779" s="21"/>
      <c r="AA779" s="28"/>
      <c r="AB779" s="29"/>
      <c r="AC779" s="21"/>
      <c r="AD779" s="25"/>
      <c r="AE779" s="25"/>
      <c r="AF779" s="25"/>
    </row>
    <row r="780" ht="12.75" customHeight="1">
      <c r="B780" s="21"/>
      <c r="C780" s="21"/>
      <c r="E780" s="21"/>
      <c r="F780" s="21"/>
      <c r="J780" s="21"/>
      <c r="K780" s="21"/>
      <c r="L780" s="21"/>
      <c r="M780" s="21"/>
      <c r="O780" s="24"/>
      <c r="P780" s="24"/>
      <c r="U780" s="27"/>
      <c r="X780" s="21"/>
      <c r="Y780" s="21"/>
      <c r="Z780" s="21"/>
      <c r="AA780" s="28"/>
      <c r="AB780" s="29"/>
      <c r="AC780" s="21"/>
      <c r="AD780" s="25"/>
      <c r="AE780" s="25"/>
      <c r="AF780" s="25"/>
    </row>
    <row r="781" ht="12.75" customHeight="1">
      <c r="B781" s="21"/>
      <c r="C781" s="21"/>
      <c r="E781" s="21"/>
      <c r="F781" s="21"/>
      <c r="J781" s="21"/>
      <c r="K781" s="21"/>
      <c r="L781" s="21"/>
      <c r="M781" s="21"/>
      <c r="O781" s="24"/>
      <c r="P781" s="24"/>
      <c r="U781" s="27"/>
      <c r="X781" s="21"/>
      <c r="Y781" s="21"/>
      <c r="Z781" s="21"/>
      <c r="AA781" s="28"/>
      <c r="AB781" s="29"/>
      <c r="AC781" s="21"/>
      <c r="AD781" s="25"/>
      <c r="AE781" s="25"/>
      <c r="AF781" s="25"/>
    </row>
    <row r="782" ht="12.75" customHeight="1">
      <c r="B782" s="21"/>
      <c r="C782" s="21"/>
      <c r="E782" s="21"/>
      <c r="F782" s="21"/>
      <c r="J782" s="21"/>
      <c r="K782" s="21"/>
      <c r="L782" s="21"/>
      <c r="M782" s="21"/>
      <c r="O782" s="24"/>
      <c r="P782" s="24"/>
      <c r="U782" s="27"/>
      <c r="X782" s="21"/>
      <c r="Y782" s="21"/>
      <c r="Z782" s="21"/>
      <c r="AA782" s="28"/>
      <c r="AB782" s="29"/>
      <c r="AC782" s="21"/>
      <c r="AD782" s="25"/>
      <c r="AE782" s="25"/>
      <c r="AF782" s="25"/>
    </row>
    <row r="783" ht="12.75" customHeight="1">
      <c r="B783" s="21"/>
      <c r="C783" s="21"/>
      <c r="E783" s="21"/>
      <c r="F783" s="21"/>
      <c r="J783" s="21"/>
      <c r="K783" s="21"/>
      <c r="L783" s="21"/>
      <c r="M783" s="21"/>
      <c r="O783" s="24"/>
      <c r="P783" s="24"/>
      <c r="U783" s="27"/>
      <c r="X783" s="21"/>
      <c r="Y783" s="21"/>
      <c r="Z783" s="21"/>
      <c r="AA783" s="28"/>
      <c r="AB783" s="29"/>
      <c r="AC783" s="21"/>
      <c r="AD783" s="25"/>
      <c r="AE783" s="25"/>
      <c r="AF783" s="25"/>
    </row>
    <row r="784" ht="12.75" customHeight="1">
      <c r="B784" s="21"/>
      <c r="C784" s="21"/>
      <c r="E784" s="21"/>
      <c r="F784" s="21"/>
      <c r="J784" s="21"/>
      <c r="K784" s="21"/>
      <c r="L784" s="21"/>
      <c r="M784" s="21"/>
      <c r="O784" s="24"/>
      <c r="P784" s="24"/>
      <c r="U784" s="27"/>
      <c r="X784" s="21"/>
      <c r="Y784" s="21"/>
      <c r="Z784" s="21"/>
      <c r="AA784" s="28"/>
      <c r="AB784" s="29"/>
      <c r="AC784" s="21"/>
      <c r="AD784" s="25"/>
      <c r="AE784" s="25"/>
      <c r="AF784" s="25"/>
    </row>
    <row r="785" ht="12.75" customHeight="1">
      <c r="B785" s="21"/>
      <c r="C785" s="21"/>
      <c r="E785" s="21"/>
      <c r="F785" s="21"/>
      <c r="J785" s="21"/>
      <c r="K785" s="21"/>
      <c r="L785" s="21"/>
      <c r="M785" s="21"/>
      <c r="O785" s="24"/>
      <c r="P785" s="24"/>
      <c r="U785" s="27"/>
      <c r="X785" s="21"/>
      <c r="Y785" s="21"/>
      <c r="Z785" s="21"/>
      <c r="AA785" s="28"/>
      <c r="AB785" s="29"/>
      <c r="AC785" s="21"/>
      <c r="AD785" s="25"/>
      <c r="AE785" s="25"/>
      <c r="AF785" s="25"/>
    </row>
    <row r="786" ht="12.75" customHeight="1">
      <c r="B786" s="21"/>
      <c r="C786" s="21"/>
      <c r="E786" s="21"/>
      <c r="F786" s="21"/>
      <c r="J786" s="21"/>
      <c r="K786" s="21"/>
      <c r="L786" s="21"/>
      <c r="M786" s="21"/>
      <c r="O786" s="24"/>
      <c r="P786" s="24"/>
      <c r="U786" s="27"/>
      <c r="X786" s="21"/>
      <c r="Y786" s="21"/>
      <c r="Z786" s="21"/>
      <c r="AA786" s="28"/>
      <c r="AB786" s="29"/>
      <c r="AC786" s="21"/>
      <c r="AD786" s="25"/>
      <c r="AE786" s="25"/>
      <c r="AF786" s="25"/>
    </row>
    <row r="787" ht="12.75" customHeight="1">
      <c r="B787" s="21"/>
      <c r="C787" s="21"/>
      <c r="E787" s="21"/>
      <c r="F787" s="21"/>
      <c r="J787" s="21"/>
      <c r="K787" s="21"/>
      <c r="L787" s="21"/>
      <c r="M787" s="21"/>
      <c r="O787" s="24"/>
      <c r="P787" s="24"/>
      <c r="U787" s="27"/>
      <c r="X787" s="21"/>
      <c r="Y787" s="21"/>
      <c r="Z787" s="21"/>
      <c r="AA787" s="28"/>
      <c r="AB787" s="29"/>
      <c r="AC787" s="21"/>
      <c r="AD787" s="25"/>
      <c r="AE787" s="25"/>
      <c r="AF787" s="25"/>
    </row>
    <row r="788" ht="12.75" customHeight="1">
      <c r="B788" s="21"/>
      <c r="C788" s="21"/>
      <c r="E788" s="21"/>
      <c r="F788" s="21"/>
      <c r="J788" s="21"/>
      <c r="K788" s="21"/>
      <c r="L788" s="21"/>
      <c r="M788" s="21"/>
      <c r="O788" s="24"/>
      <c r="P788" s="24"/>
      <c r="U788" s="27"/>
      <c r="X788" s="21"/>
      <c r="Y788" s="21"/>
      <c r="Z788" s="21"/>
      <c r="AA788" s="28"/>
      <c r="AB788" s="29"/>
      <c r="AC788" s="21"/>
      <c r="AD788" s="25"/>
      <c r="AE788" s="25"/>
      <c r="AF788" s="25"/>
    </row>
    <row r="789" ht="12.75" customHeight="1">
      <c r="B789" s="21"/>
      <c r="C789" s="21"/>
      <c r="E789" s="21"/>
      <c r="F789" s="21"/>
      <c r="J789" s="21"/>
      <c r="K789" s="21"/>
      <c r="L789" s="21"/>
      <c r="M789" s="21"/>
      <c r="O789" s="24"/>
      <c r="P789" s="24"/>
      <c r="U789" s="27"/>
      <c r="X789" s="21"/>
      <c r="Y789" s="21"/>
      <c r="Z789" s="21"/>
      <c r="AA789" s="28"/>
      <c r="AB789" s="29"/>
      <c r="AC789" s="21"/>
      <c r="AD789" s="25"/>
      <c r="AE789" s="25"/>
      <c r="AF789" s="25"/>
    </row>
    <row r="790" ht="12.75" customHeight="1">
      <c r="B790" s="21"/>
      <c r="C790" s="21"/>
      <c r="E790" s="21"/>
      <c r="F790" s="21"/>
      <c r="J790" s="21"/>
      <c r="K790" s="21"/>
      <c r="L790" s="21"/>
      <c r="M790" s="21"/>
      <c r="O790" s="24"/>
      <c r="P790" s="24"/>
      <c r="U790" s="27"/>
      <c r="X790" s="21"/>
      <c r="Y790" s="21"/>
      <c r="Z790" s="21"/>
      <c r="AA790" s="28"/>
      <c r="AB790" s="29"/>
      <c r="AC790" s="21"/>
      <c r="AD790" s="25"/>
      <c r="AE790" s="25"/>
      <c r="AF790" s="25"/>
    </row>
    <row r="791" ht="12.75" customHeight="1">
      <c r="B791" s="21"/>
      <c r="C791" s="21"/>
      <c r="E791" s="21"/>
      <c r="F791" s="21"/>
      <c r="J791" s="21"/>
      <c r="K791" s="21"/>
      <c r="L791" s="21"/>
      <c r="M791" s="21"/>
      <c r="O791" s="24"/>
      <c r="P791" s="24"/>
      <c r="U791" s="27"/>
      <c r="X791" s="21"/>
      <c r="Y791" s="21"/>
      <c r="Z791" s="21"/>
      <c r="AA791" s="28"/>
      <c r="AB791" s="29"/>
      <c r="AC791" s="21"/>
      <c r="AD791" s="25"/>
      <c r="AE791" s="25"/>
      <c r="AF791" s="25"/>
    </row>
    <row r="792" ht="12.75" customHeight="1">
      <c r="B792" s="21"/>
      <c r="C792" s="21"/>
      <c r="E792" s="21"/>
      <c r="F792" s="21"/>
      <c r="J792" s="21"/>
      <c r="K792" s="21"/>
      <c r="L792" s="21"/>
      <c r="M792" s="21"/>
      <c r="O792" s="24"/>
      <c r="P792" s="24"/>
      <c r="U792" s="27"/>
      <c r="X792" s="21"/>
      <c r="Y792" s="21"/>
      <c r="Z792" s="21"/>
      <c r="AA792" s="28"/>
      <c r="AB792" s="29"/>
      <c r="AC792" s="21"/>
      <c r="AD792" s="25"/>
      <c r="AE792" s="25"/>
      <c r="AF792" s="25"/>
    </row>
    <row r="793" ht="12.75" customHeight="1">
      <c r="B793" s="21"/>
      <c r="C793" s="21"/>
      <c r="E793" s="21"/>
      <c r="F793" s="21"/>
      <c r="J793" s="21"/>
      <c r="K793" s="21"/>
      <c r="L793" s="21"/>
      <c r="M793" s="21"/>
      <c r="O793" s="24"/>
      <c r="P793" s="24"/>
      <c r="U793" s="27"/>
      <c r="X793" s="21"/>
      <c r="Y793" s="21"/>
      <c r="Z793" s="21"/>
      <c r="AA793" s="28"/>
      <c r="AB793" s="29"/>
      <c r="AC793" s="21"/>
      <c r="AD793" s="25"/>
      <c r="AE793" s="25"/>
      <c r="AF793" s="25"/>
    </row>
    <row r="794" ht="12.75" customHeight="1">
      <c r="B794" s="21"/>
      <c r="C794" s="21"/>
      <c r="E794" s="21"/>
      <c r="F794" s="21"/>
      <c r="J794" s="21"/>
      <c r="K794" s="21"/>
      <c r="L794" s="21"/>
      <c r="M794" s="21"/>
      <c r="O794" s="24"/>
      <c r="P794" s="24"/>
      <c r="U794" s="27"/>
      <c r="X794" s="21"/>
      <c r="Y794" s="21"/>
      <c r="Z794" s="21"/>
      <c r="AA794" s="28"/>
      <c r="AB794" s="29"/>
      <c r="AC794" s="21"/>
      <c r="AD794" s="25"/>
      <c r="AE794" s="25"/>
      <c r="AF794" s="25"/>
    </row>
    <row r="795" ht="12.75" customHeight="1">
      <c r="B795" s="21"/>
      <c r="C795" s="21"/>
      <c r="E795" s="21"/>
      <c r="F795" s="21"/>
      <c r="J795" s="21"/>
      <c r="K795" s="21"/>
      <c r="L795" s="21"/>
      <c r="M795" s="21"/>
      <c r="O795" s="24"/>
      <c r="P795" s="24"/>
      <c r="U795" s="27"/>
      <c r="X795" s="21"/>
      <c r="Y795" s="21"/>
      <c r="Z795" s="21"/>
      <c r="AA795" s="28"/>
      <c r="AB795" s="29"/>
      <c r="AC795" s="21"/>
      <c r="AD795" s="25"/>
      <c r="AE795" s="25"/>
      <c r="AF795" s="25"/>
    </row>
    <row r="796" ht="12.75" customHeight="1">
      <c r="B796" s="21"/>
      <c r="C796" s="21"/>
      <c r="E796" s="21"/>
      <c r="F796" s="21"/>
      <c r="J796" s="21"/>
      <c r="K796" s="21"/>
      <c r="L796" s="21"/>
      <c r="M796" s="21"/>
      <c r="O796" s="24"/>
      <c r="P796" s="24"/>
      <c r="U796" s="27"/>
      <c r="X796" s="21"/>
      <c r="Y796" s="21"/>
      <c r="Z796" s="21"/>
      <c r="AA796" s="28"/>
      <c r="AB796" s="29"/>
      <c r="AC796" s="21"/>
      <c r="AD796" s="25"/>
      <c r="AE796" s="25"/>
      <c r="AF796" s="25"/>
    </row>
    <row r="797" ht="12.75" customHeight="1">
      <c r="B797" s="21"/>
      <c r="C797" s="21"/>
      <c r="E797" s="21"/>
      <c r="F797" s="21"/>
      <c r="J797" s="21"/>
      <c r="K797" s="21"/>
      <c r="L797" s="21"/>
      <c r="M797" s="21"/>
      <c r="O797" s="24"/>
      <c r="P797" s="24"/>
      <c r="U797" s="27"/>
      <c r="X797" s="21"/>
      <c r="Y797" s="21"/>
      <c r="Z797" s="21"/>
      <c r="AA797" s="28"/>
      <c r="AB797" s="29"/>
      <c r="AC797" s="21"/>
      <c r="AD797" s="25"/>
      <c r="AE797" s="25"/>
      <c r="AF797" s="25"/>
    </row>
    <row r="798" ht="12.75" customHeight="1">
      <c r="B798" s="21"/>
      <c r="C798" s="21"/>
      <c r="E798" s="21"/>
      <c r="F798" s="21"/>
      <c r="J798" s="21"/>
      <c r="K798" s="21"/>
      <c r="L798" s="21"/>
      <c r="M798" s="21"/>
      <c r="O798" s="24"/>
      <c r="P798" s="24"/>
      <c r="U798" s="27"/>
      <c r="X798" s="21"/>
      <c r="Y798" s="21"/>
      <c r="Z798" s="21"/>
      <c r="AA798" s="28"/>
      <c r="AB798" s="29"/>
      <c r="AC798" s="21"/>
      <c r="AD798" s="25"/>
      <c r="AE798" s="25"/>
      <c r="AF798" s="25"/>
    </row>
    <row r="799" ht="12.75" customHeight="1">
      <c r="B799" s="21"/>
      <c r="C799" s="21"/>
      <c r="E799" s="21"/>
      <c r="F799" s="21"/>
      <c r="J799" s="21"/>
      <c r="K799" s="21"/>
      <c r="L799" s="21"/>
      <c r="M799" s="21"/>
      <c r="O799" s="24"/>
      <c r="P799" s="24"/>
      <c r="U799" s="27"/>
      <c r="X799" s="21"/>
      <c r="Y799" s="21"/>
      <c r="Z799" s="21"/>
      <c r="AA799" s="28"/>
      <c r="AB799" s="29"/>
      <c r="AC799" s="21"/>
      <c r="AD799" s="25"/>
      <c r="AE799" s="25"/>
      <c r="AF799" s="25"/>
    </row>
    <row r="800" ht="12.75" customHeight="1">
      <c r="B800" s="21"/>
      <c r="C800" s="21"/>
      <c r="E800" s="21"/>
      <c r="F800" s="21"/>
      <c r="J800" s="21"/>
      <c r="K800" s="21"/>
      <c r="L800" s="21"/>
      <c r="M800" s="21"/>
      <c r="O800" s="24"/>
      <c r="P800" s="24"/>
      <c r="U800" s="27"/>
      <c r="X800" s="21"/>
      <c r="Y800" s="21"/>
      <c r="Z800" s="21"/>
      <c r="AA800" s="28"/>
      <c r="AB800" s="29"/>
      <c r="AC800" s="21"/>
      <c r="AD800" s="25"/>
      <c r="AE800" s="25"/>
      <c r="AF800" s="25"/>
    </row>
    <row r="801" ht="12.75" customHeight="1">
      <c r="B801" s="21"/>
      <c r="C801" s="21"/>
      <c r="E801" s="21"/>
      <c r="F801" s="21"/>
      <c r="J801" s="21"/>
      <c r="K801" s="21"/>
      <c r="L801" s="21"/>
      <c r="M801" s="21"/>
      <c r="O801" s="24"/>
      <c r="P801" s="24"/>
      <c r="U801" s="27"/>
      <c r="X801" s="21"/>
      <c r="Y801" s="21"/>
      <c r="Z801" s="21"/>
      <c r="AA801" s="28"/>
      <c r="AB801" s="29"/>
      <c r="AC801" s="21"/>
      <c r="AD801" s="25"/>
      <c r="AE801" s="25"/>
      <c r="AF801" s="25"/>
    </row>
    <row r="802" ht="12.75" customHeight="1">
      <c r="B802" s="21"/>
      <c r="C802" s="21"/>
      <c r="E802" s="21"/>
      <c r="F802" s="21"/>
      <c r="J802" s="21"/>
      <c r="K802" s="21"/>
      <c r="L802" s="21"/>
      <c r="M802" s="21"/>
      <c r="O802" s="24"/>
      <c r="P802" s="24"/>
      <c r="U802" s="27"/>
      <c r="X802" s="21"/>
      <c r="Y802" s="21"/>
      <c r="Z802" s="21"/>
      <c r="AA802" s="28"/>
      <c r="AB802" s="29"/>
      <c r="AC802" s="21"/>
      <c r="AD802" s="25"/>
      <c r="AE802" s="25"/>
      <c r="AF802" s="25"/>
    </row>
    <row r="803" ht="12.75" customHeight="1">
      <c r="B803" s="21"/>
      <c r="C803" s="21"/>
      <c r="E803" s="21"/>
      <c r="F803" s="21"/>
      <c r="J803" s="21"/>
      <c r="K803" s="21"/>
      <c r="L803" s="21"/>
      <c r="M803" s="21"/>
      <c r="O803" s="24"/>
      <c r="P803" s="24"/>
      <c r="U803" s="27"/>
      <c r="X803" s="21"/>
      <c r="Y803" s="21"/>
      <c r="Z803" s="21"/>
      <c r="AA803" s="28"/>
      <c r="AB803" s="29"/>
      <c r="AC803" s="21"/>
      <c r="AD803" s="25"/>
      <c r="AE803" s="25"/>
      <c r="AF803" s="25"/>
    </row>
    <row r="804" ht="12.75" customHeight="1">
      <c r="B804" s="21"/>
      <c r="C804" s="21"/>
      <c r="E804" s="21"/>
      <c r="F804" s="21"/>
      <c r="J804" s="21"/>
      <c r="K804" s="21"/>
      <c r="L804" s="21"/>
      <c r="M804" s="21"/>
      <c r="O804" s="24"/>
      <c r="P804" s="24"/>
      <c r="U804" s="27"/>
      <c r="X804" s="21"/>
      <c r="Y804" s="21"/>
      <c r="Z804" s="21"/>
      <c r="AA804" s="28"/>
      <c r="AB804" s="29"/>
      <c r="AC804" s="21"/>
      <c r="AD804" s="25"/>
      <c r="AE804" s="25"/>
      <c r="AF804" s="25"/>
    </row>
    <row r="805" ht="12.75" customHeight="1">
      <c r="B805" s="21"/>
      <c r="C805" s="21"/>
      <c r="E805" s="21"/>
      <c r="F805" s="21"/>
      <c r="J805" s="21"/>
      <c r="K805" s="21"/>
      <c r="L805" s="21"/>
      <c r="M805" s="21"/>
      <c r="O805" s="24"/>
      <c r="P805" s="24"/>
      <c r="U805" s="27"/>
      <c r="X805" s="21"/>
      <c r="Y805" s="21"/>
      <c r="Z805" s="21"/>
      <c r="AA805" s="28"/>
      <c r="AB805" s="29"/>
      <c r="AC805" s="21"/>
      <c r="AD805" s="25"/>
      <c r="AE805" s="25"/>
      <c r="AF805" s="25"/>
    </row>
    <row r="806" ht="12.75" customHeight="1">
      <c r="B806" s="21"/>
      <c r="C806" s="21"/>
      <c r="E806" s="21"/>
      <c r="F806" s="21"/>
      <c r="J806" s="21"/>
      <c r="K806" s="21"/>
      <c r="L806" s="21"/>
      <c r="M806" s="21"/>
      <c r="O806" s="24"/>
      <c r="P806" s="24"/>
      <c r="U806" s="27"/>
      <c r="X806" s="21"/>
      <c r="Y806" s="21"/>
      <c r="Z806" s="21"/>
      <c r="AA806" s="28"/>
      <c r="AB806" s="29"/>
      <c r="AC806" s="21"/>
      <c r="AD806" s="25"/>
      <c r="AE806" s="25"/>
      <c r="AF806" s="25"/>
    </row>
    <row r="807" ht="12.75" customHeight="1">
      <c r="B807" s="21"/>
      <c r="C807" s="21"/>
      <c r="E807" s="21"/>
      <c r="F807" s="21"/>
      <c r="J807" s="21"/>
      <c r="K807" s="21"/>
      <c r="L807" s="21"/>
      <c r="M807" s="21"/>
      <c r="O807" s="24"/>
      <c r="P807" s="24"/>
      <c r="U807" s="27"/>
      <c r="X807" s="21"/>
      <c r="Y807" s="21"/>
      <c r="Z807" s="21"/>
      <c r="AA807" s="28"/>
      <c r="AB807" s="29"/>
      <c r="AC807" s="21"/>
      <c r="AD807" s="25"/>
      <c r="AE807" s="25"/>
      <c r="AF807" s="25"/>
    </row>
    <row r="808" ht="12.75" customHeight="1">
      <c r="B808" s="21"/>
      <c r="C808" s="21"/>
      <c r="E808" s="21"/>
      <c r="F808" s="21"/>
      <c r="J808" s="21"/>
      <c r="K808" s="21"/>
      <c r="L808" s="21"/>
      <c r="M808" s="21"/>
      <c r="O808" s="24"/>
      <c r="P808" s="24"/>
      <c r="U808" s="27"/>
      <c r="X808" s="21"/>
      <c r="Y808" s="21"/>
      <c r="Z808" s="21"/>
      <c r="AA808" s="28"/>
      <c r="AB808" s="29"/>
      <c r="AC808" s="21"/>
      <c r="AD808" s="25"/>
      <c r="AE808" s="25"/>
      <c r="AF808" s="25"/>
    </row>
    <row r="809" ht="12.75" customHeight="1">
      <c r="B809" s="21"/>
      <c r="C809" s="21"/>
      <c r="E809" s="21"/>
      <c r="F809" s="21"/>
      <c r="J809" s="21"/>
      <c r="K809" s="21"/>
      <c r="L809" s="21"/>
      <c r="M809" s="21"/>
      <c r="O809" s="24"/>
      <c r="P809" s="24"/>
      <c r="U809" s="27"/>
      <c r="X809" s="21"/>
      <c r="Y809" s="21"/>
      <c r="Z809" s="21"/>
      <c r="AA809" s="28"/>
      <c r="AB809" s="29"/>
      <c r="AC809" s="21"/>
      <c r="AD809" s="25"/>
      <c r="AE809" s="25"/>
      <c r="AF809" s="25"/>
    </row>
    <row r="810" ht="12.75" customHeight="1">
      <c r="B810" s="21"/>
      <c r="C810" s="21"/>
      <c r="E810" s="21"/>
      <c r="F810" s="21"/>
      <c r="J810" s="21"/>
      <c r="K810" s="21"/>
      <c r="L810" s="21"/>
      <c r="M810" s="21"/>
      <c r="O810" s="24"/>
      <c r="P810" s="24"/>
      <c r="U810" s="27"/>
      <c r="X810" s="21"/>
      <c r="Y810" s="21"/>
      <c r="Z810" s="21"/>
      <c r="AA810" s="28"/>
      <c r="AB810" s="29"/>
      <c r="AC810" s="21"/>
      <c r="AD810" s="25"/>
      <c r="AE810" s="25"/>
      <c r="AF810" s="25"/>
    </row>
    <row r="811" ht="12.75" customHeight="1">
      <c r="B811" s="21"/>
      <c r="C811" s="21"/>
      <c r="E811" s="21"/>
      <c r="F811" s="21"/>
      <c r="J811" s="21"/>
      <c r="K811" s="21"/>
      <c r="L811" s="21"/>
      <c r="M811" s="21"/>
      <c r="O811" s="24"/>
      <c r="P811" s="24"/>
      <c r="U811" s="27"/>
      <c r="X811" s="21"/>
      <c r="Y811" s="21"/>
      <c r="Z811" s="21"/>
      <c r="AA811" s="28"/>
      <c r="AB811" s="29"/>
      <c r="AC811" s="21"/>
      <c r="AD811" s="25"/>
      <c r="AE811" s="25"/>
      <c r="AF811" s="25"/>
    </row>
    <row r="812" ht="12.75" customHeight="1">
      <c r="B812" s="21"/>
      <c r="C812" s="21"/>
      <c r="E812" s="21"/>
      <c r="F812" s="21"/>
      <c r="J812" s="21"/>
      <c r="K812" s="21"/>
      <c r="L812" s="21"/>
      <c r="M812" s="21"/>
      <c r="O812" s="24"/>
      <c r="P812" s="24"/>
      <c r="U812" s="27"/>
      <c r="X812" s="21"/>
      <c r="Y812" s="21"/>
      <c r="Z812" s="21"/>
      <c r="AA812" s="28"/>
      <c r="AB812" s="29"/>
      <c r="AC812" s="21"/>
      <c r="AD812" s="25"/>
      <c r="AE812" s="25"/>
      <c r="AF812" s="25"/>
    </row>
    <row r="813" ht="12.75" customHeight="1">
      <c r="B813" s="21"/>
      <c r="C813" s="21"/>
      <c r="E813" s="21"/>
      <c r="F813" s="21"/>
      <c r="J813" s="21"/>
      <c r="K813" s="21"/>
      <c r="L813" s="21"/>
      <c r="M813" s="21"/>
      <c r="O813" s="24"/>
      <c r="P813" s="24"/>
      <c r="U813" s="27"/>
      <c r="X813" s="21"/>
      <c r="Y813" s="21"/>
      <c r="Z813" s="21"/>
      <c r="AA813" s="28"/>
      <c r="AB813" s="29"/>
      <c r="AC813" s="21"/>
      <c r="AD813" s="25"/>
      <c r="AE813" s="25"/>
      <c r="AF813" s="25"/>
    </row>
    <row r="814" ht="12.75" customHeight="1">
      <c r="B814" s="21"/>
      <c r="C814" s="21"/>
      <c r="E814" s="21"/>
      <c r="F814" s="21"/>
      <c r="J814" s="21"/>
      <c r="K814" s="21"/>
      <c r="L814" s="21"/>
      <c r="M814" s="21"/>
      <c r="O814" s="24"/>
      <c r="P814" s="24"/>
      <c r="U814" s="27"/>
      <c r="X814" s="21"/>
      <c r="Y814" s="21"/>
      <c r="Z814" s="21"/>
      <c r="AA814" s="28"/>
      <c r="AB814" s="29"/>
      <c r="AC814" s="21"/>
      <c r="AD814" s="25"/>
      <c r="AE814" s="25"/>
      <c r="AF814" s="25"/>
    </row>
    <row r="815" ht="12.75" customHeight="1">
      <c r="B815" s="21"/>
      <c r="C815" s="21"/>
      <c r="E815" s="21"/>
      <c r="F815" s="21"/>
      <c r="J815" s="21"/>
      <c r="K815" s="21"/>
      <c r="L815" s="21"/>
      <c r="M815" s="21"/>
      <c r="O815" s="24"/>
      <c r="P815" s="24"/>
      <c r="U815" s="27"/>
      <c r="X815" s="21"/>
      <c r="Y815" s="21"/>
      <c r="Z815" s="21"/>
      <c r="AA815" s="28"/>
      <c r="AB815" s="29"/>
      <c r="AC815" s="21"/>
      <c r="AD815" s="25"/>
      <c r="AE815" s="25"/>
      <c r="AF815" s="25"/>
    </row>
    <row r="816" ht="12.75" customHeight="1">
      <c r="B816" s="21"/>
      <c r="C816" s="21"/>
      <c r="E816" s="21"/>
      <c r="F816" s="21"/>
      <c r="J816" s="21"/>
      <c r="K816" s="21"/>
      <c r="L816" s="21"/>
      <c r="M816" s="21"/>
      <c r="O816" s="24"/>
      <c r="P816" s="24"/>
      <c r="U816" s="27"/>
      <c r="X816" s="21"/>
      <c r="Y816" s="21"/>
      <c r="Z816" s="21"/>
      <c r="AA816" s="28"/>
      <c r="AB816" s="29"/>
      <c r="AC816" s="21"/>
      <c r="AD816" s="25"/>
      <c r="AE816" s="25"/>
      <c r="AF816" s="25"/>
    </row>
    <row r="817" ht="12.75" customHeight="1">
      <c r="B817" s="21"/>
      <c r="C817" s="21"/>
      <c r="E817" s="21"/>
      <c r="F817" s="21"/>
      <c r="J817" s="21"/>
      <c r="K817" s="21"/>
      <c r="L817" s="21"/>
      <c r="M817" s="21"/>
      <c r="O817" s="24"/>
      <c r="P817" s="24"/>
      <c r="U817" s="27"/>
      <c r="X817" s="21"/>
      <c r="Y817" s="21"/>
      <c r="Z817" s="21"/>
      <c r="AA817" s="28"/>
      <c r="AB817" s="29"/>
      <c r="AC817" s="21"/>
      <c r="AD817" s="25"/>
      <c r="AE817" s="25"/>
      <c r="AF817" s="25"/>
    </row>
    <row r="818" ht="12.75" customHeight="1">
      <c r="B818" s="21"/>
      <c r="C818" s="21"/>
      <c r="E818" s="21"/>
      <c r="F818" s="21"/>
      <c r="J818" s="21"/>
      <c r="K818" s="21"/>
      <c r="L818" s="21"/>
      <c r="M818" s="21"/>
      <c r="O818" s="24"/>
      <c r="P818" s="24"/>
      <c r="U818" s="27"/>
      <c r="X818" s="21"/>
      <c r="Y818" s="21"/>
      <c r="Z818" s="21"/>
      <c r="AA818" s="28"/>
      <c r="AB818" s="29"/>
      <c r="AC818" s="21"/>
      <c r="AD818" s="25"/>
      <c r="AE818" s="25"/>
      <c r="AF818" s="25"/>
    </row>
    <row r="819" ht="12.75" customHeight="1">
      <c r="B819" s="21"/>
      <c r="C819" s="21"/>
      <c r="E819" s="21"/>
      <c r="F819" s="21"/>
      <c r="J819" s="21"/>
      <c r="K819" s="21"/>
      <c r="L819" s="21"/>
      <c r="M819" s="21"/>
      <c r="O819" s="24"/>
      <c r="P819" s="24"/>
      <c r="U819" s="27"/>
      <c r="X819" s="21"/>
      <c r="Y819" s="21"/>
      <c r="Z819" s="21"/>
      <c r="AA819" s="28"/>
      <c r="AB819" s="29"/>
      <c r="AC819" s="21"/>
      <c r="AD819" s="25"/>
      <c r="AE819" s="25"/>
      <c r="AF819" s="25"/>
    </row>
    <row r="820" ht="12.75" customHeight="1">
      <c r="B820" s="21"/>
      <c r="C820" s="21"/>
      <c r="E820" s="21"/>
      <c r="F820" s="21"/>
      <c r="J820" s="21"/>
      <c r="K820" s="21"/>
      <c r="L820" s="21"/>
      <c r="M820" s="21"/>
      <c r="O820" s="24"/>
      <c r="P820" s="24"/>
      <c r="U820" s="27"/>
      <c r="X820" s="21"/>
      <c r="Y820" s="21"/>
      <c r="Z820" s="21"/>
      <c r="AA820" s="28"/>
      <c r="AB820" s="29"/>
      <c r="AC820" s="21"/>
      <c r="AD820" s="25"/>
      <c r="AE820" s="25"/>
      <c r="AF820" s="25"/>
    </row>
    <row r="821" ht="12.75" customHeight="1">
      <c r="B821" s="21"/>
      <c r="C821" s="21"/>
      <c r="E821" s="21"/>
      <c r="F821" s="21"/>
      <c r="J821" s="21"/>
      <c r="K821" s="21"/>
      <c r="L821" s="21"/>
      <c r="M821" s="21"/>
      <c r="O821" s="24"/>
      <c r="P821" s="24"/>
      <c r="U821" s="27"/>
      <c r="X821" s="21"/>
      <c r="Y821" s="21"/>
      <c r="Z821" s="21"/>
      <c r="AA821" s="28"/>
      <c r="AB821" s="29"/>
      <c r="AC821" s="21"/>
      <c r="AD821" s="25"/>
      <c r="AE821" s="25"/>
      <c r="AF821" s="25"/>
    </row>
    <row r="822" ht="12.75" customHeight="1">
      <c r="B822" s="21"/>
      <c r="C822" s="21"/>
      <c r="E822" s="21"/>
      <c r="F822" s="21"/>
      <c r="J822" s="21"/>
      <c r="K822" s="21"/>
      <c r="L822" s="21"/>
      <c r="M822" s="21"/>
      <c r="O822" s="24"/>
      <c r="P822" s="24"/>
      <c r="U822" s="27"/>
      <c r="X822" s="21"/>
      <c r="Y822" s="21"/>
      <c r="Z822" s="21"/>
      <c r="AA822" s="28"/>
      <c r="AB822" s="29"/>
      <c r="AC822" s="21"/>
      <c r="AD822" s="25"/>
      <c r="AE822" s="25"/>
      <c r="AF822" s="25"/>
    </row>
    <row r="823" ht="12.75" customHeight="1">
      <c r="B823" s="21"/>
      <c r="C823" s="21"/>
      <c r="E823" s="21"/>
      <c r="F823" s="21"/>
      <c r="J823" s="21"/>
      <c r="K823" s="21"/>
      <c r="L823" s="21"/>
      <c r="M823" s="21"/>
      <c r="O823" s="24"/>
      <c r="P823" s="24"/>
      <c r="U823" s="27"/>
      <c r="X823" s="21"/>
      <c r="Y823" s="21"/>
      <c r="Z823" s="21"/>
      <c r="AA823" s="28"/>
      <c r="AB823" s="29"/>
      <c r="AC823" s="21"/>
      <c r="AD823" s="25"/>
      <c r="AE823" s="25"/>
      <c r="AF823" s="25"/>
    </row>
    <row r="824" ht="12.75" customHeight="1">
      <c r="B824" s="21"/>
      <c r="C824" s="21"/>
      <c r="E824" s="21"/>
      <c r="F824" s="21"/>
      <c r="J824" s="21"/>
      <c r="K824" s="21"/>
      <c r="L824" s="21"/>
      <c r="M824" s="21"/>
      <c r="O824" s="24"/>
      <c r="P824" s="24"/>
      <c r="U824" s="27"/>
      <c r="X824" s="21"/>
      <c r="Y824" s="21"/>
      <c r="Z824" s="21"/>
      <c r="AA824" s="28"/>
      <c r="AB824" s="29"/>
      <c r="AC824" s="21"/>
      <c r="AD824" s="25"/>
      <c r="AE824" s="25"/>
      <c r="AF824" s="25"/>
    </row>
    <row r="825" ht="12.75" customHeight="1">
      <c r="B825" s="21"/>
      <c r="C825" s="21"/>
      <c r="E825" s="21"/>
      <c r="F825" s="21"/>
      <c r="J825" s="21"/>
      <c r="K825" s="21"/>
      <c r="L825" s="21"/>
      <c r="M825" s="21"/>
      <c r="O825" s="24"/>
      <c r="P825" s="24"/>
      <c r="U825" s="27"/>
      <c r="X825" s="21"/>
      <c r="Y825" s="21"/>
      <c r="Z825" s="21"/>
      <c r="AA825" s="28"/>
      <c r="AB825" s="29"/>
      <c r="AC825" s="21"/>
      <c r="AD825" s="25"/>
      <c r="AE825" s="25"/>
      <c r="AF825" s="25"/>
    </row>
    <row r="826" ht="12.75" customHeight="1">
      <c r="B826" s="21"/>
      <c r="C826" s="21"/>
      <c r="E826" s="21"/>
      <c r="F826" s="21"/>
      <c r="J826" s="21"/>
      <c r="K826" s="21"/>
      <c r="L826" s="21"/>
      <c r="M826" s="21"/>
      <c r="O826" s="24"/>
      <c r="P826" s="24"/>
      <c r="U826" s="27"/>
      <c r="X826" s="21"/>
      <c r="Y826" s="21"/>
      <c r="Z826" s="21"/>
      <c r="AA826" s="28"/>
      <c r="AB826" s="29"/>
      <c r="AC826" s="21"/>
      <c r="AD826" s="25"/>
      <c r="AE826" s="25"/>
      <c r="AF826" s="25"/>
    </row>
    <row r="827" ht="12.75" customHeight="1">
      <c r="B827" s="21"/>
      <c r="C827" s="21"/>
      <c r="E827" s="21"/>
      <c r="F827" s="21"/>
      <c r="J827" s="21"/>
      <c r="K827" s="21"/>
      <c r="L827" s="21"/>
      <c r="M827" s="21"/>
      <c r="O827" s="24"/>
      <c r="P827" s="24"/>
      <c r="U827" s="27"/>
      <c r="X827" s="21"/>
      <c r="Y827" s="21"/>
      <c r="Z827" s="21"/>
      <c r="AA827" s="28"/>
      <c r="AB827" s="29"/>
      <c r="AC827" s="21"/>
      <c r="AD827" s="25"/>
      <c r="AE827" s="25"/>
      <c r="AF827" s="25"/>
    </row>
    <row r="828" ht="12.75" customHeight="1">
      <c r="B828" s="21"/>
      <c r="C828" s="21"/>
      <c r="E828" s="21"/>
      <c r="F828" s="21"/>
      <c r="J828" s="21"/>
      <c r="K828" s="21"/>
      <c r="L828" s="21"/>
      <c r="M828" s="21"/>
      <c r="O828" s="24"/>
      <c r="P828" s="24"/>
      <c r="U828" s="27"/>
      <c r="X828" s="21"/>
      <c r="Y828" s="21"/>
      <c r="Z828" s="21"/>
      <c r="AA828" s="28"/>
      <c r="AB828" s="29"/>
      <c r="AC828" s="21"/>
      <c r="AD828" s="25"/>
      <c r="AE828" s="25"/>
      <c r="AF828" s="25"/>
    </row>
    <row r="829" ht="12.75" customHeight="1">
      <c r="B829" s="21"/>
      <c r="C829" s="21"/>
      <c r="E829" s="21"/>
      <c r="F829" s="21"/>
      <c r="J829" s="21"/>
      <c r="K829" s="21"/>
      <c r="L829" s="21"/>
      <c r="M829" s="21"/>
      <c r="O829" s="24"/>
      <c r="P829" s="24"/>
      <c r="U829" s="27"/>
      <c r="X829" s="21"/>
      <c r="Y829" s="21"/>
      <c r="Z829" s="21"/>
      <c r="AA829" s="28"/>
      <c r="AB829" s="29"/>
      <c r="AC829" s="21"/>
      <c r="AD829" s="25"/>
      <c r="AE829" s="25"/>
      <c r="AF829" s="25"/>
    </row>
    <row r="830" ht="12.75" customHeight="1">
      <c r="B830" s="21"/>
      <c r="C830" s="21"/>
      <c r="E830" s="21"/>
      <c r="F830" s="21"/>
      <c r="J830" s="21"/>
      <c r="K830" s="21"/>
      <c r="L830" s="21"/>
      <c r="M830" s="21"/>
      <c r="O830" s="24"/>
      <c r="P830" s="24"/>
      <c r="U830" s="27"/>
      <c r="X830" s="21"/>
      <c r="Y830" s="21"/>
      <c r="Z830" s="21"/>
      <c r="AA830" s="28"/>
      <c r="AB830" s="29"/>
      <c r="AC830" s="21"/>
      <c r="AD830" s="25"/>
      <c r="AE830" s="25"/>
      <c r="AF830" s="25"/>
    </row>
    <row r="831" ht="12.75" customHeight="1">
      <c r="B831" s="21"/>
      <c r="C831" s="21"/>
      <c r="E831" s="21"/>
      <c r="F831" s="21"/>
      <c r="J831" s="21"/>
      <c r="K831" s="21"/>
      <c r="L831" s="21"/>
      <c r="M831" s="21"/>
      <c r="O831" s="24"/>
      <c r="P831" s="24"/>
      <c r="U831" s="27"/>
      <c r="X831" s="21"/>
      <c r="Y831" s="21"/>
      <c r="Z831" s="21"/>
      <c r="AA831" s="28"/>
      <c r="AB831" s="29"/>
      <c r="AC831" s="21"/>
      <c r="AD831" s="25"/>
      <c r="AE831" s="25"/>
      <c r="AF831" s="25"/>
    </row>
    <row r="832" ht="12.75" customHeight="1">
      <c r="B832" s="21"/>
      <c r="C832" s="21"/>
      <c r="E832" s="21"/>
      <c r="F832" s="21"/>
      <c r="J832" s="21"/>
      <c r="K832" s="21"/>
      <c r="L832" s="21"/>
      <c r="M832" s="21"/>
      <c r="O832" s="24"/>
      <c r="P832" s="24"/>
      <c r="U832" s="27"/>
      <c r="X832" s="21"/>
      <c r="Y832" s="21"/>
      <c r="Z832" s="21"/>
      <c r="AA832" s="28"/>
      <c r="AB832" s="29"/>
      <c r="AC832" s="21"/>
      <c r="AD832" s="25"/>
      <c r="AE832" s="25"/>
      <c r="AF832" s="25"/>
    </row>
    <row r="833" ht="12.75" customHeight="1">
      <c r="B833" s="21"/>
      <c r="C833" s="21"/>
      <c r="E833" s="21"/>
      <c r="F833" s="21"/>
      <c r="J833" s="21"/>
      <c r="K833" s="21"/>
      <c r="L833" s="21"/>
      <c r="M833" s="21"/>
      <c r="O833" s="24"/>
      <c r="P833" s="24"/>
      <c r="U833" s="27"/>
      <c r="X833" s="21"/>
      <c r="Y833" s="21"/>
      <c r="Z833" s="21"/>
      <c r="AA833" s="28"/>
      <c r="AB833" s="29"/>
      <c r="AC833" s="21"/>
      <c r="AD833" s="25"/>
      <c r="AE833" s="25"/>
      <c r="AF833" s="25"/>
    </row>
    <row r="834" ht="12.75" customHeight="1">
      <c r="B834" s="21"/>
      <c r="C834" s="21"/>
      <c r="E834" s="21"/>
      <c r="F834" s="21"/>
      <c r="J834" s="21"/>
      <c r="K834" s="21"/>
      <c r="L834" s="21"/>
      <c r="M834" s="21"/>
      <c r="O834" s="24"/>
      <c r="P834" s="24"/>
      <c r="U834" s="27"/>
      <c r="X834" s="21"/>
      <c r="Y834" s="21"/>
      <c r="Z834" s="21"/>
      <c r="AA834" s="28"/>
      <c r="AB834" s="29"/>
      <c r="AC834" s="21"/>
      <c r="AD834" s="25"/>
      <c r="AE834" s="25"/>
      <c r="AF834" s="25"/>
    </row>
    <row r="835" ht="12.75" customHeight="1">
      <c r="B835" s="21"/>
      <c r="C835" s="21"/>
      <c r="E835" s="21"/>
      <c r="F835" s="21"/>
      <c r="J835" s="21"/>
      <c r="K835" s="21"/>
      <c r="L835" s="21"/>
      <c r="M835" s="21"/>
      <c r="O835" s="24"/>
      <c r="P835" s="24"/>
      <c r="U835" s="27"/>
      <c r="X835" s="21"/>
      <c r="Y835" s="21"/>
      <c r="Z835" s="21"/>
      <c r="AA835" s="28"/>
      <c r="AB835" s="29"/>
      <c r="AC835" s="21"/>
      <c r="AD835" s="25"/>
      <c r="AE835" s="25"/>
      <c r="AF835" s="25"/>
    </row>
    <row r="836" ht="12.75" customHeight="1">
      <c r="B836" s="21"/>
      <c r="C836" s="21"/>
      <c r="E836" s="21"/>
      <c r="F836" s="21"/>
      <c r="J836" s="21"/>
      <c r="K836" s="21"/>
      <c r="L836" s="21"/>
      <c r="M836" s="21"/>
      <c r="O836" s="24"/>
      <c r="P836" s="24"/>
      <c r="U836" s="27"/>
      <c r="X836" s="21"/>
      <c r="Y836" s="21"/>
      <c r="Z836" s="21"/>
      <c r="AA836" s="28"/>
      <c r="AB836" s="29"/>
      <c r="AC836" s="21"/>
      <c r="AD836" s="25"/>
      <c r="AE836" s="25"/>
      <c r="AF836" s="25"/>
    </row>
    <row r="837" ht="12.75" customHeight="1">
      <c r="B837" s="21"/>
      <c r="C837" s="21"/>
      <c r="E837" s="21"/>
      <c r="F837" s="21"/>
      <c r="J837" s="21"/>
      <c r="K837" s="21"/>
      <c r="L837" s="21"/>
      <c r="M837" s="21"/>
      <c r="O837" s="24"/>
      <c r="P837" s="24"/>
      <c r="U837" s="27"/>
      <c r="X837" s="21"/>
      <c r="Y837" s="21"/>
      <c r="Z837" s="21"/>
      <c r="AA837" s="28"/>
      <c r="AB837" s="29"/>
      <c r="AC837" s="21"/>
      <c r="AD837" s="25"/>
      <c r="AE837" s="25"/>
      <c r="AF837" s="25"/>
    </row>
    <row r="838" ht="12.75" customHeight="1">
      <c r="B838" s="21"/>
      <c r="C838" s="21"/>
      <c r="E838" s="21"/>
      <c r="F838" s="21"/>
      <c r="J838" s="21"/>
      <c r="K838" s="21"/>
      <c r="L838" s="21"/>
      <c r="M838" s="21"/>
      <c r="O838" s="24"/>
      <c r="P838" s="24"/>
      <c r="U838" s="27"/>
      <c r="X838" s="21"/>
      <c r="Y838" s="21"/>
      <c r="Z838" s="21"/>
      <c r="AA838" s="28"/>
      <c r="AB838" s="29"/>
      <c r="AC838" s="21"/>
      <c r="AD838" s="25"/>
      <c r="AE838" s="25"/>
      <c r="AF838" s="25"/>
    </row>
    <row r="839" ht="12.75" customHeight="1">
      <c r="B839" s="21"/>
      <c r="C839" s="21"/>
      <c r="E839" s="21"/>
      <c r="F839" s="21"/>
      <c r="J839" s="21"/>
      <c r="K839" s="21"/>
      <c r="L839" s="21"/>
      <c r="M839" s="21"/>
      <c r="O839" s="24"/>
      <c r="P839" s="24"/>
      <c r="U839" s="27"/>
      <c r="X839" s="21"/>
      <c r="Y839" s="21"/>
      <c r="Z839" s="21"/>
      <c r="AA839" s="28"/>
      <c r="AB839" s="29"/>
      <c r="AC839" s="21"/>
      <c r="AD839" s="25"/>
      <c r="AE839" s="25"/>
      <c r="AF839" s="25"/>
    </row>
    <row r="840" ht="12.75" customHeight="1">
      <c r="B840" s="21"/>
      <c r="C840" s="21"/>
      <c r="E840" s="21"/>
      <c r="F840" s="21"/>
      <c r="J840" s="21"/>
      <c r="K840" s="21"/>
      <c r="L840" s="21"/>
      <c r="M840" s="21"/>
      <c r="O840" s="24"/>
      <c r="P840" s="24"/>
      <c r="U840" s="27"/>
      <c r="X840" s="21"/>
      <c r="Y840" s="21"/>
      <c r="Z840" s="21"/>
      <c r="AA840" s="28"/>
      <c r="AB840" s="29"/>
      <c r="AC840" s="21"/>
      <c r="AD840" s="25"/>
      <c r="AE840" s="25"/>
      <c r="AF840" s="25"/>
    </row>
    <row r="841" ht="12.75" customHeight="1">
      <c r="B841" s="21"/>
      <c r="C841" s="21"/>
      <c r="E841" s="21"/>
      <c r="F841" s="21"/>
      <c r="J841" s="21"/>
      <c r="K841" s="21"/>
      <c r="L841" s="21"/>
      <c r="M841" s="21"/>
      <c r="O841" s="24"/>
      <c r="P841" s="24"/>
      <c r="U841" s="27"/>
      <c r="X841" s="21"/>
      <c r="Y841" s="21"/>
      <c r="Z841" s="21"/>
      <c r="AA841" s="28"/>
      <c r="AB841" s="29"/>
      <c r="AC841" s="21"/>
      <c r="AD841" s="25"/>
      <c r="AE841" s="25"/>
      <c r="AF841" s="25"/>
    </row>
    <row r="842" ht="12.75" customHeight="1">
      <c r="B842" s="21"/>
      <c r="C842" s="21"/>
      <c r="E842" s="21"/>
      <c r="F842" s="21"/>
      <c r="J842" s="21"/>
      <c r="K842" s="21"/>
      <c r="L842" s="21"/>
      <c r="M842" s="21"/>
      <c r="O842" s="24"/>
      <c r="P842" s="24"/>
      <c r="U842" s="27"/>
      <c r="X842" s="21"/>
      <c r="Y842" s="21"/>
      <c r="Z842" s="21"/>
      <c r="AA842" s="28"/>
      <c r="AB842" s="29"/>
      <c r="AC842" s="21"/>
      <c r="AD842" s="25"/>
      <c r="AE842" s="25"/>
      <c r="AF842" s="25"/>
    </row>
    <row r="843" ht="12.75" customHeight="1">
      <c r="B843" s="21"/>
      <c r="C843" s="21"/>
      <c r="E843" s="21"/>
      <c r="F843" s="21"/>
      <c r="J843" s="21"/>
      <c r="K843" s="21"/>
      <c r="L843" s="21"/>
      <c r="M843" s="21"/>
      <c r="O843" s="24"/>
      <c r="P843" s="24"/>
      <c r="U843" s="27"/>
      <c r="X843" s="21"/>
      <c r="Y843" s="21"/>
      <c r="Z843" s="21"/>
      <c r="AA843" s="28"/>
      <c r="AB843" s="29"/>
      <c r="AC843" s="21"/>
      <c r="AD843" s="25"/>
      <c r="AE843" s="25"/>
      <c r="AF843" s="25"/>
    </row>
    <row r="844" ht="12.75" customHeight="1">
      <c r="B844" s="21"/>
      <c r="C844" s="21"/>
      <c r="E844" s="21"/>
      <c r="F844" s="21"/>
      <c r="J844" s="21"/>
      <c r="K844" s="21"/>
      <c r="L844" s="21"/>
      <c r="M844" s="21"/>
      <c r="O844" s="24"/>
      <c r="P844" s="24"/>
      <c r="U844" s="27"/>
      <c r="X844" s="21"/>
      <c r="Y844" s="21"/>
      <c r="Z844" s="21"/>
      <c r="AA844" s="28"/>
      <c r="AB844" s="29"/>
      <c r="AC844" s="21"/>
      <c r="AD844" s="25"/>
      <c r="AE844" s="25"/>
      <c r="AF844" s="25"/>
    </row>
    <row r="845" ht="12.75" customHeight="1">
      <c r="B845" s="21"/>
      <c r="C845" s="21"/>
      <c r="E845" s="21"/>
      <c r="F845" s="21"/>
      <c r="J845" s="21"/>
      <c r="K845" s="21"/>
      <c r="L845" s="21"/>
      <c r="M845" s="21"/>
      <c r="O845" s="24"/>
      <c r="P845" s="24"/>
      <c r="U845" s="27"/>
      <c r="X845" s="21"/>
      <c r="Y845" s="21"/>
      <c r="Z845" s="21"/>
      <c r="AA845" s="28"/>
      <c r="AB845" s="29"/>
      <c r="AC845" s="21"/>
      <c r="AD845" s="25"/>
      <c r="AE845" s="25"/>
      <c r="AF845" s="25"/>
    </row>
    <row r="846" ht="12.75" customHeight="1">
      <c r="B846" s="21"/>
      <c r="C846" s="21"/>
      <c r="E846" s="21"/>
      <c r="F846" s="21"/>
      <c r="J846" s="21"/>
      <c r="K846" s="21"/>
      <c r="L846" s="21"/>
      <c r="M846" s="21"/>
      <c r="O846" s="24"/>
      <c r="P846" s="24"/>
      <c r="U846" s="27"/>
      <c r="X846" s="21"/>
      <c r="Y846" s="21"/>
      <c r="Z846" s="21"/>
      <c r="AA846" s="28"/>
      <c r="AB846" s="29"/>
      <c r="AC846" s="21"/>
      <c r="AD846" s="25"/>
      <c r="AE846" s="25"/>
      <c r="AF846" s="25"/>
    </row>
    <row r="847" ht="12.75" customHeight="1">
      <c r="B847" s="21"/>
      <c r="C847" s="21"/>
      <c r="E847" s="21"/>
      <c r="F847" s="21"/>
      <c r="J847" s="21"/>
      <c r="K847" s="21"/>
      <c r="L847" s="21"/>
      <c r="M847" s="21"/>
      <c r="O847" s="24"/>
      <c r="P847" s="24"/>
      <c r="U847" s="27"/>
      <c r="X847" s="21"/>
      <c r="Y847" s="21"/>
      <c r="Z847" s="21"/>
      <c r="AA847" s="28"/>
      <c r="AB847" s="29"/>
      <c r="AC847" s="21"/>
      <c r="AD847" s="25"/>
      <c r="AE847" s="25"/>
      <c r="AF847" s="25"/>
    </row>
    <row r="848" ht="12.75" customHeight="1">
      <c r="B848" s="21"/>
      <c r="C848" s="21"/>
      <c r="E848" s="21"/>
      <c r="F848" s="21"/>
      <c r="J848" s="21"/>
      <c r="K848" s="21"/>
      <c r="L848" s="21"/>
      <c r="M848" s="21"/>
      <c r="O848" s="24"/>
      <c r="P848" s="24"/>
      <c r="U848" s="27"/>
      <c r="X848" s="21"/>
      <c r="Y848" s="21"/>
      <c r="Z848" s="21"/>
      <c r="AA848" s="28"/>
      <c r="AB848" s="29"/>
      <c r="AC848" s="21"/>
      <c r="AD848" s="25"/>
      <c r="AE848" s="25"/>
      <c r="AF848" s="25"/>
    </row>
    <row r="849" ht="12.75" customHeight="1">
      <c r="B849" s="21"/>
      <c r="C849" s="21"/>
      <c r="E849" s="21"/>
      <c r="F849" s="21"/>
      <c r="J849" s="21"/>
      <c r="K849" s="21"/>
      <c r="L849" s="21"/>
      <c r="M849" s="21"/>
      <c r="O849" s="24"/>
      <c r="P849" s="24"/>
      <c r="U849" s="27"/>
      <c r="X849" s="21"/>
      <c r="Y849" s="21"/>
      <c r="Z849" s="21"/>
      <c r="AA849" s="28"/>
      <c r="AB849" s="29"/>
      <c r="AC849" s="21"/>
      <c r="AD849" s="25"/>
      <c r="AE849" s="25"/>
      <c r="AF849" s="25"/>
    </row>
    <row r="850" ht="12.75" customHeight="1">
      <c r="B850" s="21"/>
      <c r="C850" s="21"/>
      <c r="E850" s="21"/>
      <c r="F850" s="21"/>
      <c r="J850" s="21"/>
      <c r="K850" s="21"/>
      <c r="L850" s="21"/>
      <c r="M850" s="21"/>
      <c r="O850" s="24"/>
      <c r="P850" s="24"/>
      <c r="U850" s="27"/>
      <c r="X850" s="21"/>
      <c r="Y850" s="21"/>
      <c r="Z850" s="21"/>
      <c r="AA850" s="28"/>
      <c r="AB850" s="29"/>
      <c r="AC850" s="21"/>
      <c r="AD850" s="25"/>
      <c r="AE850" s="25"/>
      <c r="AF850" s="25"/>
    </row>
    <row r="851" ht="12.75" customHeight="1">
      <c r="B851" s="21"/>
      <c r="C851" s="21"/>
      <c r="E851" s="21"/>
      <c r="F851" s="21"/>
      <c r="J851" s="21"/>
      <c r="K851" s="21"/>
      <c r="L851" s="21"/>
      <c r="M851" s="21"/>
      <c r="O851" s="24"/>
      <c r="P851" s="24"/>
      <c r="U851" s="27"/>
      <c r="X851" s="21"/>
      <c r="Y851" s="21"/>
      <c r="Z851" s="21"/>
      <c r="AA851" s="28"/>
      <c r="AB851" s="29"/>
      <c r="AC851" s="21"/>
      <c r="AD851" s="25"/>
      <c r="AE851" s="25"/>
      <c r="AF851" s="25"/>
    </row>
    <row r="852" ht="12.75" customHeight="1">
      <c r="B852" s="21"/>
      <c r="C852" s="21"/>
      <c r="E852" s="21"/>
      <c r="F852" s="21"/>
      <c r="J852" s="21"/>
      <c r="K852" s="21"/>
      <c r="L852" s="21"/>
      <c r="M852" s="21"/>
      <c r="O852" s="24"/>
      <c r="P852" s="24"/>
      <c r="U852" s="27"/>
      <c r="X852" s="21"/>
      <c r="Y852" s="21"/>
      <c r="Z852" s="21"/>
      <c r="AA852" s="28"/>
      <c r="AB852" s="29"/>
      <c r="AC852" s="21"/>
      <c r="AD852" s="25"/>
      <c r="AE852" s="25"/>
      <c r="AF852" s="25"/>
    </row>
    <row r="853" ht="12.75" customHeight="1">
      <c r="B853" s="21"/>
      <c r="C853" s="21"/>
      <c r="E853" s="21"/>
      <c r="F853" s="21"/>
      <c r="J853" s="21"/>
      <c r="K853" s="21"/>
      <c r="L853" s="21"/>
      <c r="M853" s="21"/>
      <c r="O853" s="24"/>
      <c r="P853" s="24"/>
      <c r="U853" s="27"/>
      <c r="X853" s="21"/>
      <c r="Y853" s="21"/>
      <c r="Z853" s="21"/>
      <c r="AA853" s="28"/>
      <c r="AB853" s="29"/>
      <c r="AC853" s="21"/>
      <c r="AD853" s="25"/>
      <c r="AE853" s="25"/>
      <c r="AF853" s="25"/>
    </row>
    <row r="854" ht="12.75" customHeight="1">
      <c r="B854" s="21"/>
      <c r="C854" s="21"/>
      <c r="E854" s="21"/>
      <c r="F854" s="21"/>
      <c r="J854" s="21"/>
      <c r="K854" s="21"/>
      <c r="L854" s="21"/>
      <c r="M854" s="21"/>
      <c r="O854" s="24"/>
      <c r="P854" s="24"/>
      <c r="U854" s="27"/>
      <c r="X854" s="21"/>
      <c r="Y854" s="21"/>
      <c r="Z854" s="21"/>
      <c r="AA854" s="28"/>
      <c r="AB854" s="29"/>
      <c r="AC854" s="21"/>
      <c r="AD854" s="25"/>
      <c r="AE854" s="25"/>
      <c r="AF854" s="25"/>
    </row>
    <row r="855" ht="12.75" customHeight="1">
      <c r="B855" s="21"/>
      <c r="C855" s="21"/>
      <c r="E855" s="21"/>
      <c r="F855" s="21"/>
      <c r="J855" s="21"/>
      <c r="K855" s="21"/>
      <c r="L855" s="21"/>
      <c r="M855" s="21"/>
      <c r="O855" s="24"/>
      <c r="P855" s="24"/>
      <c r="U855" s="27"/>
      <c r="X855" s="21"/>
      <c r="Y855" s="21"/>
      <c r="Z855" s="21"/>
      <c r="AA855" s="28"/>
      <c r="AB855" s="29"/>
      <c r="AC855" s="21"/>
      <c r="AD855" s="25"/>
      <c r="AE855" s="25"/>
      <c r="AF855" s="25"/>
    </row>
    <row r="856" ht="12.75" customHeight="1">
      <c r="B856" s="21"/>
      <c r="C856" s="21"/>
      <c r="E856" s="21"/>
      <c r="F856" s="21"/>
      <c r="J856" s="21"/>
      <c r="K856" s="21"/>
      <c r="L856" s="21"/>
      <c r="M856" s="21"/>
      <c r="O856" s="24"/>
      <c r="P856" s="24"/>
      <c r="U856" s="27"/>
      <c r="X856" s="21"/>
      <c r="Y856" s="21"/>
      <c r="Z856" s="21"/>
      <c r="AA856" s="28"/>
      <c r="AB856" s="29"/>
      <c r="AC856" s="21"/>
      <c r="AD856" s="25"/>
      <c r="AE856" s="25"/>
      <c r="AF856" s="25"/>
    </row>
    <row r="857" ht="12.75" customHeight="1">
      <c r="B857" s="21"/>
      <c r="C857" s="21"/>
      <c r="E857" s="21"/>
      <c r="F857" s="21"/>
      <c r="J857" s="21"/>
      <c r="K857" s="21"/>
      <c r="L857" s="21"/>
      <c r="M857" s="21"/>
      <c r="O857" s="24"/>
      <c r="P857" s="24"/>
      <c r="U857" s="27"/>
      <c r="X857" s="21"/>
      <c r="Y857" s="21"/>
      <c r="Z857" s="21"/>
      <c r="AA857" s="28"/>
      <c r="AB857" s="29"/>
      <c r="AC857" s="21"/>
      <c r="AD857" s="25"/>
      <c r="AE857" s="25"/>
      <c r="AF857" s="25"/>
    </row>
    <row r="858" ht="12.75" customHeight="1">
      <c r="B858" s="21"/>
      <c r="C858" s="21"/>
      <c r="E858" s="21"/>
      <c r="F858" s="21"/>
      <c r="J858" s="21"/>
      <c r="K858" s="21"/>
      <c r="L858" s="21"/>
      <c r="M858" s="21"/>
      <c r="O858" s="24"/>
      <c r="P858" s="24"/>
      <c r="U858" s="27"/>
      <c r="X858" s="21"/>
      <c r="Y858" s="21"/>
      <c r="Z858" s="21"/>
      <c r="AA858" s="28"/>
      <c r="AB858" s="29"/>
      <c r="AC858" s="21"/>
      <c r="AD858" s="25"/>
      <c r="AE858" s="25"/>
      <c r="AF858" s="25"/>
    </row>
    <row r="859" ht="12.75" customHeight="1">
      <c r="B859" s="21"/>
      <c r="C859" s="21"/>
      <c r="E859" s="21"/>
      <c r="F859" s="21"/>
      <c r="J859" s="21"/>
      <c r="K859" s="21"/>
      <c r="L859" s="21"/>
      <c r="M859" s="21"/>
      <c r="O859" s="24"/>
      <c r="P859" s="24"/>
      <c r="U859" s="27"/>
      <c r="X859" s="21"/>
      <c r="Y859" s="21"/>
      <c r="Z859" s="21"/>
      <c r="AA859" s="28"/>
      <c r="AB859" s="29"/>
      <c r="AC859" s="21"/>
      <c r="AD859" s="25"/>
      <c r="AE859" s="25"/>
      <c r="AF859" s="25"/>
    </row>
    <row r="860" ht="12.75" customHeight="1">
      <c r="B860" s="21"/>
      <c r="C860" s="21"/>
      <c r="E860" s="21"/>
      <c r="F860" s="21"/>
      <c r="J860" s="21"/>
      <c r="K860" s="21"/>
      <c r="L860" s="21"/>
      <c r="M860" s="21"/>
      <c r="O860" s="24"/>
      <c r="P860" s="24"/>
      <c r="U860" s="27"/>
      <c r="X860" s="21"/>
      <c r="Y860" s="21"/>
      <c r="Z860" s="21"/>
      <c r="AA860" s="28"/>
      <c r="AB860" s="29"/>
      <c r="AC860" s="21"/>
      <c r="AD860" s="25"/>
      <c r="AE860" s="25"/>
      <c r="AF860" s="25"/>
    </row>
    <row r="861" ht="12.75" customHeight="1">
      <c r="B861" s="21"/>
      <c r="C861" s="21"/>
      <c r="E861" s="21"/>
      <c r="F861" s="21"/>
      <c r="J861" s="21"/>
      <c r="K861" s="21"/>
      <c r="L861" s="21"/>
      <c r="M861" s="21"/>
      <c r="O861" s="24"/>
      <c r="P861" s="24"/>
      <c r="U861" s="27"/>
      <c r="X861" s="21"/>
      <c r="Y861" s="21"/>
      <c r="Z861" s="21"/>
      <c r="AA861" s="28"/>
      <c r="AB861" s="29"/>
      <c r="AC861" s="21"/>
      <c r="AD861" s="25"/>
      <c r="AE861" s="25"/>
      <c r="AF861" s="25"/>
    </row>
    <row r="862" ht="12.75" customHeight="1">
      <c r="B862" s="21"/>
      <c r="C862" s="21"/>
      <c r="E862" s="21"/>
      <c r="F862" s="21"/>
      <c r="J862" s="21"/>
      <c r="K862" s="21"/>
      <c r="L862" s="21"/>
      <c r="M862" s="21"/>
      <c r="O862" s="24"/>
      <c r="P862" s="24"/>
      <c r="U862" s="27"/>
      <c r="X862" s="21"/>
      <c r="Y862" s="21"/>
      <c r="Z862" s="21"/>
      <c r="AA862" s="28"/>
      <c r="AB862" s="29"/>
      <c r="AC862" s="21"/>
      <c r="AD862" s="25"/>
      <c r="AE862" s="25"/>
      <c r="AF862" s="25"/>
    </row>
    <row r="863" ht="12.75" customHeight="1">
      <c r="B863" s="21"/>
      <c r="C863" s="21"/>
      <c r="E863" s="21"/>
      <c r="F863" s="21"/>
      <c r="J863" s="21"/>
      <c r="K863" s="21"/>
      <c r="L863" s="21"/>
      <c r="M863" s="21"/>
      <c r="O863" s="24"/>
      <c r="P863" s="24"/>
      <c r="U863" s="27"/>
      <c r="X863" s="21"/>
      <c r="Y863" s="21"/>
      <c r="Z863" s="21"/>
      <c r="AA863" s="28"/>
      <c r="AB863" s="29"/>
      <c r="AC863" s="21"/>
      <c r="AD863" s="25"/>
      <c r="AE863" s="25"/>
      <c r="AF863" s="25"/>
    </row>
    <row r="864" ht="12.75" customHeight="1">
      <c r="B864" s="21"/>
      <c r="C864" s="21"/>
      <c r="E864" s="21"/>
      <c r="F864" s="21"/>
      <c r="J864" s="21"/>
      <c r="K864" s="21"/>
      <c r="L864" s="21"/>
      <c r="M864" s="21"/>
      <c r="O864" s="24"/>
      <c r="P864" s="24"/>
      <c r="U864" s="27"/>
      <c r="X864" s="21"/>
      <c r="Y864" s="21"/>
      <c r="Z864" s="21"/>
      <c r="AA864" s="28"/>
      <c r="AB864" s="29"/>
      <c r="AC864" s="21"/>
      <c r="AD864" s="25"/>
      <c r="AE864" s="25"/>
      <c r="AF864" s="25"/>
    </row>
    <row r="865" ht="12.75" customHeight="1">
      <c r="B865" s="21"/>
      <c r="C865" s="21"/>
      <c r="E865" s="21"/>
      <c r="F865" s="21"/>
      <c r="J865" s="21"/>
      <c r="K865" s="21"/>
      <c r="L865" s="21"/>
      <c r="M865" s="21"/>
      <c r="O865" s="24"/>
      <c r="P865" s="24"/>
      <c r="U865" s="27"/>
      <c r="X865" s="21"/>
      <c r="Y865" s="21"/>
      <c r="Z865" s="21"/>
      <c r="AA865" s="28"/>
      <c r="AB865" s="29"/>
      <c r="AC865" s="21"/>
      <c r="AD865" s="25"/>
      <c r="AE865" s="25"/>
      <c r="AF865" s="25"/>
    </row>
    <row r="866" ht="12.75" customHeight="1">
      <c r="B866" s="21"/>
      <c r="C866" s="21"/>
      <c r="E866" s="21"/>
      <c r="F866" s="21"/>
      <c r="J866" s="21"/>
      <c r="K866" s="21"/>
      <c r="L866" s="21"/>
      <c r="M866" s="21"/>
      <c r="O866" s="24"/>
      <c r="P866" s="24"/>
      <c r="U866" s="27"/>
      <c r="X866" s="21"/>
      <c r="Y866" s="21"/>
      <c r="Z866" s="21"/>
      <c r="AA866" s="28"/>
      <c r="AB866" s="29"/>
      <c r="AC866" s="21"/>
      <c r="AD866" s="25"/>
      <c r="AE866" s="25"/>
      <c r="AF866" s="25"/>
    </row>
    <row r="867" ht="12.75" customHeight="1">
      <c r="B867" s="21"/>
      <c r="C867" s="21"/>
      <c r="E867" s="21"/>
      <c r="F867" s="21"/>
      <c r="J867" s="21"/>
      <c r="K867" s="21"/>
      <c r="L867" s="21"/>
      <c r="M867" s="21"/>
      <c r="O867" s="24"/>
      <c r="P867" s="24"/>
      <c r="U867" s="27"/>
      <c r="X867" s="21"/>
      <c r="Y867" s="21"/>
      <c r="Z867" s="21"/>
      <c r="AA867" s="28"/>
      <c r="AB867" s="29"/>
      <c r="AC867" s="21"/>
      <c r="AD867" s="25"/>
      <c r="AE867" s="25"/>
      <c r="AF867" s="25"/>
    </row>
    <row r="868" ht="12.75" customHeight="1">
      <c r="B868" s="21"/>
      <c r="C868" s="21"/>
      <c r="E868" s="21"/>
      <c r="F868" s="21"/>
      <c r="J868" s="21"/>
      <c r="K868" s="21"/>
      <c r="L868" s="21"/>
      <c r="M868" s="21"/>
      <c r="O868" s="24"/>
      <c r="P868" s="24"/>
      <c r="U868" s="27"/>
      <c r="X868" s="21"/>
      <c r="Y868" s="21"/>
      <c r="Z868" s="21"/>
      <c r="AA868" s="28"/>
      <c r="AB868" s="29"/>
      <c r="AC868" s="21"/>
      <c r="AD868" s="25"/>
      <c r="AE868" s="25"/>
      <c r="AF868" s="25"/>
    </row>
    <row r="869" ht="12.75" customHeight="1">
      <c r="B869" s="21"/>
      <c r="C869" s="21"/>
      <c r="E869" s="21"/>
      <c r="F869" s="21"/>
      <c r="J869" s="21"/>
      <c r="K869" s="21"/>
      <c r="L869" s="21"/>
      <c r="M869" s="21"/>
      <c r="O869" s="24"/>
      <c r="P869" s="24"/>
      <c r="U869" s="27"/>
      <c r="X869" s="21"/>
      <c r="Y869" s="21"/>
      <c r="Z869" s="21"/>
      <c r="AA869" s="28"/>
      <c r="AB869" s="29"/>
      <c r="AC869" s="21"/>
      <c r="AD869" s="25"/>
      <c r="AE869" s="25"/>
      <c r="AF869" s="25"/>
    </row>
    <row r="870" ht="12.75" customHeight="1">
      <c r="B870" s="21"/>
      <c r="C870" s="21"/>
      <c r="E870" s="21"/>
      <c r="F870" s="21"/>
      <c r="J870" s="21"/>
      <c r="K870" s="21"/>
      <c r="L870" s="21"/>
      <c r="M870" s="21"/>
      <c r="O870" s="24"/>
      <c r="P870" s="24"/>
      <c r="U870" s="27"/>
      <c r="X870" s="21"/>
      <c r="Y870" s="21"/>
      <c r="Z870" s="21"/>
      <c r="AA870" s="28"/>
      <c r="AB870" s="29"/>
      <c r="AC870" s="21"/>
      <c r="AD870" s="25"/>
      <c r="AE870" s="25"/>
      <c r="AF870" s="25"/>
    </row>
    <row r="871" ht="12.75" customHeight="1">
      <c r="B871" s="21"/>
      <c r="C871" s="21"/>
      <c r="E871" s="21"/>
      <c r="F871" s="21"/>
      <c r="J871" s="21"/>
      <c r="K871" s="21"/>
      <c r="L871" s="21"/>
      <c r="M871" s="21"/>
      <c r="O871" s="24"/>
      <c r="P871" s="24"/>
      <c r="U871" s="27"/>
      <c r="X871" s="21"/>
      <c r="Y871" s="21"/>
      <c r="Z871" s="21"/>
      <c r="AA871" s="28"/>
      <c r="AB871" s="29"/>
      <c r="AC871" s="21"/>
      <c r="AD871" s="25"/>
      <c r="AE871" s="25"/>
      <c r="AF871" s="25"/>
    </row>
    <row r="872" ht="12.75" customHeight="1">
      <c r="B872" s="21"/>
      <c r="C872" s="21"/>
      <c r="E872" s="21"/>
      <c r="F872" s="21"/>
      <c r="J872" s="21"/>
      <c r="K872" s="21"/>
      <c r="L872" s="21"/>
      <c r="M872" s="21"/>
      <c r="O872" s="24"/>
      <c r="P872" s="24"/>
      <c r="U872" s="27"/>
      <c r="X872" s="21"/>
      <c r="Y872" s="21"/>
      <c r="Z872" s="21"/>
      <c r="AA872" s="28"/>
      <c r="AB872" s="29"/>
      <c r="AC872" s="21"/>
      <c r="AD872" s="25"/>
      <c r="AE872" s="25"/>
      <c r="AF872" s="25"/>
    </row>
    <row r="873" ht="12.75" customHeight="1">
      <c r="B873" s="21"/>
      <c r="C873" s="21"/>
      <c r="E873" s="21"/>
      <c r="F873" s="21"/>
      <c r="J873" s="21"/>
      <c r="K873" s="21"/>
      <c r="L873" s="21"/>
      <c r="M873" s="21"/>
      <c r="O873" s="24"/>
      <c r="P873" s="24"/>
      <c r="U873" s="27"/>
      <c r="X873" s="21"/>
      <c r="Y873" s="21"/>
      <c r="Z873" s="21"/>
      <c r="AA873" s="28"/>
      <c r="AB873" s="29"/>
      <c r="AC873" s="21"/>
      <c r="AD873" s="25"/>
      <c r="AE873" s="25"/>
      <c r="AF873" s="25"/>
    </row>
    <row r="874" ht="12.75" customHeight="1">
      <c r="B874" s="21"/>
      <c r="C874" s="21"/>
      <c r="E874" s="21"/>
      <c r="F874" s="21"/>
      <c r="J874" s="21"/>
      <c r="K874" s="21"/>
      <c r="L874" s="21"/>
      <c r="M874" s="21"/>
      <c r="O874" s="24"/>
      <c r="P874" s="24"/>
      <c r="U874" s="27"/>
      <c r="X874" s="21"/>
      <c r="Y874" s="21"/>
      <c r="Z874" s="21"/>
      <c r="AA874" s="28"/>
      <c r="AB874" s="29"/>
      <c r="AC874" s="21"/>
      <c r="AD874" s="25"/>
      <c r="AE874" s="25"/>
      <c r="AF874" s="25"/>
    </row>
    <row r="875" ht="12.75" customHeight="1">
      <c r="B875" s="21"/>
      <c r="C875" s="21"/>
      <c r="E875" s="21"/>
      <c r="F875" s="21"/>
      <c r="J875" s="21"/>
      <c r="K875" s="21"/>
      <c r="L875" s="21"/>
      <c r="M875" s="21"/>
      <c r="O875" s="24"/>
      <c r="P875" s="24"/>
      <c r="U875" s="27"/>
      <c r="X875" s="21"/>
      <c r="Y875" s="21"/>
      <c r="Z875" s="21"/>
      <c r="AA875" s="28"/>
      <c r="AB875" s="29"/>
      <c r="AC875" s="21"/>
      <c r="AD875" s="25"/>
      <c r="AE875" s="25"/>
      <c r="AF875" s="25"/>
    </row>
    <row r="876" ht="12.75" customHeight="1">
      <c r="B876" s="21"/>
      <c r="C876" s="21"/>
      <c r="E876" s="21"/>
      <c r="F876" s="21"/>
      <c r="J876" s="21"/>
      <c r="K876" s="21"/>
      <c r="L876" s="21"/>
      <c r="M876" s="21"/>
      <c r="O876" s="24"/>
      <c r="P876" s="24"/>
      <c r="U876" s="27"/>
      <c r="X876" s="21"/>
      <c r="Y876" s="21"/>
      <c r="Z876" s="21"/>
      <c r="AA876" s="28"/>
      <c r="AB876" s="29"/>
      <c r="AC876" s="21"/>
      <c r="AD876" s="25"/>
      <c r="AE876" s="25"/>
      <c r="AF876" s="25"/>
    </row>
    <row r="877" ht="12.75" customHeight="1">
      <c r="B877" s="21"/>
      <c r="C877" s="21"/>
      <c r="E877" s="21"/>
      <c r="F877" s="21"/>
      <c r="J877" s="21"/>
      <c r="K877" s="21"/>
      <c r="L877" s="21"/>
      <c r="M877" s="21"/>
      <c r="O877" s="24"/>
      <c r="P877" s="24"/>
      <c r="U877" s="27"/>
      <c r="X877" s="21"/>
      <c r="Y877" s="21"/>
      <c r="Z877" s="21"/>
      <c r="AA877" s="28"/>
      <c r="AB877" s="29"/>
      <c r="AC877" s="21"/>
      <c r="AD877" s="25"/>
      <c r="AE877" s="25"/>
      <c r="AF877" s="25"/>
    </row>
    <row r="878" ht="12.75" customHeight="1">
      <c r="B878" s="21"/>
      <c r="C878" s="21"/>
      <c r="E878" s="21"/>
      <c r="F878" s="21"/>
      <c r="J878" s="21"/>
      <c r="K878" s="21"/>
      <c r="L878" s="21"/>
      <c r="M878" s="21"/>
      <c r="O878" s="24"/>
      <c r="P878" s="24"/>
      <c r="U878" s="27"/>
      <c r="X878" s="21"/>
      <c r="Y878" s="21"/>
      <c r="Z878" s="21"/>
      <c r="AA878" s="28"/>
      <c r="AB878" s="29"/>
      <c r="AC878" s="21"/>
      <c r="AD878" s="25"/>
      <c r="AE878" s="25"/>
      <c r="AF878" s="25"/>
    </row>
    <row r="879" ht="12.75" customHeight="1">
      <c r="B879" s="21"/>
      <c r="C879" s="21"/>
      <c r="E879" s="21"/>
      <c r="F879" s="21"/>
      <c r="J879" s="21"/>
      <c r="K879" s="21"/>
      <c r="L879" s="21"/>
      <c r="M879" s="21"/>
      <c r="O879" s="24"/>
      <c r="P879" s="24"/>
      <c r="U879" s="27"/>
      <c r="X879" s="21"/>
      <c r="Y879" s="21"/>
      <c r="Z879" s="21"/>
      <c r="AA879" s="28"/>
      <c r="AB879" s="29"/>
      <c r="AC879" s="21"/>
      <c r="AD879" s="25"/>
      <c r="AE879" s="25"/>
      <c r="AF879" s="25"/>
    </row>
    <row r="880" ht="12.75" customHeight="1">
      <c r="B880" s="21"/>
      <c r="C880" s="21"/>
      <c r="E880" s="21"/>
      <c r="F880" s="21"/>
      <c r="J880" s="21"/>
      <c r="K880" s="21"/>
      <c r="L880" s="21"/>
      <c r="M880" s="21"/>
      <c r="O880" s="24"/>
      <c r="P880" s="24"/>
      <c r="U880" s="27"/>
      <c r="X880" s="21"/>
      <c r="Y880" s="21"/>
      <c r="Z880" s="21"/>
      <c r="AA880" s="28"/>
      <c r="AB880" s="29"/>
      <c r="AC880" s="21"/>
      <c r="AD880" s="25"/>
      <c r="AE880" s="25"/>
      <c r="AF880" s="25"/>
    </row>
    <row r="881" ht="12.75" customHeight="1">
      <c r="B881" s="21"/>
      <c r="C881" s="21"/>
      <c r="E881" s="21"/>
      <c r="F881" s="21"/>
      <c r="J881" s="21"/>
      <c r="K881" s="21"/>
      <c r="L881" s="21"/>
      <c r="M881" s="21"/>
      <c r="O881" s="24"/>
      <c r="P881" s="24"/>
      <c r="U881" s="27"/>
      <c r="X881" s="21"/>
      <c r="Y881" s="21"/>
      <c r="Z881" s="21"/>
      <c r="AA881" s="28"/>
      <c r="AB881" s="29"/>
      <c r="AC881" s="21"/>
      <c r="AD881" s="25"/>
      <c r="AE881" s="25"/>
      <c r="AF881" s="25"/>
    </row>
    <row r="882" ht="12.75" customHeight="1">
      <c r="B882" s="21"/>
      <c r="C882" s="21"/>
      <c r="E882" s="21"/>
      <c r="F882" s="21"/>
      <c r="J882" s="21"/>
      <c r="K882" s="21"/>
      <c r="L882" s="21"/>
      <c r="M882" s="21"/>
      <c r="O882" s="24"/>
      <c r="P882" s="24"/>
      <c r="U882" s="27"/>
      <c r="X882" s="21"/>
      <c r="Y882" s="21"/>
      <c r="Z882" s="21"/>
      <c r="AA882" s="28"/>
      <c r="AB882" s="29"/>
      <c r="AC882" s="21"/>
      <c r="AD882" s="25"/>
      <c r="AE882" s="25"/>
      <c r="AF882" s="25"/>
    </row>
    <row r="883" ht="12.75" customHeight="1">
      <c r="B883" s="21"/>
      <c r="C883" s="21"/>
      <c r="E883" s="21"/>
      <c r="F883" s="21"/>
      <c r="J883" s="21"/>
      <c r="K883" s="21"/>
      <c r="L883" s="21"/>
      <c r="M883" s="21"/>
      <c r="O883" s="24"/>
      <c r="P883" s="24"/>
      <c r="U883" s="27"/>
      <c r="X883" s="21"/>
      <c r="Y883" s="21"/>
      <c r="Z883" s="21"/>
      <c r="AA883" s="28"/>
      <c r="AB883" s="29"/>
      <c r="AC883" s="21"/>
      <c r="AD883" s="25"/>
      <c r="AE883" s="25"/>
      <c r="AF883" s="25"/>
    </row>
    <row r="884" ht="12.75" customHeight="1">
      <c r="B884" s="21"/>
      <c r="C884" s="21"/>
      <c r="E884" s="21"/>
      <c r="F884" s="21"/>
      <c r="J884" s="21"/>
      <c r="K884" s="21"/>
      <c r="L884" s="21"/>
      <c r="M884" s="21"/>
      <c r="O884" s="24"/>
      <c r="P884" s="24"/>
      <c r="U884" s="27"/>
      <c r="X884" s="21"/>
      <c r="Y884" s="21"/>
      <c r="Z884" s="21"/>
      <c r="AA884" s="28"/>
      <c r="AB884" s="29"/>
      <c r="AC884" s="21"/>
      <c r="AD884" s="25"/>
      <c r="AE884" s="25"/>
      <c r="AF884" s="25"/>
    </row>
    <row r="885" ht="12.75" customHeight="1">
      <c r="B885" s="21"/>
      <c r="C885" s="21"/>
      <c r="E885" s="21"/>
      <c r="F885" s="21"/>
      <c r="J885" s="21"/>
      <c r="K885" s="21"/>
      <c r="L885" s="21"/>
      <c r="M885" s="21"/>
      <c r="O885" s="24"/>
      <c r="P885" s="24"/>
      <c r="U885" s="27"/>
      <c r="X885" s="21"/>
      <c r="Y885" s="21"/>
      <c r="Z885" s="21"/>
      <c r="AA885" s="28"/>
      <c r="AB885" s="29"/>
      <c r="AC885" s="21"/>
      <c r="AD885" s="25"/>
      <c r="AE885" s="25"/>
      <c r="AF885" s="25"/>
    </row>
    <row r="886" ht="12.75" customHeight="1">
      <c r="B886" s="21"/>
      <c r="C886" s="21"/>
      <c r="E886" s="21"/>
      <c r="F886" s="21"/>
      <c r="J886" s="21"/>
      <c r="K886" s="21"/>
      <c r="L886" s="21"/>
      <c r="M886" s="21"/>
      <c r="O886" s="24"/>
      <c r="P886" s="24"/>
      <c r="U886" s="27"/>
      <c r="X886" s="21"/>
      <c r="Y886" s="21"/>
      <c r="Z886" s="21"/>
      <c r="AA886" s="28"/>
      <c r="AB886" s="29"/>
      <c r="AC886" s="21"/>
      <c r="AD886" s="25"/>
      <c r="AE886" s="25"/>
      <c r="AF886" s="25"/>
    </row>
    <row r="887" ht="12.75" customHeight="1">
      <c r="B887" s="21"/>
      <c r="C887" s="21"/>
      <c r="E887" s="21"/>
      <c r="F887" s="21"/>
      <c r="J887" s="21"/>
      <c r="K887" s="21"/>
      <c r="L887" s="21"/>
      <c r="M887" s="21"/>
      <c r="O887" s="24"/>
      <c r="P887" s="24"/>
      <c r="U887" s="27"/>
      <c r="X887" s="21"/>
      <c r="Y887" s="21"/>
      <c r="Z887" s="21"/>
      <c r="AA887" s="28"/>
      <c r="AB887" s="29"/>
      <c r="AC887" s="21"/>
      <c r="AD887" s="25"/>
      <c r="AE887" s="25"/>
      <c r="AF887" s="25"/>
    </row>
    <row r="888" ht="12.75" customHeight="1">
      <c r="B888" s="21"/>
      <c r="C888" s="21"/>
      <c r="E888" s="21"/>
      <c r="F888" s="21"/>
      <c r="J888" s="21"/>
      <c r="K888" s="21"/>
      <c r="L888" s="21"/>
      <c r="M888" s="21"/>
      <c r="O888" s="24"/>
      <c r="P888" s="24"/>
      <c r="U888" s="27"/>
      <c r="X888" s="21"/>
      <c r="Y888" s="21"/>
      <c r="Z888" s="21"/>
      <c r="AA888" s="28"/>
      <c r="AB888" s="29"/>
      <c r="AC888" s="21"/>
      <c r="AD888" s="25"/>
      <c r="AE888" s="25"/>
      <c r="AF888" s="25"/>
    </row>
    <row r="889" ht="12.75" customHeight="1">
      <c r="B889" s="21"/>
      <c r="C889" s="21"/>
      <c r="E889" s="21"/>
      <c r="F889" s="21"/>
      <c r="J889" s="21"/>
      <c r="K889" s="21"/>
      <c r="L889" s="21"/>
      <c r="M889" s="21"/>
      <c r="O889" s="24"/>
      <c r="P889" s="24"/>
      <c r="U889" s="27"/>
      <c r="X889" s="21"/>
      <c r="Y889" s="21"/>
      <c r="Z889" s="21"/>
      <c r="AA889" s="28"/>
      <c r="AB889" s="29"/>
      <c r="AC889" s="21"/>
      <c r="AD889" s="25"/>
      <c r="AE889" s="25"/>
      <c r="AF889" s="25"/>
    </row>
    <row r="890" ht="12.75" customHeight="1">
      <c r="B890" s="21"/>
      <c r="C890" s="21"/>
      <c r="E890" s="21"/>
      <c r="F890" s="21"/>
      <c r="J890" s="21"/>
      <c r="K890" s="21"/>
      <c r="L890" s="21"/>
      <c r="M890" s="21"/>
      <c r="O890" s="24"/>
      <c r="P890" s="24"/>
      <c r="U890" s="27"/>
      <c r="X890" s="21"/>
      <c r="Y890" s="21"/>
      <c r="Z890" s="21"/>
      <c r="AA890" s="28"/>
      <c r="AB890" s="29"/>
      <c r="AC890" s="21"/>
      <c r="AD890" s="25"/>
      <c r="AE890" s="25"/>
      <c r="AF890" s="25"/>
    </row>
    <row r="891" ht="12.75" customHeight="1">
      <c r="B891" s="21"/>
      <c r="C891" s="21"/>
      <c r="E891" s="21"/>
      <c r="F891" s="21"/>
      <c r="J891" s="21"/>
      <c r="K891" s="21"/>
      <c r="L891" s="21"/>
      <c r="M891" s="21"/>
      <c r="O891" s="24"/>
      <c r="P891" s="24"/>
      <c r="U891" s="27"/>
      <c r="X891" s="21"/>
      <c r="Y891" s="21"/>
      <c r="Z891" s="21"/>
      <c r="AA891" s="28"/>
      <c r="AB891" s="29"/>
      <c r="AC891" s="21"/>
      <c r="AD891" s="25"/>
      <c r="AE891" s="25"/>
      <c r="AF891" s="25"/>
    </row>
    <row r="892" ht="12.75" customHeight="1">
      <c r="B892" s="21"/>
      <c r="C892" s="21"/>
      <c r="E892" s="21"/>
      <c r="F892" s="21"/>
      <c r="J892" s="21"/>
      <c r="K892" s="21"/>
      <c r="L892" s="21"/>
      <c r="M892" s="21"/>
      <c r="O892" s="24"/>
      <c r="P892" s="24"/>
      <c r="U892" s="27"/>
      <c r="X892" s="21"/>
      <c r="Y892" s="21"/>
      <c r="Z892" s="21"/>
      <c r="AA892" s="28"/>
      <c r="AB892" s="29"/>
      <c r="AC892" s="21"/>
      <c r="AD892" s="25"/>
      <c r="AE892" s="25"/>
      <c r="AF892" s="25"/>
    </row>
    <row r="893" ht="12.75" customHeight="1">
      <c r="B893" s="21"/>
      <c r="C893" s="21"/>
      <c r="E893" s="21"/>
      <c r="F893" s="21"/>
      <c r="J893" s="21"/>
      <c r="K893" s="21"/>
      <c r="L893" s="21"/>
      <c r="M893" s="21"/>
      <c r="O893" s="24"/>
      <c r="P893" s="24"/>
      <c r="U893" s="27"/>
      <c r="X893" s="21"/>
      <c r="Y893" s="21"/>
      <c r="Z893" s="21"/>
      <c r="AA893" s="28"/>
      <c r="AB893" s="29"/>
      <c r="AC893" s="21"/>
      <c r="AD893" s="25"/>
      <c r="AE893" s="25"/>
      <c r="AF893" s="25"/>
    </row>
    <row r="894" ht="12.75" customHeight="1">
      <c r="B894" s="21"/>
      <c r="C894" s="21"/>
      <c r="E894" s="21"/>
      <c r="F894" s="21"/>
      <c r="J894" s="21"/>
      <c r="K894" s="21"/>
      <c r="L894" s="21"/>
      <c r="M894" s="21"/>
      <c r="O894" s="24"/>
      <c r="P894" s="24"/>
      <c r="U894" s="27"/>
      <c r="X894" s="21"/>
      <c r="Y894" s="21"/>
      <c r="Z894" s="21"/>
      <c r="AA894" s="28"/>
      <c r="AB894" s="29"/>
      <c r="AC894" s="21"/>
      <c r="AD894" s="25"/>
      <c r="AE894" s="25"/>
      <c r="AF894" s="25"/>
    </row>
    <row r="895" ht="12.75" customHeight="1">
      <c r="B895" s="21"/>
      <c r="C895" s="21"/>
      <c r="E895" s="21"/>
      <c r="F895" s="21"/>
      <c r="J895" s="21"/>
      <c r="K895" s="21"/>
      <c r="L895" s="21"/>
      <c r="M895" s="21"/>
      <c r="O895" s="24"/>
      <c r="P895" s="24"/>
      <c r="U895" s="27"/>
      <c r="X895" s="21"/>
      <c r="Y895" s="21"/>
      <c r="Z895" s="21"/>
      <c r="AA895" s="28"/>
      <c r="AB895" s="29"/>
      <c r="AC895" s="21"/>
      <c r="AD895" s="25"/>
      <c r="AE895" s="25"/>
      <c r="AF895" s="25"/>
    </row>
    <row r="896" ht="12.75" customHeight="1">
      <c r="B896" s="21"/>
      <c r="C896" s="21"/>
      <c r="E896" s="21"/>
      <c r="F896" s="21"/>
      <c r="J896" s="21"/>
      <c r="K896" s="21"/>
      <c r="L896" s="21"/>
      <c r="M896" s="21"/>
      <c r="O896" s="24"/>
      <c r="P896" s="24"/>
      <c r="U896" s="27"/>
      <c r="X896" s="21"/>
      <c r="Y896" s="21"/>
      <c r="Z896" s="21"/>
      <c r="AA896" s="28"/>
      <c r="AB896" s="29"/>
      <c r="AC896" s="21"/>
      <c r="AD896" s="25"/>
      <c r="AE896" s="25"/>
      <c r="AF896" s="25"/>
    </row>
    <row r="897" ht="12.75" customHeight="1">
      <c r="B897" s="21"/>
      <c r="C897" s="21"/>
      <c r="E897" s="21"/>
      <c r="F897" s="21"/>
      <c r="J897" s="21"/>
      <c r="K897" s="21"/>
      <c r="L897" s="21"/>
      <c r="M897" s="21"/>
      <c r="O897" s="24"/>
      <c r="P897" s="24"/>
      <c r="U897" s="27"/>
      <c r="X897" s="21"/>
      <c r="Y897" s="21"/>
      <c r="Z897" s="21"/>
      <c r="AA897" s="28"/>
      <c r="AB897" s="29"/>
      <c r="AC897" s="21"/>
      <c r="AD897" s="25"/>
      <c r="AE897" s="25"/>
      <c r="AF897" s="25"/>
    </row>
    <row r="898" ht="12.75" customHeight="1">
      <c r="B898" s="21"/>
      <c r="C898" s="21"/>
      <c r="E898" s="21"/>
      <c r="F898" s="21"/>
      <c r="J898" s="21"/>
      <c r="K898" s="21"/>
      <c r="L898" s="21"/>
      <c r="M898" s="21"/>
      <c r="O898" s="24"/>
      <c r="P898" s="24"/>
      <c r="U898" s="27"/>
      <c r="X898" s="21"/>
      <c r="Y898" s="21"/>
      <c r="Z898" s="21"/>
      <c r="AA898" s="28"/>
      <c r="AB898" s="29"/>
      <c r="AC898" s="21"/>
      <c r="AD898" s="25"/>
      <c r="AE898" s="25"/>
      <c r="AF898" s="25"/>
    </row>
    <row r="899" ht="12.75" customHeight="1">
      <c r="B899" s="21"/>
      <c r="C899" s="21"/>
      <c r="E899" s="21"/>
      <c r="F899" s="21"/>
      <c r="J899" s="21"/>
      <c r="K899" s="21"/>
      <c r="L899" s="21"/>
      <c r="M899" s="21"/>
      <c r="O899" s="24"/>
      <c r="P899" s="24"/>
      <c r="U899" s="27"/>
      <c r="X899" s="21"/>
      <c r="Y899" s="21"/>
      <c r="Z899" s="21"/>
      <c r="AA899" s="28"/>
      <c r="AB899" s="29"/>
      <c r="AC899" s="21"/>
      <c r="AD899" s="25"/>
      <c r="AE899" s="25"/>
      <c r="AF899" s="25"/>
    </row>
    <row r="900" ht="12.75" customHeight="1">
      <c r="B900" s="21"/>
      <c r="C900" s="21"/>
      <c r="E900" s="21"/>
      <c r="F900" s="21"/>
      <c r="J900" s="21"/>
      <c r="K900" s="21"/>
      <c r="L900" s="21"/>
      <c r="M900" s="21"/>
      <c r="O900" s="24"/>
      <c r="P900" s="24"/>
      <c r="U900" s="27"/>
      <c r="X900" s="21"/>
      <c r="Y900" s="21"/>
      <c r="Z900" s="21"/>
      <c r="AA900" s="28"/>
      <c r="AB900" s="29"/>
      <c r="AC900" s="21"/>
      <c r="AD900" s="25"/>
      <c r="AE900" s="25"/>
      <c r="AF900" s="25"/>
    </row>
    <row r="901" ht="12.75" customHeight="1">
      <c r="B901" s="21"/>
      <c r="C901" s="21"/>
      <c r="E901" s="21"/>
      <c r="F901" s="21"/>
      <c r="J901" s="21"/>
      <c r="K901" s="21"/>
      <c r="L901" s="21"/>
      <c r="M901" s="21"/>
      <c r="O901" s="24"/>
      <c r="P901" s="24"/>
      <c r="U901" s="27"/>
      <c r="X901" s="21"/>
      <c r="Y901" s="21"/>
      <c r="Z901" s="21"/>
      <c r="AA901" s="28"/>
      <c r="AB901" s="29"/>
      <c r="AC901" s="21"/>
      <c r="AD901" s="25"/>
      <c r="AE901" s="25"/>
      <c r="AF901" s="25"/>
    </row>
    <row r="902" ht="12.75" customHeight="1">
      <c r="B902" s="21"/>
      <c r="C902" s="21"/>
      <c r="E902" s="21"/>
      <c r="F902" s="21"/>
      <c r="J902" s="21"/>
      <c r="K902" s="21"/>
      <c r="L902" s="21"/>
      <c r="M902" s="21"/>
      <c r="O902" s="24"/>
      <c r="P902" s="24"/>
      <c r="U902" s="27"/>
      <c r="X902" s="21"/>
      <c r="Y902" s="21"/>
      <c r="Z902" s="21"/>
      <c r="AA902" s="28"/>
      <c r="AB902" s="29"/>
      <c r="AC902" s="21"/>
      <c r="AD902" s="25"/>
      <c r="AE902" s="25"/>
      <c r="AF902" s="25"/>
    </row>
    <row r="903" ht="12.75" customHeight="1">
      <c r="B903" s="21"/>
      <c r="C903" s="21"/>
      <c r="E903" s="21"/>
      <c r="F903" s="21"/>
      <c r="J903" s="21"/>
      <c r="K903" s="21"/>
      <c r="L903" s="21"/>
      <c r="M903" s="21"/>
      <c r="O903" s="24"/>
      <c r="P903" s="24"/>
      <c r="U903" s="27"/>
      <c r="X903" s="21"/>
      <c r="Y903" s="21"/>
      <c r="Z903" s="21"/>
      <c r="AA903" s="28"/>
      <c r="AB903" s="29"/>
      <c r="AC903" s="21"/>
      <c r="AD903" s="25"/>
      <c r="AE903" s="25"/>
      <c r="AF903" s="25"/>
    </row>
    <row r="904" ht="12.75" customHeight="1">
      <c r="B904" s="21"/>
      <c r="C904" s="21"/>
      <c r="E904" s="21"/>
      <c r="F904" s="21"/>
      <c r="J904" s="21"/>
      <c r="K904" s="21"/>
      <c r="L904" s="21"/>
      <c r="M904" s="21"/>
      <c r="O904" s="24"/>
      <c r="P904" s="24"/>
      <c r="U904" s="27"/>
      <c r="X904" s="21"/>
      <c r="Y904" s="21"/>
      <c r="Z904" s="21"/>
      <c r="AA904" s="28"/>
      <c r="AB904" s="29"/>
      <c r="AC904" s="21"/>
      <c r="AD904" s="25"/>
      <c r="AE904" s="25"/>
      <c r="AF904" s="25"/>
    </row>
    <row r="905" ht="12.75" customHeight="1">
      <c r="B905" s="21"/>
      <c r="C905" s="21"/>
      <c r="E905" s="21"/>
      <c r="F905" s="21"/>
      <c r="J905" s="21"/>
      <c r="K905" s="21"/>
      <c r="L905" s="21"/>
      <c r="M905" s="21"/>
      <c r="O905" s="24"/>
      <c r="P905" s="24"/>
      <c r="U905" s="27"/>
      <c r="X905" s="21"/>
      <c r="Y905" s="21"/>
      <c r="Z905" s="21"/>
      <c r="AA905" s="28"/>
      <c r="AB905" s="29"/>
      <c r="AC905" s="21"/>
      <c r="AD905" s="25"/>
      <c r="AE905" s="25"/>
      <c r="AF905" s="25"/>
    </row>
    <row r="906" ht="12.75" customHeight="1">
      <c r="B906" s="21"/>
      <c r="C906" s="21"/>
      <c r="E906" s="21"/>
      <c r="F906" s="21"/>
      <c r="J906" s="21"/>
      <c r="K906" s="21"/>
      <c r="L906" s="21"/>
      <c r="M906" s="21"/>
      <c r="O906" s="24"/>
      <c r="P906" s="24"/>
      <c r="U906" s="27"/>
      <c r="X906" s="21"/>
      <c r="Y906" s="21"/>
      <c r="Z906" s="21"/>
      <c r="AA906" s="28"/>
      <c r="AB906" s="29"/>
      <c r="AC906" s="21"/>
      <c r="AD906" s="25"/>
      <c r="AE906" s="25"/>
      <c r="AF906" s="25"/>
    </row>
    <row r="907" ht="12.75" customHeight="1">
      <c r="B907" s="21"/>
      <c r="C907" s="21"/>
      <c r="E907" s="21"/>
      <c r="F907" s="21"/>
      <c r="J907" s="21"/>
      <c r="K907" s="21"/>
      <c r="L907" s="21"/>
      <c r="M907" s="21"/>
      <c r="O907" s="24"/>
      <c r="P907" s="24"/>
      <c r="U907" s="27"/>
      <c r="X907" s="21"/>
      <c r="Y907" s="21"/>
      <c r="Z907" s="21"/>
      <c r="AA907" s="28"/>
      <c r="AB907" s="29"/>
      <c r="AC907" s="21"/>
      <c r="AD907" s="25"/>
      <c r="AE907" s="25"/>
      <c r="AF907" s="25"/>
    </row>
    <row r="908" ht="12.75" customHeight="1">
      <c r="B908" s="21"/>
      <c r="C908" s="21"/>
      <c r="E908" s="21"/>
      <c r="F908" s="21"/>
      <c r="J908" s="21"/>
      <c r="K908" s="21"/>
      <c r="L908" s="21"/>
      <c r="M908" s="21"/>
      <c r="O908" s="24"/>
      <c r="P908" s="24"/>
      <c r="U908" s="27"/>
      <c r="X908" s="21"/>
      <c r="Y908" s="21"/>
      <c r="Z908" s="21"/>
      <c r="AA908" s="28"/>
      <c r="AB908" s="29"/>
      <c r="AC908" s="21"/>
      <c r="AD908" s="25"/>
      <c r="AE908" s="25"/>
      <c r="AF908" s="25"/>
    </row>
    <row r="909" ht="12.75" customHeight="1">
      <c r="B909" s="21"/>
      <c r="C909" s="21"/>
      <c r="E909" s="21"/>
      <c r="F909" s="21"/>
      <c r="J909" s="21"/>
      <c r="K909" s="21"/>
      <c r="L909" s="21"/>
      <c r="M909" s="21"/>
      <c r="O909" s="24"/>
      <c r="P909" s="24"/>
      <c r="U909" s="27"/>
      <c r="X909" s="21"/>
      <c r="Y909" s="21"/>
      <c r="Z909" s="21"/>
      <c r="AA909" s="28"/>
      <c r="AB909" s="29"/>
      <c r="AC909" s="21"/>
      <c r="AD909" s="25"/>
      <c r="AE909" s="25"/>
      <c r="AF909" s="25"/>
    </row>
    <row r="910" ht="12.75" customHeight="1">
      <c r="B910" s="21"/>
      <c r="C910" s="21"/>
      <c r="E910" s="21"/>
      <c r="F910" s="21"/>
      <c r="J910" s="21"/>
      <c r="K910" s="21"/>
      <c r="L910" s="21"/>
      <c r="M910" s="21"/>
      <c r="O910" s="24"/>
      <c r="P910" s="24"/>
      <c r="U910" s="27"/>
      <c r="X910" s="21"/>
      <c r="Y910" s="21"/>
      <c r="Z910" s="21"/>
      <c r="AA910" s="28"/>
      <c r="AB910" s="29"/>
      <c r="AC910" s="21"/>
      <c r="AD910" s="25"/>
      <c r="AE910" s="25"/>
      <c r="AF910" s="25"/>
    </row>
    <row r="911" ht="12.75" customHeight="1">
      <c r="B911" s="21"/>
      <c r="C911" s="21"/>
      <c r="E911" s="21"/>
      <c r="F911" s="21"/>
      <c r="J911" s="21"/>
      <c r="K911" s="21"/>
      <c r="L911" s="21"/>
      <c r="M911" s="21"/>
      <c r="O911" s="24"/>
      <c r="P911" s="24"/>
      <c r="U911" s="27"/>
      <c r="X911" s="21"/>
      <c r="Y911" s="21"/>
      <c r="Z911" s="21"/>
      <c r="AA911" s="28"/>
      <c r="AB911" s="29"/>
      <c r="AC911" s="21"/>
      <c r="AD911" s="25"/>
      <c r="AE911" s="25"/>
      <c r="AF911" s="25"/>
    </row>
    <row r="912" ht="12.75" customHeight="1">
      <c r="B912" s="21"/>
      <c r="C912" s="21"/>
      <c r="E912" s="21"/>
      <c r="F912" s="21"/>
      <c r="J912" s="21"/>
      <c r="K912" s="21"/>
      <c r="L912" s="21"/>
      <c r="M912" s="21"/>
      <c r="O912" s="24"/>
      <c r="P912" s="24"/>
      <c r="U912" s="27"/>
      <c r="X912" s="21"/>
      <c r="Y912" s="21"/>
      <c r="Z912" s="21"/>
      <c r="AA912" s="28"/>
      <c r="AB912" s="29"/>
      <c r="AC912" s="21"/>
      <c r="AD912" s="25"/>
      <c r="AE912" s="25"/>
      <c r="AF912" s="25"/>
    </row>
    <row r="913" ht="12.75" customHeight="1">
      <c r="B913" s="21"/>
      <c r="C913" s="21"/>
      <c r="E913" s="21"/>
      <c r="F913" s="21"/>
      <c r="J913" s="21"/>
      <c r="K913" s="21"/>
      <c r="L913" s="21"/>
      <c r="M913" s="21"/>
      <c r="O913" s="24"/>
      <c r="P913" s="24"/>
      <c r="U913" s="27"/>
      <c r="X913" s="21"/>
      <c r="Y913" s="21"/>
      <c r="Z913" s="21"/>
      <c r="AA913" s="28"/>
      <c r="AB913" s="29"/>
      <c r="AC913" s="21"/>
      <c r="AD913" s="25"/>
      <c r="AE913" s="25"/>
      <c r="AF913" s="25"/>
    </row>
    <row r="914" ht="12.75" customHeight="1">
      <c r="B914" s="21"/>
      <c r="C914" s="21"/>
      <c r="E914" s="21"/>
      <c r="F914" s="21"/>
      <c r="J914" s="21"/>
      <c r="K914" s="21"/>
      <c r="L914" s="21"/>
      <c r="M914" s="21"/>
      <c r="O914" s="24"/>
      <c r="P914" s="24"/>
      <c r="U914" s="27"/>
      <c r="X914" s="21"/>
      <c r="Y914" s="21"/>
      <c r="Z914" s="21"/>
      <c r="AA914" s="28"/>
      <c r="AB914" s="29"/>
      <c r="AC914" s="21"/>
      <c r="AD914" s="25"/>
      <c r="AE914" s="25"/>
      <c r="AF914" s="25"/>
    </row>
    <row r="915" ht="12.75" customHeight="1">
      <c r="B915" s="21"/>
      <c r="C915" s="21"/>
      <c r="E915" s="21"/>
      <c r="F915" s="21"/>
      <c r="J915" s="21"/>
      <c r="K915" s="21"/>
      <c r="L915" s="21"/>
      <c r="M915" s="21"/>
      <c r="O915" s="24"/>
      <c r="P915" s="24"/>
      <c r="U915" s="27"/>
      <c r="X915" s="21"/>
      <c r="Y915" s="21"/>
      <c r="Z915" s="21"/>
      <c r="AA915" s="28"/>
      <c r="AB915" s="29"/>
      <c r="AC915" s="21"/>
      <c r="AD915" s="25"/>
      <c r="AE915" s="25"/>
      <c r="AF915" s="25"/>
    </row>
    <row r="916" ht="12.75" customHeight="1">
      <c r="B916" s="21"/>
      <c r="C916" s="21"/>
      <c r="E916" s="21"/>
      <c r="F916" s="21"/>
      <c r="J916" s="21"/>
      <c r="K916" s="21"/>
      <c r="L916" s="21"/>
      <c r="M916" s="21"/>
      <c r="O916" s="24"/>
      <c r="P916" s="24"/>
      <c r="U916" s="27"/>
      <c r="X916" s="21"/>
      <c r="Y916" s="21"/>
      <c r="Z916" s="21"/>
      <c r="AA916" s="28"/>
      <c r="AB916" s="29"/>
      <c r="AC916" s="21"/>
      <c r="AD916" s="25"/>
      <c r="AE916" s="25"/>
      <c r="AF916" s="25"/>
    </row>
    <row r="917" ht="12.75" customHeight="1">
      <c r="B917" s="21"/>
      <c r="C917" s="21"/>
      <c r="E917" s="21"/>
      <c r="F917" s="21"/>
      <c r="J917" s="21"/>
      <c r="K917" s="21"/>
      <c r="L917" s="21"/>
      <c r="M917" s="21"/>
      <c r="O917" s="24"/>
      <c r="P917" s="24"/>
      <c r="U917" s="27"/>
      <c r="X917" s="21"/>
      <c r="Y917" s="21"/>
      <c r="Z917" s="21"/>
      <c r="AA917" s="28"/>
      <c r="AB917" s="29"/>
      <c r="AC917" s="21"/>
      <c r="AD917" s="25"/>
      <c r="AE917" s="25"/>
      <c r="AF917" s="25"/>
    </row>
    <row r="918" ht="12.75" customHeight="1">
      <c r="B918" s="21"/>
      <c r="C918" s="21"/>
      <c r="E918" s="21"/>
      <c r="F918" s="21"/>
      <c r="J918" s="21"/>
      <c r="K918" s="21"/>
      <c r="L918" s="21"/>
      <c r="M918" s="21"/>
      <c r="O918" s="24"/>
      <c r="P918" s="24"/>
      <c r="U918" s="27"/>
      <c r="X918" s="21"/>
      <c r="Y918" s="21"/>
      <c r="Z918" s="21"/>
      <c r="AA918" s="28"/>
      <c r="AB918" s="29"/>
      <c r="AC918" s="21"/>
      <c r="AD918" s="25"/>
      <c r="AE918" s="25"/>
      <c r="AF918" s="25"/>
    </row>
    <row r="919" ht="12.75" customHeight="1">
      <c r="B919" s="21"/>
      <c r="C919" s="21"/>
      <c r="E919" s="21"/>
      <c r="F919" s="21"/>
      <c r="J919" s="21"/>
      <c r="K919" s="21"/>
      <c r="L919" s="21"/>
      <c r="M919" s="21"/>
      <c r="O919" s="24"/>
      <c r="P919" s="24"/>
      <c r="U919" s="27"/>
      <c r="X919" s="21"/>
      <c r="Y919" s="21"/>
      <c r="Z919" s="21"/>
      <c r="AA919" s="28"/>
      <c r="AB919" s="29"/>
      <c r="AC919" s="21"/>
      <c r="AD919" s="25"/>
      <c r="AE919" s="25"/>
      <c r="AF919" s="25"/>
    </row>
    <row r="920" ht="12.75" customHeight="1">
      <c r="B920" s="21"/>
      <c r="C920" s="21"/>
      <c r="E920" s="21"/>
      <c r="F920" s="21"/>
      <c r="J920" s="21"/>
      <c r="K920" s="21"/>
      <c r="L920" s="21"/>
      <c r="M920" s="21"/>
      <c r="O920" s="24"/>
      <c r="P920" s="24"/>
      <c r="U920" s="27"/>
      <c r="X920" s="21"/>
      <c r="Y920" s="21"/>
      <c r="Z920" s="21"/>
      <c r="AA920" s="28"/>
      <c r="AB920" s="29"/>
      <c r="AC920" s="21"/>
      <c r="AD920" s="25"/>
      <c r="AE920" s="25"/>
      <c r="AF920" s="25"/>
    </row>
    <row r="921" ht="12.75" customHeight="1">
      <c r="B921" s="21"/>
      <c r="C921" s="21"/>
      <c r="E921" s="21"/>
      <c r="F921" s="21"/>
      <c r="J921" s="21"/>
      <c r="K921" s="21"/>
      <c r="L921" s="21"/>
      <c r="M921" s="21"/>
      <c r="O921" s="24"/>
      <c r="P921" s="24"/>
      <c r="U921" s="27"/>
      <c r="X921" s="21"/>
      <c r="Y921" s="21"/>
      <c r="Z921" s="21"/>
      <c r="AA921" s="28"/>
      <c r="AB921" s="29"/>
      <c r="AC921" s="21"/>
      <c r="AD921" s="25"/>
      <c r="AE921" s="25"/>
      <c r="AF921" s="25"/>
    </row>
    <row r="922" ht="12.75" customHeight="1">
      <c r="B922" s="21"/>
      <c r="C922" s="21"/>
      <c r="E922" s="21"/>
      <c r="F922" s="21"/>
      <c r="J922" s="21"/>
      <c r="K922" s="21"/>
      <c r="L922" s="21"/>
      <c r="M922" s="21"/>
      <c r="O922" s="24"/>
      <c r="P922" s="24"/>
      <c r="U922" s="27"/>
      <c r="X922" s="21"/>
      <c r="Y922" s="21"/>
      <c r="Z922" s="21"/>
      <c r="AA922" s="28"/>
      <c r="AB922" s="29"/>
      <c r="AC922" s="21"/>
      <c r="AD922" s="25"/>
      <c r="AE922" s="25"/>
      <c r="AF922" s="25"/>
    </row>
    <row r="923" ht="12.75" customHeight="1">
      <c r="B923" s="21"/>
      <c r="C923" s="21"/>
      <c r="E923" s="21"/>
      <c r="F923" s="21"/>
      <c r="J923" s="21"/>
      <c r="K923" s="21"/>
      <c r="L923" s="21"/>
      <c r="M923" s="21"/>
      <c r="O923" s="24"/>
      <c r="P923" s="24"/>
      <c r="U923" s="27"/>
      <c r="X923" s="21"/>
      <c r="Y923" s="21"/>
      <c r="Z923" s="21"/>
      <c r="AA923" s="28"/>
      <c r="AB923" s="29"/>
      <c r="AC923" s="21"/>
      <c r="AD923" s="25"/>
      <c r="AE923" s="25"/>
      <c r="AF923" s="25"/>
    </row>
    <row r="924" ht="12.75" customHeight="1">
      <c r="B924" s="21"/>
      <c r="C924" s="21"/>
      <c r="E924" s="21"/>
      <c r="F924" s="21"/>
      <c r="J924" s="21"/>
      <c r="K924" s="21"/>
      <c r="L924" s="21"/>
      <c r="M924" s="21"/>
      <c r="O924" s="24"/>
      <c r="P924" s="24"/>
      <c r="U924" s="27"/>
      <c r="X924" s="21"/>
      <c r="Y924" s="21"/>
      <c r="Z924" s="21"/>
      <c r="AA924" s="28"/>
      <c r="AB924" s="29"/>
      <c r="AC924" s="21"/>
      <c r="AD924" s="25"/>
      <c r="AE924" s="25"/>
      <c r="AF924" s="25"/>
    </row>
    <row r="925" ht="12.75" customHeight="1">
      <c r="B925" s="21"/>
      <c r="C925" s="21"/>
      <c r="E925" s="21"/>
      <c r="F925" s="21"/>
      <c r="J925" s="21"/>
      <c r="K925" s="21"/>
      <c r="L925" s="21"/>
      <c r="M925" s="21"/>
      <c r="O925" s="24"/>
      <c r="P925" s="24"/>
      <c r="U925" s="27"/>
      <c r="X925" s="21"/>
      <c r="Y925" s="21"/>
      <c r="Z925" s="21"/>
      <c r="AA925" s="28"/>
      <c r="AB925" s="29"/>
      <c r="AC925" s="21"/>
      <c r="AD925" s="25"/>
      <c r="AE925" s="25"/>
      <c r="AF925" s="25"/>
    </row>
    <row r="926" ht="12.75" customHeight="1">
      <c r="B926" s="21"/>
      <c r="C926" s="21"/>
      <c r="E926" s="21"/>
      <c r="F926" s="21"/>
      <c r="J926" s="21"/>
      <c r="K926" s="21"/>
      <c r="L926" s="21"/>
      <c r="M926" s="21"/>
      <c r="O926" s="24"/>
      <c r="P926" s="24"/>
      <c r="U926" s="27"/>
      <c r="X926" s="21"/>
      <c r="Y926" s="21"/>
      <c r="Z926" s="21"/>
      <c r="AA926" s="28"/>
      <c r="AB926" s="29"/>
      <c r="AC926" s="21"/>
      <c r="AD926" s="25"/>
      <c r="AE926" s="25"/>
      <c r="AF926" s="25"/>
    </row>
    <row r="927" ht="12.75" customHeight="1">
      <c r="B927" s="21"/>
      <c r="C927" s="21"/>
      <c r="E927" s="21"/>
      <c r="F927" s="21"/>
      <c r="J927" s="21"/>
      <c r="K927" s="21"/>
      <c r="L927" s="21"/>
      <c r="M927" s="21"/>
      <c r="O927" s="24"/>
      <c r="P927" s="24"/>
      <c r="U927" s="27"/>
      <c r="X927" s="21"/>
      <c r="Y927" s="21"/>
      <c r="Z927" s="21"/>
      <c r="AA927" s="28"/>
      <c r="AB927" s="29"/>
      <c r="AC927" s="21"/>
      <c r="AD927" s="25"/>
      <c r="AE927" s="25"/>
      <c r="AF927" s="25"/>
    </row>
    <row r="928" ht="12.75" customHeight="1">
      <c r="B928" s="21"/>
      <c r="C928" s="21"/>
      <c r="E928" s="21"/>
      <c r="F928" s="21"/>
      <c r="J928" s="21"/>
      <c r="K928" s="21"/>
      <c r="L928" s="21"/>
      <c r="M928" s="21"/>
      <c r="O928" s="24"/>
      <c r="P928" s="24"/>
      <c r="U928" s="27"/>
      <c r="X928" s="21"/>
      <c r="Y928" s="21"/>
      <c r="Z928" s="21"/>
      <c r="AA928" s="28"/>
      <c r="AB928" s="29"/>
      <c r="AC928" s="21"/>
      <c r="AD928" s="25"/>
      <c r="AE928" s="25"/>
      <c r="AF928" s="25"/>
    </row>
    <row r="929" ht="12.75" customHeight="1">
      <c r="B929" s="21"/>
      <c r="C929" s="21"/>
      <c r="E929" s="21"/>
      <c r="F929" s="21"/>
      <c r="J929" s="21"/>
      <c r="K929" s="21"/>
      <c r="L929" s="21"/>
      <c r="M929" s="21"/>
      <c r="O929" s="24"/>
      <c r="P929" s="24"/>
      <c r="U929" s="27"/>
      <c r="X929" s="21"/>
      <c r="Y929" s="21"/>
      <c r="Z929" s="21"/>
      <c r="AA929" s="28"/>
      <c r="AB929" s="29"/>
      <c r="AC929" s="21"/>
      <c r="AD929" s="25"/>
      <c r="AE929" s="25"/>
      <c r="AF929" s="25"/>
    </row>
    <row r="930" ht="12.75" customHeight="1">
      <c r="B930" s="21"/>
      <c r="C930" s="21"/>
      <c r="E930" s="21"/>
      <c r="F930" s="21"/>
      <c r="J930" s="21"/>
      <c r="K930" s="21"/>
      <c r="L930" s="21"/>
      <c r="M930" s="21"/>
      <c r="O930" s="24"/>
      <c r="P930" s="24"/>
      <c r="U930" s="27"/>
      <c r="X930" s="21"/>
      <c r="Y930" s="21"/>
      <c r="Z930" s="21"/>
      <c r="AA930" s="28"/>
      <c r="AB930" s="29"/>
      <c r="AC930" s="21"/>
      <c r="AD930" s="25"/>
      <c r="AE930" s="25"/>
      <c r="AF930" s="25"/>
    </row>
    <row r="931" ht="12.75" customHeight="1">
      <c r="B931" s="21"/>
      <c r="C931" s="21"/>
      <c r="E931" s="21"/>
      <c r="F931" s="21"/>
      <c r="J931" s="21"/>
      <c r="K931" s="21"/>
      <c r="L931" s="21"/>
      <c r="M931" s="21"/>
      <c r="O931" s="24"/>
      <c r="P931" s="24"/>
      <c r="U931" s="27"/>
      <c r="X931" s="21"/>
      <c r="Y931" s="21"/>
      <c r="Z931" s="21"/>
      <c r="AA931" s="28"/>
      <c r="AB931" s="29"/>
      <c r="AC931" s="21"/>
      <c r="AD931" s="25"/>
      <c r="AE931" s="25"/>
      <c r="AF931" s="25"/>
    </row>
    <row r="932" ht="12.75" customHeight="1">
      <c r="B932" s="21"/>
      <c r="C932" s="21"/>
      <c r="E932" s="21"/>
      <c r="F932" s="21"/>
      <c r="J932" s="21"/>
      <c r="K932" s="21"/>
      <c r="L932" s="21"/>
      <c r="M932" s="21"/>
      <c r="O932" s="24"/>
      <c r="P932" s="24"/>
      <c r="U932" s="27"/>
      <c r="X932" s="21"/>
      <c r="Y932" s="21"/>
      <c r="Z932" s="21"/>
      <c r="AA932" s="28"/>
      <c r="AB932" s="29"/>
      <c r="AC932" s="21"/>
      <c r="AD932" s="25"/>
      <c r="AE932" s="25"/>
      <c r="AF932" s="25"/>
    </row>
    <row r="933" ht="12.75" customHeight="1">
      <c r="B933" s="21"/>
      <c r="C933" s="21"/>
      <c r="E933" s="21"/>
      <c r="F933" s="21"/>
      <c r="J933" s="21"/>
      <c r="K933" s="21"/>
      <c r="L933" s="21"/>
      <c r="M933" s="21"/>
      <c r="O933" s="24"/>
      <c r="P933" s="24"/>
      <c r="U933" s="27"/>
      <c r="X933" s="21"/>
      <c r="Y933" s="21"/>
      <c r="Z933" s="21"/>
      <c r="AA933" s="28"/>
      <c r="AB933" s="29"/>
      <c r="AC933" s="21"/>
      <c r="AD933" s="25"/>
      <c r="AE933" s="25"/>
      <c r="AF933" s="25"/>
    </row>
    <row r="934" ht="12.75" customHeight="1">
      <c r="B934" s="21"/>
      <c r="C934" s="21"/>
      <c r="E934" s="21"/>
      <c r="F934" s="21"/>
      <c r="J934" s="21"/>
      <c r="K934" s="21"/>
      <c r="L934" s="21"/>
      <c r="M934" s="21"/>
      <c r="O934" s="24"/>
      <c r="P934" s="24"/>
      <c r="U934" s="27"/>
      <c r="X934" s="21"/>
      <c r="Y934" s="21"/>
      <c r="Z934" s="21"/>
      <c r="AA934" s="28"/>
      <c r="AB934" s="29"/>
      <c r="AC934" s="21"/>
      <c r="AD934" s="25"/>
      <c r="AE934" s="25"/>
      <c r="AF934" s="25"/>
    </row>
    <row r="935" ht="12.75" customHeight="1">
      <c r="B935" s="21"/>
      <c r="C935" s="21"/>
      <c r="E935" s="21"/>
      <c r="F935" s="21"/>
      <c r="J935" s="21"/>
      <c r="K935" s="21"/>
      <c r="L935" s="21"/>
      <c r="M935" s="21"/>
      <c r="O935" s="24"/>
      <c r="P935" s="24"/>
      <c r="U935" s="27"/>
      <c r="X935" s="21"/>
      <c r="Y935" s="21"/>
      <c r="Z935" s="21"/>
      <c r="AA935" s="28"/>
      <c r="AB935" s="29"/>
      <c r="AC935" s="21"/>
      <c r="AD935" s="25"/>
      <c r="AE935" s="25"/>
      <c r="AF935" s="25"/>
    </row>
    <row r="936" ht="12.75" customHeight="1">
      <c r="B936" s="21"/>
      <c r="C936" s="21"/>
      <c r="E936" s="21"/>
      <c r="F936" s="21"/>
      <c r="J936" s="21"/>
      <c r="K936" s="21"/>
      <c r="L936" s="21"/>
      <c r="M936" s="21"/>
      <c r="O936" s="24"/>
      <c r="P936" s="24"/>
      <c r="U936" s="27"/>
      <c r="X936" s="21"/>
      <c r="Y936" s="21"/>
      <c r="Z936" s="21"/>
      <c r="AA936" s="28"/>
      <c r="AB936" s="29"/>
      <c r="AC936" s="21"/>
      <c r="AD936" s="25"/>
      <c r="AE936" s="25"/>
      <c r="AF936" s="25"/>
    </row>
    <row r="937" ht="12.75" customHeight="1">
      <c r="B937" s="21"/>
      <c r="C937" s="21"/>
      <c r="E937" s="21"/>
      <c r="F937" s="21"/>
      <c r="J937" s="21"/>
      <c r="K937" s="21"/>
      <c r="L937" s="21"/>
      <c r="M937" s="21"/>
      <c r="O937" s="24"/>
      <c r="P937" s="24"/>
      <c r="U937" s="27"/>
      <c r="X937" s="21"/>
      <c r="Y937" s="21"/>
      <c r="Z937" s="21"/>
      <c r="AA937" s="28"/>
      <c r="AB937" s="29"/>
      <c r="AC937" s="21"/>
      <c r="AD937" s="25"/>
      <c r="AE937" s="25"/>
      <c r="AF937" s="25"/>
    </row>
    <row r="938" ht="12.75" customHeight="1">
      <c r="B938" s="21"/>
      <c r="C938" s="21"/>
      <c r="E938" s="21"/>
      <c r="F938" s="21"/>
      <c r="J938" s="21"/>
      <c r="K938" s="21"/>
      <c r="L938" s="21"/>
      <c r="M938" s="21"/>
      <c r="O938" s="24"/>
      <c r="P938" s="24"/>
      <c r="U938" s="27"/>
      <c r="X938" s="21"/>
      <c r="Y938" s="21"/>
      <c r="Z938" s="21"/>
      <c r="AA938" s="28"/>
      <c r="AB938" s="29"/>
      <c r="AC938" s="21"/>
      <c r="AD938" s="25"/>
      <c r="AE938" s="25"/>
      <c r="AF938" s="25"/>
    </row>
    <row r="939" ht="12.75" customHeight="1">
      <c r="B939" s="21"/>
      <c r="C939" s="21"/>
      <c r="E939" s="21"/>
      <c r="F939" s="21"/>
      <c r="J939" s="21"/>
      <c r="K939" s="21"/>
      <c r="L939" s="21"/>
      <c r="M939" s="21"/>
      <c r="O939" s="24"/>
      <c r="P939" s="24"/>
      <c r="U939" s="27"/>
      <c r="X939" s="21"/>
      <c r="Y939" s="21"/>
      <c r="Z939" s="21"/>
      <c r="AA939" s="28"/>
      <c r="AB939" s="29"/>
      <c r="AC939" s="21"/>
      <c r="AD939" s="25"/>
      <c r="AE939" s="25"/>
      <c r="AF939" s="25"/>
    </row>
    <row r="940" ht="12.75" customHeight="1">
      <c r="B940" s="21"/>
      <c r="C940" s="21"/>
      <c r="E940" s="21"/>
      <c r="F940" s="21"/>
      <c r="J940" s="21"/>
      <c r="K940" s="21"/>
      <c r="L940" s="21"/>
      <c r="M940" s="21"/>
      <c r="O940" s="24"/>
      <c r="P940" s="24"/>
      <c r="U940" s="27"/>
      <c r="X940" s="21"/>
      <c r="Y940" s="21"/>
      <c r="Z940" s="21"/>
      <c r="AA940" s="28"/>
      <c r="AB940" s="29"/>
      <c r="AC940" s="21"/>
      <c r="AD940" s="25"/>
      <c r="AE940" s="25"/>
      <c r="AF940" s="25"/>
    </row>
    <row r="941" ht="12.75" customHeight="1">
      <c r="B941" s="21"/>
      <c r="C941" s="21"/>
      <c r="E941" s="21"/>
      <c r="F941" s="21"/>
      <c r="J941" s="21"/>
      <c r="K941" s="21"/>
      <c r="L941" s="21"/>
      <c r="M941" s="21"/>
      <c r="O941" s="24"/>
      <c r="P941" s="24"/>
      <c r="U941" s="27"/>
      <c r="X941" s="21"/>
      <c r="Y941" s="21"/>
      <c r="Z941" s="21"/>
      <c r="AA941" s="28"/>
      <c r="AB941" s="29"/>
      <c r="AC941" s="21"/>
      <c r="AD941" s="25"/>
      <c r="AE941" s="25"/>
      <c r="AF941" s="25"/>
    </row>
    <row r="942" ht="12.75" customHeight="1">
      <c r="B942" s="21"/>
      <c r="C942" s="21"/>
      <c r="E942" s="21"/>
      <c r="F942" s="21"/>
      <c r="J942" s="21"/>
      <c r="K942" s="21"/>
      <c r="L942" s="21"/>
      <c r="M942" s="21"/>
      <c r="O942" s="24"/>
      <c r="P942" s="24"/>
      <c r="U942" s="27"/>
      <c r="X942" s="21"/>
      <c r="Y942" s="21"/>
      <c r="Z942" s="21"/>
      <c r="AA942" s="28"/>
      <c r="AB942" s="29"/>
      <c r="AC942" s="21"/>
      <c r="AD942" s="25"/>
      <c r="AE942" s="25"/>
      <c r="AF942" s="25"/>
    </row>
    <row r="943" ht="12.75" customHeight="1">
      <c r="B943" s="21"/>
      <c r="C943" s="21"/>
      <c r="E943" s="21"/>
      <c r="F943" s="21"/>
      <c r="J943" s="21"/>
      <c r="K943" s="21"/>
      <c r="L943" s="21"/>
      <c r="M943" s="21"/>
      <c r="O943" s="24"/>
      <c r="P943" s="24"/>
      <c r="U943" s="27"/>
      <c r="X943" s="21"/>
      <c r="Y943" s="21"/>
      <c r="Z943" s="21"/>
      <c r="AA943" s="28"/>
      <c r="AB943" s="29"/>
      <c r="AC943" s="21"/>
      <c r="AD943" s="25"/>
      <c r="AE943" s="25"/>
      <c r="AF943" s="25"/>
    </row>
    <row r="944" ht="12.75" customHeight="1">
      <c r="B944" s="21"/>
      <c r="C944" s="21"/>
      <c r="E944" s="21"/>
      <c r="F944" s="21"/>
      <c r="J944" s="21"/>
      <c r="K944" s="21"/>
      <c r="L944" s="21"/>
      <c r="M944" s="21"/>
      <c r="O944" s="24"/>
      <c r="P944" s="24"/>
      <c r="U944" s="27"/>
      <c r="X944" s="21"/>
      <c r="Y944" s="21"/>
      <c r="Z944" s="21"/>
      <c r="AA944" s="28"/>
      <c r="AB944" s="29"/>
      <c r="AC944" s="21"/>
      <c r="AD944" s="25"/>
      <c r="AE944" s="25"/>
      <c r="AF944" s="25"/>
    </row>
    <row r="945" ht="12.75" customHeight="1">
      <c r="B945" s="21"/>
      <c r="C945" s="21"/>
      <c r="E945" s="21"/>
      <c r="F945" s="21"/>
      <c r="J945" s="21"/>
      <c r="K945" s="21"/>
      <c r="L945" s="21"/>
      <c r="M945" s="21"/>
      <c r="O945" s="24"/>
      <c r="P945" s="24"/>
      <c r="U945" s="27"/>
      <c r="X945" s="21"/>
      <c r="Y945" s="21"/>
      <c r="Z945" s="21"/>
      <c r="AA945" s="28"/>
      <c r="AB945" s="29"/>
      <c r="AC945" s="21"/>
      <c r="AD945" s="25"/>
      <c r="AE945" s="25"/>
      <c r="AF945" s="25"/>
    </row>
    <row r="946" ht="12.75" customHeight="1">
      <c r="B946" s="21"/>
      <c r="C946" s="21"/>
      <c r="E946" s="21"/>
      <c r="F946" s="21"/>
      <c r="J946" s="21"/>
      <c r="K946" s="21"/>
      <c r="L946" s="21"/>
      <c r="M946" s="21"/>
      <c r="O946" s="24"/>
      <c r="P946" s="24"/>
      <c r="U946" s="27"/>
      <c r="X946" s="21"/>
      <c r="Y946" s="21"/>
      <c r="Z946" s="21"/>
      <c r="AA946" s="28"/>
      <c r="AB946" s="29"/>
      <c r="AC946" s="21"/>
      <c r="AD946" s="25"/>
      <c r="AE946" s="25"/>
      <c r="AF946" s="25"/>
    </row>
    <row r="947" ht="12.75" customHeight="1">
      <c r="B947" s="21"/>
      <c r="C947" s="21"/>
      <c r="E947" s="21"/>
      <c r="F947" s="21"/>
      <c r="J947" s="21"/>
      <c r="K947" s="21"/>
      <c r="L947" s="21"/>
      <c r="M947" s="21"/>
      <c r="O947" s="24"/>
      <c r="P947" s="24"/>
      <c r="U947" s="27"/>
      <c r="X947" s="21"/>
      <c r="Y947" s="21"/>
      <c r="Z947" s="21"/>
      <c r="AA947" s="28"/>
      <c r="AB947" s="29"/>
      <c r="AC947" s="21"/>
      <c r="AD947" s="25"/>
      <c r="AE947" s="25"/>
      <c r="AF947" s="25"/>
    </row>
    <row r="948" ht="12.75" customHeight="1">
      <c r="B948" s="21"/>
      <c r="C948" s="21"/>
      <c r="E948" s="21"/>
      <c r="F948" s="21"/>
      <c r="J948" s="21"/>
      <c r="K948" s="21"/>
      <c r="L948" s="21"/>
      <c r="M948" s="21"/>
      <c r="O948" s="24"/>
      <c r="P948" s="24"/>
      <c r="U948" s="27"/>
      <c r="X948" s="21"/>
      <c r="Y948" s="21"/>
      <c r="Z948" s="21"/>
      <c r="AA948" s="28"/>
      <c r="AB948" s="29"/>
      <c r="AC948" s="21"/>
      <c r="AD948" s="25"/>
      <c r="AE948" s="25"/>
      <c r="AF948" s="25"/>
    </row>
    <row r="949" ht="12.75" customHeight="1">
      <c r="B949" s="21"/>
      <c r="C949" s="21"/>
      <c r="E949" s="21"/>
      <c r="F949" s="21"/>
      <c r="J949" s="21"/>
      <c r="K949" s="21"/>
      <c r="L949" s="21"/>
      <c r="M949" s="21"/>
      <c r="O949" s="24"/>
      <c r="P949" s="24"/>
      <c r="U949" s="27"/>
      <c r="X949" s="21"/>
      <c r="Y949" s="21"/>
      <c r="Z949" s="21"/>
      <c r="AA949" s="28"/>
      <c r="AB949" s="29"/>
      <c r="AC949" s="21"/>
      <c r="AD949" s="25"/>
      <c r="AE949" s="25"/>
      <c r="AF949" s="25"/>
    </row>
    <row r="950" ht="12.75" customHeight="1">
      <c r="B950" s="21"/>
      <c r="C950" s="21"/>
      <c r="E950" s="21"/>
      <c r="F950" s="21"/>
      <c r="J950" s="21"/>
      <c r="K950" s="21"/>
      <c r="L950" s="21"/>
      <c r="M950" s="21"/>
      <c r="O950" s="24"/>
      <c r="P950" s="24"/>
      <c r="U950" s="27"/>
      <c r="X950" s="21"/>
      <c r="Y950" s="21"/>
      <c r="Z950" s="21"/>
      <c r="AA950" s="28"/>
      <c r="AB950" s="29"/>
      <c r="AC950" s="21"/>
      <c r="AD950" s="25"/>
      <c r="AE950" s="25"/>
      <c r="AF950" s="25"/>
    </row>
    <row r="951" ht="12.75" customHeight="1">
      <c r="B951" s="21"/>
      <c r="C951" s="21"/>
      <c r="E951" s="21"/>
      <c r="F951" s="21"/>
      <c r="J951" s="21"/>
      <c r="K951" s="21"/>
      <c r="L951" s="21"/>
      <c r="M951" s="21"/>
      <c r="O951" s="24"/>
      <c r="P951" s="24"/>
      <c r="U951" s="27"/>
      <c r="X951" s="21"/>
      <c r="Y951" s="21"/>
      <c r="Z951" s="21"/>
      <c r="AA951" s="28"/>
      <c r="AB951" s="29"/>
      <c r="AC951" s="21"/>
      <c r="AD951" s="25"/>
      <c r="AE951" s="25"/>
      <c r="AF951" s="25"/>
    </row>
    <row r="952" ht="12.75" customHeight="1">
      <c r="B952" s="21"/>
      <c r="C952" s="21"/>
      <c r="E952" s="21"/>
      <c r="F952" s="21"/>
      <c r="J952" s="21"/>
      <c r="K952" s="21"/>
      <c r="L952" s="21"/>
      <c r="M952" s="21"/>
      <c r="O952" s="24"/>
      <c r="P952" s="24"/>
      <c r="U952" s="27"/>
      <c r="X952" s="21"/>
      <c r="Y952" s="21"/>
      <c r="Z952" s="21"/>
      <c r="AA952" s="28"/>
      <c r="AB952" s="29"/>
      <c r="AC952" s="21"/>
      <c r="AD952" s="25"/>
      <c r="AE952" s="25"/>
      <c r="AF952" s="25"/>
    </row>
    <row r="953" ht="12.75" customHeight="1">
      <c r="B953" s="21"/>
      <c r="C953" s="21"/>
      <c r="E953" s="21"/>
      <c r="F953" s="21"/>
      <c r="J953" s="21"/>
      <c r="K953" s="21"/>
      <c r="L953" s="21"/>
      <c r="M953" s="21"/>
      <c r="O953" s="24"/>
      <c r="P953" s="24"/>
      <c r="U953" s="27"/>
      <c r="X953" s="21"/>
      <c r="Y953" s="21"/>
      <c r="Z953" s="21"/>
      <c r="AA953" s="28"/>
      <c r="AB953" s="29"/>
      <c r="AC953" s="21"/>
      <c r="AD953" s="25"/>
      <c r="AE953" s="25"/>
      <c r="AF953" s="25"/>
    </row>
    <row r="954" ht="12.75" customHeight="1">
      <c r="B954" s="21"/>
      <c r="C954" s="21"/>
      <c r="E954" s="21"/>
      <c r="F954" s="21"/>
      <c r="J954" s="21"/>
      <c r="K954" s="21"/>
      <c r="L954" s="21"/>
      <c r="M954" s="21"/>
      <c r="O954" s="24"/>
      <c r="P954" s="24"/>
      <c r="U954" s="27"/>
      <c r="X954" s="21"/>
      <c r="Y954" s="21"/>
      <c r="Z954" s="21"/>
      <c r="AA954" s="28"/>
      <c r="AB954" s="29"/>
      <c r="AC954" s="21"/>
      <c r="AD954" s="25"/>
      <c r="AE954" s="25"/>
      <c r="AF954" s="25"/>
    </row>
    <row r="955" ht="12.75" customHeight="1">
      <c r="B955" s="21"/>
      <c r="C955" s="21"/>
      <c r="E955" s="21"/>
      <c r="F955" s="21"/>
      <c r="J955" s="21"/>
      <c r="K955" s="21"/>
      <c r="L955" s="21"/>
      <c r="M955" s="21"/>
      <c r="O955" s="24"/>
      <c r="P955" s="24"/>
      <c r="U955" s="27"/>
      <c r="X955" s="21"/>
      <c r="Y955" s="21"/>
      <c r="Z955" s="21"/>
      <c r="AA955" s="28"/>
      <c r="AB955" s="29"/>
      <c r="AC955" s="21"/>
      <c r="AD955" s="25"/>
      <c r="AE955" s="25"/>
      <c r="AF955" s="25"/>
    </row>
    <row r="956" ht="12.75" customHeight="1">
      <c r="B956" s="21"/>
      <c r="C956" s="21"/>
      <c r="E956" s="21"/>
      <c r="F956" s="21"/>
      <c r="J956" s="21"/>
      <c r="K956" s="21"/>
      <c r="L956" s="21"/>
      <c r="M956" s="21"/>
      <c r="O956" s="24"/>
      <c r="P956" s="24"/>
      <c r="U956" s="27"/>
      <c r="X956" s="21"/>
      <c r="Y956" s="21"/>
      <c r="Z956" s="21"/>
      <c r="AA956" s="28"/>
      <c r="AB956" s="29"/>
      <c r="AC956" s="21"/>
      <c r="AD956" s="25"/>
      <c r="AE956" s="25"/>
      <c r="AF956" s="25"/>
    </row>
    <row r="957" ht="12.75" customHeight="1">
      <c r="B957" s="21"/>
      <c r="C957" s="21"/>
      <c r="E957" s="21"/>
      <c r="F957" s="21"/>
      <c r="J957" s="21"/>
      <c r="K957" s="21"/>
      <c r="L957" s="21"/>
      <c r="M957" s="21"/>
      <c r="O957" s="24"/>
      <c r="P957" s="24"/>
      <c r="U957" s="27"/>
      <c r="X957" s="21"/>
      <c r="Y957" s="21"/>
      <c r="Z957" s="21"/>
      <c r="AA957" s="28"/>
      <c r="AB957" s="29"/>
      <c r="AC957" s="21"/>
      <c r="AD957" s="25"/>
      <c r="AE957" s="25"/>
      <c r="AF957" s="25"/>
    </row>
    <row r="958" ht="12.75" customHeight="1">
      <c r="B958" s="21"/>
      <c r="C958" s="21"/>
      <c r="E958" s="21"/>
      <c r="F958" s="21"/>
      <c r="J958" s="21"/>
      <c r="K958" s="21"/>
      <c r="L958" s="21"/>
      <c r="M958" s="21"/>
      <c r="O958" s="24"/>
      <c r="P958" s="24"/>
      <c r="U958" s="27"/>
      <c r="X958" s="21"/>
      <c r="Y958" s="21"/>
      <c r="Z958" s="21"/>
      <c r="AA958" s="28"/>
      <c r="AB958" s="29"/>
      <c r="AC958" s="21"/>
      <c r="AD958" s="25"/>
      <c r="AE958" s="25"/>
      <c r="AF958" s="25"/>
    </row>
    <row r="959" ht="12.75" customHeight="1">
      <c r="B959" s="21"/>
      <c r="C959" s="21"/>
      <c r="E959" s="21"/>
      <c r="F959" s="21"/>
      <c r="J959" s="21"/>
      <c r="K959" s="21"/>
      <c r="L959" s="21"/>
      <c r="M959" s="21"/>
      <c r="O959" s="24"/>
      <c r="P959" s="24"/>
      <c r="U959" s="27"/>
      <c r="X959" s="21"/>
      <c r="Y959" s="21"/>
      <c r="Z959" s="21"/>
      <c r="AA959" s="28"/>
      <c r="AB959" s="29"/>
      <c r="AC959" s="21"/>
      <c r="AD959" s="25"/>
      <c r="AE959" s="25"/>
      <c r="AF959" s="25"/>
    </row>
    <row r="960" ht="12.75" customHeight="1">
      <c r="B960" s="21"/>
      <c r="C960" s="21"/>
      <c r="E960" s="21"/>
      <c r="F960" s="21"/>
      <c r="J960" s="21"/>
      <c r="K960" s="21"/>
      <c r="L960" s="21"/>
      <c r="M960" s="21"/>
      <c r="O960" s="24"/>
      <c r="P960" s="24"/>
      <c r="U960" s="27"/>
      <c r="X960" s="21"/>
      <c r="Y960" s="21"/>
      <c r="Z960" s="21"/>
      <c r="AA960" s="28"/>
      <c r="AB960" s="29"/>
      <c r="AC960" s="21"/>
      <c r="AD960" s="25"/>
      <c r="AE960" s="25"/>
      <c r="AF960" s="25"/>
    </row>
    <row r="961" ht="12.75" customHeight="1">
      <c r="B961" s="21"/>
      <c r="C961" s="21"/>
      <c r="E961" s="21"/>
      <c r="F961" s="21"/>
      <c r="J961" s="21"/>
      <c r="K961" s="21"/>
      <c r="L961" s="21"/>
      <c r="M961" s="21"/>
      <c r="O961" s="24"/>
      <c r="P961" s="24"/>
      <c r="U961" s="27"/>
      <c r="X961" s="21"/>
      <c r="Y961" s="21"/>
      <c r="Z961" s="21"/>
      <c r="AA961" s="28"/>
      <c r="AB961" s="29"/>
      <c r="AC961" s="21"/>
      <c r="AD961" s="25"/>
      <c r="AE961" s="25"/>
      <c r="AF961" s="25"/>
    </row>
    <row r="962" ht="12.75" customHeight="1">
      <c r="B962" s="21"/>
      <c r="C962" s="21"/>
      <c r="E962" s="21"/>
      <c r="F962" s="21"/>
      <c r="J962" s="21"/>
      <c r="K962" s="21"/>
      <c r="L962" s="21"/>
      <c r="M962" s="21"/>
      <c r="O962" s="24"/>
      <c r="P962" s="24"/>
      <c r="U962" s="27"/>
      <c r="X962" s="21"/>
      <c r="Y962" s="21"/>
      <c r="Z962" s="21"/>
      <c r="AA962" s="28"/>
      <c r="AB962" s="29"/>
      <c r="AC962" s="21"/>
      <c r="AD962" s="25"/>
      <c r="AE962" s="25"/>
      <c r="AF962" s="25"/>
    </row>
    <row r="963" ht="12.75" customHeight="1">
      <c r="B963" s="21"/>
      <c r="C963" s="21"/>
      <c r="E963" s="21"/>
      <c r="F963" s="21"/>
      <c r="J963" s="21"/>
      <c r="K963" s="21"/>
      <c r="L963" s="21"/>
      <c r="M963" s="21"/>
      <c r="O963" s="24"/>
      <c r="P963" s="24"/>
      <c r="U963" s="27"/>
      <c r="X963" s="21"/>
      <c r="Y963" s="21"/>
      <c r="Z963" s="21"/>
      <c r="AA963" s="28"/>
      <c r="AB963" s="29"/>
      <c r="AC963" s="21"/>
      <c r="AD963" s="25"/>
      <c r="AE963" s="25"/>
      <c r="AF963" s="25"/>
    </row>
    <row r="964" ht="12.75" customHeight="1">
      <c r="B964" s="21"/>
      <c r="C964" s="21"/>
      <c r="E964" s="21"/>
      <c r="F964" s="21"/>
      <c r="J964" s="21"/>
      <c r="K964" s="21"/>
      <c r="L964" s="21"/>
      <c r="M964" s="21"/>
      <c r="O964" s="24"/>
      <c r="P964" s="24"/>
      <c r="U964" s="27"/>
      <c r="X964" s="21"/>
      <c r="Y964" s="21"/>
      <c r="Z964" s="21"/>
      <c r="AA964" s="28"/>
      <c r="AB964" s="29"/>
      <c r="AC964" s="21"/>
      <c r="AD964" s="25"/>
      <c r="AE964" s="25"/>
      <c r="AF964" s="25"/>
    </row>
    <row r="965" ht="12.75" customHeight="1">
      <c r="B965" s="21"/>
      <c r="C965" s="21"/>
      <c r="E965" s="21"/>
      <c r="F965" s="21"/>
      <c r="J965" s="21"/>
      <c r="K965" s="21"/>
      <c r="L965" s="21"/>
      <c r="M965" s="21"/>
      <c r="O965" s="24"/>
      <c r="P965" s="24"/>
      <c r="U965" s="27"/>
      <c r="X965" s="21"/>
      <c r="Y965" s="21"/>
      <c r="Z965" s="21"/>
      <c r="AA965" s="28"/>
      <c r="AB965" s="29"/>
      <c r="AC965" s="21"/>
      <c r="AD965" s="25"/>
      <c r="AE965" s="25"/>
      <c r="AF965" s="25"/>
    </row>
    <row r="966" ht="12.75" customHeight="1">
      <c r="B966" s="21"/>
      <c r="C966" s="21"/>
      <c r="E966" s="21"/>
      <c r="F966" s="21"/>
      <c r="J966" s="21"/>
      <c r="K966" s="21"/>
      <c r="L966" s="21"/>
      <c r="M966" s="21"/>
      <c r="O966" s="24"/>
      <c r="P966" s="24"/>
      <c r="U966" s="27"/>
      <c r="X966" s="21"/>
      <c r="Y966" s="21"/>
      <c r="Z966" s="21"/>
      <c r="AA966" s="28"/>
      <c r="AB966" s="29"/>
      <c r="AC966" s="21"/>
      <c r="AD966" s="25"/>
      <c r="AE966" s="25"/>
      <c r="AF966" s="25"/>
    </row>
    <row r="967" ht="12.75" customHeight="1">
      <c r="B967" s="21"/>
      <c r="C967" s="21"/>
      <c r="E967" s="21"/>
      <c r="F967" s="21"/>
      <c r="J967" s="21"/>
      <c r="K967" s="21"/>
      <c r="L967" s="21"/>
      <c r="M967" s="21"/>
      <c r="O967" s="24"/>
      <c r="P967" s="24"/>
      <c r="U967" s="27"/>
      <c r="X967" s="21"/>
      <c r="Y967" s="21"/>
      <c r="Z967" s="21"/>
      <c r="AA967" s="28"/>
      <c r="AB967" s="29"/>
      <c r="AC967" s="21"/>
      <c r="AD967" s="25"/>
      <c r="AE967" s="25"/>
      <c r="AF967" s="25"/>
    </row>
    <row r="968" ht="12.75" customHeight="1">
      <c r="B968" s="21"/>
      <c r="C968" s="21"/>
      <c r="E968" s="21"/>
      <c r="F968" s="21"/>
      <c r="J968" s="21"/>
      <c r="K968" s="21"/>
      <c r="L968" s="21"/>
      <c r="M968" s="21"/>
      <c r="O968" s="24"/>
      <c r="P968" s="24"/>
      <c r="U968" s="27"/>
      <c r="X968" s="21"/>
      <c r="Y968" s="21"/>
      <c r="Z968" s="21"/>
      <c r="AA968" s="28"/>
      <c r="AB968" s="29"/>
      <c r="AC968" s="21"/>
      <c r="AD968" s="25"/>
      <c r="AE968" s="25"/>
      <c r="AF968" s="25"/>
    </row>
    <row r="969" ht="12.75" customHeight="1">
      <c r="B969" s="21"/>
      <c r="C969" s="21"/>
      <c r="E969" s="21"/>
      <c r="F969" s="21"/>
      <c r="J969" s="21"/>
      <c r="K969" s="21"/>
      <c r="L969" s="21"/>
      <c r="M969" s="21"/>
      <c r="O969" s="24"/>
      <c r="P969" s="24"/>
      <c r="U969" s="27"/>
      <c r="X969" s="21"/>
      <c r="Y969" s="21"/>
      <c r="Z969" s="21"/>
      <c r="AA969" s="28"/>
      <c r="AB969" s="29"/>
      <c r="AC969" s="21"/>
      <c r="AD969" s="25"/>
      <c r="AE969" s="25"/>
      <c r="AF969" s="25"/>
    </row>
    <row r="970" ht="12.75" customHeight="1">
      <c r="B970" s="21"/>
      <c r="C970" s="21"/>
      <c r="E970" s="21"/>
      <c r="F970" s="21"/>
      <c r="J970" s="21"/>
      <c r="K970" s="21"/>
      <c r="L970" s="21"/>
      <c r="M970" s="21"/>
      <c r="O970" s="24"/>
      <c r="P970" s="24"/>
      <c r="U970" s="27"/>
      <c r="X970" s="21"/>
      <c r="Y970" s="21"/>
      <c r="Z970" s="21"/>
      <c r="AA970" s="28"/>
      <c r="AB970" s="29"/>
      <c r="AC970" s="21"/>
      <c r="AD970" s="25"/>
      <c r="AE970" s="25"/>
      <c r="AF970" s="25"/>
    </row>
    <row r="971" ht="12.75" customHeight="1">
      <c r="B971" s="21"/>
      <c r="C971" s="21"/>
      <c r="E971" s="21"/>
      <c r="F971" s="21"/>
      <c r="J971" s="21"/>
      <c r="K971" s="21"/>
      <c r="L971" s="21"/>
      <c r="M971" s="21"/>
      <c r="O971" s="24"/>
      <c r="P971" s="24"/>
      <c r="U971" s="27"/>
      <c r="X971" s="21"/>
      <c r="Y971" s="21"/>
      <c r="Z971" s="21"/>
      <c r="AA971" s="28"/>
      <c r="AB971" s="29"/>
      <c r="AC971" s="21"/>
      <c r="AD971" s="25"/>
      <c r="AE971" s="25"/>
      <c r="AF971" s="25"/>
    </row>
    <row r="972" ht="12.75" customHeight="1">
      <c r="B972" s="21"/>
      <c r="C972" s="21"/>
      <c r="E972" s="21"/>
      <c r="F972" s="21"/>
      <c r="J972" s="21"/>
      <c r="K972" s="21"/>
      <c r="L972" s="21"/>
      <c r="M972" s="21"/>
      <c r="O972" s="24"/>
      <c r="P972" s="24"/>
      <c r="U972" s="27"/>
      <c r="X972" s="21"/>
      <c r="Y972" s="21"/>
      <c r="Z972" s="21"/>
      <c r="AA972" s="28"/>
      <c r="AB972" s="29"/>
      <c r="AC972" s="21"/>
      <c r="AD972" s="25"/>
      <c r="AE972" s="25"/>
      <c r="AF972" s="25"/>
    </row>
    <row r="973" ht="12.75" customHeight="1">
      <c r="B973" s="21"/>
      <c r="C973" s="21"/>
      <c r="E973" s="21"/>
      <c r="F973" s="21"/>
      <c r="J973" s="21"/>
      <c r="K973" s="21"/>
      <c r="L973" s="21"/>
      <c r="M973" s="21"/>
      <c r="O973" s="24"/>
      <c r="P973" s="24"/>
      <c r="U973" s="27"/>
      <c r="X973" s="21"/>
      <c r="Y973" s="21"/>
      <c r="Z973" s="21"/>
      <c r="AA973" s="28"/>
      <c r="AB973" s="29"/>
      <c r="AC973" s="21"/>
      <c r="AD973" s="25"/>
      <c r="AE973" s="25"/>
      <c r="AF973" s="25"/>
    </row>
    <row r="974" ht="12.75" customHeight="1">
      <c r="B974" s="21"/>
      <c r="C974" s="21"/>
      <c r="E974" s="21"/>
      <c r="F974" s="21"/>
      <c r="J974" s="21"/>
      <c r="K974" s="21"/>
      <c r="L974" s="21"/>
      <c r="M974" s="21"/>
      <c r="O974" s="24"/>
      <c r="P974" s="24"/>
      <c r="U974" s="27"/>
      <c r="X974" s="21"/>
      <c r="Y974" s="21"/>
      <c r="Z974" s="21"/>
      <c r="AA974" s="28"/>
      <c r="AB974" s="29"/>
      <c r="AC974" s="21"/>
      <c r="AD974" s="25"/>
      <c r="AE974" s="25"/>
      <c r="AF974" s="25"/>
    </row>
    <row r="975" ht="12.75" customHeight="1">
      <c r="B975" s="21"/>
      <c r="C975" s="21"/>
      <c r="E975" s="21"/>
      <c r="F975" s="21"/>
      <c r="J975" s="21"/>
      <c r="K975" s="21"/>
      <c r="L975" s="21"/>
      <c r="M975" s="21"/>
      <c r="O975" s="24"/>
      <c r="P975" s="24"/>
      <c r="U975" s="27"/>
      <c r="X975" s="21"/>
      <c r="Y975" s="21"/>
      <c r="Z975" s="21"/>
      <c r="AA975" s="28"/>
      <c r="AB975" s="29"/>
      <c r="AC975" s="21"/>
      <c r="AD975" s="25"/>
      <c r="AE975" s="25"/>
      <c r="AF975" s="25"/>
    </row>
    <row r="976" ht="12.75" customHeight="1">
      <c r="B976" s="21"/>
      <c r="C976" s="21"/>
      <c r="E976" s="21"/>
      <c r="F976" s="21"/>
      <c r="J976" s="21"/>
      <c r="K976" s="21"/>
      <c r="L976" s="21"/>
      <c r="M976" s="21"/>
      <c r="O976" s="24"/>
      <c r="P976" s="24"/>
      <c r="U976" s="27"/>
      <c r="X976" s="21"/>
      <c r="Y976" s="21"/>
      <c r="Z976" s="21"/>
      <c r="AA976" s="28"/>
      <c r="AB976" s="29"/>
      <c r="AC976" s="21"/>
      <c r="AD976" s="25"/>
      <c r="AE976" s="25"/>
      <c r="AF976" s="25"/>
    </row>
    <row r="977" ht="12.75" customHeight="1">
      <c r="B977" s="21"/>
      <c r="C977" s="21"/>
      <c r="E977" s="21"/>
      <c r="F977" s="21"/>
      <c r="J977" s="21"/>
      <c r="K977" s="21"/>
      <c r="L977" s="21"/>
      <c r="M977" s="21"/>
      <c r="O977" s="24"/>
      <c r="P977" s="24"/>
      <c r="U977" s="27"/>
      <c r="X977" s="21"/>
      <c r="Y977" s="21"/>
      <c r="Z977" s="21"/>
      <c r="AA977" s="28"/>
      <c r="AB977" s="29"/>
      <c r="AC977" s="21"/>
      <c r="AD977" s="25"/>
      <c r="AE977" s="25"/>
      <c r="AF977" s="25"/>
    </row>
    <row r="978" ht="12.75" customHeight="1">
      <c r="B978" s="21"/>
      <c r="C978" s="21"/>
      <c r="E978" s="21"/>
      <c r="F978" s="21"/>
      <c r="J978" s="21"/>
      <c r="K978" s="21"/>
      <c r="L978" s="21"/>
      <c r="M978" s="21"/>
      <c r="O978" s="24"/>
      <c r="P978" s="24"/>
      <c r="U978" s="27"/>
      <c r="X978" s="21"/>
      <c r="Y978" s="21"/>
      <c r="Z978" s="21"/>
      <c r="AA978" s="28"/>
      <c r="AB978" s="29"/>
      <c r="AC978" s="21"/>
      <c r="AD978" s="25"/>
      <c r="AE978" s="25"/>
      <c r="AF978" s="25"/>
    </row>
    <row r="979" ht="12.75" customHeight="1">
      <c r="B979" s="21"/>
      <c r="C979" s="21"/>
      <c r="E979" s="21"/>
      <c r="F979" s="21"/>
      <c r="J979" s="21"/>
      <c r="K979" s="21"/>
      <c r="L979" s="21"/>
      <c r="M979" s="21"/>
      <c r="O979" s="24"/>
      <c r="P979" s="24"/>
      <c r="U979" s="27"/>
      <c r="X979" s="21"/>
      <c r="Y979" s="21"/>
      <c r="Z979" s="21"/>
      <c r="AA979" s="28"/>
      <c r="AB979" s="29"/>
      <c r="AC979" s="21"/>
      <c r="AD979" s="25"/>
      <c r="AE979" s="25"/>
      <c r="AF979" s="25"/>
    </row>
    <row r="980" ht="12.75" customHeight="1">
      <c r="B980" s="21"/>
      <c r="C980" s="21"/>
      <c r="E980" s="21"/>
      <c r="F980" s="21"/>
      <c r="J980" s="21"/>
      <c r="K980" s="21"/>
      <c r="L980" s="21"/>
      <c r="M980" s="21"/>
      <c r="O980" s="24"/>
      <c r="P980" s="24"/>
      <c r="U980" s="27"/>
      <c r="X980" s="21"/>
      <c r="Y980" s="21"/>
      <c r="Z980" s="21"/>
      <c r="AA980" s="28"/>
      <c r="AB980" s="29"/>
      <c r="AC980" s="21"/>
      <c r="AD980" s="25"/>
      <c r="AE980" s="25"/>
      <c r="AF980" s="25"/>
    </row>
    <row r="981" ht="12.75" customHeight="1">
      <c r="B981" s="21"/>
      <c r="C981" s="21"/>
      <c r="E981" s="21"/>
      <c r="F981" s="21"/>
      <c r="J981" s="21"/>
      <c r="K981" s="21"/>
      <c r="L981" s="21"/>
      <c r="M981" s="21"/>
      <c r="O981" s="24"/>
      <c r="P981" s="24"/>
      <c r="U981" s="27"/>
      <c r="X981" s="21"/>
      <c r="Y981" s="21"/>
      <c r="Z981" s="21"/>
      <c r="AA981" s="28"/>
      <c r="AB981" s="29"/>
      <c r="AC981" s="21"/>
      <c r="AD981" s="25"/>
      <c r="AE981" s="25"/>
      <c r="AF981" s="25"/>
    </row>
    <row r="982" ht="12.75" customHeight="1">
      <c r="B982" s="21"/>
      <c r="C982" s="21"/>
      <c r="E982" s="21"/>
      <c r="F982" s="21"/>
      <c r="J982" s="21"/>
      <c r="K982" s="21"/>
      <c r="L982" s="21"/>
      <c r="M982" s="21"/>
      <c r="O982" s="24"/>
      <c r="P982" s="24"/>
      <c r="U982" s="27"/>
      <c r="X982" s="21"/>
      <c r="Y982" s="21"/>
      <c r="Z982" s="21"/>
      <c r="AA982" s="28"/>
      <c r="AB982" s="29"/>
      <c r="AC982" s="21"/>
      <c r="AD982" s="25"/>
      <c r="AE982" s="25"/>
      <c r="AF982" s="25"/>
    </row>
    <row r="983" ht="12.75" customHeight="1">
      <c r="B983" s="21"/>
      <c r="C983" s="21"/>
      <c r="E983" s="21"/>
      <c r="F983" s="21"/>
      <c r="J983" s="21"/>
      <c r="K983" s="21"/>
      <c r="L983" s="21"/>
      <c r="M983" s="21"/>
      <c r="O983" s="24"/>
      <c r="P983" s="24"/>
      <c r="U983" s="27"/>
      <c r="X983" s="21"/>
      <c r="Y983" s="21"/>
      <c r="Z983" s="21"/>
      <c r="AA983" s="28"/>
      <c r="AB983" s="29"/>
      <c r="AC983" s="21"/>
      <c r="AD983" s="25"/>
      <c r="AE983" s="25"/>
      <c r="AF983" s="25"/>
    </row>
    <row r="984" ht="12.75" customHeight="1">
      <c r="B984" s="21"/>
      <c r="C984" s="21"/>
      <c r="E984" s="21"/>
      <c r="F984" s="21"/>
      <c r="J984" s="21"/>
      <c r="K984" s="21"/>
      <c r="L984" s="21"/>
      <c r="M984" s="21"/>
      <c r="O984" s="24"/>
      <c r="P984" s="24"/>
      <c r="U984" s="27"/>
      <c r="X984" s="21"/>
      <c r="Y984" s="21"/>
      <c r="Z984" s="21"/>
      <c r="AA984" s="28"/>
      <c r="AB984" s="29"/>
      <c r="AC984" s="21"/>
      <c r="AD984" s="25"/>
      <c r="AE984" s="25"/>
      <c r="AF984" s="25"/>
    </row>
    <row r="985" ht="12.75" customHeight="1">
      <c r="B985" s="21"/>
      <c r="C985" s="21"/>
      <c r="E985" s="21"/>
      <c r="F985" s="21"/>
      <c r="J985" s="21"/>
      <c r="K985" s="21"/>
      <c r="L985" s="21"/>
      <c r="M985" s="21"/>
      <c r="O985" s="24"/>
      <c r="P985" s="24"/>
      <c r="U985" s="27"/>
      <c r="X985" s="21"/>
      <c r="Y985" s="21"/>
      <c r="Z985" s="21"/>
      <c r="AA985" s="28"/>
      <c r="AB985" s="29"/>
      <c r="AC985" s="21"/>
      <c r="AD985" s="25"/>
      <c r="AE985" s="25"/>
      <c r="AF985" s="25"/>
    </row>
    <row r="986" ht="12.75" customHeight="1">
      <c r="B986" s="21"/>
      <c r="C986" s="21"/>
      <c r="E986" s="21"/>
      <c r="F986" s="21"/>
      <c r="J986" s="21"/>
      <c r="K986" s="21"/>
      <c r="L986" s="21"/>
      <c r="M986" s="21"/>
      <c r="O986" s="24"/>
      <c r="P986" s="24"/>
      <c r="U986" s="27"/>
      <c r="X986" s="21"/>
      <c r="Y986" s="21"/>
      <c r="Z986" s="21"/>
      <c r="AA986" s="28"/>
      <c r="AB986" s="29"/>
      <c r="AC986" s="21"/>
      <c r="AD986" s="25"/>
      <c r="AE986" s="25"/>
      <c r="AF986" s="25"/>
    </row>
    <row r="987" ht="12.75" customHeight="1">
      <c r="B987" s="21"/>
      <c r="C987" s="21"/>
      <c r="E987" s="21"/>
      <c r="F987" s="21"/>
      <c r="J987" s="21"/>
      <c r="K987" s="21"/>
      <c r="L987" s="21"/>
      <c r="M987" s="21"/>
      <c r="O987" s="24"/>
      <c r="P987" s="24"/>
      <c r="U987" s="27"/>
      <c r="X987" s="21"/>
      <c r="Y987" s="21"/>
      <c r="Z987" s="21"/>
      <c r="AA987" s="28"/>
      <c r="AB987" s="29"/>
      <c r="AC987" s="21"/>
      <c r="AD987" s="25"/>
      <c r="AE987" s="25"/>
      <c r="AF987" s="25"/>
    </row>
    <row r="988" ht="12.75" customHeight="1">
      <c r="B988" s="21"/>
      <c r="C988" s="21"/>
      <c r="E988" s="21"/>
      <c r="F988" s="21"/>
      <c r="J988" s="21"/>
      <c r="K988" s="21"/>
      <c r="L988" s="21"/>
      <c r="M988" s="21"/>
      <c r="O988" s="24"/>
      <c r="P988" s="24"/>
      <c r="U988" s="27"/>
      <c r="X988" s="21"/>
      <c r="Y988" s="21"/>
      <c r="Z988" s="21"/>
      <c r="AA988" s="28"/>
      <c r="AB988" s="29"/>
      <c r="AC988" s="21"/>
      <c r="AD988" s="25"/>
      <c r="AE988" s="25"/>
      <c r="AF988" s="25"/>
    </row>
    <row r="989" ht="12.75" customHeight="1">
      <c r="B989" s="21"/>
      <c r="C989" s="21"/>
      <c r="E989" s="21"/>
      <c r="F989" s="21"/>
      <c r="J989" s="21"/>
      <c r="K989" s="21"/>
      <c r="L989" s="21"/>
      <c r="M989" s="21"/>
      <c r="O989" s="24"/>
      <c r="P989" s="24"/>
      <c r="U989" s="27"/>
      <c r="X989" s="21"/>
      <c r="Y989" s="21"/>
      <c r="Z989" s="21"/>
      <c r="AA989" s="28"/>
      <c r="AB989" s="29"/>
      <c r="AC989" s="21"/>
      <c r="AD989" s="25"/>
      <c r="AE989" s="25"/>
      <c r="AF989" s="25"/>
    </row>
    <row r="990" ht="12.75" customHeight="1">
      <c r="B990" s="21"/>
      <c r="C990" s="21"/>
      <c r="E990" s="21"/>
      <c r="F990" s="21"/>
      <c r="J990" s="21"/>
      <c r="K990" s="21"/>
      <c r="L990" s="21"/>
      <c r="M990" s="21"/>
      <c r="O990" s="24"/>
      <c r="P990" s="24"/>
      <c r="U990" s="27"/>
      <c r="X990" s="21"/>
      <c r="Y990" s="21"/>
      <c r="Z990" s="21"/>
      <c r="AA990" s="28"/>
      <c r="AB990" s="29"/>
      <c r="AC990" s="21"/>
      <c r="AD990" s="25"/>
      <c r="AE990" s="25"/>
      <c r="AF990" s="25"/>
    </row>
    <row r="991" ht="12.75" customHeight="1">
      <c r="B991" s="21"/>
      <c r="C991" s="21"/>
      <c r="E991" s="21"/>
      <c r="F991" s="21"/>
      <c r="J991" s="21"/>
      <c r="K991" s="21"/>
      <c r="L991" s="21"/>
      <c r="M991" s="21"/>
      <c r="O991" s="24"/>
      <c r="P991" s="24"/>
      <c r="U991" s="27"/>
      <c r="X991" s="21"/>
      <c r="Y991" s="21"/>
      <c r="Z991" s="21"/>
      <c r="AA991" s="28"/>
      <c r="AB991" s="29"/>
      <c r="AC991" s="21"/>
      <c r="AD991" s="25"/>
      <c r="AE991" s="25"/>
      <c r="AF991" s="25"/>
    </row>
    <row r="992" ht="12.75" customHeight="1">
      <c r="B992" s="21"/>
      <c r="C992" s="21"/>
      <c r="E992" s="21"/>
      <c r="F992" s="21"/>
      <c r="J992" s="21"/>
      <c r="K992" s="21"/>
      <c r="L992" s="21"/>
      <c r="M992" s="21"/>
      <c r="O992" s="24"/>
      <c r="P992" s="24"/>
      <c r="U992" s="27"/>
      <c r="X992" s="21"/>
      <c r="Y992" s="21"/>
      <c r="Z992" s="21"/>
      <c r="AA992" s="28"/>
      <c r="AB992" s="29"/>
      <c r="AC992" s="21"/>
      <c r="AD992" s="25"/>
      <c r="AE992" s="25"/>
      <c r="AF992" s="25"/>
    </row>
    <row r="993" ht="12.75" customHeight="1">
      <c r="B993" s="21"/>
      <c r="C993" s="21"/>
      <c r="E993" s="21"/>
      <c r="F993" s="21"/>
      <c r="J993" s="21"/>
      <c r="K993" s="21"/>
      <c r="L993" s="21"/>
      <c r="M993" s="21"/>
      <c r="O993" s="24"/>
      <c r="P993" s="24"/>
      <c r="U993" s="27"/>
      <c r="X993" s="21"/>
      <c r="Y993" s="21"/>
      <c r="Z993" s="21"/>
      <c r="AA993" s="28"/>
      <c r="AB993" s="29"/>
      <c r="AC993" s="21"/>
      <c r="AD993" s="25"/>
      <c r="AE993" s="25"/>
      <c r="AF993" s="25"/>
    </row>
    <row r="994" ht="12.75" customHeight="1">
      <c r="B994" s="21"/>
      <c r="C994" s="21"/>
      <c r="E994" s="21"/>
      <c r="F994" s="21"/>
      <c r="J994" s="21"/>
      <c r="K994" s="21"/>
      <c r="L994" s="21"/>
      <c r="M994" s="21"/>
      <c r="O994" s="24"/>
      <c r="P994" s="24"/>
      <c r="U994" s="27"/>
      <c r="X994" s="21"/>
      <c r="Y994" s="21"/>
      <c r="Z994" s="21"/>
      <c r="AA994" s="28"/>
      <c r="AB994" s="29"/>
      <c r="AC994" s="21"/>
      <c r="AD994" s="25"/>
      <c r="AE994" s="25"/>
      <c r="AF994" s="25"/>
    </row>
    <row r="995" ht="12.75" customHeight="1">
      <c r="B995" s="21"/>
      <c r="C995" s="21"/>
      <c r="E995" s="21"/>
      <c r="F995" s="21"/>
      <c r="J995" s="21"/>
      <c r="K995" s="21"/>
      <c r="L995" s="21"/>
      <c r="M995" s="21"/>
      <c r="O995" s="24"/>
      <c r="P995" s="24"/>
      <c r="U995" s="27"/>
      <c r="X995" s="21"/>
      <c r="Y995" s="21"/>
      <c r="Z995" s="21"/>
      <c r="AA995" s="28"/>
      <c r="AB995" s="29"/>
      <c r="AC995" s="21"/>
      <c r="AD995" s="25"/>
      <c r="AE995" s="25"/>
      <c r="AF995" s="25"/>
    </row>
    <row r="996" ht="12.75" customHeight="1">
      <c r="B996" s="21"/>
      <c r="C996" s="21"/>
      <c r="E996" s="21"/>
      <c r="F996" s="21"/>
      <c r="J996" s="21"/>
      <c r="K996" s="21"/>
      <c r="L996" s="21"/>
      <c r="M996" s="21"/>
      <c r="O996" s="24"/>
      <c r="P996" s="24"/>
      <c r="U996" s="27"/>
      <c r="X996" s="21"/>
      <c r="Y996" s="21"/>
      <c r="Z996" s="21"/>
      <c r="AA996" s="28"/>
      <c r="AB996" s="29"/>
      <c r="AC996" s="21"/>
      <c r="AD996" s="25"/>
      <c r="AE996" s="25"/>
      <c r="AF996" s="2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88"/>
    <col customWidth="1" min="3" max="3" width="8.75"/>
    <col customWidth="1" min="4" max="4" width="23.13"/>
    <col customWidth="1" min="5" max="5" width="22.0"/>
    <col customWidth="1" min="6" max="6" width="53.75"/>
    <col customWidth="1" min="7" max="7" width="7.0"/>
    <col customWidth="1" min="8" max="8" width="8.13"/>
    <col customWidth="1" min="9" max="9" width="10.63"/>
    <col customWidth="1" min="10" max="26" width="8.63"/>
  </cols>
  <sheetData>
    <row r="1" ht="12.75" customHeight="1">
      <c r="A1" s="30"/>
      <c r="B1" s="31"/>
      <c r="C1" s="5" t="s">
        <v>34</v>
      </c>
      <c r="D1" s="5" t="s">
        <v>6</v>
      </c>
      <c r="E1" s="30" t="s">
        <v>35</v>
      </c>
      <c r="F1" s="30" t="s">
        <v>36</v>
      </c>
      <c r="G1" s="30" t="s">
        <v>37</v>
      </c>
      <c r="H1" s="30" t="s">
        <v>38</v>
      </c>
      <c r="I1" s="32" t="s">
        <v>19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2.75" customHeight="1">
      <c r="B2" s="33" t="str">
        <f>"""BC365 (SQL)"",""Somerset Timbers"",""37"",""1"",""Order"",""3"",""SF27876"",""4"",""10000"""</f>
        <v>"BC365 (SQL)","Somerset Timbers","37","1","Order","3","SF27876","4","10000"</v>
      </c>
      <c r="C2" s="17" t="str">
        <f t="shared" ref="C2:C9" si="1">"SF27876"</f>
        <v>SF27876</v>
      </c>
      <c r="D2" s="17" t="str">
        <f t="shared" ref="D2:D9" si="2">"C00310"</f>
        <v>C00310</v>
      </c>
      <c r="E2" s="17" t="str">
        <f>"TI24"</f>
        <v>TI24</v>
      </c>
      <c r="F2" s="17" t="str">
        <f>"SABS Pine 44x144mm CCA H3 Treat PLANED  2.4m"</f>
        <v>SABS Pine 44x144mm CCA H3 Treat PLANED  2.4m</v>
      </c>
      <c r="G2" s="17">
        <v>0.0</v>
      </c>
      <c r="H2" s="17">
        <v>8.37</v>
      </c>
      <c r="I2" s="27">
        <f t="shared" ref="I2:I352" si="3">G2*H2</f>
        <v>0</v>
      </c>
    </row>
    <row r="3" ht="12.75" customHeight="1">
      <c r="A3" s="17" t="s">
        <v>39</v>
      </c>
      <c r="B3" s="33" t="str">
        <f>"""BC365 (SQL)"",""Somerset Timbers"",""37"",""1"",""Order"",""3"",""SF27876"",""4"",""20000"""</f>
        <v>"BC365 (SQL)","Somerset Timbers","37","1","Order","3","SF27876","4","20000"</v>
      </c>
      <c r="C3" s="17" t="str">
        <f t="shared" si="1"/>
        <v>SF27876</v>
      </c>
      <c r="D3" s="17" t="str">
        <f t="shared" si="2"/>
        <v>C00310</v>
      </c>
      <c r="E3" s="17" t="str">
        <f>"TI36"</f>
        <v>TI36</v>
      </c>
      <c r="F3" s="17" t="str">
        <f>"SABS Pine 44x144mm CCA H3 Treat PLANED  3.6m"</f>
        <v>SABS Pine 44x144mm CCA H3 Treat PLANED  3.6m</v>
      </c>
      <c r="G3" s="17">
        <v>0.0</v>
      </c>
      <c r="H3" s="17">
        <v>12.55</v>
      </c>
      <c r="I3" s="27">
        <f t="shared" si="3"/>
        <v>0</v>
      </c>
    </row>
    <row r="4" ht="12.75" customHeight="1">
      <c r="A4" s="17" t="s">
        <v>39</v>
      </c>
      <c r="B4" s="33" t="str">
        <f>"""BC365 (SQL)"",""Somerset Timbers"",""37"",""1"",""Order"",""3"",""SF27876"",""4"",""30000"""</f>
        <v>"BC365 (SQL)","Somerset Timbers","37","1","Order","3","SF27876","4","30000"</v>
      </c>
      <c r="C4" s="17" t="str">
        <f t="shared" si="1"/>
        <v>SF27876</v>
      </c>
      <c r="D4" s="17" t="str">
        <f t="shared" si="2"/>
        <v>C00310</v>
      </c>
      <c r="E4" s="17" t="str">
        <f>"TI42"</f>
        <v>TI42</v>
      </c>
      <c r="F4" s="17" t="str">
        <f>"SABS Pine 44x144mm CCA H3 Treat PLANED  4.2m"</f>
        <v>SABS Pine 44x144mm CCA H3 Treat PLANED  4.2m</v>
      </c>
      <c r="G4" s="17">
        <v>0.0</v>
      </c>
      <c r="H4" s="17">
        <v>14.64</v>
      </c>
      <c r="I4" s="27">
        <f t="shared" si="3"/>
        <v>0</v>
      </c>
    </row>
    <row r="5" ht="12.75" customHeight="1">
      <c r="A5" s="17" t="s">
        <v>39</v>
      </c>
      <c r="B5" s="33" t="str">
        <f>"""BC365 (SQL)"",""Somerset Timbers"",""37"",""1"",""Order"",""3"",""SF27876"",""4"",""40000"""</f>
        <v>"BC365 (SQL)","Somerset Timbers","37","1","Order","3","SF27876","4","40000"</v>
      </c>
      <c r="C5" s="17" t="str">
        <f t="shared" si="1"/>
        <v>SF27876</v>
      </c>
      <c r="D5" s="17" t="str">
        <f t="shared" si="2"/>
        <v>C00310</v>
      </c>
      <c r="E5" s="17" t="str">
        <f>"L044"</f>
        <v>L044</v>
      </c>
      <c r="F5" s="17" t="str">
        <f>"Pine Exterior Ply  BC Grade  12mm"</f>
        <v>Pine Exterior Ply  BC Grade  12mm</v>
      </c>
      <c r="G5" s="17">
        <v>0.0</v>
      </c>
      <c r="H5" s="17">
        <v>19.65</v>
      </c>
      <c r="I5" s="27">
        <f t="shared" si="3"/>
        <v>0</v>
      </c>
    </row>
    <row r="6" ht="12.75" customHeight="1">
      <c r="A6" s="17" t="s">
        <v>39</v>
      </c>
      <c r="B6" s="33" t="str">
        <f>"""BC365 (SQL)"",""Somerset Timbers"",""37"",""1"",""Order"",""3"",""SF27876"",""4"",""50000"""</f>
        <v>"BC365 (SQL)","Somerset Timbers","37","1","Order","3","SF27876","4","50000"</v>
      </c>
      <c r="C6" s="17" t="str">
        <f t="shared" si="1"/>
        <v>SF27876</v>
      </c>
      <c r="D6" s="17" t="str">
        <f t="shared" si="2"/>
        <v>C00310</v>
      </c>
      <c r="E6" s="17" t="str">
        <f>"YA02320"</f>
        <v>YA02320</v>
      </c>
      <c r="F6" s="17" t="str">
        <f>"Pozi drive screw  8x60mm (Pack of 200)"</f>
        <v>Pozi drive screw  8x60mm (Pack of 200)</v>
      </c>
      <c r="G6" s="17">
        <v>0.0</v>
      </c>
      <c r="H6" s="17">
        <v>0.58</v>
      </c>
      <c r="I6" s="27">
        <f t="shared" si="3"/>
        <v>0</v>
      </c>
    </row>
    <row r="7" ht="12.75" customHeight="1">
      <c r="A7" s="17" t="s">
        <v>39</v>
      </c>
      <c r="B7" s="33" t="str">
        <f>"""BC365 (SQL)"",""Somerset Timbers"",""37"",""1"",""Order"",""3"",""SF27876"",""4"",""70000"""</f>
        <v>"BC365 (SQL)","Somerset Timbers","37","1","Order","3","SF27876","4","70000"</v>
      </c>
      <c r="C7" s="17" t="str">
        <f t="shared" si="1"/>
        <v>SF27876</v>
      </c>
      <c r="D7" s="17" t="str">
        <f t="shared" si="2"/>
        <v>C00310</v>
      </c>
      <c r="E7" s="17" t="str">
        <f>"YA02160"</f>
        <v>YA02160</v>
      </c>
      <c r="F7" s="17" t="str">
        <f>"Coach Screws - Galvanised 10x150mm  (Pack of 10)"</f>
        <v>Coach Screws - Galvanised 10x150mm  (Pack of 10)</v>
      </c>
      <c r="G7" s="17">
        <v>0.0</v>
      </c>
      <c r="H7" s="17">
        <v>0.7545</v>
      </c>
      <c r="I7" s="27">
        <f t="shared" si="3"/>
        <v>0</v>
      </c>
    </row>
    <row r="8" ht="12.75" customHeight="1">
      <c r="A8" s="17" t="s">
        <v>39</v>
      </c>
      <c r="B8" s="33" t="str">
        <f>"""BC365 (SQL)"",""Somerset Timbers"",""37"",""1"",""Order"",""3"",""SF27876"",""4"",""80000"""</f>
        <v>"BC365 (SQL)","Somerset Timbers","37","1","Order","3","SF27876","4","80000"</v>
      </c>
      <c r="C8" s="17" t="str">
        <f t="shared" si="1"/>
        <v>SF27876</v>
      </c>
      <c r="D8" s="17" t="str">
        <f t="shared" si="2"/>
        <v>C00310</v>
      </c>
      <c r="E8" s="17" t="str">
        <f>"YA01270"</f>
        <v>YA01270</v>
      </c>
      <c r="F8" s="17" t="str">
        <f>"Wall plug  12mm  (Pack of 20)"</f>
        <v>Wall plug  12mm  (Pack of 20)</v>
      </c>
      <c r="G8" s="17">
        <v>0.0</v>
      </c>
      <c r="H8" s="17">
        <v>0.066</v>
      </c>
      <c r="I8" s="27">
        <f t="shared" si="3"/>
        <v>0</v>
      </c>
    </row>
    <row r="9" ht="12.75" customHeight="1">
      <c r="A9" s="17" t="s">
        <v>39</v>
      </c>
      <c r="B9" s="33" t="str">
        <f>"""BC365 (SQL)"",""Somerset Timbers"",""37"",""1"",""Order"",""3"",""SF27876"",""4"",""90000"""</f>
        <v>"BC365 (SQL)","Somerset Timbers","37","1","Order","3","SF27876","4","90000"</v>
      </c>
      <c r="C9" s="17" t="str">
        <f t="shared" si="1"/>
        <v>SF27876</v>
      </c>
      <c r="D9" s="17" t="str">
        <f t="shared" si="2"/>
        <v>C00310</v>
      </c>
      <c r="E9" s="17" t="str">
        <f>"YA02150"</f>
        <v>YA02150</v>
      </c>
      <c r="F9" s="17" t="str">
        <f>"Coach Screws - Galvanised 10x125mm  (Pack of 10)"</f>
        <v>Coach Screws - Galvanised 10x125mm  (Pack of 10)</v>
      </c>
      <c r="G9" s="17">
        <v>0.0</v>
      </c>
      <c r="H9" s="17">
        <v>0.645</v>
      </c>
      <c r="I9" s="27">
        <f t="shared" si="3"/>
        <v>0</v>
      </c>
    </row>
    <row r="10" ht="12.75" customHeight="1">
      <c r="A10" s="17" t="s">
        <v>39</v>
      </c>
      <c r="B10" s="33" t="str">
        <f>"""BC365 (SQL)"",""Somerset Timbers"",""37"",""1"",""Order"",""3"",""SF29041"",""4"",""10000"""</f>
        <v>"BC365 (SQL)","Somerset Timbers","37","1","Order","3","SF29041","4","10000"</v>
      </c>
      <c r="C10" s="17" t="str">
        <f t="shared" ref="C10:C14" si="4">"SF29041"</f>
        <v>SF29041</v>
      </c>
      <c r="D10" s="17" t="str">
        <f t="shared" ref="D10:D14" si="5">"C05935"</f>
        <v>C05935</v>
      </c>
      <c r="E10" s="17" t="str">
        <f>"JG18"</f>
        <v>JG18</v>
      </c>
      <c r="F10" s="17" t="str">
        <f>"Jatoba Decking  19x90mm  1.83m"</f>
        <v>Jatoba Decking  19x90mm  1.83m</v>
      </c>
      <c r="G10" s="17">
        <v>0.0</v>
      </c>
      <c r="H10" s="17">
        <v>2.57</v>
      </c>
      <c r="I10" s="27">
        <f t="shared" si="3"/>
        <v>0</v>
      </c>
    </row>
    <row r="11" ht="12.75" customHeight="1">
      <c r="A11" s="17" t="s">
        <v>39</v>
      </c>
      <c r="B11" s="33" t="str">
        <f>"""BC365 (SQL)"",""Somerset Timbers"",""37"",""1"",""Order"",""3"",""SF29041"",""4"",""20000"""</f>
        <v>"BC365 (SQL)","Somerset Timbers","37","1","Order","3","SF29041","4","20000"</v>
      </c>
      <c r="C11" s="17" t="str">
        <f t="shared" si="4"/>
        <v>SF29041</v>
      </c>
      <c r="D11" s="17" t="str">
        <f t="shared" si="5"/>
        <v>C05935</v>
      </c>
      <c r="E11" s="17" t="str">
        <f>"JG27"</f>
        <v>JG27</v>
      </c>
      <c r="F11" s="17" t="str">
        <f>"Jatoba Decking  19x90mm  2.74m"</f>
        <v>Jatoba Decking  19x90mm  2.74m</v>
      </c>
      <c r="G11" s="17">
        <v>0.0</v>
      </c>
      <c r="H11" s="17">
        <v>3.84</v>
      </c>
      <c r="I11" s="27">
        <f t="shared" si="3"/>
        <v>0</v>
      </c>
    </row>
    <row r="12" ht="12.75" customHeight="1">
      <c r="A12" s="17" t="s">
        <v>39</v>
      </c>
      <c r="B12" s="33" t="str">
        <f>"""BC365 (SQL)"",""Somerset Timbers"",""37"",""1"",""Order"",""3"",""SF29041"",""4"",""30000"""</f>
        <v>"BC365 (SQL)","Somerset Timbers","37","1","Order","3","SF29041","4","30000"</v>
      </c>
      <c r="C12" s="17" t="str">
        <f t="shared" si="4"/>
        <v>SF29041</v>
      </c>
      <c r="D12" s="17" t="str">
        <f t="shared" si="5"/>
        <v>C05935</v>
      </c>
      <c r="E12" s="17" t="str">
        <f>"JG36"</f>
        <v>JG36</v>
      </c>
      <c r="F12" s="17" t="str">
        <f>"Jatoba Decking  19x90mm  3.66m"</f>
        <v>Jatoba Decking  19x90mm  3.66m</v>
      </c>
      <c r="G12" s="17">
        <v>0.0</v>
      </c>
      <c r="H12" s="17">
        <v>5.13</v>
      </c>
      <c r="I12" s="27">
        <f t="shared" si="3"/>
        <v>0</v>
      </c>
    </row>
    <row r="13" ht="12.75" customHeight="1">
      <c r="A13" s="17" t="s">
        <v>39</v>
      </c>
      <c r="B13" s="33" t="str">
        <f>"""BC365 (SQL)"",""Somerset Timbers"",""37"",""1"",""Order"",""3"",""SF29041"",""4"",""40000"""</f>
        <v>"BC365 (SQL)","Somerset Timbers","37","1","Order","3","SF29041","4","40000"</v>
      </c>
      <c r="C13" s="17" t="str">
        <f t="shared" si="4"/>
        <v>SF29041</v>
      </c>
      <c r="D13" s="17" t="str">
        <f t="shared" si="5"/>
        <v>C05935</v>
      </c>
      <c r="E13" s="17" t="str">
        <f>"JG45"</f>
        <v>JG45</v>
      </c>
      <c r="F13" s="17" t="str">
        <f>"Jatoba Decking  19x90mm  4.57m"</f>
        <v>Jatoba Decking  19x90mm  4.57m</v>
      </c>
      <c r="G13" s="17">
        <v>0.0</v>
      </c>
      <c r="H13" s="17">
        <v>6.41</v>
      </c>
      <c r="I13" s="27">
        <f t="shared" si="3"/>
        <v>0</v>
      </c>
    </row>
    <row r="14" ht="12.75" customHeight="1">
      <c r="A14" s="17" t="s">
        <v>39</v>
      </c>
      <c r="B14" s="33" t="str">
        <f>"""BC365 (SQL)"",""Somerset Timbers"",""37"",""1"",""Order"",""3"",""SF29041"",""4"",""50000"""</f>
        <v>"BC365 (SQL)","Somerset Timbers","37","1","Order","3","SF29041","4","50000"</v>
      </c>
      <c r="C14" s="17" t="str">
        <f t="shared" si="4"/>
        <v>SF29041</v>
      </c>
      <c r="D14" s="17" t="str">
        <f t="shared" si="5"/>
        <v>C05935</v>
      </c>
      <c r="E14" s="17" t="str">
        <f>"ZA01730"</f>
        <v>ZA01730</v>
      </c>
      <c r="F14" s="17" t="str">
        <f>"Delivery to Llandudno (0 - 1 cubic metres)"</f>
        <v>Delivery to Llandudno (0 - 1 cubic metres)</v>
      </c>
      <c r="G14" s="17">
        <v>0.0</v>
      </c>
      <c r="H14" s="17">
        <v>0.0</v>
      </c>
      <c r="I14" s="27">
        <f t="shared" si="3"/>
        <v>0</v>
      </c>
    </row>
    <row r="15" ht="12.75" customHeight="1">
      <c r="A15" s="17" t="s">
        <v>39</v>
      </c>
      <c r="B15" s="33" t="str">
        <f>"""BC365 (SQL)"",""Somerset Timbers"",""37"",""1"",""Order"",""3"",""SF29825"",""4"",""10000"""</f>
        <v>"BC365 (SQL)","Somerset Timbers","37","1","Order","3","SF29825","4","10000"</v>
      </c>
      <c r="C15" s="17" t="str">
        <f t="shared" ref="C15:C18" si="6">"SF29825"</f>
        <v>SF29825</v>
      </c>
      <c r="D15" s="17" t="str">
        <f t="shared" ref="D15:D18" si="7">"C12398"</f>
        <v>C12398</v>
      </c>
      <c r="E15" s="17" t="str">
        <f>"YA02370"</f>
        <v>YA02370</v>
      </c>
      <c r="F15" s="17" t="str">
        <f>"Pozi drive screw 10x75mm (PACK OF 200)"</f>
        <v>Pozi drive screw 10x75mm (PACK OF 200)</v>
      </c>
      <c r="G15" s="17">
        <v>0.0</v>
      </c>
      <c r="H15" s="17">
        <v>1.11</v>
      </c>
      <c r="I15" s="27">
        <f t="shared" si="3"/>
        <v>0</v>
      </c>
    </row>
    <row r="16" ht="12.75" customHeight="1">
      <c r="A16" s="17" t="s">
        <v>39</v>
      </c>
      <c r="B16" s="33" t="str">
        <f>"""BC365 (SQL)"",""Somerset Timbers"",""37"",""1"",""Order"",""3"",""SF29825"",""4"",""20000"""</f>
        <v>"BC365 (SQL)","Somerset Timbers","37","1","Order","3","SF29825","4","20000"</v>
      </c>
      <c r="C16" s="17" t="str">
        <f t="shared" si="6"/>
        <v>SF29825</v>
      </c>
      <c r="D16" s="17" t="str">
        <f t="shared" si="7"/>
        <v>C12398</v>
      </c>
      <c r="E16" s="17" t="str">
        <f>"EA36"</f>
        <v>EA36</v>
      </c>
      <c r="F16" s="17" t="str">
        <f>"Solid Pine Decking 22x105mm CCA H3 Treat  3.6m"</f>
        <v>Solid Pine Decking 22x105mm CCA H3 Treat  3.6m</v>
      </c>
      <c r="G16" s="17">
        <v>0.0</v>
      </c>
      <c r="H16" s="17">
        <v>6.24</v>
      </c>
      <c r="I16" s="27">
        <f t="shared" si="3"/>
        <v>0</v>
      </c>
    </row>
    <row r="17" ht="12.75" customHeight="1">
      <c r="A17" s="17" t="s">
        <v>39</v>
      </c>
      <c r="B17" s="33" t="str">
        <f>"""BC365 (SQL)"",""Somerset Timbers"",""37"",""1"",""Order"",""3"",""SF29825"",""4"",""50000"""</f>
        <v>"BC365 (SQL)","Somerset Timbers","37","1","Order","3","SF29825","4","50000"</v>
      </c>
      <c r="C17" s="17" t="str">
        <f t="shared" si="6"/>
        <v>SF29825</v>
      </c>
      <c r="D17" s="17" t="str">
        <f t="shared" si="7"/>
        <v>C12398</v>
      </c>
      <c r="E17" s="17" t="str">
        <f>"HE100100024"</f>
        <v>HE100100024</v>
      </c>
      <c r="F17" s="17" t="str">
        <f>"Pine Lam Post 100x100mm Ungraded Azure 2.4m"</f>
        <v>Pine Lam Post 100x100mm Ungraded Azure 2.4m</v>
      </c>
      <c r="G17" s="17">
        <v>0.0</v>
      </c>
      <c r="H17" s="17">
        <v>13.2</v>
      </c>
      <c r="I17" s="27">
        <f t="shared" si="3"/>
        <v>0</v>
      </c>
    </row>
    <row r="18" ht="12.75" customHeight="1">
      <c r="A18" s="17" t="s">
        <v>39</v>
      </c>
      <c r="B18" s="33" t="str">
        <f>"""BC365 (SQL)"",""Somerset Timbers"",""37"",""1"",""Order"",""3"",""SF29825"",""4"",""60000"""</f>
        <v>"BC365 (SQL)","Somerset Timbers","37","1","Order","3","SF29825","4","60000"</v>
      </c>
      <c r="C18" s="17" t="str">
        <f t="shared" si="6"/>
        <v>SF29825</v>
      </c>
      <c r="D18" s="17" t="str">
        <f t="shared" si="7"/>
        <v>C12398</v>
      </c>
      <c r="E18" s="17" t="str">
        <f>"ZA00440"</f>
        <v>ZA00440</v>
      </c>
      <c r="F18" s="17" t="str">
        <f>"Delivery to Caledon (0 - 1 cubic metres)"</f>
        <v>Delivery to Caledon (0 - 1 cubic metres)</v>
      </c>
      <c r="G18" s="17">
        <v>0.0</v>
      </c>
      <c r="H18" s="17">
        <v>0.0</v>
      </c>
      <c r="I18" s="27">
        <f t="shared" si="3"/>
        <v>0</v>
      </c>
    </row>
    <row r="19" ht="12.75" customHeight="1">
      <c r="A19" s="17" t="s">
        <v>39</v>
      </c>
      <c r="B19" s="33" t="str">
        <f>"""BC365 (SQL)"",""Somerset Timbers"",""37"",""1"",""Order"",""3"",""SF30116"",""4"",""10000"""</f>
        <v>"BC365 (SQL)","Somerset Timbers","37","1","Order","3","SF30116","4","10000"</v>
      </c>
      <c r="C19" s="17" t="str">
        <f t="shared" ref="C19:C28" si="8">"SF30116"</f>
        <v>SF30116</v>
      </c>
      <c r="D19" s="17" t="str">
        <f t="shared" ref="D19:D28" si="9">"C18702"</f>
        <v>C18702</v>
      </c>
      <c r="E19" s="17" t="str">
        <f>"AJ36"</f>
        <v>AJ36</v>
      </c>
      <c r="F19" s="17" t="str">
        <f>"SABS Pine 50x228mm CCA H3 Treated  3.6m"</f>
        <v>SABS Pine 50x228mm CCA H3 Treated  3.6m</v>
      </c>
      <c r="G19" s="17">
        <v>0.0</v>
      </c>
      <c r="H19" s="17">
        <v>30.78</v>
      </c>
      <c r="I19" s="27">
        <f t="shared" si="3"/>
        <v>0</v>
      </c>
    </row>
    <row r="20" ht="12.75" customHeight="1">
      <c r="A20" s="17" t="s">
        <v>39</v>
      </c>
      <c r="B20" s="33" t="str">
        <f>"""BC365 (SQL)"",""Somerset Timbers"",""37"",""1"",""Order"",""3"",""SF30116"",""4"",""20000"""</f>
        <v>"BC365 (SQL)","Somerset Timbers","37","1","Order","3","SF30116","4","20000"</v>
      </c>
      <c r="C20" s="17" t="str">
        <f t="shared" si="8"/>
        <v>SF30116</v>
      </c>
      <c r="D20" s="17" t="str">
        <f t="shared" si="9"/>
        <v>C18702</v>
      </c>
      <c r="E20" s="17" t="str">
        <f>"AJ42"</f>
        <v>AJ42</v>
      </c>
      <c r="F20" s="17" t="str">
        <f>"SABS Pine 50x228mm CCA H3 Treated  4.2m"</f>
        <v>SABS Pine 50x228mm CCA H3 Treated  4.2m</v>
      </c>
      <c r="G20" s="17">
        <v>0.0</v>
      </c>
      <c r="H20" s="17">
        <v>35.910000000000004</v>
      </c>
      <c r="I20" s="27">
        <f t="shared" si="3"/>
        <v>0</v>
      </c>
    </row>
    <row r="21" ht="12.75" customHeight="1">
      <c r="A21" s="17" t="s">
        <v>39</v>
      </c>
      <c r="B21" s="33" t="str">
        <f>"""BC365 (SQL)"",""Somerset Timbers"",""37"",""1"",""Order"",""3"",""SF30116"",""4"",""30000"""</f>
        <v>"BC365 (SQL)","Somerset Timbers","37","1","Order","3","SF30116","4","30000"</v>
      </c>
      <c r="C21" s="17" t="str">
        <f t="shared" si="8"/>
        <v>SF30116</v>
      </c>
      <c r="D21" s="17" t="str">
        <f t="shared" si="9"/>
        <v>C18702</v>
      </c>
      <c r="E21" s="17" t="str">
        <f>"AJ66"</f>
        <v>AJ66</v>
      </c>
      <c r="F21" s="17" t="str">
        <f>"SABS Pine 50x228mm CCA H3 Treated  6.6m"</f>
        <v>SABS Pine 50x228mm CCA H3 Treated  6.6m</v>
      </c>
      <c r="G21" s="17">
        <v>0.0</v>
      </c>
      <c r="H21" s="17">
        <v>56.43</v>
      </c>
      <c r="I21" s="27">
        <f t="shared" si="3"/>
        <v>0</v>
      </c>
    </row>
    <row r="22" ht="12.75" customHeight="1">
      <c r="A22" s="17" t="s">
        <v>39</v>
      </c>
      <c r="B22" s="33" t="str">
        <f>"""BC365 (SQL)"",""Somerset Timbers"",""37"",""1"",""Order"",""3"",""SF30116"",""4"",""40000"""</f>
        <v>"BC365 (SQL)","Somerset Timbers","37","1","Order","3","SF30116","4","40000"</v>
      </c>
      <c r="C22" s="17" t="str">
        <f t="shared" si="8"/>
        <v>SF30116</v>
      </c>
      <c r="D22" s="17" t="str">
        <f t="shared" si="9"/>
        <v>C18702</v>
      </c>
      <c r="E22" s="17" t="str">
        <f>"AK66"</f>
        <v>AK66</v>
      </c>
      <c r="F22" s="17" t="str">
        <f>"SABS Pine 76x228mm CCA H3 Treated  6.6m"</f>
        <v>SABS Pine 76x228mm CCA H3 Treated  6.6m</v>
      </c>
      <c r="G22" s="17">
        <v>0.0</v>
      </c>
      <c r="H22" s="17">
        <v>85.77</v>
      </c>
      <c r="I22" s="27">
        <f t="shared" si="3"/>
        <v>0</v>
      </c>
    </row>
    <row r="23" ht="12.75" customHeight="1">
      <c r="A23" s="17" t="s">
        <v>39</v>
      </c>
      <c r="B23" s="33" t="str">
        <f>"""BC365 (SQL)"",""Somerset Timbers"",""37"",""1"",""Order"",""3"",""SF30116"",""4"",""50000"""</f>
        <v>"BC365 (SQL)","Somerset Timbers","37","1","Order","3","SF30116","4","50000"</v>
      </c>
      <c r="C23" s="17" t="str">
        <f t="shared" si="8"/>
        <v>SF30116</v>
      </c>
      <c r="D23" s="17" t="str">
        <f t="shared" si="9"/>
        <v>C18702</v>
      </c>
      <c r="E23" s="17" t="str">
        <f>"AE30"</f>
        <v>AE30</v>
      </c>
      <c r="F23" s="17" t="str">
        <f>"SABS Pine 38x152mm CCA H2 Treated  3.0m"</f>
        <v>SABS Pine 38x152mm CCA H2 Treated  3.0m</v>
      </c>
      <c r="G23" s="17">
        <v>0.0</v>
      </c>
      <c r="H23" s="17">
        <v>13.0</v>
      </c>
      <c r="I23" s="27">
        <f t="shared" si="3"/>
        <v>0</v>
      </c>
    </row>
    <row r="24" ht="12.75" customHeight="1">
      <c r="A24" s="17" t="s">
        <v>39</v>
      </c>
      <c r="B24" s="33" t="str">
        <f>"""BC365 (SQL)"",""Somerset Timbers"",""37"",""1"",""Order"",""3"",""SF30116"",""4"",""60000"""</f>
        <v>"BC365 (SQL)","Somerset Timbers","37","1","Order","3","SF30116","4","60000"</v>
      </c>
      <c r="C24" s="17" t="str">
        <f t="shared" si="8"/>
        <v>SF30116</v>
      </c>
      <c r="D24" s="17" t="str">
        <f t="shared" si="9"/>
        <v>C18702</v>
      </c>
      <c r="E24" s="17" t="str">
        <f>"Z00020"</f>
        <v>Z00020</v>
      </c>
      <c r="F24" s="17" t="str">
        <f>"* Crosscutting to standard lengths per cut"</f>
        <v>* Crosscutting to standard lengths per cut</v>
      </c>
      <c r="G24" s="17">
        <v>0.0</v>
      </c>
      <c r="H24" s="17">
        <v>0.0</v>
      </c>
      <c r="I24" s="27">
        <f t="shared" si="3"/>
        <v>0</v>
      </c>
    </row>
    <row r="25" ht="12.75" customHeight="1">
      <c r="A25" s="17" t="s">
        <v>39</v>
      </c>
      <c r="B25" s="33" t="str">
        <f>"""BC365 (SQL)"",""Somerset Timbers"",""37"",""1"",""Order"",""3"",""SF30116"",""4"",""70000"""</f>
        <v>"BC365 (SQL)","Somerset Timbers","37","1","Order","3","SF30116","4","70000"</v>
      </c>
      <c r="C25" s="17" t="str">
        <f t="shared" si="8"/>
        <v>SF30116</v>
      </c>
      <c r="D25" s="17" t="str">
        <f t="shared" si="9"/>
        <v>C18702</v>
      </c>
      <c r="E25" s="17" t="str">
        <f>"YA02482"</f>
        <v>YA02482</v>
      </c>
      <c r="F25" s="17" t="str">
        <f>"Timberfix screws Thick #14x90mm  (Pack of 20)"</f>
        <v>Timberfix screws Thick #14x90mm  (Pack of 20)</v>
      </c>
      <c r="G25" s="17">
        <v>0.0</v>
      </c>
      <c r="H25" s="17">
        <v>0.03</v>
      </c>
      <c r="I25" s="27">
        <f t="shared" si="3"/>
        <v>0</v>
      </c>
    </row>
    <row r="26" ht="12.75" customHeight="1">
      <c r="A26" s="17" t="s">
        <v>39</v>
      </c>
      <c r="B26" s="33" t="str">
        <f>"""BC365 (SQL)"",""Somerset Timbers"",""37"",""1"",""Order"",""3"",""SF30116"",""4"",""80000"""</f>
        <v>"BC365 (SQL)","Somerset Timbers","37","1","Order","3","SF30116","4","80000"</v>
      </c>
      <c r="C26" s="17" t="str">
        <f t="shared" si="8"/>
        <v>SF30116</v>
      </c>
      <c r="D26" s="17" t="str">
        <f t="shared" si="9"/>
        <v>C18702</v>
      </c>
      <c r="E26" s="17" t="str">
        <f>"YA08457"</f>
        <v>YA08457</v>
      </c>
      <c r="F26" s="17" t="str">
        <f>"StrongDrive SDW Black Wood Screw 160mm (Pack of 10)"</f>
        <v>StrongDrive SDW Black Wood Screw 160mm (Pack of 10)</v>
      </c>
      <c r="G26" s="17">
        <v>0.0</v>
      </c>
      <c r="H26" s="17">
        <v>0.355</v>
      </c>
      <c r="I26" s="27">
        <f t="shared" si="3"/>
        <v>0</v>
      </c>
    </row>
    <row r="27" ht="12.75" customHeight="1">
      <c r="A27" s="17" t="s">
        <v>39</v>
      </c>
      <c r="B27" s="33" t="str">
        <f>"""BC365 (SQL)"",""Somerset Timbers"",""37"",""1"",""Order"",""3"",""SF30116"",""4"",""90000"""</f>
        <v>"BC365 (SQL)","Somerset Timbers","37","1","Order","3","SF30116","4","90000"</v>
      </c>
      <c r="C27" s="17" t="str">
        <f t="shared" si="8"/>
        <v>SF30116</v>
      </c>
      <c r="D27" s="17" t="str">
        <f t="shared" si="9"/>
        <v>C18702</v>
      </c>
      <c r="E27" s="17" t="str">
        <f>"YA02530 781159271557"</f>
        <v>YA02530 781159271557</v>
      </c>
      <c r="F27" s="17" t="str">
        <f>"Torx deck screws 70mm (pack of 200)"</f>
        <v>Torx deck screws 70mm (pack of 200)</v>
      </c>
      <c r="G27" s="17">
        <v>0.0</v>
      </c>
      <c r="H27" s="17">
        <v>1.0</v>
      </c>
      <c r="I27" s="27">
        <f t="shared" si="3"/>
        <v>0</v>
      </c>
    </row>
    <row r="28" ht="12.75" customHeight="1">
      <c r="A28" s="17" t="s">
        <v>39</v>
      </c>
      <c r="B28" s="33" t="str">
        <f>"""BC365 (SQL)"",""Somerset Timbers"",""37"",""1"",""Order"",""3"",""SF30116"",""4"",""100000"""</f>
        <v>"BC365 (SQL)","Somerset Timbers","37","1","Order","3","SF30116","4","100000"</v>
      </c>
      <c r="C28" s="17" t="str">
        <f t="shared" si="8"/>
        <v>SF30116</v>
      </c>
      <c r="D28" s="17" t="str">
        <f t="shared" si="9"/>
        <v>C18702</v>
      </c>
      <c r="E28" s="17" t="str">
        <f>"ZA02730"</f>
        <v>ZA02730</v>
      </c>
      <c r="F28" s="17" t="str">
        <f>"Delivery to Stellenbosch (1 - 8 cubic metres)"</f>
        <v>Delivery to Stellenbosch (1 - 8 cubic metres)</v>
      </c>
      <c r="G28" s="17">
        <v>0.0</v>
      </c>
      <c r="H28" s="17">
        <v>0.0</v>
      </c>
      <c r="I28" s="27">
        <f t="shared" si="3"/>
        <v>0</v>
      </c>
    </row>
    <row r="29" ht="12.75" customHeight="1">
      <c r="A29" s="17" t="s">
        <v>39</v>
      </c>
      <c r="B29" s="33" t="str">
        <f>"""BC365 (SQL)"",""Somerset Timbers"",""37"",""1"",""Order"",""3"",""SF33849"",""4"",""10000"""</f>
        <v>"BC365 (SQL)","Somerset Timbers","37","1","Order","3","SF33849","4","10000"</v>
      </c>
      <c r="C29" s="17" t="str">
        <f t="shared" ref="C29:C31" si="10">"SF33849"</f>
        <v>SF33849</v>
      </c>
      <c r="D29" s="17" t="str">
        <f t="shared" ref="D29:D31" si="11">"C00355"</f>
        <v>C00355</v>
      </c>
      <c r="E29" s="17" t="str">
        <f>"W01910230"</f>
        <v>W01910230</v>
      </c>
      <c r="F29" s="17" t="str">
        <f>"WET Pine 19x102mm Untreated Rough 3.0m"</f>
        <v>WET Pine 19x102mm Untreated Rough 3.0m</v>
      </c>
      <c r="G29" s="17">
        <v>3700.0</v>
      </c>
      <c r="H29" s="17">
        <v>4.07</v>
      </c>
      <c r="I29" s="27">
        <f t="shared" si="3"/>
        <v>15059</v>
      </c>
    </row>
    <row r="30" ht="12.75" customHeight="1">
      <c r="A30" s="17" t="s">
        <v>39</v>
      </c>
      <c r="B30" s="33" t="str">
        <f>"""BC365 (SQL)"",""Somerset Timbers"",""37"",""1"",""Order"",""3"",""SF33849"",""4"",""20000"""</f>
        <v>"BC365 (SQL)","Somerset Timbers","37","1","Order","3","SF33849","4","20000"</v>
      </c>
      <c r="C30" s="17" t="str">
        <f t="shared" si="10"/>
        <v>SF33849</v>
      </c>
      <c r="D30" s="17" t="str">
        <f t="shared" si="11"/>
        <v>C00355</v>
      </c>
      <c r="E30" s="17" t="str">
        <f>"W05007630"</f>
        <v>W05007630</v>
      </c>
      <c r="F30" s="17" t="str">
        <f>"WET Pine 50x76mm Untreated Rough 3.0m"</f>
        <v>WET Pine 50x76mm Untreated Rough 3.0m</v>
      </c>
      <c r="G30" s="17">
        <v>300.0</v>
      </c>
      <c r="H30" s="17">
        <v>7.98</v>
      </c>
      <c r="I30" s="27">
        <f t="shared" si="3"/>
        <v>2394</v>
      </c>
    </row>
    <row r="31" ht="12.75" customHeight="1">
      <c r="A31" s="17" t="s">
        <v>39</v>
      </c>
      <c r="B31" s="33" t="str">
        <f>"""BC365 (SQL)"",""Somerset Timbers"",""37"",""1"",""Order"",""3"",""SF33849"",""4"",""30000"""</f>
        <v>"BC365 (SQL)","Somerset Timbers","37","1","Order","3","SF33849","4","30000"</v>
      </c>
      <c r="C31" s="17" t="str">
        <f t="shared" si="10"/>
        <v>SF33849</v>
      </c>
      <c r="D31" s="17" t="str">
        <f t="shared" si="11"/>
        <v>C00355</v>
      </c>
      <c r="E31" s="17" t="str">
        <f>"ZA00870"</f>
        <v>ZA00870</v>
      </c>
      <c r="F31" s="17" t="str">
        <f>"Delivery to Epping (1 - 8 cubic metres)"</f>
        <v>Delivery to Epping (1 - 8 cubic metres)</v>
      </c>
      <c r="G31" s="17">
        <v>2.0</v>
      </c>
      <c r="H31" s="17">
        <v>0.0</v>
      </c>
      <c r="I31" s="27">
        <f t="shared" si="3"/>
        <v>0</v>
      </c>
    </row>
    <row r="32" ht="12.75" customHeight="1">
      <c r="A32" s="17" t="s">
        <v>39</v>
      </c>
      <c r="B32" s="33" t="str">
        <f>"""BC365 (SQL)"",""Somerset Timbers"",""37"",""1"",""Order"",""3"",""SF35493"",""4"",""10000"""</f>
        <v>"BC365 (SQL)","Somerset Timbers","37","1","Order","3","SF35493","4","10000"</v>
      </c>
      <c r="C32" s="17" t="str">
        <f t="shared" ref="C32:C36" si="12">"SF35493"</f>
        <v>SF35493</v>
      </c>
      <c r="D32" s="17" t="str">
        <f t="shared" ref="D32:D36" si="13">"C08059"</f>
        <v>C08059</v>
      </c>
      <c r="E32" s="17" t="str">
        <f>"AD66"</f>
        <v>AD66</v>
      </c>
      <c r="F32" s="17" t="str">
        <f>"SABS Pine 38x114mm CCA H2 Treated  6.6m"</f>
        <v>SABS Pine 38x114mm CCA H2 Treated  6.6m</v>
      </c>
      <c r="G32" s="17">
        <v>0.0</v>
      </c>
      <c r="H32" s="17">
        <v>21.44</v>
      </c>
      <c r="I32" s="27">
        <f t="shared" si="3"/>
        <v>0</v>
      </c>
    </row>
    <row r="33" ht="12.75" customHeight="1">
      <c r="A33" s="17" t="s">
        <v>39</v>
      </c>
      <c r="B33" s="33" t="str">
        <f>"""BC365 (SQL)"",""Somerset Timbers"",""37"",""1"",""Order"",""3"",""SF35493"",""4"",""20000"""</f>
        <v>"BC365 (SQL)","Somerset Timbers","37","1","Order","3","SF35493","4","20000"</v>
      </c>
      <c r="C33" s="17" t="str">
        <f t="shared" si="12"/>
        <v>SF35493</v>
      </c>
      <c r="D33" s="17" t="str">
        <f t="shared" si="13"/>
        <v>C08059</v>
      </c>
      <c r="E33" s="17" t="str">
        <f>"YA02510 078115927153"</f>
        <v>YA02510 078115927153</v>
      </c>
      <c r="F33" s="17" t="str">
        <f>"Torx deck screws 50mm (pack of 200)"</f>
        <v>Torx deck screws 50mm (pack of 200)</v>
      </c>
      <c r="G33" s="17">
        <v>0.0</v>
      </c>
      <c r="H33" s="17">
        <v>0.9105</v>
      </c>
      <c r="I33" s="27">
        <f t="shared" si="3"/>
        <v>0</v>
      </c>
    </row>
    <row r="34" ht="12.75" customHeight="1">
      <c r="A34" s="17" t="s">
        <v>39</v>
      </c>
      <c r="B34" s="33" t="str">
        <f>"""BC365 (SQL)"",""Somerset Timbers"",""37"",""1"",""Order"",""3"",""SF35493"",""4"",""30000"""</f>
        <v>"BC365 (SQL)","Somerset Timbers","37","1","Order","3","SF35493","4","30000"</v>
      </c>
      <c r="C34" s="17" t="str">
        <f t="shared" si="12"/>
        <v>SF35493</v>
      </c>
      <c r="D34" s="17" t="str">
        <f t="shared" si="13"/>
        <v>C08059</v>
      </c>
      <c r="E34" s="17" t="str">
        <f>"P324"</f>
        <v>P324</v>
      </c>
      <c r="F34" s="17" t="str">
        <f>"SABS Pine Pole 80/99mm CCA H4 Trt 2.4m"</f>
        <v>SABS Pine Pole 80/99mm CCA H4 Trt 2.4m</v>
      </c>
      <c r="G34" s="17">
        <v>0.0</v>
      </c>
      <c r="H34" s="17">
        <v>15.56</v>
      </c>
      <c r="I34" s="27">
        <f t="shared" si="3"/>
        <v>0</v>
      </c>
    </row>
    <row r="35" ht="12.75" customHeight="1">
      <c r="A35" s="17" t="s">
        <v>39</v>
      </c>
      <c r="B35" s="33" t="str">
        <f>"""BC365 (SQL)"",""Somerset Timbers"",""37"",""1"",""Order"",""3"",""SF35493"",""4"",""40000"""</f>
        <v>"BC365 (SQL)","Somerset Timbers","37","1","Order","3","SF35493","4","40000"</v>
      </c>
      <c r="C35" s="17" t="str">
        <f t="shared" si="12"/>
        <v>SF35493</v>
      </c>
      <c r="D35" s="17" t="str">
        <f t="shared" si="13"/>
        <v>C08059</v>
      </c>
      <c r="E35" s="17" t="str">
        <f>"YA02270"</f>
        <v>YA02270</v>
      </c>
      <c r="F35" s="17" t="str">
        <f>"I-Jet Twista screw  6x100mm (Pack of 10)"</f>
        <v>I-Jet Twista screw  6x100mm (Pack of 10)</v>
      </c>
      <c r="G35" s="17">
        <v>0.0</v>
      </c>
      <c r="H35" s="17">
        <v>0.119</v>
      </c>
      <c r="I35" s="27">
        <f t="shared" si="3"/>
        <v>0</v>
      </c>
    </row>
    <row r="36" ht="12.75" customHeight="1">
      <c r="A36" s="17" t="s">
        <v>39</v>
      </c>
      <c r="B36" s="33" t="str">
        <f>"""BC365 (SQL)"",""Somerset Timbers"",""37"",""1"",""Order"",""3"",""SF35493"",""4"",""50000"""</f>
        <v>"BC365 (SQL)","Somerset Timbers","37","1","Order","3","SF35493","4","50000"</v>
      </c>
      <c r="C36" s="17" t="str">
        <f t="shared" si="12"/>
        <v>SF35493</v>
      </c>
      <c r="D36" s="17" t="str">
        <f t="shared" si="13"/>
        <v>C08059</v>
      </c>
      <c r="E36" s="17" t="str">
        <f>"ZA02720"</f>
        <v>ZA02720</v>
      </c>
      <c r="F36" s="17" t="str">
        <f>"Delivery to Stellenbosch (0 - 1 cubic metres)"</f>
        <v>Delivery to Stellenbosch (0 - 1 cubic metres)</v>
      </c>
      <c r="G36" s="17">
        <v>0.0</v>
      </c>
      <c r="H36" s="17">
        <v>0.0</v>
      </c>
      <c r="I36" s="27">
        <f t="shared" si="3"/>
        <v>0</v>
      </c>
    </row>
    <row r="37" ht="12.75" customHeight="1">
      <c r="A37" s="17" t="s">
        <v>39</v>
      </c>
      <c r="B37" s="33" t="str">
        <f>"""BC365 (SQL)"",""Somerset Timbers"",""37"",""1"",""Order"",""3"",""SF35567"",""4"",""10000"""</f>
        <v>"BC365 (SQL)","Somerset Timbers","37","1","Order","3","SF35567","4","10000"</v>
      </c>
      <c r="C37" s="17" t="str">
        <f t="shared" ref="C37:C44" si="14">"SF35567"</f>
        <v>SF35567</v>
      </c>
      <c r="D37" s="17" t="str">
        <f t="shared" ref="D37:D44" si="15">"C00200"</f>
        <v>C00200</v>
      </c>
      <c r="E37" s="17" t="str">
        <f>"AC30"</f>
        <v>AC30</v>
      </c>
      <c r="F37" s="17" t="str">
        <f>"SABS Pine 38x76mm CCA H2 Treated  3.0m"</f>
        <v>SABS Pine 38x76mm CCA H2 Treated  3.0m</v>
      </c>
      <c r="G37" s="17">
        <v>0.0</v>
      </c>
      <c r="H37" s="17">
        <v>6.5</v>
      </c>
      <c r="I37" s="27">
        <f t="shared" si="3"/>
        <v>0</v>
      </c>
    </row>
    <row r="38" ht="12.75" customHeight="1">
      <c r="A38" s="17" t="s">
        <v>39</v>
      </c>
      <c r="B38" s="33" t="str">
        <f>"""BC365 (SQL)"",""Somerset Timbers"",""37"",""1"",""Order"",""3"",""SF35567"",""4"",""20000"""</f>
        <v>"BC365 (SQL)","Somerset Timbers","37","1","Order","3","SF35567","4","20000"</v>
      </c>
      <c r="C38" s="17" t="str">
        <f t="shared" si="14"/>
        <v>SF35567</v>
      </c>
      <c r="D38" s="17" t="str">
        <f t="shared" si="15"/>
        <v>C00200</v>
      </c>
      <c r="E38" s="17" t="str">
        <f>"AC36"</f>
        <v>AC36</v>
      </c>
      <c r="F38" s="17" t="str">
        <f>"SABS Pine 38x76mm CCA H2 Treated  3.6m"</f>
        <v>SABS Pine 38x76mm CCA H2 Treated  3.6m</v>
      </c>
      <c r="G38" s="17">
        <v>0.0</v>
      </c>
      <c r="H38" s="17">
        <v>7.8</v>
      </c>
      <c r="I38" s="27">
        <f t="shared" si="3"/>
        <v>0</v>
      </c>
    </row>
    <row r="39" ht="12.75" customHeight="1">
      <c r="A39" s="17" t="s">
        <v>39</v>
      </c>
      <c r="B39" s="33" t="str">
        <f>"""BC365 (SQL)"",""Somerset Timbers"",""37"",""1"",""Order"",""3"",""SF35567"",""4"",""30000"""</f>
        <v>"BC365 (SQL)","Somerset Timbers","37","1","Order","3","SF35567","4","30000"</v>
      </c>
      <c r="C39" s="17" t="str">
        <f t="shared" si="14"/>
        <v>SF35567</v>
      </c>
      <c r="D39" s="17" t="str">
        <f t="shared" si="15"/>
        <v>C00200</v>
      </c>
      <c r="E39" s="17" t="str">
        <f>"AC42"</f>
        <v>AC42</v>
      </c>
      <c r="F39" s="17" t="str">
        <f>"SABS Pine 38x76mm CCA H2 Treated  4.2m"</f>
        <v>SABS Pine 38x76mm CCA H2 Treated  4.2m</v>
      </c>
      <c r="G39" s="17">
        <v>0.0</v>
      </c>
      <c r="H39" s="17">
        <v>9.1</v>
      </c>
      <c r="I39" s="27">
        <f t="shared" si="3"/>
        <v>0</v>
      </c>
    </row>
    <row r="40" ht="12.75" customHeight="1">
      <c r="A40" s="17" t="s">
        <v>39</v>
      </c>
      <c r="B40" s="33" t="str">
        <f>"""BC365 (SQL)"",""Somerset Timbers"",""37"",""1"",""Order"",""3"",""SF35567"",""4"",""40000"""</f>
        <v>"BC365 (SQL)","Somerset Timbers","37","1","Order","3","SF35567","4","40000"</v>
      </c>
      <c r="C40" s="17" t="str">
        <f t="shared" si="14"/>
        <v>SF35567</v>
      </c>
      <c r="D40" s="17" t="str">
        <f t="shared" si="15"/>
        <v>C00200</v>
      </c>
      <c r="E40" s="17" t="str">
        <f>"AC48"</f>
        <v>AC48</v>
      </c>
      <c r="F40" s="17" t="str">
        <f>"SABS Pine 38x76mm CCA H2 Treated  4.8m"</f>
        <v>SABS Pine 38x76mm CCA H2 Treated  4.8m</v>
      </c>
      <c r="G40" s="17">
        <v>0.0</v>
      </c>
      <c r="H40" s="17">
        <v>10.4</v>
      </c>
      <c r="I40" s="27">
        <f t="shared" si="3"/>
        <v>0</v>
      </c>
    </row>
    <row r="41" ht="12.75" customHeight="1">
      <c r="A41" s="17" t="s">
        <v>39</v>
      </c>
      <c r="B41" s="33" t="str">
        <f>"""BC365 (SQL)"",""Somerset Timbers"",""37"",""1"",""Order"",""3"",""SF35567"",""4"",""50000"""</f>
        <v>"BC365 (SQL)","Somerset Timbers","37","1","Order","3","SF35567","4","50000"</v>
      </c>
      <c r="C41" s="17" t="str">
        <f t="shared" si="14"/>
        <v>SF35567</v>
      </c>
      <c r="D41" s="17" t="str">
        <f t="shared" si="15"/>
        <v>C00200</v>
      </c>
      <c r="E41" s="17" t="str">
        <f>"EA30"</f>
        <v>EA30</v>
      </c>
      <c r="F41" s="17" t="str">
        <f>"Solid Pine Decking 22x105mm CCA H3 Treat  3.0m"</f>
        <v>Solid Pine Decking 22x105mm CCA H3 Treat  3.0m</v>
      </c>
      <c r="G41" s="17">
        <v>0.0</v>
      </c>
      <c r="H41" s="17">
        <v>5.2</v>
      </c>
      <c r="I41" s="27">
        <f t="shared" si="3"/>
        <v>0</v>
      </c>
    </row>
    <row r="42" ht="12.75" customHeight="1">
      <c r="A42" s="17" t="s">
        <v>39</v>
      </c>
      <c r="B42" s="33" t="str">
        <f>"""BC365 (SQL)"",""Somerset Timbers"",""37"",""1"",""Order"",""3"",""SF35567"",""4"",""60000"""</f>
        <v>"BC365 (SQL)","Somerset Timbers","37","1","Order","3","SF35567","4","60000"</v>
      </c>
      <c r="C42" s="17" t="str">
        <f t="shared" si="14"/>
        <v>SF35567</v>
      </c>
      <c r="D42" s="17" t="str">
        <f t="shared" si="15"/>
        <v>C00200</v>
      </c>
      <c r="E42" s="17" t="str">
        <f>"EA36"</f>
        <v>EA36</v>
      </c>
      <c r="F42" s="17" t="str">
        <f>"Solid Pine Decking 22x105mm CCA H3 Treat  3.6m"</f>
        <v>Solid Pine Decking 22x105mm CCA H3 Treat  3.6m</v>
      </c>
      <c r="G42" s="17">
        <v>0.0</v>
      </c>
      <c r="H42" s="17">
        <v>6.24</v>
      </c>
      <c r="I42" s="27">
        <f t="shared" si="3"/>
        <v>0</v>
      </c>
    </row>
    <row r="43" ht="12.75" customHeight="1">
      <c r="A43" s="17" t="s">
        <v>39</v>
      </c>
      <c r="B43" s="33" t="str">
        <f>"""BC365 (SQL)"",""Somerset Timbers"",""37"",""1"",""Order"",""3"",""SF35567"",""4"",""70000"""</f>
        <v>"BC365 (SQL)","Somerset Timbers","37","1","Order","3","SF35567","4","70000"</v>
      </c>
      <c r="C43" s="17" t="str">
        <f t="shared" si="14"/>
        <v>SF35567</v>
      </c>
      <c r="D43" s="17" t="str">
        <f t="shared" si="15"/>
        <v>C00200</v>
      </c>
      <c r="E43" s="17" t="str">
        <f>"EA42"</f>
        <v>EA42</v>
      </c>
      <c r="F43" s="17" t="str">
        <f>"Solid Pine Decking 22x105mm CCA H3 Treat  4.2m"</f>
        <v>Solid Pine Decking 22x105mm CCA H3 Treat  4.2m</v>
      </c>
      <c r="G43" s="17">
        <v>0.0</v>
      </c>
      <c r="H43" s="17">
        <v>7.28</v>
      </c>
      <c r="I43" s="27">
        <f t="shared" si="3"/>
        <v>0</v>
      </c>
    </row>
    <row r="44" ht="12.75" customHeight="1">
      <c r="A44" s="17" t="s">
        <v>39</v>
      </c>
      <c r="B44" s="33" t="str">
        <f>"""BC365 (SQL)"",""Somerset Timbers"",""37"",""1"",""Order"",""3"",""SF35567"",""4"",""90000"""</f>
        <v>"BC365 (SQL)","Somerset Timbers","37","1","Order","3","SF35567","4","90000"</v>
      </c>
      <c r="C44" s="17" t="str">
        <f t="shared" si="14"/>
        <v>SF35567</v>
      </c>
      <c r="D44" s="17" t="str">
        <f t="shared" si="15"/>
        <v>C00200</v>
      </c>
      <c r="E44" s="17" t="str">
        <f>"ZA01620"</f>
        <v>ZA01620</v>
      </c>
      <c r="F44" s="17" t="str">
        <f>"Delivery to Kleinmond (1 - 8 cubic metres)"</f>
        <v>Delivery to Kleinmond (1 - 8 cubic metres)</v>
      </c>
      <c r="G44" s="17">
        <v>0.0</v>
      </c>
      <c r="H44" s="17">
        <v>0.0</v>
      </c>
      <c r="I44" s="27">
        <f t="shared" si="3"/>
        <v>0</v>
      </c>
    </row>
    <row r="45" ht="12.75" customHeight="1">
      <c r="A45" s="17" t="s">
        <v>39</v>
      </c>
      <c r="B45" s="33" t="str">
        <f>"""BC365 (SQL)"",""Somerset Timbers"",""37"",""1"",""Order"",""3"",""SF36362"",""4"",""30000"""</f>
        <v>"BC365 (SQL)","Somerset Timbers","37","1","Order","3","SF36362","4","30000"</v>
      </c>
      <c r="C45" s="17" t="str">
        <f t="shared" ref="C45:C56" si="16">"SF36362"</f>
        <v>SF36362</v>
      </c>
      <c r="D45" s="17" t="str">
        <f t="shared" ref="D45:D56" si="17">"C31505"</f>
        <v>C31505</v>
      </c>
      <c r="E45" s="17" t="str">
        <f>"YB00150 600447900345"</f>
        <v>YB00150 600447900345</v>
      </c>
      <c r="F45" s="17" t="str">
        <f>"Brummer RAPID Balcotan Glue 500g  (Green)"</f>
        <v>Brummer RAPID Balcotan Glue 500g  (Green)</v>
      </c>
      <c r="G45" s="17">
        <v>0.0</v>
      </c>
      <c r="H45" s="17">
        <v>0.5</v>
      </c>
      <c r="I45" s="27">
        <f t="shared" si="3"/>
        <v>0</v>
      </c>
    </row>
    <row r="46" ht="12.75" customHeight="1">
      <c r="A46" s="17" t="s">
        <v>39</v>
      </c>
      <c r="B46" s="33" t="str">
        <f>"""BC365 (SQL)"",""Somerset Timbers"",""37"",""1"",""Order"",""3"",""SF36362"",""4"",""50000"""</f>
        <v>"BC365 (SQL)","Somerset Timbers","37","1","Order","3","SF36362","4","50000"</v>
      </c>
      <c r="C46" s="17" t="str">
        <f t="shared" si="16"/>
        <v>SF36362</v>
      </c>
      <c r="D46" s="17" t="str">
        <f t="shared" si="17"/>
        <v>C31505</v>
      </c>
      <c r="E46" s="17" t="str">
        <f>"YA02370"</f>
        <v>YA02370</v>
      </c>
      <c r="F46" s="17" t="str">
        <f>"Pozi drive screw 10x75mm (PACK OF 200)"</f>
        <v>Pozi drive screw 10x75mm (PACK OF 200)</v>
      </c>
      <c r="G46" s="17">
        <v>0.0</v>
      </c>
      <c r="H46" s="17">
        <v>1.11</v>
      </c>
      <c r="I46" s="27">
        <f t="shared" si="3"/>
        <v>0</v>
      </c>
    </row>
    <row r="47" ht="12.75" customHeight="1">
      <c r="A47" s="17" t="s">
        <v>39</v>
      </c>
      <c r="B47" s="33" t="str">
        <f>"""BC365 (SQL)"",""Somerset Timbers"",""37"",""1"",""Order"",""3"",""SF36362"",""4"",""60000"""</f>
        <v>"BC365 (SQL)","Somerset Timbers","37","1","Order","3","SF36362","4","60000"</v>
      </c>
      <c r="C47" s="17" t="str">
        <f t="shared" si="16"/>
        <v>SF36362</v>
      </c>
      <c r="D47" s="17" t="str">
        <f t="shared" si="17"/>
        <v>C31505</v>
      </c>
      <c r="E47" s="17" t="str">
        <f>"YA02255"</f>
        <v>YA02255</v>
      </c>
      <c r="F47" s="17" t="str">
        <f>"Hammer screws Nylon 8x100mm  (pack of 100)"</f>
        <v>Hammer screws Nylon 8x100mm  (pack of 100)</v>
      </c>
      <c r="G47" s="17">
        <v>0.0</v>
      </c>
      <c r="H47" s="17">
        <v>1.0</v>
      </c>
      <c r="I47" s="27">
        <f t="shared" si="3"/>
        <v>0</v>
      </c>
    </row>
    <row r="48" ht="12.75" customHeight="1">
      <c r="A48" s="17" t="s">
        <v>39</v>
      </c>
      <c r="B48" s="33" t="str">
        <f>"""BC365 (SQL)"",""Somerset Timbers"",""37"",""1"",""Order"",""3"",""SF36362"",""4"",""70000"""</f>
        <v>"BC365 (SQL)","Somerset Timbers","37","1","Order","3","SF36362","4","70000"</v>
      </c>
      <c r="C48" s="17" t="str">
        <f t="shared" si="16"/>
        <v>SF36362</v>
      </c>
      <c r="D48" s="17" t="str">
        <f t="shared" si="17"/>
        <v>C31505</v>
      </c>
      <c r="E48" s="17" t="str">
        <f>"L044"</f>
        <v>L044</v>
      </c>
      <c r="F48" s="17" t="str">
        <f>"Pine Exterior Ply  BC Grade  12mm"</f>
        <v>Pine Exterior Ply  BC Grade  12mm</v>
      </c>
      <c r="G48" s="17">
        <v>0.0</v>
      </c>
      <c r="H48" s="17">
        <v>19.65</v>
      </c>
      <c r="I48" s="27">
        <f t="shared" si="3"/>
        <v>0</v>
      </c>
    </row>
    <row r="49" ht="12.75" customHeight="1">
      <c r="A49" s="17" t="s">
        <v>39</v>
      </c>
      <c r="B49" s="33" t="str">
        <f>"""BC365 (SQL)"",""Somerset Timbers"",""37"",""1"",""Order"",""3"",""SF36362"",""4"",""80000"""</f>
        <v>"BC365 (SQL)","Somerset Timbers","37","1","Order","3","SF36362","4","80000"</v>
      </c>
      <c r="C49" s="17" t="str">
        <f t="shared" si="16"/>
        <v>SF36362</v>
      </c>
      <c r="D49" s="17" t="str">
        <f t="shared" si="17"/>
        <v>C31505</v>
      </c>
      <c r="E49" s="17" t="str">
        <f>"YA04050"</f>
        <v>YA04050</v>
      </c>
      <c r="F49" s="17" t="str">
        <f>"Nails - Panel pins 40mm    (500gr pack)"</f>
        <v>Nails - Panel pins 40mm    (500gr pack)</v>
      </c>
      <c r="G49" s="17">
        <v>0.0</v>
      </c>
      <c r="H49" s="17">
        <v>0.5</v>
      </c>
      <c r="I49" s="27">
        <f t="shared" si="3"/>
        <v>0</v>
      </c>
    </row>
    <row r="50" ht="12.75" customHeight="1">
      <c r="A50" s="17" t="s">
        <v>39</v>
      </c>
      <c r="B50" s="33" t="str">
        <f>"""BC365 (SQL)"",""Somerset Timbers"",""37"",""1"",""Order"",""3"",""SF36362"",""4"",""90000"""</f>
        <v>"BC365 (SQL)","Somerset Timbers","37","1","Order","3","SF36362","4","90000"</v>
      </c>
      <c r="C50" s="17" t="str">
        <f t="shared" si="16"/>
        <v>SF36362</v>
      </c>
      <c r="D50" s="17" t="str">
        <f t="shared" si="17"/>
        <v>C31505</v>
      </c>
      <c r="E50" s="17" t="str">
        <f>"YA02240"</f>
        <v>YA02240</v>
      </c>
      <c r="F50" s="17" t="str">
        <f>"Hammer screws Nylon 6x60mm  (pack of 100)"</f>
        <v>Hammer screws Nylon 6x60mm  (pack of 100)</v>
      </c>
      <c r="G50" s="17">
        <v>0.0</v>
      </c>
      <c r="H50" s="17">
        <v>0.496</v>
      </c>
      <c r="I50" s="27">
        <f t="shared" si="3"/>
        <v>0</v>
      </c>
    </row>
    <row r="51" ht="12.75" customHeight="1">
      <c r="A51" s="17" t="s">
        <v>39</v>
      </c>
      <c r="B51" s="33" t="str">
        <f>"""BC365 (SQL)"",""Somerset Timbers"",""37"",""1"",""Order"",""3"",""SF36362"",""4"",""100000"""</f>
        <v>"BC365 (SQL)","Somerset Timbers","37","1","Order","3","SF36362","4","100000"</v>
      </c>
      <c r="C51" s="17" t="str">
        <f t="shared" si="16"/>
        <v>SF36362</v>
      </c>
      <c r="D51" s="17" t="str">
        <f t="shared" si="17"/>
        <v>C31505</v>
      </c>
      <c r="E51" s="17" t="str">
        <f>"YB00020 500040310862"</f>
        <v>YB00020 500040310862</v>
      </c>
      <c r="F51" s="17" t="str">
        <f>"Alcolin Evo-Stik Sticks  like Sh*t 290ml"</f>
        <v>Alcolin Evo-Stik Sticks  like Sh*t 290ml</v>
      </c>
      <c r="G51" s="17">
        <v>0.0</v>
      </c>
      <c r="H51" s="17">
        <v>0.5</v>
      </c>
      <c r="I51" s="27">
        <f t="shared" si="3"/>
        <v>0</v>
      </c>
    </row>
    <row r="52" ht="12.75" customHeight="1">
      <c r="A52" s="17" t="s">
        <v>39</v>
      </c>
      <c r="B52" s="33" t="str">
        <f>"""BC365 (SQL)"",""Somerset Timbers"",""37"",""1"",""Order"",""3"",""SF36362"",""4"",""110000"""</f>
        <v>"BC365 (SQL)","Somerset Timbers","37","1","Order","3","SF36362","4","110000"</v>
      </c>
      <c r="C52" s="17" t="str">
        <f t="shared" si="16"/>
        <v>SF36362</v>
      </c>
      <c r="D52" s="17" t="str">
        <f t="shared" si="17"/>
        <v>C31505</v>
      </c>
      <c r="E52" s="17" t="str">
        <f>"YA02300"</f>
        <v>YA02300</v>
      </c>
      <c r="F52" s="17" t="str">
        <f>"Pozi drive screw  8x40mm (PACK OF 200)"</f>
        <v>Pozi drive screw  8x40mm (PACK OF 200)</v>
      </c>
      <c r="G52" s="17">
        <v>0.0</v>
      </c>
      <c r="H52" s="17">
        <v>0.4715</v>
      </c>
      <c r="I52" s="27">
        <f t="shared" si="3"/>
        <v>0</v>
      </c>
    </row>
    <row r="53" ht="12.75" customHeight="1">
      <c r="A53" s="17" t="s">
        <v>39</v>
      </c>
      <c r="B53" s="33" t="str">
        <f>"""BC365 (SQL)"",""Somerset Timbers"",""37"",""1"",""Order"",""3"",""SF36362"",""4"",""120000"""</f>
        <v>"BC365 (SQL)","Somerset Timbers","37","1","Order","3","SF36362","4","120000"</v>
      </c>
      <c r="C53" s="17" t="str">
        <f t="shared" si="16"/>
        <v>SF36362</v>
      </c>
      <c r="D53" s="17" t="str">
        <f t="shared" si="17"/>
        <v>C31505</v>
      </c>
      <c r="E53" s="17" t="str">
        <f>"CSF30"</f>
        <v>CSF30</v>
      </c>
      <c r="F53" s="17" t="str">
        <f>"Endura Victorian Skirting 20x105mm  3.0m"</f>
        <v>Endura Victorian Skirting 20x105mm  3.0m</v>
      </c>
      <c r="G53" s="17">
        <v>0.0</v>
      </c>
      <c r="H53" s="17">
        <v>3.47</v>
      </c>
      <c r="I53" s="27">
        <f t="shared" si="3"/>
        <v>0</v>
      </c>
    </row>
    <row r="54" ht="12.75" customHeight="1">
      <c r="A54" s="17" t="s">
        <v>39</v>
      </c>
      <c r="B54" s="33" t="str">
        <f>"""BC365 (SQL)"",""Somerset Timbers"",""37"",""1"",""Order"",""3"",""SF36362"",""4"",""130000"""</f>
        <v>"BC365 (SQL)","Somerset Timbers","37","1","Order","3","SF36362","4","130000"</v>
      </c>
      <c r="C54" s="17" t="str">
        <f t="shared" si="16"/>
        <v>SF36362</v>
      </c>
      <c r="D54" s="17" t="str">
        <f t="shared" si="17"/>
        <v>C31505</v>
      </c>
      <c r="E54" s="17" t="str">
        <f>"DAW30"</f>
        <v>DAW30</v>
      </c>
      <c r="F54" s="17" t="str">
        <f>"Endura Pine Planed 40x70mm Untreated  3.0m"</f>
        <v>Endura Pine Planed 40x70mm Untreated  3.0m</v>
      </c>
      <c r="G54" s="17">
        <v>0.0</v>
      </c>
      <c r="H54" s="17">
        <v>5.08</v>
      </c>
      <c r="I54" s="27">
        <f t="shared" si="3"/>
        <v>0</v>
      </c>
    </row>
    <row r="55" ht="12.75" customHeight="1">
      <c r="A55" s="17" t="s">
        <v>39</v>
      </c>
      <c r="B55" s="33" t="str">
        <f>"""BC365 (SQL)"",""Somerset Timbers"",""37"",""1"",""Order"",""3"",""SF36362"",""4"",""140000"""</f>
        <v>"BC365 (SQL)","Somerset Timbers","37","1","Order","3","SF36362","4","140000"</v>
      </c>
      <c r="C55" s="17" t="str">
        <f t="shared" si="16"/>
        <v>SF36362</v>
      </c>
      <c r="D55" s="17" t="str">
        <f t="shared" si="17"/>
        <v>C31505</v>
      </c>
      <c r="E55" s="17" t="str">
        <f>"XA2"</f>
        <v>XA2</v>
      </c>
      <c r="F55" s="17" t="str">
        <f>"TREATING ONLY Azure H2  Cubic metres"</f>
        <v>TREATING ONLY Azure H2  Cubic metres</v>
      </c>
      <c r="G55" s="17">
        <v>0.0</v>
      </c>
      <c r="H55" s="17">
        <v>0.0</v>
      </c>
      <c r="I55" s="27">
        <f t="shared" si="3"/>
        <v>0</v>
      </c>
    </row>
    <row r="56" ht="12.75" customHeight="1">
      <c r="A56" s="17" t="s">
        <v>39</v>
      </c>
      <c r="B56" s="33" t="str">
        <f>"""BC365 (SQL)"",""Somerset Timbers"",""37"",""1"",""Order"",""3"",""SF36362"",""4"",""150000"""</f>
        <v>"BC365 (SQL)","Somerset Timbers","37","1","Order","3","SF36362","4","150000"</v>
      </c>
      <c r="C56" s="17" t="str">
        <f t="shared" si="16"/>
        <v>SF36362</v>
      </c>
      <c r="D56" s="17" t="str">
        <f t="shared" si="17"/>
        <v>C31505</v>
      </c>
      <c r="E56" s="17" t="str">
        <f>"ZA01130"</f>
        <v>ZA01130</v>
      </c>
      <c r="F56" s="17" t="str">
        <f>"Delivery to Gordons Bay (0 - 1 cubic metres)"</f>
        <v>Delivery to Gordons Bay (0 - 1 cubic metres)</v>
      </c>
      <c r="G56" s="17">
        <v>0.0</v>
      </c>
      <c r="H56" s="17">
        <v>0.0</v>
      </c>
      <c r="I56" s="27">
        <f t="shared" si="3"/>
        <v>0</v>
      </c>
    </row>
    <row r="57" ht="12.75" customHeight="1">
      <c r="A57" s="17" t="s">
        <v>39</v>
      </c>
      <c r="B57" s="33" t="str">
        <f>"""BC365 (SQL)"",""Somerset Timbers"",""37"",""1"",""Order"",""3"",""SF38043"",""4"",""10000"""</f>
        <v>"BC365 (SQL)","Somerset Timbers","37","1","Order","3","SF38043","4","10000"</v>
      </c>
      <c r="C57" s="17" t="str">
        <f t="shared" ref="C57:C66" si="18">"SF38043"</f>
        <v>SF38043</v>
      </c>
      <c r="D57" s="17" t="str">
        <f t="shared" ref="D57:D66" si="19">"C31629"</f>
        <v>C31629</v>
      </c>
      <c r="E57" s="17" t="str">
        <f>"AA36"</f>
        <v>AA36</v>
      </c>
      <c r="F57" s="17" t="str">
        <f>"SABS Pine 38x38mm CCA H2 Treated  3.6m"</f>
        <v>SABS Pine 38x38mm CCA H2 Treated  3.6m</v>
      </c>
      <c r="G57" s="17">
        <v>0.0</v>
      </c>
      <c r="H57" s="17">
        <v>3.9</v>
      </c>
      <c r="I57" s="27">
        <f t="shared" si="3"/>
        <v>0</v>
      </c>
    </row>
    <row r="58" ht="12.75" customHeight="1">
      <c r="A58" s="17" t="s">
        <v>39</v>
      </c>
      <c r="B58" s="33" t="str">
        <f>"""BC365 (SQL)"",""Somerset Timbers"",""37"",""1"",""Order"",""3"",""SF38043"",""4"",""20000"""</f>
        <v>"BC365 (SQL)","Somerset Timbers","37","1","Order","3","SF38043","4","20000"</v>
      </c>
      <c r="C58" s="17" t="str">
        <f t="shared" si="18"/>
        <v>SF38043</v>
      </c>
      <c r="D58" s="17" t="str">
        <f t="shared" si="19"/>
        <v>C31629</v>
      </c>
      <c r="E58" s="17" t="str">
        <f>"AB36"</f>
        <v>AB36</v>
      </c>
      <c r="F58" s="17" t="str">
        <f>"SABS Pine 38x50mm CCA H2 Treated  3.6m"</f>
        <v>SABS Pine 38x50mm CCA H2 Treated  3.6m</v>
      </c>
      <c r="G58" s="17">
        <v>0.0</v>
      </c>
      <c r="H58" s="17">
        <v>5.13</v>
      </c>
      <c r="I58" s="27">
        <f t="shared" si="3"/>
        <v>0</v>
      </c>
    </row>
    <row r="59" ht="12.75" customHeight="1">
      <c r="A59" s="17" t="s">
        <v>39</v>
      </c>
      <c r="B59" s="33" t="str">
        <f>"""BC365 (SQL)"",""Somerset Timbers"",""37"",""1"",""Order"",""3"",""SF38043"",""4"",""30000"""</f>
        <v>"BC365 (SQL)","Somerset Timbers","37","1","Order","3","SF38043","4","30000"</v>
      </c>
      <c r="C59" s="17" t="str">
        <f t="shared" si="18"/>
        <v>SF38043</v>
      </c>
      <c r="D59" s="17" t="str">
        <f t="shared" si="19"/>
        <v>C31629</v>
      </c>
      <c r="E59" s="17" t="str">
        <f>"AD36"</f>
        <v>AD36</v>
      </c>
      <c r="F59" s="17" t="str">
        <f>"SABS Pine 38x114mm CCA H2 Treated  3.6m"</f>
        <v>SABS Pine 38x114mm CCA H2 Treated  3.6m</v>
      </c>
      <c r="G59" s="17">
        <v>0.0</v>
      </c>
      <c r="H59" s="17">
        <v>11.7</v>
      </c>
      <c r="I59" s="27">
        <f t="shared" si="3"/>
        <v>0</v>
      </c>
    </row>
    <row r="60" ht="12.75" customHeight="1">
      <c r="A60" s="17" t="s">
        <v>39</v>
      </c>
      <c r="B60" s="33" t="str">
        <f>"""BC365 (SQL)"",""Somerset Timbers"",""37"",""1"",""Order"",""3"",""SF38043"",""4"",""40000"""</f>
        <v>"BC365 (SQL)","Somerset Timbers","37","1","Order","3","SF38043","4","40000"</v>
      </c>
      <c r="C60" s="17" t="str">
        <f t="shared" si="18"/>
        <v>SF38043</v>
      </c>
      <c r="D60" s="17" t="str">
        <f t="shared" si="19"/>
        <v>C31629</v>
      </c>
      <c r="E60" s="17" t="str">
        <f>"AD60"</f>
        <v>AD60</v>
      </c>
      <c r="F60" s="17" t="str">
        <f>"SABS Pine 38x114mm CCA H2 Treated  6.0m"</f>
        <v>SABS Pine 38x114mm CCA H2 Treated  6.0m</v>
      </c>
      <c r="G60" s="17">
        <v>0.0</v>
      </c>
      <c r="H60" s="17">
        <v>19.49</v>
      </c>
      <c r="I60" s="27">
        <f t="shared" si="3"/>
        <v>0</v>
      </c>
    </row>
    <row r="61" ht="12.75" customHeight="1">
      <c r="A61" s="17" t="s">
        <v>39</v>
      </c>
      <c r="B61" s="33" t="str">
        <f>"""BC365 (SQL)"",""Somerset Timbers"",""37"",""1"",""Order"",""3"",""SF38043"",""4"",""50000"""</f>
        <v>"BC365 (SQL)","Somerset Timbers","37","1","Order","3","SF38043","4","50000"</v>
      </c>
      <c r="C61" s="17" t="str">
        <f t="shared" si="18"/>
        <v>SF38043</v>
      </c>
      <c r="D61" s="17" t="str">
        <f t="shared" si="19"/>
        <v>C31629</v>
      </c>
      <c r="E61" s="17" t="str">
        <f>"AD66"</f>
        <v>AD66</v>
      </c>
      <c r="F61" s="17" t="str">
        <f>"SABS Pine 38x114mm CCA H2 Treated  6.6m"</f>
        <v>SABS Pine 38x114mm CCA H2 Treated  6.6m</v>
      </c>
      <c r="G61" s="17">
        <v>0.0</v>
      </c>
      <c r="H61" s="17">
        <v>21.44</v>
      </c>
      <c r="I61" s="27">
        <f t="shared" si="3"/>
        <v>0</v>
      </c>
    </row>
    <row r="62" ht="12.75" customHeight="1">
      <c r="A62" s="17" t="s">
        <v>39</v>
      </c>
      <c r="B62" s="33" t="str">
        <f>"""BC365 (SQL)"",""Somerset Timbers"",""37"",""1"",""Order"",""3"",""SF38043"",""4"",""60000"""</f>
        <v>"BC365 (SQL)","Somerset Timbers","37","1","Order","3","SF38043","4","60000"</v>
      </c>
      <c r="C62" s="17" t="str">
        <f t="shared" si="18"/>
        <v>SF38043</v>
      </c>
      <c r="D62" s="17" t="str">
        <f t="shared" si="19"/>
        <v>C31629</v>
      </c>
      <c r="E62" s="17" t="str">
        <f>"AE36"</f>
        <v>AE36</v>
      </c>
      <c r="F62" s="17" t="str">
        <f>"SABS Pine 38x152mm CCA H2 Treated  3.6m"</f>
        <v>SABS Pine 38x152mm CCA H2 Treated  3.6m</v>
      </c>
      <c r="G62" s="17">
        <v>0.0</v>
      </c>
      <c r="H62" s="17">
        <v>15.6</v>
      </c>
      <c r="I62" s="27">
        <f t="shared" si="3"/>
        <v>0</v>
      </c>
    </row>
    <row r="63" ht="12.75" customHeight="1">
      <c r="A63" s="17" t="s">
        <v>39</v>
      </c>
      <c r="B63" s="33" t="str">
        <f>"""BC365 (SQL)"",""Somerset Timbers"",""37"",""1"",""Order"",""3"",""SF38043"",""4"",""70000"""</f>
        <v>"BC365 (SQL)","Somerset Timbers","37","1","Order","3","SF38043","4","70000"</v>
      </c>
      <c r="C63" s="17" t="str">
        <f t="shared" si="18"/>
        <v>SF38043</v>
      </c>
      <c r="D63" s="17" t="str">
        <f t="shared" si="19"/>
        <v>C31629</v>
      </c>
      <c r="E63" s="17" t="str">
        <f>"AE48"</f>
        <v>AE48</v>
      </c>
      <c r="F63" s="17" t="str">
        <f>"SABS Pine 38x152mm CCA H2 Treated  4.8m"</f>
        <v>SABS Pine 38x152mm CCA H2 Treated  4.8m</v>
      </c>
      <c r="G63" s="17">
        <v>0.0</v>
      </c>
      <c r="H63" s="17">
        <v>20.79</v>
      </c>
      <c r="I63" s="27">
        <f t="shared" si="3"/>
        <v>0</v>
      </c>
    </row>
    <row r="64" ht="12.75" customHeight="1">
      <c r="A64" s="17" t="s">
        <v>39</v>
      </c>
      <c r="B64" s="33" t="str">
        <f>"""BC365 (SQL)"",""Somerset Timbers"",""37"",""1"",""Order"",""3"",""SF38043"",""4"",""85000"""</f>
        <v>"BC365 (SQL)","Somerset Timbers","37","1","Order","3","SF38043","4","85000"</v>
      </c>
      <c r="C64" s="17" t="str">
        <f t="shared" si="18"/>
        <v>SF38043</v>
      </c>
      <c r="D64" s="17" t="str">
        <f t="shared" si="19"/>
        <v>C31629</v>
      </c>
      <c r="E64" s="17" t="str">
        <f>"YA04120"</f>
        <v>YA04120</v>
      </c>
      <c r="F64" s="17" t="str">
        <f>"Nails - Standard wire   75mm      (1kg pack)"</f>
        <v>Nails - Standard wire   75mm      (1kg pack)</v>
      </c>
      <c r="G64" s="17">
        <v>0.0</v>
      </c>
      <c r="H64" s="17">
        <v>1.0</v>
      </c>
      <c r="I64" s="27">
        <f t="shared" si="3"/>
        <v>0</v>
      </c>
    </row>
    <row r="65" ht="12.75" customHeight="1">
      <c r="A65" s="17" t="s">
        <v>39</v>
      </c>
      <c r="B65" s="33" t="str">
        <f>"""BC365 (SQL)"",""Somerset Timbers"",""37"",""1"",""Order"",""3"",""SF38043"",""4"",""87500"""</f>
        <v>"BC365 (SQL)","Somerset Timbers","37","1","Order","3","SF38043","4","87500"</v>
      </c>
      <c r="C65" s="17" t="str">
        <f t="shared" si="18"/>
        <v>SF38043</v>
      </c>
      <c r="D65" s="17" t="str">
        <f t="shared" si="19"/>
        <v>C31629</v>
      </c>
      <c r="E65" s="17" t="str">
        <f>"YA04130"</f>
        <v>YA04130</v>
      </c>
      <c r="F65" s="17" t="str">
        <f>"Nails - Standard wire  100mm     (1kg pack)"</f>
        <v>Nails - Standard wire  100mm     (1kg pack)</v>
      </c>
      <c r="G65" s="17">
        <v>0.0</v>
      </c>
      <c r="H65" s="17">
        <v>1.0</v>
      </c>
      <c r="I65" s="27">
        <f t="shared" si="3"/>
        <v>0</v>
      </c>
    </row>
    <row r="66" ht="12.75" customHeight="1">
      <c r="A66" s="17" t="s">
        <v>39</v>
      </c>
      <c r="B66" s="33" t="str">
        <f>"""BC365 (SQL)"",""Somerset Timbers"",""37"",""1"",""Order"",""3"",""SF38043"",""4"",""88750"""</f>
        <v>"BC365 (SQL)","Somerset Timbers","37","1","Order","3","SF38043","4","88750"</v>
      </c>
      <c r="C66" s="17" t="str">
        <f t="shared" si="18"/>
        <v>SF38043</v>
      </c>
      <c r="D66" s="17" t="str">
        <f t="shared" si="19"/>
        <v>C31629</v>
      </c>
      <c r="E66" s="17" t="str">
        <f>"ZA02580"</f>
        <v>ZA02580</v>
      </c>
      <c r="F66" s="17" t="str">
        <f>"Delivery to Sir Lowrys Pass (1 - 8 cubic metres)"</f>
        <v>Delivery to Sir Lowrys Pass (1 - 8 cubic metres)</v>
      </c>
      <c r="G66" s="17">
        <v>0.0</v>
      </c>
      <c r="H66" s="17">
        <v>0.0</v>
      </c>
      <c r="I66" s="27">
        <f t="shared" si="3"/>
        <v>0</v>
      </c>
    </row>
    <row r="67" ht="12.75" customHeight="1">
      <c r="A67" s="17" t="s">
        <v>39</v>
      </c>
      <c r="B67" s="33" t="str">
        <f>"""BC365 (SQL)"",""Somerset Timbers"",""37"",""1"",""Order"",""3"",""SF38070"",""4"",""10000"""</f>
        <v>"BC365 (SQL)","Somerset Timbers","37","1","Order","3","SF38070","4","10000"</v>
      </c>
      <c r="C67" s="17" t="str">
        <f t="shared" ref="C67:C71" si="20">"SF38070"</f>
        <v>SF38070</v>
      </c>
      <c r="D67" s="17" t="str">
        <f t="shared" ref="D67:D71" si="21">"C31708"</f>
        <v>C31708</v>
      </c>
      <c r="E67" s="17" t="str">
        <f>"PC12515"</f>
        <v>PC12515</v>
      </c>
      <c r="F67" s="17" t="str">
        <f>"Cylindrical pole 125mm CCA H4 Treat 1.5m"</f>
        <v>Cylindrical pole 125mm CCA H4 Treat 1.5m</v>
      </c>
      <c r="G67" s="17">
        <v>1.0</v>
      </c>
      <c r="H67" s="17">
        <v>17.49</v>
      </c>
      <c r="I67" s="27">
        <f t="shared" si="3"/>
        <v>17.49</v>
      </c>
    </row>
    <row r="68" ht="12.75" customHeight="1">
      <c r="A68" s="17" t="s">
        <v>39</v>
      </c>
      <c r="B68" s="33" t="str">
        <f>"""BC365 (SQL)"",""Somerset Timbers"",""37"",""1"",""Order"",""3"",""SF38070"",""4"",""20000"""</f>
        <v>"BC365 (SQL)","Somerset Timbers","37","1","Order","3","SF38070","4","20000"</v>
      </c>
      <c r="C68" s="17" t="str">
        <f t="shared" si="20"/>
        <v>SF38070</v>
      </c>
      <c r="D68" s="17" t="str">
        <f t="shared" si="21"/>
        <v>C31708</v>
      </c>
      <c r="E68" s="17" t="str">
        <f t="shared" ref="E68:E69" si="22">"PC15015"</f>
        <v>PC15015</v>
      </c>
      <c r="F68" s="17" t="str">
        <f t="shared" ref="F68:F69" si="23">"Cylindrical pole 150mm CCA H4 Treat 1.5m"</f>
        <v>Cylindrical pole 150mm CCA H4 Treat 1.5m</v>
      </c>
      <c r="G68" s="17">
        <v>0.0</v>
      </c>
      <c r="H68" s="17">
        <v>25.18</v>
      </c>
      <c r="I68" s="27">
        <f t="shared" si="3"/>
        <v>0</v>
      </c>
    </row>
    <row r="69" ht="12.75" customHeight="1">
      <c r="A69" s="17" t="s">
        <v>39</v>
      </c>
      <c r="B69" s="33" t="str">
        <f>"""BC365 (SQL)"",""Somerset Timbers"",""37"",""1"",""Order"",""3"",""SF38070"",""4"",""30000"""</f>
        <v>"BC365 (SQL)","Somerset Timbers","37","1","Order","3","SF38070","4","30000"</v>
      </c>
      <c r="C69" s="17" t="str">
        <f t="shared" si="20"/>
        <v>SF38070</v>
      </c>
      <c r="D69" s="17" t="str">
        <f t="shared" si="21"/>
        <v>C31708</v>
      </c>
      <c r="E69" s="17" t="str">
        <f t="shared" si="22"/>
        <v>PC15015</v>
      </c>
      <c r="F69" s="17" t="str">
        <f t="shared" si="23"/>
        <v>Cylindrical pole 150mm CCA H4 Treat 1.5m</v>
      </c>
      <c r="G69" s="17">
        <v>0.0</v>
      </c>
      <c r="H69" s="17">
        <v>25.18</v>
      </c>
      <c r="I69" s="27">
        <f t="shared" si="3"/>
        <v>0</v>
      </c>
    </row>
    <row r="70" ht="12.75" customHeight="1">
      <c r="A70" s="17" t="s">
        <v>39</v>
      </c>
      <c r="B70" s="33" t="str">
        <f>"""BC365 (SQL)"",""Somerset Timbers"",""37"",""1"",""Order"",""3"",""SF38070"",""4"",""50000"""</f>
        <v>"BC365 (SQL)","Somerset Timbers","37","1","Order","3","SF38070","4","50000"</v>
      </c>
      <c r="C70" s="17" t="str">
        <f t="shared" si="20"/>
        <v>SF38070</v>
      </c>
      <c r="D70" s="17" t="str">
        <f t="shared" si="21"/>
        <v>C31708</v>
      </c>
      <c r="E70" s="17" t="str">
        <f>"ZA01250"</f>
        <v>ZA01250</v>
      </c>
      <c r="F70" s="17" t="str">
        <f>"Delivery to Greyton (0 - 1 cubic metres)"</f>
        <v>Delivery to Greyton (0 - 1 cubic metres)</v>
      </c>
      <c r="G70" s="17">
        <v>0.0</v>
      </c>
      <c r="H70" s="17">
        <v>0.0</v>
      </c>
      <c r="I70" s="27">
        <f t="shared" si="3"/>
        <v>0</v>
      </c>
    </row>
    <row r="71" ht="12.75" customHeight="1">
      <c r="A71" s="17" t="s">
        <v>39</v>
      </c>
      <c r="B71" s="33" t="str">
        <f>"""BC365 (SQL)"",""Somerset Timbers"",""37"",""1"",""Order"",""3"",""SF38070"",""4"",""60000"""</f>
        <v>"BC365 (SQL)","Somerset Timbers","37","1","Order","3","SF38070","4","60000"</v>
      </c>
      <c r="C71" s="17" t="str">
        <f t="shared" si="20"/>
        <v>SF38070</v>
      </c>
      <c r="D71" s="17" t="str">
        <f t="shared" si="21"/>
        <v>C31708</v>
      </c>
      <c r="E71" s="17" t="str">
        <f>"PC09018"</f>
        <v>PC09018</v>
      </c>
      <c r="F71" s="17" t="str">
        <f>"Cylindrical pole 90mm CCA H4 Treat 1.8m"</f>
        <v>Cylindrical pole 90mm CCA H4 Treat 1.8m</v>
      </c>
      <c r="G71" s="17">
        <v>0.0</v>
      </c>
      <c r="H71" s="17">
        <v>12.0555</v>
      </c>
      <c r="I71" s="27">
        <f t="shared" si="3"/>
        <v>0</v>
      </c>
    </row>
    <row r="72" ht="12.75" customHeight="1">
      <c r="A72" s="17" t="s">
        <v>39</v>
      </c>
      <c r="B72" s="33" t="str">
        <f>"""BC365 (SQL)"",""Somerset Timbers"",""37"",""1"",""Order"",""3"",""SF38105"",""4"",""10000"""</f>
        <v>"BC365 (SQL)","Somerset Timbers","37","1","Order","3","SF38105","4","10000"</v>
      </c>
      <c r="C72" s="17" t="str">
        <f t="shared" ref="C72:C73" si="24">"SF38105"</f>
        <v>SF38105</v>
      </c>
      <c r="D72" s="17" t="str">
        <f>"C11826"</f>
        <v>C11826</v>
      </c>
      <c r="E72" s="17" t="str">
        <f>"JC60"</f>
        <v>JC60</v>
      </c>
      <c r="F72" s="17" t="str">
        <f>"Garapa Decking  19x90mm  6.09m"</f>
        <v>Garapa Decking  19x90mm  6.09m</v>
      </c>
      <c r="G72" s="17">
        <v>6.0</v>
      </c>
      <c r="H72" s="17">
        <v>8.54</v>
      </c>
      <c r="I72" s="27">
        <f t="shared" si="3"/>
        <v>51.24</v>
      </c>
    </row>
    <row r="73" ht="12.75" customHeight="1">
      <c r="A73" s="17" t="s">
        <v>39</v>
      </c>
      <c r="B73" s="33" t="str">
        <f>"""BC365 (SQL)"",""Somerset Timbers"",""37"",""1"",""Order"",""3"",""SF38105"",""4"",""20000"""</f>
        <v>"BC365 (SQL)","Somerset Timbers","37","1","Order","3","SF38105","4","20000"</v>
      </c>
      <c r="C73" s="17" t="str">
        <f t="shared" si="24"/>
        <v>SF38105</v>
      </c>
      <c r="D73" s="17" t="str">
        <f t="shared" ref="D73:E73" si="25">""</f>
        <v/>
      </c>
      <c r="E73" s="17" t="str">
        <f t="shared" si="25"/>
        <v/>
      </c>
      <c r="F73" s="17" t="str">
        <f>"Credit to follow"</f>
        <v>Credit to follow</v>
      </c>
      <c r="G73" s="17">
        <v>0.0</v>
      </c>
      <c r="H73" s="17">
        <v>0.0</v>
      </c>
      <c r="I73" s="27">
        <f t="shared" si="3"/>
        <v>0</v>
      </c>
    </row>
    <row r="74" ht="12.75" customHeight="1">
      <c r="A74" s="17" t="s">
        <v>39</v>
      </c>
      <c r="B74" s="33" t="str">
        <f>"""BC365 (SQL)"",""Somerset Timbers"",""37"",""1"",""Order"",""3"",""SF38134"",""4"",""10000"""</f>
        <v>"BC365 (SQL)","Somerset Timbers","37","1","Order","3","SF38134","4","10000"</v>
      </c>
      <c r="C74" s="17" t="str">
        <f t="shared" ref="C74:C75" si="26">"SF38134"</f>
        <v>SF38134</v>
      </c>
      <c r="D74" s="17" t="str">
        <f t="shared" ref="D74:D75" si="27">"C28147"</f>
        <v>C28147</v>
      </c>
      <c r="E74" s="17" t="str">
        <f>"P018"</f>
        <v>P018</v>
      </c>
      <c r="F74" s="17" t="str">
        <f>"Laths 15-35mm CCA H3 Treated  1.8m"</f>
        <v>Laths 15-35mm CCA H3 Treated  1.8m</v>
      </c>
      <c r="G74" s="17">
        <v>0.0</v>
      </c>
      <c r="H74" s="17">
        <v>1.45</v>
      </c>
      <c r="I74" s="27">
        <f t="shared" si="3"/>
        <v>0</v>
      </c>
    </row>
    <row r="75" ht="12.75" customHeight="1">
      <c r="A75" s="17" t="s">
        <v>39</v>
      </c>
      <c r="B75" s="33" t="str">
        <f>"""BC365 (SQL)"",""Somerset Timbers"",""37"",""1"",""Order"",""3"",""SF38134"",""4"",""30000"""</f>
        <v>"BC365 (SQL)","Somerset Timbers","37","1","Order","3","SF38134","4","30000"</v>
      </c>
      <c r="C75" s="17" t="str">
        <f t="shared" si="26"/>
        <v>SF38134</v>
      </c>
      <c r="D75" s="17" t="str">
        <f t="shared" si="27"/>
        <v>C28147</v>
      </c>
      <c r="E75" s="17" t="str">
        <f>"ZA00050"</f>
        <v>ZA00050</v>
      </c>
      <c r="F75" s="17" t="str">
        <f>"Delivery to Agter Paarl (0 - 1 cubic metres)"</f>
        <v>Delivery to Agter Paarl (0 - 1 cubic metres)</v>
      </c>
      <c r="G75" s="17">
        <v>0.0</v>
      </c>
      <c r="H75" s="17">
        <v>0.0</v>
      </c>
      <c r="I75" s="27">
        <f t="shared" si="3"/>
        <v>0</v>
      </c>
    </row>
    <row r="76" ht="12.75" customHeight="1">
      <c r="A76" s="17" t="s">
        <v>39</v>
      </c>
      <c r="B76" s="33" t="str">
        <f>"""BC365 (SQL)"",""Somerset Timbers"",""37"",""1"",""Order"",""3"",""SF38310"",""4"",""10000"""</f>
        <v>"BC365 (SQL)","Somerset Timbers","37","1","Order","3","SF38310","4","10000"</v>
      </c>
      <c r="C76" s="17" t="str">
        <f t="shared" ref="C76:C80" si="28">"SF38310"</f>
        <v>SF38310</v>
      </c>
      <c r="D76" s="17" t="str">
        <f t="shared" ref="D76:D80" si="29">"C00051"</f>
        <v>C00051</v>
      </c>
      <c r="E76" s="17" t="str">
        <f>"P218"</f>
        <v>P218</v>
      </c>
      <c r="F76" s="17" t="str">
        <f>"SABS Pine Pole 50/79mm CCA H4 Trt 1.8m"</f>
        <v>SABS Pine Pole 50/79mm CCA H4 Trt 1.8m</v>
      </c>
      <c r="G76" s="17">
        <v>0.0</v>
      </c>
      <c r="H76" s="17">
        <v>6.12</v>
      </c>
      <c r="I76" s="27">
        <f t="shared" si="3"/>
        <v>0</v>
      </c>
    </row>
    <row r="77" ht="12.75" customHeight="1">
      <c r="A77" s="17" t="s">
        <v>39</v>
      </c>
      <c r="B77" s="33" t="str">
        <f>"""BC365 (SQL)"",""Somerset Timbers"",""37"",""1"",""Order"",""3"",""SF38310"",""4"",""20000"""</f>
        <v>"BC365 (SQL)","Somerset Timbers","37","1","Order","3","SF38310","4","20000"</v>
      </c>
      <c r="C77" s="17" t="str">
        <f t="shared" si="28"/>
        <v>SF38310</v>
      </c>
      <c r="D77" s="17" t="str">
        <f t="shared" si="29"/>
        <v>C00051</v>
      </c>
      <c r="E77" s="17" t="str">
        <f>"P221"</f>
        <v>P221</v>
      </c>
      <c r="F77" s="17" t="str">
        <f>"SABS Pine Pole 50/79mm CCA H4 Trt 2.1m"</f>
        <v>SABS Pine Pole 50/79mm CCA H4 Trt 2.1m</v>
      </c>
      <c r="G77" s="17">
        <v>0.0</v>
      </c>
      <c r="H77" s="17">
        <v>7.31</v>
      </c>
      <c r="I77" s="27">
        <f t="shared" si="3"/>
        <v>0</v>
      </c>
    </row>
    <row r="78" ht="12.75" customHeight="1">
      <c r="A78" s="17" t="s">
        <v>39</v>
      </c>
      <c r="B78" s="33" t="str">
        <f>"""BC365 (SQL)"",""Somerset Timbers"",""37"",""1"",""Order"",""3"",""SF38310"",""4"",""40000"""</f>
        <v>"BC365 (SQL)","Somerset Timbers","37","1","Order","3","SF38310","4","40000"</v>
      </c>
      <c r="C78" s="17" t="str">
        <f t="shared" si="28"/>
        <v>SF38310</v>
      </c>
      <c r="D78" s="17" t="str">
        <f t="shared" si="29"/>
        <v>C00051</v>
      </c>
      <c r="E78" s="17" t="str">
        <f>"P318"</f>
        <v>P318</v>
      </c>
      <c r="F78" s="17" t="str">
        <f>"SABS Pine Pole 80/99mm CCA H4 Trt 1.8m"</f>
        <v>SABS Pine Pole 80/99mm CCA H4 Trt 1.8m</v>
      </c>
      <c r="G78" s="17">
        <v>0.0</v>
      </c>
      <c r="H78" s="17">
        <v>11.14</v>
      </c>
      <c r="I78" s="27">
        <f t="shared" si="3"/>
        <v>0</v>
      </c>
    </row>
    <row r="79" ht="12.75" customHeight="1">
      <c r="A79" s="17" t="s">
        <v>39</v>
      </c>
      <c r="B79" s="33" t="str">
        <f>"""BC365 (SQL)"",""Somerset Timbers"",""37"",""1"",""Order"",""3"",""SF38310"",""4"",""50000"""</f>
        <v>"BC365 (SQL)","Somerset Timbers","37","1","Order","3","SF38310","4","50000"</v>
      </c>
      <c r="C79" s="17" t="str">
        <f t="shared" si="28"/>
        <v>SF38310</v>
      </c>
      <c r="D79" s="17" t="str">
        <f t="shared" si="29"/>
        <v>C00051</v>
      </c>
      <c r="E79" s="17" t="str">
        <f>"P324"</f>
        <v>P324</v>
      </c>
      <c r="F79" s="17" t="str">
        <f>"SABS Pine Pole 80/99mm CCA H4 Trt 2.4m"</f>
        <v>SABS Pine Pole 80/99mm CCA H4 Trt 2.4m</v>
      </c>
      <c r="G79" s="17">
        <v>0.0</v>
      </c>
      <c r="H79" s="17">
        <v>15.56</v>
      </c>
      <c r="I79" s="27">
        <f t="shared" si="3"/>
        <v>0</v>
      </c>
    </row>
    <row r="80" ht="12.75" customHeight="1">
      <c r="A80" s="17" t="s">
        <v>39</v>
      </c>
      <c r="B80" s="33" t="str">
        <f>"""BC365 (SQL)"",""Somerset Timbers"",""37"",""1"",""Order"",""3"",""SF38310"",""4"",""60000"""</f>
        <v>"BC365 (SQL)","Somerset Timbers","37","1","Order","3","SF38310","4","60000"</v>
      </c>
      <c r="C80" s="17" t="str">
        <f t="shared" si="28"/>
        <v>SF38310</v>
      </c>
      <c r="D80" s="17" t="str">
        <f t="shared" si="29"/>
        <v>C00051</v>
      </c>
      <c r="E80" s="17" t="str">
        <f>"P330"</f>
        <v>P330</v>
      </c>
      <c r="F80" s="17" t="str">
        <f>"SABS Pine Pole 80/99mm CCA H4 Trt 3.0m"</f>
        <v>SABS Pine Pole 80/99mm CCA H4 Trt 3.0m</v>
      </c>
      <c r="G80" s="17">
        <v>0.0</v>
      </c>
      <c r="H80" s="17">
        <v>20.23</v>
      </c>
      <c r="I80" s="27">
        <f t="shared" si="3"/>
        <v>0</v>
      </c>
    </row>
    <row r="81" ht="12.75" customHeight="1">
      <c r="A81" s="17" t="s">
        <v>39</v>
      </c>
      <c r="B81" s="33" t="str">
        <f>"""BC365 (SQL)"",""Somerset Timbers"",""37"",""1"",""Order"",""3"",""SF38695"",""4"",""10000"""</f>
        <v>"BC365 (SQL)","Somerset Timbers","37","1","Order","3","SF38695","4","10000"</v>
      </c>
      <c r="C81" s="17" t="str">
        <f t="shared" ref="C81:C110" si="30">"SF38695"</f>
        <v>SF38695</v>
      </c>
      <c r="D81" s="17" t="str">
        <f t="shared" ref="D81:D110" si="31">"C31698"</f>
        <v>C31698</v>
      </c>
      <c r="E81" s="17" t="str">
        <f>"AD24"</f>
        <v>AD24</v>
      </c>
      <c r="F81" s="17" t="str">
        <f>"SABS Pine 38x114mm CCA H2 Treated  2.4m"</f>
        <v>SABS Pine 38x114mm CCA H2 Treated  2.4m</v>
      </c>
      <c r="G81" s="17">
        <v>0.0</v>
      </c>
      <c r="H81" s="17">
        <v>7.8</v>
      </c>
      <c r="I81" s="27">
        <f t="shared" si="3"/>
        <v>0</v>
      </c>
    </row>
    <row r="82" ht="12.75" customHeight="1">
      <c r="A82" s="17" t="s">
        <v>39</v>
      </c>
      <c r="B82" s="33" t="str">
        <f>"""BC365 (SQL)"",""Somerset Timbers"",""37"",""1"",""Order"",""3"",""SF38695"",""4"",""20000"""</f>
        <v>"BC365 (SQL)","Somerset Timbers","37","1","Order","3","SF38695","4","20000"</v>
      </c>
      <c r="C82" s="17" t="str">
        <f t="shared" si="30"/>
        <v>SF38695</v>
      </c>
      <c r="D82" s="17" t="str">
        <f t="shared" si="31"/>
        <v>C31698</v>
      </c>
      <c r="E82" s="17" t="str">
        <f>"AD30"</f>
        <v>AD30</v>
      </c>
      <c r="F82" s="17" t="str">
        <f>"SABS Pine 38x114mm CCA H2 Treated  3.0m"</f>
        <v>SABS Pine 38x114mm CCA H2 Treated  3.0m</v>
      </c>
      <c r="G82" s="17">
        <v>0.0</v>
      </c>
      <c r="H82" s="17">
        <v>9.75</v>
      </c>
      <c r="I82" s="27">
        <f t="shared" si="3"/>
        <v>0</v>
      </c>
    </row>
    <row r="83" ht="12.75" customHeight="1">
      <c r="A83" s="17" t="s">
        <v>39</v>
      </c>
      <c r="B83" s="33" t="str">
        <f>"""BC365 (SQL)"",""Somerset Timbers"",""37"",""1"",""Order"",""3"",""SF38695"",""4"",""30000"""</f>
        <v>"BC365 (SQL)","Somerset Timbers","37","1","Order","3","SF38695","4","30000"</v>
      </c>
      <c r="C83" s="17" t="str">
        <f t="shared" si="30"/>
        <v>SF38695</v>
      </c>
      <c r="D83" s="17" t="str">
        <f t="shared" si="31"/>
        <v>C31698</v>
      </c>
      <c r="E83" s="17" t="str">
        <f>"AD36"</f>
        <v>AD36</v>
      </c>
      <c r="F83" s="17" t="str">
        <f>"SABS Pine 38x114mm CCA H2 Treated  3.6m"</f>
        <v>SABS Pine 38x114mm CCA H2 Treated  3.6m</v>
      </c>
      <c r="G83" s="17">
        <v>0.0</v>
      </c>
      <c r="H83" s="17">
        <v>11.7</v>
      </c>
      <c r="I83" s="27">
        <f t="shared" si="3"/>
        <v>0</v>
      </c>
    </row>
    <row r="84" ht="12.75" customHeight="1">
      <c r="A84" s="17" t="s">
        <v>39</v>
      </c>
      <c r="B84" s="33" t="str">
        <f>"""BC365 (SQL)"",""Somerset Timbers"",""37"",""1"",""Order"",""3"",""SF38695"",""4"",""40000"""</f>
        <v>"BC365 (SQL)","Somerset Timbers","37","1","Order","3","SF38695","4","40000"</v>
      </c>
      <c r="C84" s="17" t="str">
        <f t="shared" si="30"/>
        <v>SF38695</v>
      </c>
      <c r="D84" s="17" t="str">
        <f t="shared" si="31"/>
        <v>C31698</v>
      </c>
      <c r="E84" s="17" t="str">
        <f>"AD48"</f>
        <v>AD48</v>
      </c>
      <c r="F84" s="17" t="str">
        <f>"SABS Pine 38x114mm CCA H2 Treated  4.8m"</f>
        <v>SABS Pine 38x114mm CCA H2 Treated  4.8m</v>
      </c>
      <c r="G84" s="17">
        <v>0.0</v>
      </c>
      <c r="H84" s="17">
        <v>15.6</v>
      </c>
      <c r="I84" s="27">
        <f t="shared" si="3"/>
        <v>0</v>
      </c>
    </row>
    <row r="85" ht="12.75" customHeight="1">
      <c r="A85" s="17" t="s">
        <v>39</v>
      </c>
      <c r="B85" s="33" t="str">
        <f>"""BC365 (SQL)"",""Somerset Timbers"",""37"",""1"",""Order"",""3"",""SF38695"",""4"",""50000"""</f>
        <v>"BC365 (SQL)","Somerset Timbers","37","1","Order","3","SF38695","4","50000"</v>
      </c>
      <c r="C85" s="17" t="str">
        <f t="shared" si="30"/>
        <v>SF38695</v>
      </c>
      <c r="D85" s="17" t="str">
        <f t="shared" si="31"/>
        <v>C31698</v>
      </c>
      <c r="E85" s="17" t="str">
        <f>"AD54"</f>
        <v>AD54</v>
      </c>
      <c r="F85" s="17" t="str">
        <f>"SABS Pine 38x114mm CCA H2 Treated  5.4m"</f>
        <v>SABS Pine 38x114mm CCA H2 Treated  5.4m</v>
      </c>
      <c r="G85" s="17">
        <v>0.0</v>
      </c>
      <c r="H85" s="17">
        <v>17.54</v>
      </c>
      <c r="I85" s="27">
        <f t="shared" si="3"/>
        <v>0</v>
      </c>
    </row>
    <row r="86" ht="12.75" customHeight="1">
      <c r="A86" s="17" t="s">
        <v>39</v>
      </c>
      <c r="B86" s="33" t="str">
        <f>"""BC365 (SQL)"",""Somerset Timbers"",""37"",""1"",""Order"",""3"",""SF38695"",""4"",""60000"""</f>
        <v>"BC365 (SQL)","Somerset Timbers","37","1","Order","3","SF38695","4","60000"</v>
      </c>
      <c r="C86" s="17" t="str">
        <f t="shared" si="30"/>
        <v>SF38695</v>
      </c>
      <c r="D86" s="17" t="str">
        <f t="shared" si="31"/>
        <v>C31698</v>
      </c>
      <c r="E86" s="17" t="str">
        <f>"AD60"</f>
        <v>AD60</v>
      </c>
      <c r="F86" s="17" t="str">
        <f>"SABS Pine 38x114mm CCA H2 Treated  6.0m"</f>
        <v>SABS Pine 38x114mm CCA H2 Treated  6.0m</v>
      </c>
      <c r="G86" s="17">
        <v>0.0</v>
      </c>
      <c r="H86" s="17">
        <v>19.49</v>
      </c>
      <c r="I86" s="27">
        <f t="shared" si="3"/>
        <v>0</v>
      </c>
    </row>
    <row r="87" ht="12.75" customHeight="1">
      <c r="A87" s="17" t="s">
        <v>39</v>
      </c>
      <c r="B87" s="33" t="str">
        <f>"""BC365 (SQL)"",""Somerset Timbers"",""37"",""1"",""Order"",""3"",""SF38695"",""4"",""70000"""</f>
        <v>"BC365 (SQL)","Somerset Timbers","37","1","Order","3","SF38695","4","70000"</v>
      </c>
      <c r="C87" s="17" t="str">
        <f t="shared" si="30"/>
        <v>SF38695</v>
      </c>
      <c r="D87" s="17" t="str">
        <f t="shared" si="31"/>
        <v>C31698</v>
      </c>
      <c r="E87" s="17" t="str">
        <f>"AE24"</f>
        <v>AE24</v>
      </c>
      <c r="F87" s="17" t="str">
        <f>"SABS Pine 38x152mm CCA H2 Treated  2.4m"</f>
        <v>SABS Pine 38x152mm CCA H2 Treated  2.4m</v>
      </c>
      <c r="G87" s="17">
        <v>0.0</v>
      </c>
      <c r="H87" s="17">
        <v>10.4</v>
      </c>
      <c r="I87" s="27">
        <f t="shared" si="3"/>
        <v>0</v>
      </c>
    </row>
    <row r="88" ht="12.75" customHeight="1">
      <c r="A88" s="17" t="s">
        <v>39</v>
      </c>
      <c r="B88" s="33" t="str">
        <f>"""BC365 (SQL)"",""Somerset Timbers"",""37"",""1"",""Order"",""3"",""SF38695"",""4"",""80000"""</f>
        <v>"BC365 (SQL)","Somerset Timbers","37","1","Order","3","SF38695","4","80000"</v>
      </c>
      <c r="C88" s="17" t="str">
        <f t="shared" si="30"/>
        <v>SF38695</v>
      </c>
      <c r="D88" s="17" t="str">
        <f t="shared" si="31"/>
        <v>C31698</v>
      </c>
      <c r="E88" s="17" t="str">
        <f>"AE48"</f>
        <v>AE48</v>
      </c>
      <c r="F88" s="17" t="str">
        <f>"SABS Pine 38x152mm CCA H2 Treated  4.8m"</f>
        <v>SABS Pine 38x152mm CCA H2 Treated  4.8m</v>
      </c>
      <c r="G88" s="17">
        <v>0.0</v>
      </c>
      <c r="H88" s="17">
        <v>20.79</v>
      </c>
      <c r="I88" s="27">
        <f t="shared" si="3"/>
        <v>0</v>
      </c>
    </row>
    <row r="89" ht="12.75" customHeight="1">
      <c r="A89" s="17" t="s">
        <v>39</v>
      </c>
      <c r="B89" s="33" t="str">
        <f>"""BC365 (SQL)"",""Somerset Timbers"",""37"",""1"",""Order"",""3"",""SF38695"",""4"",""90000"""</f>
        <v>"BC365 (SQL)","Somerset Timbers","37","1","Order","3","SF38695","4","90000"</v>
      </c>
      <c r="C89" s="17" t="str">
        <f t="shared" si="30"/>
        <v>SF38695</v>
      </c>
      <c r="D89" s="17" t="str">
        <f t="shared" si="31"/>
        <v>C31698</v>
      </c>
      <c r="E89" s="17" t="str">
        <f>"AE54"</f>
        <v>AE54</v>
      </c>
      <c r="F89" s="17" t="str">
        <f>"SABS Pine 38x152mm CCA H2 Treated  5.4m"</f>
        <v>SABS Pine 38x152mm CCA H2 Treated  5.4m</v>
      </c>
      <c r="G89" s="17">
        <v>0.0</v>
      </c>
      <c r="H89" s="17">
        <v>23.39</v>
      </c>
      <c r="I89" s="27">
        <f t="shared" si="3"/>
        <v>0</v>
      </c>
    </row>
    <row r="90" ht="12.75" customHeight="1">
      <c r="A90" s="17" t="s">
        <v>39</v>
      </c>
      <c r="B90" s="33" t="str">
        <f>"""BC365 (SQL)"",""Somerset Timbers"",""37"",""1"",""Order"",""3"",""SF38695"",""4"",""100000"""</f>
        <v>"BC365 (SQL)","Somerset Timbers","37","1","Order","3","SF38695","4","100000"</v>
      </c>
      <c r="C90" s="17" t="str">
        <f t="shared" si="30"/>
        <v>SF38695</v>
      </c>
      <c r="D90" s="17" t="str">
        <f t="shared" si="31"/>
        <v>C31698</v>
      </c>
      <c r="E90" s="17" t="str">
        <f>"AE60"</f>
        <v>AE60</v>
      </c>
      <c r="F90" s="17" t="str">
        <f>"SABS Pine 38x152mm CCA H2 Treated  6.0m"</f>
        <v>SABS Pine 38x152mm CCA H2 Treated  6.0m</v>
      </c>
      <c r="G90" s="17">
        <v>0.0</v>
      </c>
      <c r="H90" s="17">
        <v>25.990000000000002</v>
      </c>
      <c r="I90" s="27">
        <f t="shared" si="3"/>
        <v>0</v>
      </c>
    </row>
    <row r="91" ht="12.75" customHeight="1">
      <c r="A91" s="17" t="s">
        <v>39</v>
      </c>
      <c r="B91" s="33" t="str">
        <f>"""BC365 (SQL)"",""Somerset Timbers"",""37"",""1"",""Order"",""3"",""SF38695"",""4"",""110000"""</f>
        <v>"BC365 (SQL)","Somerset Timbers","37","1","Order","3","SF38695","4","110000"</v>
      </c>
      <c r="C91" s="17" t="str">
        <f t="shared" si="30"/>
        <v>SF38695</v>
      </c>
      <c r="D91" s="17" t="str">
        <f t="shared" si="31"/>
        <v>C31698</v>
      </c>
      <c r="E91" s="17" t="str">
        <f>"AG48"</f>
        <v>AG48</v>
      </c>
      <c r="F91" s="17" t="str">
        <f>"SABS Pine 50x76mm CCA H2 Treated  4.8m"</f>
        <v>SABS Pine 50x76mm CCA H2 Treated  4.8m</v>
      </c>
      <c r="G91" s="17">
        <v>0.0</v>
      </c>
      <c r="H91" s="17">
        <v>13.68</v>
      </c>
      <c r="I91" s="27">
        <f t="shared" si="3"/>
        <v>0</v>
      </c>
    </row>
    <row r="92" ht="12.75" customHeight="1">
      <c r="A92" s="17" t="s">
        <v>39</v>
      </c>
      <c r="B92" s="33" t="str">
        <f>"""BC365 (SQL)"",""Somerset Timbers"",""37"",""1"",""Order"",""3"",""SF38695"",""4"",""120000"""</f>
        <v>"BC365 (SQL)","Somerset Timbers","37","1","Order","3","SF38695","4","120000"</v>
      </c>
      <c r="C92" s="17" t="str">
        <f t="shared" si="30"/>
        <v>SF38695</v>
      </c>
      <c r="D92" s="17" t="str">
        <f t="shared" si="31"/>
        <v>C31698</v>
      </c>
      <c r="E92" s="17" t="str">
        <f>"AG54"</f>
        <v>AG54</v>
      </c>
      <c r="F92" s="17" t="str">
        <f>"SABS Pine 50x76mm CCA H2 Treated  5.4m"</f>
        <v>SABS Pine 50x76mm CCA H2 Treated  5.4m</v>
      </c>
      <c r="G92" s="17">
        <v>0.0</v>
      </c>
      <c r="H92" s="17">
        <v>15.39</v>
      </c>
      <c r="I92" s="27">
        <f t="shared" si="3"/>
        <v>0</v>
      </c>
    </row>
    <row r="93" ht="12.75" customHeight="1">
      <c r="A93" s="17" t="s">
        <v>39</v>
      </c>
      <c r="B93" s="33" t="str">
        <f>"""BC365 (SQL)"",""Somerset Timbers"",""37"",""1"",""Order"",""3"",""SF38695"",""4"",""130000"""</f>
        <v>"BC365 (SQL)","Somerset Timbers","37","1","Order","3","SF38695","4","130000"</v>
      </c>
      <c r="C93" s="17" t="str">
        <f t="shared" si="30"/>
        <v>SF38695</v>
      </c>
      <c r="D93" s="17" t="str">
        <f t="shared" si="31"/>
        <v>C31698</v>
      </c>
      <c r="E93" s="17" t="str">
        <f>"AG60"</f>
        <v>AG60</v>
      </c>
      <c r="F93" s="17" t="str">
        <f>"SABS Pine 50x76mm CCA H2 Treated  6.0m"</f>
        <v>SABS Pine 50x76mm CCA H2 Treated  6.0m</v>
      </c>
      <c r="G93" s="17">
        <v>0.0</v>
      </c>
      <c r="H93" s="17">
        <v>17.1</v>
      </c>
      <c r="I93" s="27">
        <f t="shared" si="3"/>
        <v>0</v>
      </c>
    </row>
    <row r="94" ht="12.75" customHeight="1">
      <c r="A94" s="17" t="s">
        <v>39</v>
      </c>
      <c r="B94" s="33" t="str">
        <f>"""BC365 (SQL)"",""Somerset Timbers"",""37"",""1"",""Order"",""3"",""SF38695"",""4"",""140000"""</f>
        <v>"BC365 (SQL)","Somerset Timbers","37","1","Order","3","SF38695","4","140000"</v>
      </c>
      <c r="C94" s="17" t="str">
        <f t="shared" si="30"/>
        <v>SF38695</v>
      </c>
      <c r="D94" s="17" t="str">
        <f t="shared" si="31"/>
        <v>C31698</v>
      </c>
      <c r="E94" s="17" t="str">
        <f>"L092"</f>
        <v>L092</v>
      </c>
      <c r="F94" s="17" t="str">
        <f>"OSB Grd3 Kronospan 15mm"</f>
        <v>OSB Grd3 Kronospan 15mm</v>
      </c>
      <c r="G94" s="17">
        <v>0.0</v>
      </c>
      <c r="H94" s="17">
        <v>29.02</v>
      </c>
      <c r="I94" s="27">
        <f t="shared" si="3"/>
        <v>0</v>
      </c>
    </row>
    <row r="95" ht="12.75" customHeight="1">
      <c r="A95" s="17" t="s">
        <v>39</v>
      </c>
      <c r="B95" s="33" t="str">
        <f>"""BC365 (SQL)"",""Somerset Timbers"",""37"",""1"",""Order"",""3"",""SF38695"",""4"",""150000"""</f>
        <v>"BC365 (SQL)","Somerset Timbers","37","1","Order","3","SF38695","4","150000"</v>
      </c>
      <c r="C95" s="17" t="str">
        <f t="shared" si="30"/>
        <v>SF38695</v>
      </c>
      <c r="D95" s="17" t="str">
        <f t="shared" si="31"/>
        <v>C31698</v>
      </c>
      <c r="E95" s="17" t="str">
        <f>"ZA01140"</f>
        <v>ZA01140</v>
      </c>
      <c r="F95" s="17" t="str">
        <f>"Delivery to Gordons Bay (1 - 8 cubic metres)"</f>
        <v>Delivery to Gordons Bay (1 - 8 cubic metres)</v>
      </c>
      <c r="G95" s="17">
        <v>0.0</v>
      </c>
      <c r="H95" s="17">
        <v>0.0</v>
      </c>
      <c r="I95" s="27">
        <f t="shared" si="3"/>
        <v>0</v>
      </c>
    </row>
    <row r="96" ht="12.75" customHeight="1">
      <c r="A96" s="17" t="s">
        <v>39</v>
      </c>
      <c r="B96" s="33" t="str">
        <f>"""BC365 (SQL)"",""Somerset Timbers"",""37"",""1"",""Order"",""3"",""SF38695"",""4"",""160000"""</f>
        <v>"BC365 (SQL)","Somerset Timbers","37","1","Order","3","SF38695","4","160000"</v>
      </c>
      <c r="C96" s="17" t="str">
        <f t="shared" si="30"/>
        <v>SF38695</v>
      </c>
      <c r="D96" s="17" t="str">
        <f t="shared" si="31"/>
        <v>C31698</v>
      </c>
      <c r="E96" s="17" t="str">
        <f>"YB00230 781159271441"</f>
        <v>YB00230 781159271441</v>
      </c>
      <c r="F96" s="17" t="str">
        <f>"Galseal MAHOGANY  5 Litres"</f>
        <v>Galseal MAHOGANY  5 Litres</v>
      </c>
      <c r="G96" s="17">
        <v>0.0</v>
      </c>
      <c r="H96" s="17">
        <v>4.3</v>
      </c>
      <c r="I96" s="27">
        <f t="shared" si="3"/>
        <v>0</v>
      </c>
    </row>
    <row r="97" ht="12.75" customHeight="1">
      <c r="A97" s="17" t="s">
        <v>39</v>
      </c>
      <c r="B97" s="33" t="str">
        <f>"""BC365 (SQL)"",""Somerset Timbers"",""37"",""1"",""Order"",""3"",""SF38695"",""4"",""170000"""</f>
        <v>"BC365 (SQL)","Somerset Timbers","37","1","Order","3","SF38695","4","170000"</v>
      </c>
      <c r="C97" s="17" t="str">
        <f t="shared" si="30"/>
        <v>SF38695</v>
      </c>
      <c r="D97" s="17" t="str">
        <f t="shared" si="31"/>
        <v>C31698</v>
      </c>
      <c r="E97" s="17" t="str">
        <f>"YA02070"</f>
        <v>YA02070</v>
      </c>
      <c r="F97" s="17" t="str">
        <f>"Coach Screws - Galvanised 8x50mm (Pack of 20)"</f>
        <v>Coach Screws - Galvanised 8x50mm (Pack of 20)</v>
      </c>
      <c r="G97" s="17">
        <v>0.0</v>
      </c>
      <c r="H97" s="17">
        <v>0.3195</v>
      </c>
      <c r="I97" s="27">
        <f t="shared" si="3"/>
        <v>0</v>
      </c>
    </row>
    <row r="98" ht="12.75" customHeight="1">
      <c r="A98" s="17" t="s">
        <v>39</v>
      </c>
      <c r="B98" s="33" t="str">
        <f>"""BC365 (SQL)"",""Somerset Timbers"",""37"",""1"",""Order"",""3"",""SF38695"",""4"",""180000"""</f>
        <v>"BC365 (SQL)","Somerset Timbers","37","1","Order","3","SF38695","4","180000"</v>
      </c>
      <c r="C98" s="17" t="str">
        <f t="shared" si="30"/>
        <v>SF38695</v>
      </c>
      <c r="D98" s="17" t="str">
        <f t="shared" si="31"/>
        <v>C31698</v>
      </c>
      <c r="E98" s="17" t="str">
        <f>"YA01110"</f>
        <v>YA01110</v>
      </c>
      <c r="F98" s="17" t="str">
        <f>"Standard Hanger bracket  38mm"</f>
        <v>Standard Hanger bracket  38mm</v>
      </c>
      <c r="G98" s="17">
        <v>0.0</v>
      </c>
      <c r="H98" s="17">
        <v>0.216</v>
      </c>
      <c r="I98" s="27">
        <f t="shared" si="3"/>
        <v>0</v>
      </c>
    </row>
    <row r="99" ht="12.75" customHeight="1">
      <c r="A99" s="17" t="s">
        <v>39</v>
      </c>
      <c r="B99" s="33" t="str">
        <f>"""BC365 (SQL)"",""Somerset Timbers"",""37"",""1"",""Order"",""3"",""SF38695"",""4"",""190000"""</f>
        <v>"BC365 (SQL)","Somerset Timbers","37","1","Order","3","SF38695","4","190000"</v>
      </c>
      <c r="C99" s="17" t="str">
        <f t="shared" si="30"/>
        <v>SF38695</v>
      </c>
      <c r="D99" s="17" t="str">
        <f t="shared" si="31"/>
        <v>C31698</v>
      </c>
      <c r="E99" s="17" t="str">
        <f>"YA01170"</f>
        <v>YA01170</v>
      </c>
      <c r="F99" s="17" t="str">
        <f>"Hurricane Clip (Left)"</f>
        <v>Hurricane Clip (Left)</v>
      </c>
      <c r="G99" s="17">
        <v>0.0</v>
      </c>
      <c r="H99" s="17">
        <v>0.0525</v>
      </c>
      <c r="I99" s="27">
        <f t="shared" si="3"/>
        <v>0</v>
      </c>
    </row>
    <row r="100" ht="12.75" customHeight="1">
      <c r="A100" s="17" t="s">
        <v>39</v>
      </c>
      <c r="B100" s="33" t="str">
        <f>"""BC365 (SQL)"",""Somerset Timbers"",""37"",""1"",""Order"",""3"",""SF38695"",""4"",""200000"""</f>
        <v>"BC365 (SQL)","Somerset Timbers","37","1","Order","3","SF38695","4","200000"</v>
      </c>
      <c r="C100" s="17" t="str">
        <f t="shared" si="30"/>
        <v>SF38695</v>
      </c>
      <c r="D100" s="17" t="str">
        <f t="shared" si="31"/>
        <v>C31698</v>
      </c>
      <c r="E100" s="17" t="str">
        <f>"YA01180"</f>
        <v>YA01180</v>
      </c>
      <c r="F100" s="17" t="str">
        <f>"Hurricane Clip (Right)"</f>
        <v>Hurricane Clip (Right)</v>
      </c>
      <c r="G100" s="17">
        <v>0.0</v>
      </c>
      <c r="H100" s="17">
        <v>0.0525</v>
      </c>
      <c r="I100" s="27">
        <f t="shared" si="3"/>
        <v>0</v>
      </c>
    </row>
    <row r="101" ht="12.75" customHeight="1">
      <c r="A101" s="17" t="s">
        <v>39</v>
      </c>
      <c r="B101" s="33" t="str">
        <f>"""BC365 (SQL)"",""Somerset Timbers"",""37"",""1"",""Order"",""3"",""SF38695"",""4"",""230000"""</f>
        <v>"BC365 (SQL)","Somerset Timbers","37","1","Order","3","SF38695","4","230000"</v>
      </c>
      <c r="C101" s="17" t="str">
        <f t="shared" si="30"/>
        <v>SF38695</v>
      </c>
      <c r="D101" s="17" t="str">
        <f t="shared" si="31"/>
        <v>C31698</v>
      </c>
      <c r="E101" s="17" t="str">
        <f>"YA02375"</f>
        <v>YA02375</v>
      </c>
      <c r="F101" s="17" t="str">
        <f>"Pozi drive screw 10X100mm (PACK OF 200)"</f>
        <v>Pozi drive screw 10X100mm (PACK OF 200)</v>
      </c>
      <c r="G101" s="17">
        <v>0.0</v>
      </c>
      <c r="H101" s="17">
        <v>0.0</v>
      </c>
      <c r="I101" s="27">
        <f t="shared" si="3"/>
        <v>0</v>
      </c>
    </row>
    <row r="102" ht="12.75" customHeight="1">
      <c r="A102" s="17" t="s">
        <v>39</v>
      </c>
      <c r="B102" s="33" t="str">
        <f>"""BC365 (SQL)"",""Somerset Timbers"",""37"",""1"",""Order"",""3"",""SF38695"",""4"",""240000"""</f>
        <v>"BC365 (SQL)","Somerset Timbers","37","1","Order","3","SF38695","4","240000"</v>
      </c>
      <c r="C102" s="17" t="str">
        <f t="shared" si="30"/>
        <v>SF38695</v>
      </c>
      <c r="D102" s="17" t="str">
        <f t="shared" si="31"/>
        <v>C31698</v>
      </c>
      <c r="E102" s="17" t="str">
        <f>"YA02330"</f>
        <v>YA02330</v>
      </c>
      <c r="F102" s="17" t="str">
        <f>"Pozi drive screw  8x70mm (PACK OF 200)"</f>
        <v>Pozi drive screw  8x70mm (PACK OF 200)</v>
      </c>
      <c r="G102" s="17">
        <v>0.0</v>
      </c>
      <c r="H102" s="17">
        <v>0.59</v>
      </c>
      <c r="I102" s="27">
        <f t="shared" si="3"/>
        <v>0</v>
      </c>
    </row>
    <row r="103" ht="12.75" customHeight="1">
      <c r="A103" s="17" t="s">
        <v>39</v>
      </c>
      <c r="B103" s="33" t="str">
        <f>"""BC365 (SQL)"",""Somerset Timbers"",""37"",""1"",""Order"",""3"",""SF38695"",""4"",""250000"""</f>
        <v>"BC365 (SQL)","Somerset Timbers","37","1","Order","3","SF38695","4","250000"</v>
      </c>
      <c r="C103" s="17" t="str">
        <f t="shared" si="30"/>
        <v>SF38695</v>
      </c>
      <c r="D103" s="17" t="str">
        <f t="shared" si="31"/>
        <v>C31698</v>
      </c>
      <c r="E103" s="17" t="str">
        <f>"YA03100"</f>
        <v>YA03100</v>
      </c>
      <c r="F103" s="17" t="str">
        <f>"Bolt - Standard Galvanised  8x60mm  (Pack of 10)"</f>
        <v>Bolt - Standard Galvanised  8x60mm  (Pack of 10)</v>
      </c>
      <c r="G103" s="17">
        <v>0.0</v>
      </c>
      <c r="H103" s="17">
        <v>0.218</v>
      </c>
      <c r="I103" s="27">
        <f t="shared" si="3"/>
        <v>0</v>
      </c>
    </row>
    <row r="104" ht="12.75" customHeight="1">
      <c r="A104" s="17" t="s">
        <v>39</v>
      </c>
      <c r="B104" s="33" t="str">
        <f>"""BC365 (SQL)"",""Somerset Timbers"",""37"",""1"",""Order"",""3"",""SF38695"",""4"",""260000"""</f>
        <v>"BC365 (SQL)","Somerset Timbers","37","1","Order","3","SF38695","4","260000"</v>
      </c>
      <c r="C104" s="17" t="str">
        <f t="shared" si="30"/>
        <v>SF38695</v>
      </c>
      <c r="D104" s="17" t="str">
        <f t="shared" si="31"/>
        <v>C31698</v>
      </c>
      <c r="E104" s="17" t="str">
        <f>"YA03310"</f>
        <v>YA03310</v>
      </c>
      <c r="F104" s="17" t="str">
        <f>"Nuts - Standard Galvanised 10mm (Pack of 10)"</f>
        <v>Nuts - Standard Galvanised 10mm (Pack of 10)</v>
      </c>
      <c r="G104" s="17">
        <v>0.0</v>
      </c>
      <c r="H104" s="17">
        <v>0.106</v>
      </c>
      <c r="I104" s="27">
        <f t="shared" si="3"/>
        <v>0</v>
      </c>
    </row>
    <row r="105" ht="12.75" customHeight="1">
      <c r="A105" s="17" t="s">
        <v>39</v>
      </c>
      <c r="B105" s="33" t="str">
        <f>"""BC365 (SQL)"",""Somerset Timbers"",""37"",""1"",""Order"",""3"",""SF38695"",""4"",""280000"""</f>
        <v>"BC365 (SQL)","Somerset Timbers","37","1","Order","3","SF38695","4","280000"</v>
      </c>
      <c r="C105" s="17" t="str">
        <f t="shared" si="30"/>
        <v>SF38695</v>
      </c>
      <c r="D105" s="17" t="str">
        <f t="shared" si="31"/>
        <v>C31698</v>
      </c>
      <c r="E105" s="17" t="str">
        <f>"YA03170"</f>
        <v>YA03170</v>
      </c>
      <c r="F105" s="17" t="str">
        <f>"Bolt - Standard Galvanised 10x120mm  (Pack of 10)"</f>
        <v>Bolt - Standard Galvanised 10x120mm  (Pack of 10)</v>
      </c>
      <c r="G105" s="17">
        <v>0.0</v>
      </c>
      <c r="H105" s="17">
        <v>0.79</v>
      </c>
      <c r="I105" s="27">
        <f t="shared" si="3"/>
        <v>0</v>
      </c>
    </row>
    <row r="106" ht="12.75" customHeight="1">
      <c r="A106" s="17" t="s">
        <v>39</v>
      </c>
      <c r="B106" s="33" t="str">
        <f>"""BC365 (SQL)"",""Somerset Timbers"",""37"",""1"",""Order"",""3"",""SF38695"",""4"",""290000"""</f>
        <v>"BC365 (SQL)","Somerset Timbers","37","1","Order","3","SF38695","4","290000"</v>
      </c>
      <c r="C106" s="17" t="str">
        <f t="shared" si="30"/>
        <v>SF38695</v>
      </c>
      <c r="D106" s="17" t="str">
        <f t="shared" si="31"/>
        <v>C31698</v>
      </c>
      <c r="E106" s="17" t="str">
        <f>"YA02100"</f>
        <v>YA02100</v>
      </c>
      <c r="F106" s="17" t="str">
        <f>"Coach Screws - Galvanised 8x100mm (Pack of 20)"</f>
        <v>Coach Screws - Galvanised 8x100mm (Pack of 20)</v>
      </c>
      <c r="G106" s="17">
        <v>0.0</v>
      </c>
      <c r="H106" s="17">
        <v>0.0</v>
      </c>
      <c r="I106" s="27">
        <f t="shared" si="3"/>
        <v>0</v>
      </c>
    </row>
    <row r="107" ht="12.75" customHeight="1">
      <c r="A107" s="17" t="s">
        <v>39</v>
      </c>
      <c r="B107" s="33" t="str">
        <f>"""BC365 (SQL)"",""Somerset Timbers"",""37"",""1"",""Order"",""3"",""SF38695"",""4"",""300000"""</f>
        <v>"BC365 (SQL)","Somerset Timbers","37","1","Order","3","SF38695","4","300000"</v>
      </c>
      <c r="C107" s="17" t="str">
        <f t="shared" si="30"/>
        <v>SF38695</v>
      </c>
      <c r="D107" s="17" t="str">
        <f t="shared" si="31"/>
        <v>C31698</v>
      </c>
      <c r="E107" s="17" t="str">
        <f>"YA03300"</f>
        <v>YA03300</v>
      </c>
      <c r="F107" s="17" t="str">
        <f>"Nuts - Standard Galvanised 8mm  (Pack of 10)"</f>
        <v>Nuts - Standard Galvanised 8mm  (Pack of 10)</v>
      </c>
      <c r="G107" s="17">
        <v>0.0</v>
      </c>
      <c r="H107" s="17">
        <v>0.049</v>
      </c>
      <c r="I107" s="27">
        <f t="shared" si="3"/>
        <v>0</v>
      </c>
    </row>
    <row r="108" ht="12.75" customHeight="1">
      <c r="A108" s="17" t="s">
        <v>39</v>
      </c>
      <c r="B108" s="33" t="str">
        <f>"""BC365 (SQL)"",""Somerset Timbers"",""37"",""1"",""Order"",""3"",""SF38695"",""4"",""310000"""</f>
        <v>"BC365 (SQL)","Somerset Timbers","37","1","Order","3","SF38695","4","310000"</v>
      </c>
      <c r="C108" s="17" t="str">
        <f t="shared" si="30"/>
        <v>SF38695</v>
      </c>
      <c r="D108" s="17" t="str">
        <f t="shared" si="31"/>
        <v>C31698</v>
      </c>
      <c r="E108" s="17" t="str">
        <f>"YA03410"</f>
        <v>YA03410</v>
      </c>
      <c r="F108" s="17" t="str">
        <f>"Washers- Body Galvanised 10mm  (Pack of 10)"</f>
        <v>Washers- Body Galvanised 10mm  (Pack of 10)</v>
      </c>
      <c r="G108" s="17">
        <v>0.0</v>
      </c>
      <c r="H108" s="17">
        <v>0.1285</v>
      </c>
      <c r="I108" s="27">
        <f t="shared" si="3"/>
        <v>0</v>
      </c>
    </row>
    <row r="109" ht="12.75" customHeight="1">
      <c r="A109" s="17" t="s">
        <v>39</v>
      </c>
      <c r="B109" s="33" t="str">
        <f>"""BC365 (SQL)"",""Somerset Timbers"",""37"",""1"",""Order"",""3"",""SF38695"",""4"",""320000"""</f>
        <v>"BC365 (SQL)","Somerset Timbers","37","1","Order","3","SF38695","4","320000"</v>
      </c>
      <c r="C109" s="17" t="str">
        <f t="shared" si="30"/>
        <v>SF38695</v>
      </c>
      <c r="D109" s="17" t="str">
        <f t="shared" si="31"/>
        <v>C31698</v>
      </c>
      <c r="E109" s="17" t="str">
        <f>"YA03400"</f>
        <v>YA03400</v>
      </c>
      <c r="F109" s="17" t="str">
        <f>"Washers- Body Galvanised 8mm   (Pack of 10)"</f>
        <v>Washers- Body Galvanised 8mm   (Pack of 10)</v>
      </c>
      <c r="G109" s="17">
        <v>0.0</v>
      </c>
      <c r="H109" s="17">
        <v>0.0975</v>
      </c>
      <c r="I109" s="27">
        <f t="shared" si="3"/>
        <v>0</v>
      </c>
    </row>
    <row r="110" ht="12.75" customHeight="1">
      <c r="A110" s="17" t="s">
        <v>39</v>
      </c>
      <c r="B110" s="33" t="str">
        <f>"""BC365 (SQL)"",""Somerset Timbers"",""37"",""1"",""Order"",""3"",""SF38695"",""4"",""330000"""</f>
        <v>"BC365 (SQL)","Somerset Timbers","37","1","Order","3","SF38695","4","330000"</v>
      </c>
      <c r="C110" s="17" t="str">
        <f t="shared" si="30"/>
        <v>SF38695</v>
      </c>
      <c r="D110" s="17" t="str">
        <f t="shared" si="31"/>
        <v>C31698</v>
      </c>
      <c r="E110" s="17" t="str">
        <f>"YA00150 400398421010"</f>
        <v>YA00150 400398421010</v>
      </c>
      <c r="F110" s="17" t="str">
        <f>"Vormann Angle Connector 60x40x60mm 70912000"</f>
        <v>Vormann Angle Connector 60x40x60mm 70912000</v>
      </c>
      <c r="G110" s="17">
        <v>40.0</v>
      </c>
      <c r="H110" s="17">
        <v>0.102</v>
      </c>
      <c r="I110" s="27">
        <f t="shared" si="3"/>
        <v>4.08</v>
      </c>
    </row>
    <row r="111" ht="12.75" customHeight="1">
      <c r="A111" s="17" t="s">
        <v>39</v>
      </c>
      <c r="B111" s="33" t="str">
        <f>"""BC365 (SQL)"",""Somerset Timbers"",""37"",""1"",""Order"",""3"",""SF38838"",""4"",""10000"""</f>
        <v>"BC365 (SQL)","Somerset Timbers","37","1","Order","3","SF38838","4","10000"</v>
      </c>
      <c r="C111" s="17" t="str">
        <f t="shared" ref="C111:C112" si="32">"SF38838"</f>
        <v>SF38838</v>
      </c>
      <c r="D111" s="17" t="str">
        <f t="shared" ref="D111:D112" si="33">"C17262"</f>
        <v>C17262</v>
      </c>
      <c r="E111" s="17" t="str">
        <f>"L075"</f>
        <v>L075</v>
      </c>
      <c r="F111" s="17" t="str">
        <f>"Marine Exterior Ply AA Grade 15mm"</f>
        <v>Marine Exterior Ply AA Grade 15mm</v>
      </c>
      <c r="G111" s="17">
        <v>2.0</v>
      </c>
      <c r="H111" s="17">
        <v>31.26</v>
      </c>
      <c r="I111" s="27">
        <f t="shared" si="3"/>
        <v>62.52</v>
      </c>
    </row>
    <row r="112" ht="12.75" customHeight="1">
      <c r="A112" s="17" t="s">
        <v>39</v>
      </c>
      <c r="B112" s="33" t="str">
        <f>"""BC365 (SQL)"",""Somerset Timbers"",""37"",""1"",""Order"",""3"",""SF38838"",""4"",""20000"""</f>
        <v>"BC365 (SQL)","Somerset Timbers","37","1","Order","3","SF38838","4","20000"</v>
      </c>
      <c r="C112" s="17" t="str">
        <f t="shared" si="32"/>
        <v>SF38838</v>
      </c>
      <c r="D112" s="17" t="str">
        <f t="shared" si="33"/>
        <v>C17262</v>
      </c>
      <c r="E112" s="17" t="str">
        <f>"ZA02060"</f>
        <v>ZA02060</v>
      </c>
      <c r="F112" s="17" t="str">
        <f>"Delivery to Observatory (0 - 1 cubic metres)"</f>
        <v>Delivery to Observatory (0 - 1 cubic metres)</v>
      </c>
      <c r="G112" s="17">
        <v>1.0</v>
      </c>
      <c r="H112" s="17">
        <v>0.0</v>
      </c>
      <c r="I112" s="27">
        <f t="shared" si="3"/>
        <v>0</v>
      </c>
    </row>
    <row r="113" ht="12.75" customHeight="1">
      <c r="A113" s="17" t="s">
        <v>39</v>
      </c>
      <c r="B113" s="33" t="str">
        <f>"""BC365 (SQL)"",""Somerset Timbers"",""37"",""1"",""Order"",""3"",""SF38956"",""4"",""10000"""</f>
        <v>"BC365 (SQL)","Somerset Timbers","37","1","Order","3","SF38956","4","10000"</v>
      </c>
      <c r="C113" s="17" t="str">
        <f t="shared" ref="C113:C117" si="34">"SF38956"</f>
        <v>SF38956</v>
      </c>
      <c r="D113" s="17" t="str">
        <f t="shared" ref="D113:D117" si="35">"C31743"</f>
        <v>C31743</v>
      </c>
      <c r="E113" s="17" t="str">
        <f>"M001"</f>
        <v>M001</v>
      </c>
      <c r="F113" s="17" t="str">
        <f>"Small Planter box - 300 x 500mm"</f>
        <v>Small Planter box - 300 x 500mm</v>
      </c>
      <c r="G113" s="17">
        <v>0.0</v>
      </c>
      <c r="H113" s="17">
        <v>24.750000000000004</v>
      </c>
      <c r="I113" s="27">
        <f t="shared" si="3"/>
        <v>0</v>
      </c>
    </row>
    <row r="114" ht="12.75" customHeight="1">
      <c r="A114" s="17" t="s">
        <v>39</v>
      </c>
      <c r="B114" s="33" t="str">
        <f>"""BC365 (SQL)"",""Somerset Timbers"",""37"",""1"",""Order"",""3"",""SF38956"",""4"",""20000"""</f>
        <v>"BC365 (SQL)","Somerset Timbers","37","1","Order","3","SF38956","4","20000"</v>
      </c>
      <c r="C114" s="17" t="str">
        <f t="shared" si="34"/>
        <v>SF38956</v>
      </c>
      <c r="D114" s="17" t="str">
        <f t="shared" si="35"/>
        <v>C31743</v>
      </c>
      <c r="E114" s="17" t="str">
        <f>"M004"</f>
        <v>M004</v>
      </c>
      <c r="F114" s="17" t="str">
        <f>"LONG Planter box - 360mm x 0.9m"</f>
        <v>LONG Planter box - 360mm x 0.9m</v>
      </c>
      <c r="G114" s="17">
        <v>0.0</v>
      </c>
      <c r="H114" s="17">
        <v>62.37</v>
      </c>
      <c r="I114" s="27">
        <f t="shared" si="3"/>
        <v>0</v>
      </c>
    </row>
    <row r="115" ht="12.75" customHeight="1">
      <c r="A115" s="17" t="s">
        <v>39</v>
      </c>
      <c r="B115" s="33" t="str">
        <f>"""BC365 (SQL)"",""Somerset Timbers"",""37"",""1"",""Order"",""3"",""SF38956"",""4"",""30000"""</f>
        <v>"BC365 (SQL)","Somerset Timbers","37","1","Order","3","SF38956","4","30000"</v>
      </c>
      <c r="C115" s="17" t="str">
        <f t="shared" si="34"/>
        <v>SF38956</v>
      </c>
      <c r="D115" s="17" t="str">
        <f t="shared" si="35"/>
        <v>C31743</v>
      </c>
      <c r="E115" s="17" t="str">
        <f>"P130"</f>
        <v>P130</v>
      </c>
      <c r="F115" s="17" t="str">
        <f>"Dropper 35-49mm CCA H3 Treated  3.0m"</f>
        <v>Dropper 35-49mm CCA H3 Treated  3.0m</v>
      </c>
      <c r="G115" s="17">
        <v>0.0</v>
      </c>
      <c r="H115" s="17">
        <v>5.27</v>
      </c>
      <c r="I115" s="27">
        <f t="shared" si="3"/>
        <v>0</v>
      </c>
    </row>
    <row r="116" ht="12.75" customHeight="1">
      <c r="A116" s="17" t="s">
        <v>39</v>
      </c>
      <c r="B116" s="33" t="str">
        <f>"""BC365 (SQL)"",""Somerset Timbers"",""37"",""1"",""Order"",""3"",""SF38956"",""4"",""40000"""</f>
        <v>"BC365 (SQL)","Somerset Timbers","37","1","Order","3","SF38956","4","40000"</v>
      </c>
      <c r="C116" s="17" t="str">
        <f t="shared" si="34"/>
        <v>SF38956</v>
      </c>
      <c r="D116" s="17" t="str">
        <f t="shared" si="35"/>
        <v>C31743</v>
      </c>
      <c r="E116" s="17" t="str">
        <f>"PS430"</f>
        <v>PS430</v>
      </c>
      <c r="F116" s="17" t="str">
        <f>"SPLIT Pole 100/119mm CCA H3 Treat 3.0m"</f>
        <v>SPLIT Pole 100/119mm CCA H3 Treat 3.0m</v>
      </c>
      <c r="G116" s="17">
        <v>0.0</v>
      </c>
      <c r="H116" s="17">
        <v>14.54</v>
      </c>
      <c r="I116" s="27">
        <f t="shared" si="3"/>
        <v>0</v>
      </c>
    </row>
    <row r="117" ht="12.75" customHeight="1">
      <c r="A117" s="17" t="s">
        <v>39</v>
      </c>
      <c r="B117" s="33" t="str">
        <f>"""BC365 (SQL)"",""Somerset Timbers"",""37"",""1"",""Order"",""3"",""SF38956"",""4"",""50000"""</f>
        <v>"BC365 (SQL)","Somerset Timbers","37","1","Order","3","SF38956","4","50000"</v>
      </c>
      <c r="C117" s="17" t="str">
        <f t="shared" si="34"/>
        <v>SF38956</v>
      </c>
      <c r="D117" s="17" t="str">
        <f t="shared" si="35"/>
        <v>C31743</v>
      </c>
      <c r="E117" s="17" t="str">
        <f>"PS424"</f>
        <v>PS424</v>
      </c>
      <c r="F117" s="17" t="str">
        <f>"SPLIT Pole 100/119mm CCA H3 Treat 2.4m"</f>
        <v>SPLIT Pole 100/119mm CCA H3 Treat 2.4m</v>
      </c>
      <c r="G117" s="17">
        <v>8.0</v>
      </c>
      <c r="H117" s="17">
        <v>11.22</v>
      </c>
      <c r="I117" s="27">
        <f t="shared" si="3"/>
        <v>89.76</v>
      </c>
    </row>
    <row r="118" ht="12.75" customHeight="1">
      <c r="A118" s="17" t="s">
        <v>39</v>
      </c>
      <c r="B118" s="33" t="str">
        <f>"""BC365 (SQL)"",""Somerset Timbers"",""37"",""1"",""Order"",""3"",""SF38980"",""4"",""10000"""</f>
        <v>"BC365 (SQL)","Somerset Timbers","37","1","Order","3","SF38980","4","10000"</v>
      </c>
      <c r="C118" s="17" t="str">
        <f t="shared" ref="C118:C122" si="36">"SF38980"</f>
        <v>SF38980</v>
      </c>
      <c r="D118" s="17" t="str">
        <f t="shared" ref="D118:D122" si="37">"C28661"</f>
        <v>C28661</v>
      </c>
      <c r="E118" s="17" t="str">
        <f>"HA045225096"</f>
        <v>HA045225096</v>
      </c>
      <c r="F118" s="17" t="str">
        <f>"Pine Lam Beam 45x231mm Grd8 Azure 9.6m"</f>
        <v>Pine Lam Beam 45x231mm Grd8 Azure 9.6m</v>
      </c>
      <c r="G118" s="17">
        <v>5.0</v>
      </c>
      <c r="H118" s="17">
        <v>53.459999999999994</v>
      </c>
      <c r="I118" s="27">
        <f t="shared" si="3"/>
        <v>267.3</v>
      </c>
    </row>
    <row r="119" ht="12.75" customHeight="1">
      <c r="A119" s="17" t="s">
        <v>39</v>
      </c>
      <c r="B119" s="33" t="str">
        <f>"""BC365 (SQL)"",""Somerset Timbers"",""37"",""1"",""Order"",""3"",""SF38980"",""4"",""20000"""</f>
        <v>"BC365 (SQL)","Somerset Timbers","37","1","Order","3","SF38980","4","20000"</v>
      </c>
      <c r="C119" s="17" t="str">
        <f t="shared" si="36"/>
        <v>SF38980</v>
      </c>
      <c r="D119" s="17" t="str">
        <f t="shared" si="37"/>
        <v>C28661</v>
      </c>
      <c r="E119" s="17" t="str">
        <f>"HA045225072"</f>
        <v>HA045225072</v>
      </c>
      <c r="F119" s="17" t="str">
        <f>"Pine Lam Beam 45x231mm Grd8 Azure 7.2m"</f>
        <v>Pine Lam Beam 45x231mm Grd8 Azure 7.2m</v>
      </c>
      <c r="G119" s="17">
        <v>8.0</v>
      </c>
      <c r="H119" s="17">
        <v>40.1</v>
      </c>
      <c r="I119" s="27">
        <f t="shared" si="3"/>
        <v>320.8</v>
      </c>
    </row>
    <row r="120" ht="12.75" customHeight="1">
      <c r="A120" s="17" t="s">
        <v>39</v>
      </c>
      <c r="B120" s="33" t="str">
        <f>"""BC365 (SQL)"",""Somerset Timbers"",""37"",""1"",""Order"",""3"",""SF38980"",""4"",""30000"""</f>
        <v>"BC365 (SQL)","Somerset Timbers","37","1","Order","3","SF38980","4","30000"</v>
      </c>
      <c r="C120" s="17" t="str">
        <f t="shared" si="36"/>
        <v>SF38980</v>
      </c>
      <c r="D120" s="17" t="str">
        <f t="shared" si="37"/>
        <v>C28661</v>
      </c>
      <c r="E120" s="17" t="str">
        <f>"HA070291060"</f>
        <v>HA070291060</v>
      </c>
      <c r="F120" s="17" t="str">
        <f>"Pine Lam Beam 70x297mm Grd8 Azure 6.0m"</f>
        <v>Pine Lam Beam 70x297mm Grd8 Azure 6.0m</v>
      </c>
      <c r="G120" s="17">
        <v>0.0</v>
      </c>
      <c r="H120" s="17">
        <v>67.22</v>
      </c>
      <c r="I120" s="27">
        <f t="shared" si="3"/>
        <v>0</v>
      </c>
    </row>
    <row r="121" ht="12.75" customHeight="1">
      <c r="A121" s="17" t="s">
        <v>39</v>
      </c>
      <c r="B121" s="33" t="str">
        <f>"""BC365 (SQL)"",""Somerset Timbers"",""37"",""1"",""Order"",""3"",""SF38980"",""4"",""40000"""</f>
        <v>"BC365 (SQL)","Somerset Timbers","37","1","Order","3","SF38980","4","40000"</v>
      </c>
      <c r="C121" s="17" t="str">
        <f t="shared" si="36"/>
        <v>SF38980</v>
      </c>
      <c r="D121" s="17" t="str">
        <f t="shared" si="37"/>
        <v>C28661</v>
      </c>
      <c r="E121" s="17" t="str">
        <f>"HA140140060"</f>
        <v>HA140140060</v>
      </c>
      <c r="F121" s="17" t="str">
        <f>"Pine Lam Post 140x140mm Grd8 Azure 6.0m"</f>
        <v>Pine Lam Post 140x140mm Grd8 Azure 6.0m</v>
      </c>
      <c r="G121" s="17">
        <v>1.0</v>
      </c>
      <c r="H121" s="17">
        <v>64.68</v>
      </c>
      <c r="I121" s="27">
        <f t="shared" si="3"/>
        <v>64.68</v>
      </c>
    </row>
    <row r="122" ht="12.75" customHeight="1">
      <c r="A122" s="17" t="s">
        <v>39</v>
      </c>
      <c r="B122" s="33" t="str">
        <f>"""BC365 (SQL)"",""Somerset Timbers"",""37"",""1"",""Order"",""3"",""SF38980"",""4"",""50000"""</f>
        <v>"BC365 (SQL)","Somerset Timbers","37","1","Order","3","SF38980","4","50000"</v>
      </c>
      <c r="C122" s="17" t="str">
        <f t="shared" si="36"/>
        <v>SF38980</v>
      </c>
      <c r="D122" s="17" t="str">
        <f t="shared" si="37"/>
        <v>C28661</v>
      </c>
      <c r="E122" s="17" t="str">
        <f>"ZA01650"</f>
        <v>ZA01650</v>
      </c>
      <c r="F122" s="17" t="str">
        <f>"Delivery to Kommetjie (1 - 8 cubic metres)"</f>
        <v>Delivery to Kommetjie (1 - 8 cubic metres)</v>
      </c>
      <c r="G122" s="17">
        <v>0.0</v>
      </c>
      <c r="H122" s="17">
        <v>0.0</v>
      </c>
      <c r="I122" s="27">
        <f t="shared" si="3"/>
        <v>0</v>
      </c>
    </row>
    <row r="123" ht="12.75" customHeight="1">
      <c r="A123" s="17" t="s">
        <v>39</v>
      </c>
      <c r="B123" s="33" t="str">
        <f>"""BC365 (SQL)"",""Somerset Timbers"",""37"",""1"",""Order"",""3"",""SF39125"",""4"",""10000"""</f>
        <v>"BC365 (SQL)","Somerset Timbers","37","1","Order","3","SF39125","4","10000"</v>
      </c>
      <c r="C123" s="17" t="str">
        <f t="shared" ref="C123:C136" si="38">"SF39125"</f>
        <v>SF39125</v>
      </c>
      <c r="D123" s="17" t="str">
        <f t="shared" ref="D123:D136" si="39">"C20861"</f>
        <v>C20861</v>
      </c>
      <c r="E123" s="17" t="str">
        <f>"AI36"</f>
        <v>AI36</v>
      </c>
      <c r="F123" s="17" t="str">
        <f>"SABS Pine 50x152mm CCA H3 Treated  3.6m"</f>
        <v>SABS Pine 50x152mm CCA H3 Treated  3.6m</v>
      </c>
      <c r="G123" s="17">
        <v>0.0</v>
      </c>
      <c r="H123" s="17">
        <v>20.52</v>
      </c>
      <c r="I123" s="27">
        <f t="shared" si="3"/>
        <v>0</v>
      </c>
    </row>
    <row r="124" ht="12.75" customHeight="1">
      <c r="A124" s="17" t="s">
        <v>39</v>
      </c>
      <c r="B124" s="33" t="str">
        <f>"""BC365 (SQL)"",""Somerset Timbers"",""37"",""1"",""Order"",""3"",""SF39125"",""4"",""20000"""</f>
        <v>"BC365 (SQL)","Somerset Timbers","37","1","Order","3","SF39125","4","20000"</v>
      </c>
      <c r="C124" s="17" t="str">
        <f t="shared" si="38"/>
        <v>SF39125</v>
      </c>
      <c r="D124" s="17" t="str">
        <f t="shared" si="39"/>
        <v>C20861</v>
      </c>
      <c r="E124" s="17" t="str">
        <f>"AI66"</f>
        <v>AI66</v>
      </c>
      <c r="F124" s="17" t="str">
        <f>"SABS Pine 50x152mm CCA H3 Treated  6.6m"</f>
        <v>SABS Pine 50x152mm CCA H3 Treated  6.6m</v>
      </c>
      <c r="G124" s="17">
        <v>0.0</v>
      </c>
      <c r="H124" s="17">
        <v>37.62</v>
      </c>
      <c r="I124" s="27">
        <f t="shared" si="3"/>
        <v>0</v>
      </c>
    </row>
    <row r="125" ht="12.75" customHeight="1">
      <c r="A125" s="17" t="s">
        <v>39</v>
      </c>
      <c r="B125" s="33" t="str">
        <f>"""BC365 (SQL)"",""Somerset Timbers"",""37"",""1"",""Order"",""3"",""SF39125"",""4"",""30000"""</f>
        <v>"BC365 (SQL)","Somerset Timbers","37","1","Order","3","SF39125","4","30000"</v>
      </c>
      <c r="C125" s="17" t="str">
        <f t="shared" si="38"/>
        <v>SF39125</v>
      </c>
      <c r="D125" s="17" t="str">
        <f t="shared" si="39"/>
        <v>C20861</v>
      </c>
      <c r="E125" s="17" t="str">
        <f>"AJ36"</f>
        <v>AJ36</v>
      </c>
      <c r="F125" s="17" t="str">
        <f>"SABS Pine 50x228mm CCA H3 Treated  3.6m"</f>
        <v>SABS Pine 50x228mm CCA H3 Treated  3.6m</v>
      </c>
      <c r="G125" s="17">
        <v>0.0</v>
      </c>
      <c r="H125" s="17">
        <v>30.78</v>
      </c>
      <c r="I125" s="27">
        <f t="shared" si="3"/>
        <v>0</v>
      </c>
    </row>
    <row r="126" ht="12.75" customHeight="1">
      <c r="A126" s="17" t="s">
        <v>39</v>
      </c>
      <c r="B126" s="33" t="str">
        <f>"""BC365 (SQL)"",""Somerset Timbers"",""37"",""1"",""Order"",""3"",""SF39125"",""4"",""40000"""</f>
        <v>"BC365 (SQL)","Somerset Timbers","37","1","Order","3","SF39125","4","40000"</v>
      </c>
      <c r="C126" s="17" t="str">
        <f t="shared" si="38"/>
        <v>SF39125</v>
      </c>
      <c r="D126" s="17" t="str">
        <f t="shared" si="39"/>
        <v>C20861</v>
      </c>
      <c r="E126" s="17" t="str">
        <f>"AJ48"</f>
        <v>AJ48</v>
      </c>
      <c r="F126" s="17" t="str">
        <f>"SABS Pine 50x228mm CCA H3 Treated  4.8m"</f>
        <v>SABS Pine 50x228mm CCA H3 Treated  4.8m</v>
      </c>
      <c r="G126" s="17">
        <v>0.0</v>
      </c>
      <c r="H126" s="17">
        <v>41.04</v>
      </c>
      <c r="I126" s="27">
        <f t="shared" si="3"/>
        <v>0</v>
      </c>
    </row>
    <row r="127" ht="12.75" customHeight="1">
      <c r="A127" s="17" t="s">
        <v>39</v>
      </c>
      <c r="B127" s="33" t="str">
        <f>"""BC365 (SQL)"",""Somerset Timbers"",""37"",""1"",""Order"",""3"",""SF39125"",""4"",""50000"""</f>
        <v>"BC365 (SQL)","Somerset Timbers","37","1","Order","3","SF39125","4","50000"</v>
      </c>
      <c r="C127" s="17" t="str">
        <f t="shared" si="38"/>
        <v>SF39125</v>
      </c>
      <c r="D127" s="17" t="str">
        <f t="shared" si="39"/>
        <v>C20861</v>
      </c>
      <c r="E127" s="17" t="str">
        <f>"JC30"</f>
        <v>JC30</v>
      </c>
      <c r="F127" s="17" t="str">
        <f>"Garapa Decking  19x90mm  3.05m"</f>
        <v>Garapa Decking  19x90mm  3.05m</v>
      </c>
      <c r="G127" s="17">
        <v>0.0</v>
      </c>
      <c r="H127" s="17">
        <v>4.28</v>
      </c>
      <c r="I127" s="27">
        <f t="shared" si="3"/>
        <v>0</v>
      </c>
    </row>
    <row r="128" ht="12.75" customHeight="1">
      <c r="A128" s="17" t="s">
        <v>39</v>
      </c>
      <c r="B128" s="33" t="str">
        <f>"""BC365 (SQL)"",""Somerset Timbers"",""37"",""1"",""Order"",""3"",""SF39125"",""4"",""60000"""</f>
        <v>"BC365 (SQL)","Somerset Timbers","37","1","Order","3","SF39125","4","60000"</v>
      </c>
      <c r="C128" s="17" t="str">
        <f t="shared" si="38"/>
        <v>SF39125</v>
      </c>
      <c r="D128" s="17" t="str">
        <f t="shared" si="39"/>
        <v>C20861</v>
      </c>
      <c r="E128" s="17" t="str">
        <f>"JC36"</f>
        <v>JC36</v>
      </c>
      <c r="F128" s="17" t="str">
        <f>"Garapa Decking  19x90mm  3.66m"</f>
        <v>Garapa Decking  19x90mm  3.66m</v>
      </c>
      <c r="G128" s="17">
        <v>0.0</v>
      </c>
      <c r="H128" s="17">
        <v>5.13</v>
      </c>
      <c r="I128" s="27">
        <f t="shared" si="3"/>
        <v>0</v>
      </c>
    </row>
    <row r="129" ht="12.75" customHeight="1">
      <c r="A129" s="17" t="s">
        <v>39</v>
      </c>
      <c r="B129" s="33" t="str">
        <f>"""BC365 (SQL)"",""Somerset Timbers"",""37"",""1"",""Order"",""3"",""SF39125"",""4"",""70000"""</f>
        <v>"BC365 (SQL)","Somerset Timbers","37","1","Order","3","SF39125","4","70000"</v>
      </c>
      <c r="C129" s="17" t="str">
        <f t="shared" si="38"/>
        <v>SF39125</v>
      </c>
      <c r="D129" s="17" t="str">
        <f t="shared" si="39"/>
        <v>C20861</v>
      </c>
      <c r="E129" s="17" t="str">
        <f>"JC42"</f>
        <v>JC42</v>
      </c>
      <c r="F129" s="17" t="str">
        <f>"Garapa Decking  19x90mm  4.27m"</f>
        <v>Garapa Decking  19x90mm  4.27m</v>
      </c>
      <c r="G129" s="17">
        <v>0.0</v>
      </c>
      <c r="H129" s="17">
        <v>5.99</v>
      </c>
      <c r="I129" s="27">
        <f t="shared" si="3"/>
        <v>0</v>
      </c>
    </row>
    <row r="130" ht="12.75" customHeight="1">
      <c r="A130" s="17" t="s">
        <v>39</v>
      </c>
      <c r="B130" s="33" t="str">
        <f>"""BC365 (SQL)"",""Somerset Timbers"",""37"",""1"",""Order"",""3"",""SF39125"",""4"",""80000"""</f>
        <v>"BC365 (SQL)","Somerset Timbers","37","1","Order","3","SF39125","4","80000"</v>
      </c>
      <c r="C130" s="17" t="str">
        <f t="shared" si="38"/>
        <v>SF39125</v>
      </c>
      <c r="D130" s="17" t="str">
        <f t="shared" si="39"/>
        <v>C20861</v>
      </c>
      <c r="E130" s="17" t="str">
        <f>"JC48"</f>
        <v>JC48</v>
      </c>
      <c r="F130" s="17" t="str">
        <f>"Garapa Decking  19x90mm  4.88m"</f>
        <v>Garapa Decking  19x90mm  4.88m</v>
      </c>
      <c r="G130" s="17">
        <v>0.0</v>
      </c>
      <c r="H130" s="17">
        <v>6.84</v>
      </c>
      <c r="I130" s="27">
        <f t="shared" si="3"/>
        <v>0</v>
      </c>
    </row>
    <row r="131" ht="12.75" customHeight="1">
      <c r="A131" s="17" t="s">
        <v>39</v>
      </c>
      <c r="B131" s="33" t="str">
        <f>"""BC365 (SQL)"",""Somerset Timbers"",""37"",""1"",""Order"",""3"",""SF39125"",""4"",""90000"""</f>
        <v>"BC365 (SQL)","Somerset Timbers","37","1","Order","3","SF39125","4","90000"</v>
      </c>
      <c r="C131" s="17" t="str">
        <f t="shared" si="38"/>
        <v>SF39125</v>
      </c>
      <c r="D131" s="17" t="str">
        <f t="shared" si="39"/>
        <v>C20861</v>
      </c>
      <c r="E131" s="17" t="str">
        <f>"YA02010 04292815410"</f>
        <v>YA02010 04292815410</v>
      </c>
      <c r="F131" s="17" t="str">
        <f>"Camo Protech Screw 48mm (Qt:350+1 bit)"</f>
        <v>Camo Protech Screw 48mm (Qt:350+1 bit)</v>
      </c>
      <c r="G131" s="17">
        <v>0.0</v>
      </c>
      <c r="H131" s="17">
        <v>0.0</v>
      </c>
      <c r="I131" s="27">
        <f t="shared" si="3"/>
        <v>0</v>
      </c>
    </row>
    <row r="132" ht="12.75" customHeight="1">
      <c r="A132" s="17" t="s">
        <v>39</v>
      </c>
      <c r="B132" s="33" t="str">
        <f>"""BC365 (SQL)"",""Somerset Timbers"",""37"",""1"",""Order"",""3"",""SF39125"",""4"",""100000"""</f>
        <v>"BC365 (SQL)","Somerset Timbers","37","1","Order","3","SF39125","4","100000"</v>
      </c>
      <c r="C132" s="17" t="str">
        <f t="shared" si="38"/>
        <v>SF39125</v>
      </c>
      <c r="D132" s="17" t="str">
        <f t="shared" si="39"/>
        <v>C20861</v>
      </c>
      <c r="E132" s="17" t="str">
        <f>"YA09570 425131471657"</f>
        <v>YA09570 425131471657</v>
      </c>
      <c r="F132" s="17" t="str">
        <f>"Eurotec Washer TX40 screw 8mm thread 120mm  (loose)"</f>
        <v>Eurotec Washer TX40 screw 8mm thread 120mm  (loose)</v>
      </c>
      <c r="G132" s="17">
        <v>0.0</v>
      </c>
      <c r="H132" s="17">
        <v>0.028</v>
      </c>
      <c r="I132" s="27">
        <f t="shared" si="3"/>
        <v>0</v>
      </c>
    </row>
    <row r="133" ht="12.75" customHeight="1">
      <c r="A133" s="17" t="s">
        <v>39</v>
      </c>
      <c r="B133" s="33" t="str">
        <f>"""BC365 (SQL)"",""Somerset Timbers"",""37"",""1"",""Order"",""3"",""SF39125"",""4"",""105000"""</f>
        <v>"BC365 (SQL)","Somerset Timbers","37","1","Order","3","SF39125","4","105000"</v>
      </c>
      <c r="C133" s="17" t="str">
        <f t="shared" si="38"/>
        <v>SF39125</v>
      </c>
      <c r="D133" s="17" t="str">
        <f t="shared" si="39"/>
        <v>C20861</v>
      </c>
      <c r="E133" s="17" t="str">
        <f>"YA06137"</f>
        <v>YA06137</v>
      </c>
      <c r="F133" s="17" t="str">
        <f>"Camo Pre-drill bits (2 pack)"</f>
        <v>Camo Pre-drill bits (2 pack)</v>
      </c>
      <c r="G133" s="17">
        <v>0.0</v>
      </c>
      <c r="H133" s="17">
        <v>0.0</v>
      </c>
      <c r="I133" s="27">
        <f t="shared" si="3"/>
        <v>0</v>
      </c>
    </row>
    <row r="134" ht="12.75" customHeight="1">
      <c r="A134" s="17" t="s">
        <v>39</v>
      </c>
      <c r="B134" s="33" t="str">
        <f>"""BC365 (SQL)"",""Somerset Timbers"",""37"",""1"",""Order"",""3"",""SF39125"",""4"",""110000"""</f>
        <v>"BC365 (SQL)","Somerset Timbers","37","1","Order","3","SF39125","4","110000"</v>
      </c>
      <c r="C134" s="17" t="str">
        <f t="shared" si="38"/>
        <v>SF39125</v>
      </c>
      <c r="D134" s="17" t="str">
        <f t="shared" si="39"/>
        <v>C20861</v>
      </c>
      <c r="E134" s="17" t="str">
        <f>"ZA00480"</f>
        <v>ZA00480</v>
      </c>
      <c r="F134" s="17" t="str">
        <f>"Delivery to Camps Bay (1 - 8 cubic metres)"</f>
        <v>Delivery to Camps Bay (1 - 8 cubic metres)</v>
      </c>
      <c r="G134" s="17">
        <v>0.0</v>
      </c>
      <c r="H134" s="17">
        <v>0.0</v>
      </c>
      <c r="I134" s="27">
        <f t="shared" si="3"/>
        <v>0</v>
      </c>
    </row>
    <row r="135" ht="12.75" customHeight="1">
      <c r="A135" s="17" t="s">
        <v>39</v>
      </c>
      <c r="B135" s="33" t="str">
        <f>"""BC365 (SQL)"",""Somerset Timbers"",""37"",""1"",""Order"",""3"",""SF39125"",""4"",""120000"""</f>
        <v>"BC365 (SQL)","Somerset Timbers","37","1","Order","3","SF39125","4","120000"</v>
      </c>
      <c r="C135" s="17" t="str">
        <f t="shared" si="38"/>
        <v>SF39125</v>
      </c>
      <c r="D135" s="17" t="str">
        <f t="shared" si="39"/>
        <v>C20861</v>
      </c>
      <c r="E135" s="17" t="str">
        <f>"YA06137"</f>
        <v>YA06137</v>
      </c>
      <c r="F135" s="17" t="str">
        <f>"Camo Pre-drill bits (2 pack)"</f>
        <v>Camo Pre-drill bits (2 pack)</v>
      </c>
      <c r="G135" s="17">
        <v>0.0</v>
      </c>
      <c r="H135" s="17">
        <v>0.0</v>
      </c>
      <c r="I135" s="27">
        <f t="shared" si="3"/>
        <v>0</v>
      </c>
    </row>
    <row r="136" ht="12.75" customHeight="1">
      <c r="A136" s="17" t="s">
        <v>39</v>
      </c>
      <c r="B136" s="33" t="str">
        <f>"""BC365 (SQL)"",""Somerset Timbers"",""37"",""1"",""Order"",""3"",""SF39125"",""4"",""130000"""</f>
        <v>"BC365 (SQL)","Somerset Timbers","37","1","Order","3","SF39125","4","130000"</v>
      </c>
      <c r="C136" s="17" t="str">
        <f t="shared" si="38"/>
        <v>SF39125</v>
      </c>
      <c r="D136" s="17" t="str">
        <f t="shared" si="39"/>
        <v>C20861</v>
      </c>
      <c r="E136" s="17" t="str">
        <f>"YA06140 622412301775"</f>
        <v>YA06140 622412301775</v>
      </c>
      <c r="F136" s="17" t="str">
        <f>"Camo Star Driver Bit (2 pack)"</f>
        <v>Camo Star Driver Bit (2 pack)</v>
      </c>
      <c r="G136" s="17">
        <v>2.0</v>
      </c>
      <c r="H136" s="17">
        <v>0.026</v>
      </c>
      <c r="I136" s="27">
        <f t="shared" si="3"/>
        <v>0.052</v>
      </c>
    </row>
    <row r="137" ht="12.75" customHeight="1">
      <c r="A137" s="17" t="s">
        <v>39</v>
      </c>
      <c r="B137" s="33" t="str">
        <f>"""BC365 (SQL)"",""Somerset Timbers"",""37"",""1"",""Order"",""3"",""SF39521"",""4"",""10000"""</f>
        <v>"BC365 (SQL)","Somerset Timbers","37","1","Order","3","SF39521","4","10000"</v>
      </c>
      <c r="C137" s="17" t="str">
        <f t="shared" ref="C137:C140" si="40">"SF39521"</f>
        <v>SF39521</v>
      </c>
      <c r="D137" s="17" t="str">
        <f t="shared" ref="D137:D140" si="41">"C03931"</f>
        <v>C03931</v>
      </c>
      <c r="E137" s="17" t="str">
        <f>"CAA48"</f>
        <v>CAA48</v>
      </c>
      <c r="F137" s="17" t="str">
        <f>"Endura Pine Ceiling 12x102mm Azure H2 Treated  4.8m"</f>
        <v>Endura Pine Ceiling 12x102mm Azure H2 Treated  4.8m</v>
      </c>
      <c r="G137" s="17">
        <v>0.0</v>
      </c>
      <c r="H137" s="17">
        <v>3.23</v>
      </c>
      <c r="I137" s="27">
        <f t="shared" si="3"/>
        <v>0</v>
      </c>
    </row>
    <row r="138" ht="12.75" customHeight="1">
      <c r="A138" s="17" t="s">
        <v>39</v>
      </c>
      <c r="B138" s="33" t="str">
        <f>"""BC365 (SQL)"",""Somerset Timbers"",""37"",""1"",""Order"",""3"",""SF39521"",""4"",""30000"""</f>
        <v>"BC365 (SQL)","Somerset Timbers","37","1","Order","3","SF39521","4","30000"</v>
      </c>
      <c r="C138" s="17" t="str">
        <f t="shared" si="40"/>
        <v>SF39521</v>
      </c>
      <c r="D138" s="17" t="str">
        <f t="shared" si="41"/>
        <v>C03931</v>
      </c>
      <c r="E138" s="17" t="str">
        <f>"ZA01310"</f>
        <v>ZA01310</v>
      </c>
      <c r="F138" s="17" t="str">
        <f>"Delivery to Hermanus (0 - 1 cubic metres)"</f>
        <v>Delivery to Hermanus (0 - 1 cubic metres)</v>
      </c>
      <c r="G138" s="17">
        <v>0.0</v>
      </c>
      <c r="H138" s="17">
        <v>0.0</v>
      </c>
      <c r="I138" s="27">
        <f t="shared" si="3"/>
        <v>0</v>
      </c>
    </row>
    <row r="139" ht="12.75" customHeight="1">
      <c r="A139" s="17" t="s">
        <v>39</v>
      </c>
      <c r="B139" s="33" t="str">
        <f>"""BC365 (SQL)"",""Somerset Timbers"",""37"",""1"",""Order"",""3"",""SF39521"",""4"",""40000"""</f>
        <v>"BC365 (SQL)","Somerset Timbers","37","1","Order","3","SF39521","4","40000"</v>
      </c>
      <c r="C139" s="17" t="str">
        <f t="shared" si="40"/>
        <v>SF39521</v>
      </c>
      <c r="D139" s="17" t="str">
        <f t="shared" si="41"/>
        <v>C03931</v>
      </c>
      <c r="E139" s="17" t="str">
        <f>"EI36"</f>
        <v>EI36</v>
      </c>
      <c r="F139" s="17" t="str">
        <f>"Flat Lapboard 13x84mm CCA H3 Treat 3.6m"</f>
        <v>Flat Lapboard 13x84mm CCA H3 Treat 3.6m</v>
      </c>
      <c r="G139" s="17">
        <v>34.0</v>
      </c>
      <c r="H139" s="17">
        <v>2.95</v>
      </c>
      <c r="I139" s="27">
        <f t="shared" si="3"/>
        <v>100.3</v>
      </c>
    </row>
    <row r="140" ht="12.75" customHeight="1">
      <c r="A140" s="17" t="s">
        <v>39</v>
      </c>
      <c r="B140" s="33" t="str">
        <f>"""BC365 (SQL)"",""Somerset Timbers"",""37"",""1"",""Order"",""3"",""SF39521"",""4"",""50000"""</f>
        <v>"BC365 (SQL)","Somerset Timbers","37","1","Order","3","SF39521","4","50000"</v>
      </c>
      <c r="C140" s="17" t="str">
        <f t="shared" si="40"/>
        <v>SF39521</v>
      </c>
      <c r="D140" s="17" t="str">
        <f t="shared" si="41"/>
        <v>C03931</v>
      </c>
      <c r="E140" s="17" t="str">
        <f>"L074"</f>
        <v>L074</v>
      </c>
      <c r="F140" s="17" t="str">
        <f>"Marine Exterior Ply AA Grade 12mm"</f>
        <v>Marine Exterior Ply AA Grade 12mm</v>
      </c>
      <c r="G140" s="17">
        <v>0.0</v>
      </c>
      <c r="H140" s="17">
        <v>25.009999999999998</v>
      </c>
      <c r="I140" s="27">
        <f t="shared" si="3"/>
        <v>0</v>
      </c>
    </row>
    <row r="141" ht="12.75" customHeight="1">
      <c r="A141" s="17" t="s">
        <v>39</v>
      </c>
      <c r="B141" s="33" t="str">
        <f>"""BC365 (SQL)"",""Somerset Timbers"",""37"",""1"",""Order"",""3"",""SF39538"",""4"",""10000"""</f>
        <v>"BC365 (SQL)","Somerset Timbers","37","1","Order","3","SF39538","4","10000"</v>
      </c>
      <c r="C141" s="17" t="str">
        <f t="shared" ref="C141:C142" si="42">"SF39538"</f>
        <v>SF39538</v>
      </c>
      <c r="D141" s="17" t="str">
        <f t="shared" ref="D141:D142" si="43">"C00388"</f>
        <v>C00388</v>
      </c>
      <c r="E141" s="17" t="str">
        <f>"P024"</f>
        <v>P024</v>
      </c>
      <c r="F141" s="17" t="str">
        <f>"Laths 15-35mm CCA H3 Treated  2.4m"</f>
        <v>Laths 15-35mm CCA H3 Treated  2.4m</v>
      </c>
      <c r="G141" s="17">
        <v>200.0</v>
      </c>
      <c r="H141" s="17">
        <v>2.21</v>
      </c>
      <c r="I141" s="27">
        <f t="shared" si="3"/>
        <v>442</v>
      </c>
    </row>
    <row r="142" ht="12.75" customHeight="1">
      <c r="A142" s="17" t="s">
        <v>39</v>
      </c>
      <c r="B142" s="33" t="str">
        <f>"""BC365 (SQL)"",""Somerset Timbers"",""37"",""1"",""Order"",""3"",""SF39538"",""4"",""20000"""</f>
        <v>"BC365 (SQL)","Somerset Timbers","37","1","Order","3","SF39538","4","20000"</v>
      </c>
      <c r="C142" s="17" t="str">
        <f t="shared" si="42"/>
        <v>SF39538</v>
      </c>
      <c r="D142" s="17" t="str">
        <f t="shared" si="43"/>
        <v>C00388</v>
      </c>
      <c r="E142" s="17" t="str">
        <f>"ZA01250"</f>
        <v>ZA01250</v>
      </c>
      <c r="F142" s="17" t="str">
        <f>"Delivery to Greyton (0 - 1 cubic metres)"</f>
        <v>Delivery to Greyton (0 - 1 cubic metres)</v>
      </c>
      <c r="G142" s="17">
        <v>1.0</v>
      </c>
      <c r="H142" s="17">
        <v>0.0</v>
      </c>
      <c r="I142" s="27">
        <f t="shared" si="3"/>
        <v>0</v>
      </c>
    </row>
    <row r="143" ht="12.75" customHeight="1">
      <c r="A143" s="17" t="s">
        <v>39</v>
      </c>
      <c r="B143" s="33" t="str">
        <f>"""BC365 (SQL)"",""Somerset Timbers"",""37"",""1"",""Order"",""3"",""SF39559"",""4"",""10000"""</f>
        <v>"BC365 (SQL)","Somerset Timbers","37","1","Order","3","SF39559","4","10000"</v>
      </c>
      <c r="C143" s="17" t="str">
        <f t="shared" ref="C143:C146" si="44">"SF39559"</f>
        <v>SF39559</v>
      </c>
      <c r="D143" s="17" t="str">
        <f t="shared" ref="D143:D146" si="45">"C31805"</f>
        <v>C31805</v>
      </c>
      <c r="E143" s="17" t="str">
        <f>"AC30"</f>
        <v>AC30</v>
      </c>
      <c r="F143" s="17" t="str">
        <f>"SABS Pine 38x76mm CCA H2 Treated  3.0m"</f>
        <v>SABS Pine 38x76mm CCA H2 Treated  3.0m</v>
      </c>
      <c r="G143" s="17">
        <v>4.0</v>
      </c>
      <c r="H143" s="17">
        <v>6.5</v>
      </c>
      <c r="I143" s="27">
        <f t="shared" si="3"/>
        <v>26</v>
      </c>
    </row>
    <row r="144" ht="12.75" customHeight="1">
      <c r="A144" s="17" t="s">
        <v>39</v>
      </c>
      <c r="B144" s="33" t="str">
        <f>"""BC365 (SQL)"",""Somerset Timbers"",""37"",""1"",""Order"",""3"",""SF39559"",""4"",""20000"""</f>
        <v>"BC365 (SQL)","Somerset Timbers","37","1","Order","3","SF39559","4","20000"</v>
      </c>
      <c r="C144" s="17" t="str">
        <f t="shared" si="44"/>
        <v>SF39559</v>
      </c>
      <c r="D144" s="17" t="str">
        <f t="shared" si="45"/>
        <v>C31805</v>
      </c>
      <c r="E144" s="17" t="str">
        <f>"AA30"</f>
        <v>AA30</v>
      </c>
      <c r="F144" s="17" t="str">
        <f>"SABS Pine 38x38mm CCA H2 Treated  3.0m"</f>
        <v>SABS Pine 38x38mm CCA H2 Treated  3.0m</v>
      </c>
      <c r="G144" s="17">
        <v>10.0</v>
      </c>
      <c r="H144" s="17">
        <v>3.25</v>
      </c>
      <c r="I144" s="27">
        <f t="shared" si="3"/>
        <v>32.5</v>
      </c>
    </row>
    <row r="145" ht="12.75" customHeight="1">
      <c r="A145" s="17" t="s">
        <v>39</v>
      </c>
      <c r="B145" s="33" t="str">
        <f>"""BC365 (SQL)"",""Somerset Timbers"",""37"",""1"",""Order"",""3"",""SF39559"",""4"",""30000"""</f>
        <v>"BC365 (SQL)","Somerset Timbers","37","1","Order","3","SF39559","4","30000"</v>
      </c>
      <c r="C145" s="17" t="str">
        <f t="shared" si="44"/>
        <v>SF39559</v>
      </c>
      <c r="D145" s="17" t="str">
        <f t="shared" si="45"/>
        <v>C31805</v>
      </c>
      <c r="E145" s="17" t="str">
        <f>"YA02010 04292815410"</f>
        <v>YA02010 04292815410</v>
      </c>
      <c r="F145" s="17" t="str">
        <f>"Camo Protech Screw 48mm (Qt:350+1 bit)"</f>
        <v>Camo Protech Screw 48mm (Qt:350+1 bit)</v>
      </c>
      <c r="G145" s="17">
        <v>2.0</v>
      </c>
      <c r="H145" s="17">
        <v>0.0</v>
      </c>
      <c r="I145" s="27">
        <f t="shared" si="3"/>
        <v>0</v>
      </c>
    </row>
    <row r="146" ht="12.75" customHeight="1">
      <c r="A146" s="17" t="s">
        <v>39</v>
      </c>
      <c r="B146" s="33" t="str">
        <f>"""BC365 (SQL)"",""Somerset Timbers"",""37"",""1"",""Order"",""3"",""SF39559"",""4"",""40000"""</f>
        <v>"BC365 (SQL)","Somerset Timbers","37","1","Order","3","SF39559","4","40000"</v>
      </c>
      <c r="C146" s="17" t="str">
        <f t="shared" si="44"/>
        <v>SF39559</v>
      </c>
      <c r="D146" s="17" t="str">
        <f t="shared" si="45"/>
        <v>C31805</v>
      </c>
      <c r="E146" s="17" t="str">
        <f>"YA02370"</f>
        <v>YA02370</v>
      </c>
      <c r="F146" s="17" t="str">
        <f>"Pozi drive screw 10x75mm (PACK OF 200)"</f>
        <v>Pozi drive screw 10x75mm (PACK OF 200)</v>
      </c>
      <c r="G146" s="17">
        <v>1.0</v>
      </c>
      <c r="H146" s="17">
        <v>1.11</v>
      </c>
      <c r="I146" s="27">
        <f t="shared" si="3"/>
        <v>1.11</v>
      </c>
    </row>
    <row r="147" ht="12.75" customHeight="1">
      <c r="A147" s="17" t="s">
        <v>39</v>
      </c>
      <c r="B147" s="33" t="str">
        <f>"""BC365 (SQL)"",""Somerset Timbers"",""37"",""1"",""Order"",""3"",""SF39633"",""4"",""10000"""</f>
        <v>"BC365 (SQL)","Somerset Timbers","37","1","Order","3","SF39633","4","10000"</v>
      </c>
      <c r="C147" s="17" t="str">
        <f t="shared" ref="C147:C151" si="46">"SF39633"</f>
        <v>SF39633</v>
      </c>
      <c r="D147" s="17" t="str">
        <f t="shared" ref="D147:D151" si="47">"C31259"</f>
        <v>C31259</v>
      </c>
      <c r="E147" s="17" t="str">
        <f>"HT06735024"</f>
        <v>HT06735024</v>
      </c>
      <c r="F147" s="17" t="str">
        <f>"SALIGNA Lam Beam 67x350mm  2.4m (buy-in)"</f>
        <v>SALIGNA Lam Beam 67x350mm  2.4m (buy-in)</v>
      </c>
      <c r="G147" s="17">
        <v>4.0</v>
      </c>
      <c r="H147" s="17">
        <v>30.953999999999997</v>
      </c>
      <c r="I147" s="27">
        <f t="shared" si="3"/>
        <v>123.816</v>
      </c>
    </row>
    <row r="148" ht="12.75" customHeight="1">
      <c r="A148" s="17" t="s">
        <v>39</v>
      </c>
      <c r="B148" s="33" t="str">
        <f>"""BC365 (SQL)"",""Somerset Timbers"",""37"",""1"",""Order"",""3"",""SF39633"",""4"",""20000"""</f>
        <v>"BC365 (SQL)","Somerset Timbers","37","1","Order","3","SF39633","4","20000"</v>
      </c>
      <c r="C148" s="17" t="str">
        <f t="shared" si="46"/>
        <v>SF39633</v>
      </c>
      <c r="D148" s="17" t="str">
        <f t="shared" si="47"/>
        <v>C31259</v>
      </c>
      <c r="E148" s="17" t="str">
        <f>"HT06735037"</f>
        <v>HT06735037</v>
      </c>
      <c r="F148" s="17" t="str">
        <f>"SALIGNA Lam Beam 67x350mm  3.7m (buy-in)"</f>
        <v>SALIGNA Lam Beam 67x350mm  3.7m (buy-in)</v>
      </c>
      <c r="G148" s="17">
        <v>3.0</v>
      </c>
      <c r="H148" s="17">
        <v>47.7235</v>
      </c>
      <c r="I148" s="27">
        <f t="shared" si="3"/>
        <v>143.1705</v>
      </c>
    </row>
    <row r="149" ht="12.75" customHeight="1">
      <c r="A149" s="17" t="s">
        <v>39</v>
      </c>
      <c r="B149" s="33" t="str">
        <f>"""BC365 (SQL)"",""Somerset Timbers"",""37"",""1"",""Order"",""3"",""SF39633"",""4"",""30000"""</f>
        <v>"BC365 (SQL)","Somerset Timbers","37","1","Order","3","SF39633","4","30000"</v>
      </c>
      <c r="C149" s="17" t="str">
        <f t="shared" si="46"/>
        <v>SF39633</v>
      </c>
      <c r="D149" s="17" t="str">
        <f t="shared" si="47"/>
        <v>C31259</v>
      </c>
      <c r="E149" s="17" t="str">
        <f>"HT06735068"</f>
        <v>HT06735068</v>
      </c>
      <c r="F149" s="17" t="str">
        <f>"SALIGNA Lam Beam 67x350mm  6.8m (buy-in)"</f>
        <v>SALIGNA Lam Beam 67x350mm  6.8m (buy-in)</v>
      </c>
      <c r="G149" s="17">
        <v>1.0</v>
      </c>
      <c r="H149" s="17">
        <v>87.703</v>
      </c>
      <c r="I149" s="27">
        <f t="shared" si="3"/>
        <v>87.703</v>
      </c>
    </row>
    <row r="150" ht="12.75" customHeight="1">
      <c r="A150" s="17" t="s">
        <v>39</v>
      </c>
      <c r="B150" s="33" t="str">
        <f>"""BC365 (SQL)"",""Somerset Timbers"",""37"",""1"",""Order"",""3"",""SF39633"",""4"",""40000"""</f>
        <v>"BC365 (SQL)","Somerset Timbers","37","1","Order","3","SF39633","4","40000"</v>
      </c>
      <c r="C150" s="17" t="str">
        <f t="shared" si="46"/>
        <v>SF39633</v>
      </c>
      <c r="D150" s="17" t="str">
        <f t="shared" si="47"/>
        <v>C31259</v>
      </c>
      <c r="E150" s="17" t="str">
        <f>"HT06735077"</f>
        <v>HT06735077</v>
      </c>
      <c r="F150" s="17" t="str">
        <f>"SALIGNA Lam Beam 67x350mm  7.7m (buy-in)"</f>
        <v>SALIGNA Lam Beam 67x350mm  7.7m (buy-in)</v>
      </c>
      <c r="G150" s="17">
        <v>1.0</v>
      </c>
      <c r="H150" s="17">
        <v>99.31349999999999</v>
      </c>
      <c r="I150" s="27">
        <f t="shared" si="3"/>
        <v>99.3135</v>
      </c>
    </row>
    <row r="151" ht="12.75" customHeight="1">
      <c r="A151" s="17" t="s">
        <v>39</v>
      </c>
      <c r="B151" s="33" t="str">
        <f>"""BC365 (SQL)"",""Somerset Timbers"",""37"",""1"",""Order"",""3"",""SF39633"",""4"",""50000"""</f>
        <v>"BC365 (SQL)","Somerset Timbers","37","1","Order","3","SF39633","4","50000"</v>
      </c>
      <c r="C151" s="17" t="str">
        <f t="shared" si="46"/>
        <v>SF39633</v>
      </c>
      <c r="D151" s="17" t="str">
        <f t="shared" si="47"/>
        <v>C31259</v>
      </c>
      <c r="E151" s="17" t="str">
        <f>"ZA02510"</f>
        <v>ZA02510</v>
      </c>
      <c r="F151" s="17" t="str">
        <f>"Delivery to Sea Point (0 - 1 cubic metres)"</f>
        <v>Delivery to Sea Point (0 - 1 cubic metres)</v>
      </c>
      <c r="G151" s="17">
        <v>1.0</v>
      </c>
      <c r="H151" s="17">
        <v>0.0</v>
      </c>
      <c r="I151" s="27">
        <f t="shared" si="3"/>
        <v>0</v>
      </c>
    </row>
    <row r="152" ht="12.75" customHeight="1">
      <c r="A152" s="17" t="s">
        <v>39</v>
      </c>
      <c r="B152" s="33" t="str">
        <f>"""BC365 (SQL)"",""Somerset Timbers"",""37"",""1"",""Order"",""3"",""SF40113"",""4"",""10000"""</f>
        <v>"BC365 (SQL)","Somerset Timbers","37","1","Order","3","SF40113","4","10000"</v>
      </c>
      <c r="C152" s="17" t="str">
        <f t="shared" ref="C152:C153" si="48">"SF40113"</f>
        <v>SF40113</v>
      </c>
      <c r="D152" s="17" t="str">
        <f t="shared" ref="D152:D153" si="49">"C31331"</f>
        <v>C31331</v>
      </c>
      <c r="E152" s="17" t="str">
        <f>"EA42"</f>
        <v>EA42</v>
      </c>
      <c r="F152" s="17" t="str">
        <f>"Solid Pine Decking 22x105mm CCA H3 Treat  4.2m"</f>
        <v>Solid Pine Decking 22x105mm CCA H3 Treat  4.2m</v>
      </c>
      <c r="G152" s="17">
        <v>34.0</v>
      </c>
      <c r="H152" s="17">
        <v>7.28</v>
      </c>
      <c r="I152" s="27">
        <f t="shared" si="3"/>
        <v>247.52</v>
      </c>
    </row>
    <row r="153" ht="12.75" customHeight="1">
      <c r="A153" s="17" t="s">
        <v>39</v>
      </c>
      <c r="B153" s="33" t="str">
        <f>"""BC365 (SQL)"",""Somerset Timbers"",""37"",""1"",""Order"",""3"",""SF40113"",""4"",""20000"""</f>
        <v>"BC365 (SQL)","Somerset Timbers","37","1","Order","3","SF40113","4","20000"</v>
      </c>
      <c r="C153" s="17" t="str">
        <f t="shared" si="48"/>
        <v>SF40113</v>
      </c>
      <c r="D153" s="17" t="str">
        <f t="shared" si="49"/>
        <v>C31331</v>
      </c>
      <c r="E153" s="17" t="str">
        <f>"ZA02040"</f>
        <v>ZA02040</v>
      </c>
      <c r="F153" s="17" t="str">
        <f>"Delivery to Noordhoek (1 - 8 cubic metres)"</f>
        <v>Delivery to Noordhoek (1 - 8 cubic metres)</v>
      </c>
      <c r="G153" s="17">
        <v>0.0</v>
      </c>
      <c r="H153" s="17">
        <v>0.0</v>
      </c>
      <c r="I153" s="27">
        <f t="shared" si="3"/>
        <v>0</v>
      </c>
    </row>
    <row r="154" ht="12.75" customHeight="1">
      <c r="A154" s="17" t="s">
        <v>39</v>
      </c>
      <c r="B154" s="33" t="str">
        <f>"""BC365 (SQL)"",""Somerset Timbers"",""37"",""1"",""Order"",""3"",""SF40605"",""4"",""40000"""</f>
        <v>"BC365 (SQL)","Somerset Timbers","37","1","Order","3","SF40605","4","40000"</v>
      </c>
      <c r="C154" s="17" t="str">
        <f t="shared" ref="C154:C158" si="50">"SF40605"</f>
        <v>SF40605</v>
      </c>
      <c r="D154" s="17" t="str">
        <f t="shared" ref="D154:D158" si="51">"C31858"</f>
        <v>C31858</v>
      </c>
      <c r="E154" s="17" t="str">
        <f>"ZA02630"</f>
        <v>ZA02630</v>
      </c>
      <c r="F154" s="17" t="str">
        <f>"Delivery to Somerset West (0 - 1 cubic metres)"</f>
        <v>Delivery to Somerset West (0 - 1 cubic metres)</v>
      </c>
      <c r="G154" s="17">
        <v>1.0</v>
      </c>
      <c r="H154" s="17">
        <v>0.0</v>
      </c>
      <c r="I154" s="27">
        <f t="shared" si="3"/>
        <v>0</v>
      </c>
    </row>
    <row r="155" ht="12.75" customHeight="1">
      <c r="A155" s="17" t="s">
        <v>39</v>
      </c>
      <c r="B155" s="33" t="str">
        <f>"""BC365 (SQL)"",""Somerset Timbers"",""37"",""1"",""Order"",""3"",""SF40605"",""4"",""50000"""</f>
        <v>"BC365 (SQL)","Somerset Timbers","37","1","Order","3","SF40605","4","50000"</v>
      </c>
      <c r="C155" s="17" t="str">
        <f t="shared" si="50"/>
        <v>SF40605</v>
      </c>
      <c r="D155" s="17" t="str">
        <f t="shared" si="51"/>
        <v>C31858</v>
      </c>
      <c r="E155" s="17" t="str">
        <f>"JE51"</f>
        <v>JE51</v>
      </c>
      <c r="F155" s="17" t="str">
        <f>"Garapa WIDE Decking  19x140mm 5.18m"</f>
        <v>Garapa WIDE Decking  19x140mm 5.18m</v>
      </c>
      <c r="G155" s="17">
        <v>8.0</v>
      </c>
      <c r="H155" s="17">
        <v>11.3</v>
      </c>
      <c r="I155" s="27">
        <f t="shared" si="3"/>
        <v>90.4</v>
      </c>
    </row>
    <row r="156" ht="12.75" customHeight="1">
      <c r="A156" s="17" t="s">
        <v>39</v>
      </c>
      <c r="B156" s="33" t="str">
        <f>"""BC365 (SQL)"",""Somerset Timbers"",""37"",""1"",""Order"",""3"",""SF40605"",""4"",""60000"""</f>
        <v>"BC365 (SQL)","Somerset Timbers","37","1","Order","3","SF40605","4","60000"</v>
      </c>
      <c r="C156" s="17" t="str">
        <f t="shared" si="50"/>
        <v>SF40605</v>
      </c>
      <c r="D156" s="17" t="str">
        <f t="shared" si="51"/>
        <v>C31858</v>
      </c>
      <c r="E156" s="17" t="str">
        <f>"AD54"</f>
        <v>AD54</v>
      </c>
      <c r="F156" s="17" t="str">
        <f>"SABS Pine 38x114mm CCA H2 Treated  5.4m"</f>
        <v>SABS Pine 38x114mm CCA H2 Treated  5.4m</v>
      </c>
      <c r="G156" s="17">
        <v>2.0</v>
      </c>
      <c r="H156" s="17">
        <v>17.54</v>
      </c>
      <c r="I156" s="27">
        <f t="shared" si="3"/>
        <v>35.08</v>
      </c>
    </row>
    <row r="157" ht="12.75" customHeight="1">
      <c r="A157" s="17" t="s">
        <v>39</v>
      </c>
      <c r="B157" s="33" t="str">
        <f>"""BC365 (SQL)"",""Somerset Timbers"",""37"",""1"",""Order"",""3"",""SF40605"",""4"",""70000"""</f>
        <v>"BC365 (SQL)","Somerset Timbers","37","1","Order","3","SF40605","4","70000"</v>
      </c>
      <c r="C157" s="17" t="str">
        <f t="shared" si="50"/>
        <v>SF40605</v>
      </c>
      <c r="D157" s="17" t="str">
        <f t="shared" si="51"/>
        <v>C31858</v>
      </c>
      <c r="E157" s="17" t="str">
        <f>"AD24"</f>
        <v>AD24</v>
      </c>
      <c r="F157" s="17" t="str">
        <f>"SABS Pine 38x114mm CCA H2 Treated  2.4m"</f>
        <v>SABS Pine 38x114mm CCA H2 Treated  2.4m</v>
      </c>
      <c r="G157" s="17">
        <v>5.0</v>
      </c>
      <c r="H157" s="17">
        <v>7.8</v>
      </c>
      <c r="I157" s="27">
        <f t="shared" si="3"/>
        <v>39</v>
      </c>
    </row>
    <row r="158" ht="12.75" customHeight="1">
      <c r="A158" s="17" t="s">
        <v>39</v>
      </c>
      <c r="B158" s="33" t="str">
        <f>"""BC365 (SQL)"",""Somerset Timbers"",""37"",""1"",""Order"",""3"",""SF40605"",""4"",""80000"""</f>
        <v>"BC365 (SQL)","Somerset Timbers","37","1","Order","3","SF40605","4","80000"</v>
      </c>
      <c r="C158" s="17" t="str">
        <f t="shared" si="50"/>
        <v>SF40605</v>
      </c>
      <c r="D158" s="17" t="str">
        <f t="shared" si="51"/>
        <v>C31858</v>
      </c>
      <c r="E158" s="17" t="str">
        <f>"YA02510 078115927153"</f>
        <v>YA02510 078115927153</v>
      </c>
      <c r="F158" s="17" t="str">
        <f>"Torx deck screws 50mm (pack of 200)"</f>
        <v>Torx deck screws 50mm (pack of 200)</v>
      </c>
      <c r="G158" s="17">
        <v>1.0</v>
      </c>
      <c r="H158" s="17">
        <v>0.9105</v>
      </c>
      <c r="I158" s="27">
        <f t="shared" si="3"/>
        <v>0.9105</v>
      </c>
    </row>
    <row r="159" ht="12.75" customHeight="1">
      <c r="A159" s="17" t="s">
        <v>39</v>
      </c>
      <c r="B159" s="33" t="str">
        <f>"""BC365 (SQL)"",""Somerset Timbers"",""37"",""1"",""Order"",""3"",""SG00002"",""4"",""10000"""</f>
        <v>"BC365 (SQL)","Somerset Timbers","37","1","Order","3","SG00002","4","10000"</v>
      </c>
      <c r="C159" s="17" t="str">
        <f t="shared" ref="C159:C171" si="52">"SG00002"</f>
        <v>SG00002</v>
      </c>
      <c r="D159" s="17" t="str">
        <f t="shared" ref="D159:D171" si="53">"C13357"</f>
        <v>C13357</v>
      </c>
      <c r="E159" s="17" t="str">
        <f>"AG60"</f>
        <v>AG60</v>
      </c>
      <c r="F159" s="17" t="str">
        <f>"SABS Pine 50x76mm CCA H2 Treated  6.0m"</f>
        <v>SABS Pine 50x76mm CCA H2 Treated  6.0m</v>
      </c>
      <c r="G159" s="17">
        <v>0.0</v>
      </c>
      <c r="H159" s="17">
        <v>17.1</v>
      </c>
      <c r="I159" s="27">
        <f t="shared" si="3"/>
        <v>0</v>
      </c>
    </row>
    <row r="160" ht="12.75" customHeight="1">
      <c r="A160" s="17" t="s">
        <v>39</v>
      </c>
      <c r="B160" s="33" t="str">
        <f>"""BC365 (SQL)"",""Somerset Timbers"",""37"",""1"",""Order"",""3"",""SG00002"",""4"",""20000"""</f>
        <v>"BC365 (SQL)","Somerset Timbers","37","1","Order","3","SG00002","4","20000"</v>
      </c>
      <c r="C160" s="17" t="str">
        <f t="shared" si="52"/>
        <v>SG00002</v>
      </c>
      <c r="D160" s="17" t="str">
        <f t="shared" si="53"/>
        <v>C13357</v>
      </c>
      <c r="E160" s="17" t="str">
        <f>"AI42"</f>
        <v>AI42</v>
      </c>
      <c r="F160" s="17" t="str">
        <f>"SABS Pine 50x152mm CCA H3 Treated  4.2m"</f>
        <v>SABS Pine 50x152mm CCA H3 Treated  4.2m</v>
      </c>
      <c r="G160" s="17">
        <v>0.0</v>
      </c>
      <c r="H160" s="17">
        <v>23.94</v>
      </c>
      <c r="I160" s="27">
        <f t="shared" si="3"/>
        <v>0</v>
      </c>
    </row>
    <row r="161" ht="12.75" customHeight="1">
      <c r="A161" s="17" t="s">
        <v>39</v>
      </c>
      <c r="B161" s="33" t="str">
        <f>"""BC365 (SQL)"",""Somerset Timbers"",""37"",""1"",""Order"",""3"",""SG00002"",""4"",""30000"""</f>
        <v>"BC365 (SQL)","Somerset Timbers","37","1","Order","3","SG00002","4","30000"</v>
      </c>
      <c r="C161" s="17" t="str">
        <f t="shared" si="52"/>
        <v>SG00002</v>
      </c>
      <c r="D161" s="17" t="str">
        <f t="shared" si="53"/>
        <v>C13357</v>
      </c>
      <c r="E161" s="17" t="str">
        <f>"EA30"</f>
        <v>EA30</v>
      </c>
      <c r="F161" s="17" t="str">
        <f>"Solid Pine Decking 22x105mm CCA H3 Treat  3.0m"</f>
        <v>Solid Pine Decking 22x105mm CCA H3 Treat  3.0m</v>
      </c>
      <c r="G161" s="17">
        <v>0.0</v>
      </c>
      <c r="H161" s="17">
        <v>5.2</v>
      </c>
      <c r="I161" s="27">
        <f t="shared" si="3"/>
        <v>0</v>
      </c>
    </row>
    <row r="162" ht="12.75" customHeight="1">
      <c r="A162" s="17" t="s">
        <v>39</v>
      </c>
      <c r="B162" s="33" t="str">
        <f>"""BC365 (SQL)"",""Somerset Timbers"",""37"",""1"",""Order"",""3"",""SG00002"",""4"",""40000"""</f>
        <v>"BC365 (SQL)","Somerset Timbers","37","1","Order","3","SG00002","4","40000"</v>
      </c>
      <c r="C162" s="17" t="str">
        <f t="shared" si="52"/>
        <v>SG00002</v>
      </c>
      <c r="D162" s="17" t="str">
        <f t="shared" si="53"/>
        <v>C13357</v>
      </c>
      <c r="E162" s="17" t="str">
        <f>"HE100100030"</f>
        <v>HE100100030</v>
      </c>
      <c r="F162" s="17" t="str">
        <f>"Pine Lam Post 100x100mm Ungraded Azure 3.0m"</f>
        <v>Pine Lam Post 100x100mm Ungraded Azure 3.0m</v>
      </c>
      <c r="G162" s="17">
        <v>2.0</v>
      </c>
      <c r="H162" s="17">
        <v>16.5</v>
      </c>
      <c r="I162" s="27">
        <f t="shared" si="3"/>
        <v>33</v>
      </c>
    </row>
    <row r="163" ht="12.75" customHeight="1">
      <c r="A163" s="17" t="s">
        <v>39</v>
      </c>
      <c r="B163" s="33" t="str">
        <f>"""BC365 (SQL)"",""Somerset Timbers"",""37"",""1"",""Order"",""3"",""SG00002"",""4"",""50000"""</f>
        <v>"BC365 (SQL)","Somerset Timbers","37","1","Order","3","SG00002","4","50000"</v>
      </c>
      <c r="C163" s="17" t="str">
        <f t="shared" si="52"/>
        <v>SG00002</v>
      </c>
      <c r="D163" s="17" t="str">
        <f t="shared" si="53"/>
        <v>C13357</v>
      </c>
      <c r="E163" s="17" t="str">
        <f>"YA02050"</f>
        <v>YA02050</v>
      </c>
      <c r="F163" s="17" t="str">
        <f>"Coach Screws - Galvanised 8x30mm (Pack of 20)"</f>
        <v>Coach Screws - Galvanised 8x30mm (Pack of 20)</v>
      </c>
      <c r="G163" s="17">
        <v>0.0</v>
      </c>
      <c r="H163" s="17">
        <v>0.2355</v>
      </c>
      <c r="I163" s="27">
        <f t="shared" si="3"/>
        <v>0</v>
      </c>
    </row>
    <row r="164" ht="12.75" customHeight="1">
      <c r="A164" s="17" t="s">
        <v>39</v>
      </c>
      <c r="B164" s="33" t="str">
        <f>"""BC365 (SQL)"",""Somerset Timbers"",""37"",""1"",""Order"",""3"",""SG00002"",""4"",""60000"""</f>
        <v>"BC365 (SQL)","Somerset Timbers","37","1","Order","3","SG00002","4","60000"</v>
      </c>
      <c r="C164" s="17" t="str">
        <f t="shared" si="52"/>
        <v>SG00002</v>
      </c>
      <c r="D164" s="17" t="str">
        <f t="shared" si="53"/>
        <v>C13357</v>
      </c>
      <c r="E164" s="17" t="str">
        <f>"YA02140"</f>
        <v>YA02140</v>
      </c>
      <c r="F164" s="17" t="str">
        <f>"Coach Screws - Galvanised 10x100mm (Pack of 10)"</f>
        <v>Coach Screws - Galvanised 10x100mm (Pack of 10)</v>
      </c>
      <c r="G164" s="17">
        <v>0.0</v>
      </c>
      <c r="H164" s="17">
        <v>0.48</v>
      </c>
      <c r="I164" s="27">
        <f t="shared" si="3"/>
        <v>0</v>
      </c>
    </row>
    <row r="165" ht="12.75" customHeight="1">
      <c r="A165" s="17" t="s">
        <v>39</v>
      </c>
      <c r="B165" s="33" t="str">
        <f>"""BC365 (SQL)"",""Somerset Timbers"",""37"",""1"",""Order"",""3"",""SG00002"",""4"",""70000"""</f>
        <v>"BC365 (SQL)","Somerset Timbers","37","1","Order","3","SG00002","4","70000"</v>
      </c>
      <c r="C165" s="17" t="str">
        <f t="shared" si="52"/>
        <v>SG00002</v>
      </c>
      <c r="D165" s="17" t="str">
        <f t="shared" si="53"/>
        <v>C13357</v>
      </c>
      <c r="E165" s="17" t="str">
        <f>"YA02470"</f>
        <v>YA02470</v>
      </c>
      <c r="F165" s="17" t="str">
        <f>"Timberfix screws #12x90mm  (Pack of 20)"</f>
        <v>Timberfix screws #12x90mm  (Pack of 20)</v>
      </c>
      <c r="G165" s="17">
        <v>0.0</v>
      </c>
      <c r="H165" s="17">
        <v>0.2285</v>
      </c>
      <c r="I165" s="27">
        <f t="shared" si="3"/>
        <v>0</v>
      </c>
    </row>
    <row r="166" ht="12.75" customHeight="1">
      <c r="A166" s="17" t="s">
        <v>39</v>
      </c>
      <c r="B166" s="33" t="str">
        <f>"""BC365 (SQL)"",""Somerset Timbers"",""37"",""1"",""Order"",""3"",""SG00002"",""4"",""80000"""</f>
        <v>"BC365 (SQL)","Somerset Timbers","37","1","Order","3","SG00002","4","80000"</v>
      </c>
      <c r="C166" s="17" t="str">
        <f t="shared" si="52"/>
        <v>SG00002</v>
      </c>
      <c r="D166" s="17" t="str">
        <f t="shared" si="53"/>
        <v>C13357</v>
      </c>
      <c r="E166" s="17" t="str">
        <f>"YA01120"</f>
        <v>YA01120</v>
      </c>
      <c r="F166" s="17" t="str">
        <f>"Standard Hanger bracket  50mm"</f>
        <v>Standard Hanger bracket  50mm</v>
      </c>
      <c r="G166" s="17">
        <v>0.0</v>
      </c>
      <c r="H166" s="17">
        <v>0.1825</v>
      </c>
      <c r="I166" s="27">
        <f t="shared" si="3"/>
        <v>0</v>
      </c>
    </row>
    <row r="167" ht="12.75" customHeight="1">
      <c r="A167" s="17" t="s">
        <v>39</v>
      </c>
      <c r="B167" s="33" t="str">
        <f>"""BC365 (SQL)"",""Somerset Timbers"",""37"",""1"",""Order"",""3"",""SG00002"",""4"",""90000"""</f>
        <v>"BC365 (SQL)","Somerset Timbers","37","1","Order","3","SG00002","4","90000"</v>
      </c>
      <c r="C167" s="17" t="str">
        <f t="shared" si="52"/>
        <v>SG00002</v>
      </c>
      <c r="D167" s="17" t="str">
        <f t="shared" si="53"/>
        <v>C13357</v>
      </c>
      <c r="E167" s="17" t="str">
        <f>"YA03020"</f>
        <v>YA03020</v>
      </c>
      <c r="F167" s="17" t="str">
        <f>"Bolt - Cup Head Galvanised 10x65mm  (Pack of 10)"</f>
        <v>Bolt - Cup Head Galvanised 10x65mm  (Pack of 10)</v>
      </c>
      <c r="G167" s="17">
        <v>0.0</v>
      </c>
      <c r="H167" s="17">
        <v>0.44</v>
      </c>
      <c r="I167" s="27">
        <f t="shared" si="3"/>
        <v>0</v>
      </c>
    </row>
    <row r="168" ht="12.75" customHeight="1">
      <c r="A168" s="17" t="s">
        <v>39</v>
      </c>
      <c r="B168" s="33" t="str">
        <f>"""BC365 (SQL)"",""Somerset Timbers"",""37"",""1"",""Order"",""3"",""SG00002"",""4"",""100000"""</f>
        <v>"BC365 (SQL)","Somerset Timbers","37","1","Order","3","SG00002","4","100000"</v>
      </c>
      <c r="C168" s="17" t="str">
        <f t="shared" si="52"/>
        <v>SG00002</v>
      </c>
      <c r="D168" s="17" t="str">
        <f t="shared" si="53"/>
        <v>C13357</v>
      </c>
      <c r="E168" s="17" t="str">
        <f>"YA03410"</f>
        <v>YA03410</v>
      </c>
      <c r="F168" s="17" t="str">
        <f>"Washers- Body Galvanised 10mm  (Pack of 10)"</f>
        <v>Washers- Body Galvanised 10mm  (Pack of 10)</v>
      </c>
      <c r="G168" s="17">
        <v>0.0</v>
      </c>
      <c r="H168" s="17">
        <v>0.1285</v>
      </c>
      <c r="I168" s="27">
        <f t="shared" si="3"/>
        <v>0</v>
      </c>
    </row>
    <row r="169" ht="12.75" customHeight="1">
      <c r="A169" s="17" t="s">
        <v>39</v>
      </c>
      <c r="B169" s="33" t="str">
        <f>"""BC365 (SQL)"",""Somerset Timbers"",""37"",""1"",""Order"",""3"",""SG00002"",""4"",""110000"""</f>
        <v>"BC365 (SQL)","Somerset Timbers","37","1","Order","3","SG00002","4","110000"</v>
      </c>
      <c r="C169" s="17" t="str">
        <f t="shared" si="52"/>
        <v>SG00002</v>
      </c>
      <c r="D169" s="17" t="str">
        <f t="shared" si="53"/>
        <v>C13357</v>
      </c>
      <c r="E169" s="17" t="str">
        <f>"YA03310"</f>
        <v>YA03310</v>
      </c>
      <c r="F169" s="17" t="str">
        <f>"Nuts - Standard Galvanised 10mm (Pack of 10)"</f>
        <v>Nuts - Standard Galvanised 10mm (Pack of 10)</v>
      </c>
      <c r="G169" s="17">
        <v>0.0</v>
      </c>
      <c r="H169" s="17">
        <v>0.106</v>
      </c>
      <c r="I169" s="27">
        <f t="shared" si="3"/>
        <v>0</v>
      </c>
    </row>
    <row r="170" ht="12.75" customHeight="1">
      <c r="A170" s="17" t="s">
        <v>39</v>
      </c>
      <c r="B170" s="33" t="str">
        <f>"""BC365 (SQL)"",""Somerset Timbers"",""37"",""1"",""Order"",""3"",""SG00002"",""4"",""120000"""</f>
        <v>"BC365 (SQL)","Somerset Timbers","37","1","Order","3","SG00002","4","120000"</v>
      </c>
      <c r="C170" s="17" t="str">
        <f t="shared" si="52"/>
        <v>SG00002</v>
      </c>
      <c r="D170" s="17" t="str">
        <f t="shared" si="53"/>
        <v>C13357</v>
      </c>
      <c r="E170" s="17" t="str">
        <f>"YA01070"</f>
        <v>YA01070</v>
      </c>
      <c r="F170" s="17" t="str">
        <f>"Bracket Galvanised 2.5mm  55x75x150mm"</f>
        <v>Bracket Galvanised 2.5mm  55x75x150mm</v>
      </c>
      <c r="G170" s="17">
        <v>0.0</v>
      </c>
      <c r="H170" s="17">
        <v>0.375</v>
      </c>
      <c r="I170" s="27">
        <f t="shared" si="3"/>
        <v>0</v>
      </c>
    </row>
    <row r="171" ht="12.75" customHeight="1">
      <c r="A171" s="17" t="s">
        <v>39</v>
      </c>
      <c r="B171" s="33" t="str">
        <f>"""BC365 (SQL)"",""Somerset Timbers"",""37"",""1"",""Order"",""3"",""SG00002"",""4"",""130000"""</f>
        <v>"BC365 (SQL)","Somerset Timbers","37","1","Order","3","SG00002","4","130000"</v>
      </c>
      <c r="C171" s="17" t="str">
        <f t="shared" si="52"/>
        <v>SG00002</v>
      </c>
      <c r="D171" s="17" t="str">
        <f t="shared" si="53"/>
        <v>C13357</v>
      </c>
      <c r="E171" s="17" t="str">
        <f>"ZA01140"</f>
        <v>ZA01140</v>
      </c>
      <c r="F171" s="17" t="str">
        <f>"Delivery to Gordons Bay (1 - 8 cubic metres)"</f>
        <v>Delivery to Gordons Bay (1 - 8 cubic metres)</v>
      </c>
      <c r="G171" s="17">
        <v>0.0</v>
      </c>
      <c r="H171" s="17">
        <v>0.0</v>
      </c>
      <c r="I171" s="27">
        <f t="shared" si="3"/>
        <v>0</v>
      </c>
    </row>
    <row r="172" ht="12.75" customHeight="1">
      <c r="A172" s="17" t="s">
        <v>39</v>
      </c>
      <c r="B172" s="33" t="str">
        <f>"""BC365 (SQL)"",""Somerset Timbers"",""37"",""1"",""Order"",""3"",""SG00230"",""4"",""10000"""</f>
        <v>"BC365 (SQL)","Somerset Timbers","37","1","Order","3","SG00230","4","10000"</v>
      </c>
      <c r="C172" s="17" t="str">
        <f t="shared" ref="C172:C176" si="54">"SG00230"</f>
        <v>SG00230</v>
      </c>
      <c r="D172" s="17" t="str">
        <f t="shared" ref="D172:D176" si="55">"C31872"</f>
        <v>C31872</v>
      </c>
      <c r="E172" s="17" t="str">
        <f>"ZA01070"</f>
        <v>ZA01070</v>
      </c>
      <c r="F172" s="17" t="str">
        <f>"Delivery to Gansbaai (0 - 1 cubic metres)"</f>
        <v>Delivery to Gansbaai (0 - 1 cubic metres)</v>
      </c>
      <c r="G172" s="17">
        <v>1.0</v>
      </c>
      <c r="H172" s="17">
        <v>0.0</v>
      </c>
      <c r="I172" s="27">
        <f t="shared" si="3"/>
        <v>0</v>
      </c>
    </row>
    <row r="173" ht="12.75" customHeight="1">
      <c r="A173" s="17" t="s">
        <v>39</v>
      </c>
      <c r="B173" s="33" t="str">
        <f>"""BC365 (SQL)"",""Somerset Timbers"",""37"",""1"",""Order"",""3"",""SG00230"",""4"",""20000"""</f>
        <v>"BC365 (SQL)","Somerset Timbers","37","1","Order","3","SG00230","4","20000"</v>
      </c>
      <c r="C173" s="17" t="str">
        <f t="shared" si="54"/>
        <v>SG00230</v>
      </c>
      <c r="D173" s="17" t="str">
        <f t="shared" si="55"/>
        <v>C31872</v>
      </c>
      <c r="E173" s="17" t="str">
        <f>"L020"</f>
        <v>L020</v>
      </c>
      <c r="F173" s="17" t="str">
        <f>"Shutter PLY CC Grade  21mm"</f>
        <v>Shutter PLY CC Grade  21mm</v>
      </c>
      <c r="G173" s="17">
        <v>30.0</v>
      </c>
      <c r="H173" s="17">
        <v>34.38</v>
      </c>
      <c r="I173" s="27">
        <f t="shared" si="3"/>
        <v>1031.4</v>
      </c>
    </row>
    <row r="174" ht="12.75" customHeight="1">
      <c r="A174" s="17" t="s">
        <v>39</v>
      </c>
      <c r="B174" s="33" t="str">
        <f>"""BC365 (SQL)"",""Somerset Timbers"",""37"",""1"",""Order"",""3"",""SG00230"",""4"",""30000"""</f>
        <v>"BC365 (SQL)","Somerset Timbers","37","1","Order","3","SG00230","4","30000"</v>
      </c>
      <c r="C174" s="17" t="str">
        <f t="shared" si="54"/>
        <v>SG00230</v>
      </c>
      <c r="D174" s="17" t="str">
        <f t="shared" si="55"/>
        <v>C31872</v>
      </c>
      <c r="E174" s="17" t="str">
        <f>"AJ60"</f>
        <v>AJ60</v>
      </c>
      <c r="F174" s="17" t="str">
        <f>"SABS Pine 50x228mm CCA H3 Treated  6.0m"</f>
        <v>SABS Pine 50x228mm CCA H3 Treated  6.0m</v>
      </c>
      <c r="G174" s="17">
        <v>10.0</v>
      </c>
      <c r="H174" s="17">
        <v>51.3</v>
      </c>
      <c r="I174" s="27">
        <f t="shared" si="3"/>
        <v>513</v>
      </c>
    </row>
    <row r="175" ht="12.75" customHeight="1">
      <c r="A175" s="17" t="s">
        <v>39</v>
      </c>
      <c r="B175" s="33" t="str">
        <f>"""BC365 (SQL)"",""Somerset Timbers"",""37"",""1"",""Order"",""3"",""SG00230"",""4"",""50000"""</f>
        <v>"BC365 (SQL)","Somerset Timbers","37","1","Order","3","SG00230","4","50000"</v>
      </c>
      <c r="C175" s="17" t="str">
        <f t="shared" si="54"/>
        <v>SG00230</v>
      </c>
      <c r="D175" s="17" t="str">
        <f t="shared" si="55"/>
        <v>C31872</v>
      </c>
      <c r="E175" s="17" t="str">
        <f>"AB30"</f>
        <v>AB30</v>
      </c>
      <c r="F175" s="17" t="str">
        <f>"SABS Pine 38x50mm CCA H2 Treated  3.0m"</f>
        <v>SABS Pine 38x50mm CCA H2 Treated  3.0m</v>
      </c>
      <c r="G175" s="17">
        <v>40.0</v>
      </c>
      <c r="H175" s="17">
        <v>4.28</v>
      </c>
      <c r="I175" s="27">
        <f t="shared" si="3"/>
        <v>171.2</v>
      </c>
    </row>
    <row r="176" ht="12.75" customHeight="1">
      <c r="A176" s="17" t="s">
        <v>39</v>
      </c>
      <c r="B176" s="33" t="str">
        <f>"""BC365 (SQL)"",""Somerset Timbers"",""37"",""1"",""Order"",""3"",""SG00230"",""4"",""80000"""</f>
        <v>"BC365 (SQL)","Somerset Timbers","37","1","Order","3","SG00230","4","80000"</v>
      </c>
      <c r="C176" s="17" t="str">
        <f t="shared" si="54"/>
        <v>SG00230</v>
      </c>
      <c r="D176" s="17" t="str">
        <f t="shared" si="55"/>
        <v>C31872</v>
      </c>
      <c r="E176" s="17" t="str">
        <f>"AI60"</f>
        <v>AI60</v>
      </c>
      <c r="F176" s="17" t="str">
        <f>"SABS Pine 50x152mm CCA H3 Treated  6.0m"</f>
        <v>SABS Pine 50x152mm CCA H3 Treated  6.0m</v>
      </c>
      <c r="G176" s="17">
        <v>10.0</v>
      </c>
      <c r="H176" s="17">
        <v>34.2</v>
      </c>
      <c r="I176" s="27">
        <f t="shared" si="3"/>
        <v>342</v>
      </c>
    </row>
    <row r="177" ht="12.75" customHeight="1">
      <c r="A177" s="17" t="s">
        <v>39</v>
      </c>
      <c r="B177" s="33" t="str">
        <f>"""BC365 (SQL)"",""Somerset Timbers"",""37"",""1"",""Order"",""3"",""SG00448"",""4"",""10000"""</f>
        <v>"BC365 (SQL)","Somerset Timbers","37","1","Order","3","SG00448","4","10000"</v>
      </c>
      <c r="C177" s="17" t="str">
        <f t="shared" ref="C177:C189" si="56">"SG00448"</f>
        <v>SG00448</v>
      </c>
      <c r="D177" s="17" t="str">
        <f t="shared" ref="D177:D189" si="57">"C31805"</f>
        <v>C31805</v>
      </c>
      <c r="E177" s="17" t="str">
        <f>"AD30"</f>
        <v>AD30</v>
      </c>
      <c r="F177" s="17" t="str">
        <f>"SABS Pine 38x114mm CCA H2 Treated  3.0m"</f>
        <v>SABS Pine 38x114mm CCA H2 Treated  3.0m</v>
      </c>
      <c r="G177" s="17">
        <v>0.0</v>
      </c>
      <c r="H177" s="17">
        <v>9.75</v>
      </c>
      <c r="I177" s="27">
        <f t="shared" si="3"/>
        <v>0</v>
      </c>
    </row>
    <row r="178" ht="12.75" customHeight="1">
      <c r="A178" s="17" t="s">
        <v>39</v>
      </c>
      <c r="B178" s="33" t="str">
        <f>"""BC365 (SQL)"",""Somerset Timbers"",""37"",""1"",""Order"",""3"",""SG00448"",""4"",""20000"""</f>
        <v>"BC365 (SQL)","Somerset Timbers","37","1","Order","3","SG00448","4","20000"</v>
      </c>
      <c r="C178" s="17" t="str">
        <f t="shared" si="56"/>
        <v>SG00448</v>
      </c>
      <c r="D178" s="17" t="str">
        <f t="shared" si="57"/>
        <v>C31805</v>
      </c>
      <c r="E178" s="17" t="str">
        <f>"YA02270"</f>
        <v>YA02270</v>
      </c>
      <c r="F178" s="17" t="str">
        <f>"I-Jet Twista screw  6x100mm (Pack of 10)"</f>
        <v>I-Jet Twista screw  6x100mm (Pack of 10)</v>
      </c>
      <c r="G178" s="17">
        <v>67.0</v>
      </c>
      <c r="H178" s="17">
        <v>0.119</v>
      </c>
      <c r="I178" s="27">
        <f t="shared" si="3"/>
        <v>7.973</v>
      </c>
    </row>
    <row r="179" ht="12.75" customHeight="1">
      <c r="A179" s="17" t="s">
        <v>39</v>
      </c>
      <c r="B179" s="33" t="str">
        <f>"""BC365 (SQL)"",""Somerset Timbers"",""37"",""1"",""Order"",""3"",""SG00448"",""4"",""30000"""</f>
        <v>"BC365 (SQL)","Somerset Timbers","37","1","Order","3","SG00448","4","30000"</v>
      </c>
      <c r="C179" s="17" t="str">
        <f t="shared" si="56"/>
        <v>SG00448</v>
      </c>
      <c r="D179" s="17" t="str">
        <f t="shared" si="57"/>
        <v>C31805</v>
      </c>
      <c r="E179" s="17" t="str">
        <f>"YA02010 04292815410"</f>
        <v>YA02010 04292815410</v>
      </c>
      <c r="F179" s="17" t="str">
        <f>"Camo Protech Screw 48mm (Qt:350+1 bit)"</f>
        <v>Camo Protech Screw 48mm (Qt:350+1 bit)</v>
      </c>
      <c r="G179" s="17">
        <v>0.0</v>
      </c>
      <c r="H179" s="17">
        <v>0.0</v>
      </c>
      <c r="I179" s="27">
        <f t="shared" si="3"/>
        <v>0</v>
      </c>
    </row>
    <row r="180" ht="12.75" customHeight="1">
      <c r="A180" s="17" t="s">
        <v>39</v>
      </c>
      <c r="B180" s="33" t="str">
        <f>"""BC365 (SQL)"",""Somerset Timbers"",""37"",""1"",""Order"",""3"",""SG00448"",""4"",""40000"""</f>
        <v>"BC365 (SQL)","Somerset Timbers","37","1","Order","3","SG00448","4","40000"</v>
      </c>
      <c r="C180" s="17" t="str">
        <f t="shared" si="56"/>
        <v>SG00448</v>
      </c>
      <c r="D180" s="17" t="str">
        <f t="shared" si="57"/>
        <v>C31805</v>
      </c>
      <c r="E180" s="17" t="str">
        <f>"YA02510 078115927153"</f>
        <v>YA02510 078115927153</v>
      </c>
      <c r="F180" s="17" t="str">
        <f>"Torx deck screws 50mm (pack of 200)"</f>
        <v>Torx deck screws 50mm (pack of 200)</v>
      </c>
      <c r="G180" s="17">
        <v>0.0</v>
      </c>
      <c r="H180" s="17">
        <v>0.9105</v>
      </c>
      <c r="I180" s="27">
        <f t="shared" si="3"/>
        <v>0</v>
      </c>
    </row>
    <row r="181" ht="12.75" customHeight="1">
      <c r="A181" s="17" t="s">
        <v>39</v>
      </c>
      <c r="B181" s="33" t="str">
        <f>"""BC365 (SQL)"",""Somerset Timbers"",""37"",""1"",""Order"",""3"",""SG00448"",""4"",""50000"""</f>
        <v>"BC365 (SQL)","Somerset Timbers","37","1","Order","3","SG00448","4","50000"</v>
      </c>
      <c r="C181" s="17" t="str">
        <f t="shared" si="56"/>
        <v>SG00448</v>
      </c>
      <c r="D181" s="17" t="str">
        <f t="shared" si="57"/>
        <v>C31805</v>
      </c>
      <c r="E181" s="17" t="str">
        <f>"EA12"</f>
        <v>EA12</v>
      </c>
      <c r="F181" s="17" t="str">
        <f>"Solid Pine Decking 22x105mm CCA H3 Treat  1.2m"</f>
        <v>Solid Pine Decking 22x105mm CCA H3 Treat  1.2m</v>
      </c>
      <c r="G181" s="17">
        <v>0.0</v>
      </c>
      <c r="H181" s="17">
        <v>2.08</v>
      </c>
      <c r="I181" s="27">
        <f t="shared" si="3"/>
        <v>0</v>
      </c>
    </row>
    <row r="182" ht="12.75" customHeight="1">
      <c r="A182" s="17" t="s">
        <v>39</v>
      </c>
      <c r="B182" s="33" t="str">
        <f>"""BC365 (SQL)"",""Somerset Timbers"",""37"",""1"",""Order"",""3"",""SG00448"",""4"",""60000"""</f>
        <v>"BC365 (SQL)","Somerset Timbers","37","1","Order","3","SG00448","4","60000"</v>
      </c>
      <c r="C182" s="17" t="str">
        <f t="shared" si="56"/>
        <v>SG00448</v>
      </c>
      <c r="D182" s="17" t="str">
        <f t="shared" si="57"/>
        <v>C31805</v>
      </c>
      <c r="E182" s="17" t="str">
        <f>"EA18"</f>
        <v>EA18</v>
      </c>
      <c r="F182" s="17" t="str">
        <f>"Solid Pine Decking 22x105mm CCA H3 Treat  1.8m"</f>
        <v>Solid Pine Decking 22x105mm CCA H3 Treat  1.8m</v>
      </c>
      <c r="G182" s="17">
        <v>0.0</v>
      </c>
      <c r="H182" s="17">
        <v>3.12</v>
      </c>
      <c r="I182" s="27">
        <f t="shared" si="3"/>
        <v>0</v>
      </c>
    </row>
    <row r="183" ht="12.75" customHeight="1">
      <c r="A183" s="17" t="s">
        <v>39</v>
      </c>
      <c r="B183" s="33" t="str">
        <f>"""BC365 (SQL)"",""Somerset Timbers"",""37"",""1"",""Order"",""3"",""SG00448"",""4"",""70000"""</f>
        <v>"BC365 (SQL)","Somerset Timbers","37","1","Order","3","SG00448","4","70000"</v>
      </c>
      <c r="C183" s="17" t="str">
        <f t="shared" si="56"/>
        <v>SG00448</v>
      </c>
      <c r="D183" s="17" t="str">
        <f t="shared" si="57"/>
        <v>C31805</v>
      </c>
      <c r="E183" s="17" t="str">
        <f>"EA15"</f>
        <v>EA15</v>
      </c>
      <c r="F183" s="17" t="str">
        <f>"Solid Pine Decking 22x105mm CCA H3 Treat  1.5m"</f>
        <v>Solid Pine Decking 22x105mm CCA H3 Treat  1.5m</v>
      </c>
      <c r="G183" s="17">
        <v>0.0</v>
      </c>
      <c r="H183" s="17">
        <v>2.6</v>
      </c>
      <c r="I183" s="27">
        <f t="shared" si="3"/>
        <v>0</v>
      </c>
    </row>
    <row r="184" ht="12.75" customHeight="1">
      <c r="A184" s="17" t="s">
        <v>39</v>
      </c>
      <c r="B184" s="33" t="str">
        <f>"""BC365 (SQL)"",""Somerset Timbers"",""37"",""1"",""Order"",""3"",""SG00448"",""4"",""80000"""</f>
        <v>"BC365 (SQL)","Somerset Timbers","37","1","Order","3","SG00448","4","80000"</v>
      </c>
      <c r="C184" s="17" t="str">
        <f t="shared" si="56"/>
        <v>SG00448</v>
      </c>
      <c r="D184" s="17" t="str">
        <f t="shared" si="57"/>
        <v>C31805</v>
      </c>
      <c r="E184" s="17" t="str">
        <f>"EA21"</f>
        <v>EA21</v>
      </c>
      <c r="F184" s="17" t="str">
        <f>"Solid Pine Decking 22x105mm CCA H3 Treat  2.1m"</f>
        <v>Solid Pine Decking 22x105mm CCA H3 Treat  2.1m</v>
      </c>
      <c r="G184" s="17">
        <v>0.0</v>
      </c>
      <c r="H184" s="17">
        <v>3.64</v>
      </c>
      <c r="I184" s="27">
        <f t="shared" si="3"/>
        <v>0</v>
      </c>
    </row>
    <row r="185" ht="12.75" customHeight="1">
      <c r="A185" s="17" t="s">
        <v>39</v>
      </c>
      <c r="B185" s="33" t="str">
        <f>"""BC365 (SQL)"",""Somerset Timbers"",""37"",""1"",""Order"",""3"",""SG00448"",""4"",""90000"""</f>
        <v>"BC365 (SQL)","Somerset Timbers","37","1","Order","3","SG00448","4","90000"</v>
      </c>
      <c r="C185" s="17" t="str">
        <f t="shared" si="56"/>
        <v>SG00448</v>
      </c>
      <c r="D185" s="17" t="str">
        <f t="shared" si="57"/>
        <v>C31805</v>
      </c>
      <c r="E185" s="17" t="str">
        <f>"EA24"</f>
        <v>EA24</v>
      </c>
      <c r="F185" s="17" t="str">
        <f>"Solid Pine Decking 22x105mm CCA H3 Treat  2.4m"</f>
        <v>Solid Pine Decking 22x105mm CCA H3 Treat  2.4m</v>
      </c>
      <c r="G185" s="17">
        <v>0.0</v>
      </c>
      <c r="H185" s="17">
        <v>4.16</v>
      </c>
      <c r="I185" s="27">
        <f t="shared" si="3"/>
        <v>0</v>
      </c>
    </row>
    <row r="186" ht="12.75" customHeight="1">
      <c r="A186" s="17" t="s">
        <v>39</v>
      </c>
      <c r="B186" s="33" t="str">
        <f>"""BC365 (SQL)"",""Somerset Timbers"",""37"",""1"",""Order"",""3"",""SG00448"",""4"",""100000"""</f>
        <v>"BC365 (SQL)","Somerset Timbers","37","1","Order","3","SG00448","4","100000"</v>
      </c>
      <c r="C186" s="17" t="str">
        <f t="shared" si="56"/>
        <v>SG00448</v>
      </c>
      <c r="D186" s="17" t="str">
        <f t="shared" si="57"/>
        <v>C31805</v>
      </c>
      <c r="E186" s="17" t="str">
        <f>"EA30"</f>
        <v>EA30</v>
      </c>
      <c r="F186" s="17" t="str">
        <f>"Solid Pine Decking 22x105mm CCA H3 Treat  3.0m"</f>
        <v>Solid Pine Decking 22x105mm CCA H3 Treat  3.0m</v>
      </c>
      <c r="G186" s="17">
        <v>0.0</v>
      </c>
      <c r="H186" s="17">
        <v>5.2</v>
      </c>
      <c r="I186" s="27">
        <f t="shared" si="3"/>
        <v>0</v>
      </c>
    </row>
    <row r="187" ht="12.75" customHeight="1">
      <c r="A187" s="17" t="s">
        <v>39</v>
      </c>
      <c r="B187" s="33" t="str">
        <f>"""BC365 (SQL)"",""Somerset Timbers"",""37"",""1"",""Order"",""3"",""SG00448"",""4"",""110000"""</f>
        <v>"BC365 (SQL)","Somerset Timbers","37","1","Order","3","SG00448","4","110000"</v>
      </c>
      <c r="C187" s="17" t="str">
        <f t="shared" si="56"/>
        <v>SG00448</v>
      </c>
      <c r="D187" s="17" t="str">
        <f t="shared" si="57"/>
        <v>C31805</v>
      </c>
      <c r="E187" s="17" t="str">
        <f>"YA02140"</f>
        <v>YA02140</v>
      </c>
      <c r="F187" s="17" t="str">
        <f>"Coach Screws - Galvanised 10x100mm (Pack of 10)"</f>
        <v>Coach Screws - Galvanised 10x100mm (Pack of 10)</v>
      </c>
      <c r="G187" s="17">
        <v>0.0</v>
      </c>
      <c r="H187" s="17">
        <v>0.48</v>
      </c>
      <c r="I187" s="27">
        <f t="shared" si="3"/>
        <v>0</v>
      </c>
    </row>
    <row r="188" ht="12.75" customHeight="1">
      <c r="A188" s="17" t="s">
        <v>39</v>
      </c>
      <c r="B188" s="33" t="str">
        <f>"""BC365 (SQL)"",""Somerset Timbers"",""37"",""1"",""Order"",""3"",""SG00448"",""4"",""120000"""</f>
        <v>"BC365 (SQL)","Somerset Timbers","37","1","Order","3","SG00448","4","120000"</v>
      </c>
      <c r="C188" s="17" t="str">
        <f t="shared" si="56"/>
        <v>SG00448</v>
      </c>
      <c r="D188" s="17" t="str">
        <f t="shared" si="57"/>
        <v>C31805</v>
      </c>
      <c r="E188" s="17" t="str">
        <f>"YA01270"</f>
        <v>YA01270</v>
      </c>
      <c r="F188" s="17" t="str">
        <f>"Wall plug  12mm  (Pack of 20)"</f>
        <v>Wall plug  12mm  (Pack of 20)</v>
      </c>
      <c r="G188" s="17">
        <v>0.0</v>
      </c>
      <c r="H188" s="17">
        <v>0.066</v>
      </c>
      <c r="I188" s="27">
        <f t="shared" si="3"/>
        <v>0</v>
      </c>
    </row>
    <row r="189" ht="12.75" customHeight="1">
      <c r="A189" s="17" t="s">
        <v>39</v>
      </c>
      <c r="B189" s="33" t="str">
        <f>"""BC365 (SQL)"",""Somerset Timbers"",""37"",""1"",""Order"",""3"",""SG00448"",""4"",""130000"""</f>
        <v>"BC365 (SQL)","Somerset Timbers","37","1","Order","3","SG00448","4","130000"</v>
      </c>
      <c r="C189" s="17" t="str">
        <f t="shared" si="56"/>
        <v>SG00448</v>
      </c>
      <c r="D189" s="17" t="str">
        <f t="shared" si="57"/>
        <v>C31805</v>
      </c>
      <c r="E189" s="17" t="str">
        <f>"ZA02730"</f>
        <v>ZA02730</v>
      </c>
      <c r="F189" s="17" t="str">
        <f>"Delivery to Stellenbosch (1 - 8 cubic metres)"</f>
        <v>Delivery to Stellenbosch (1 - 8 cubic metres)</v>
      </c>
      <c r="G189" s="17">
        <v>0.0</v>
      </c>
      <c r="H189" s="17">
        <v>0.0</v>
      </c>
      <c r="I189" s="27">
        <f t="shared" si="3"/>
        <v>0</v>
      </c>
    </row>
    <row r="190" ht="12.75" customHeight="1">
      <c r="A190" s="17" t="s">
        <v>39</v>
      </c>
      <c r="B190" s="33" t="str">
        <f>"""BC365 (SQL)"",""Somerset Timbers"",""37"",""1"",""Order"",""3"",""SG00455"",""4"",""10000"""</f>
        <v>"BC365 (SQL)","Somerset Timbers","37","1","Order","3","SG00455","4","10000"</v>
      </c>
      <c r="C190" s="17" t="str">
        <f t="shared" ref="C190:C202" si="58">"SG00455"</f>
        <v>SG00455</v>
      </c>
      <c r="D190" s="17" t="str">
        <f t="shared" ref="D190:D202" si="59">"C31617"</f>
        <v>C31617</v>
      </c>
      <c r="E190" s="17" t="str">
        <f>"AI48"</f>
        <v>AI48</v>
      </c>
      <c r="F190" s="17" t="str">
        <f>"SABS Pine 50x152mm CCA H3 Treated  4.8m"</f>
        <v>SABS Pine 50x152mm CCA H3 Treated  4.8m</v>
      </c>
      <c r="G190" s="17">
        <v>0.0</v>
      </c>
      <c r="H190" s="17">
        <v>27.36</v>
      </c>
      <c r="I190" s="27">
        <f t="shared" si="3"/>
        <v>0</v>
      </c>
    </row>
    <row r="191" ht="12.75" customHeight="1">
      <c r="A191" s="17" t="s">
        <v>39</v>
      </c>
      <c r="B191" s="33" t="str">
        <f>"""BC365 (SQL)"",""Somerset Timbers"",""37"",""1"",""Order"",""3"",""SG00455"",""4"",""20000"""</f>
        <v>"BC365 (SQL)","Somerset Timbers","37","1","Order","3","SG00455","4","20000"</v>
      </c>
      <c r="C191" s="17" t="str">
        <f t="shared" si="58"/>
        <v>SG00455</v>
      </c>
      <c r="D191" s="17" t="str">
        <f t="shared" si="59"/>
        <v>C31617</v>
      </c>
      <c r="E191" s="17" t="str">
        <f>"AG66"</f>
        <v>AG66</v>
      </c>
      <c r="F191" s="17" t="str">
        <f>"SABS Pine 50x76mm CCA H2 Treated  6.6m"</f>
        <v>SABS Pine 50x76mm CCA H2 Treated  6.6m</v>
      </c>
      <c r="G191" s="17">
        <v>0.0</v>
      </c>
      <c r="H191" s="17">
        <v>18.81</v>
      </c>
      <c r="I191" s="27">
        <f t="shared" si="3"/>
        <v>0</v>
      </c>
    </row>
    <row r="192" ht="12.75" customHeight="1">
      <c r="A192" s="17" t="s">
        <v>39</v>
      </c>
      <c r="B192" s="33" t="str">
        <f>"""BC365 (SQL)"",""Somerset Timbers"",""37"",""1"",""Order"",""3"",""SG00455"",""4"",""30000"""</f>
        <v>"BC365 (SQL)","Somerset Timbers","37","1","Order","3","SG00455","4","30000"</v>
      </c>
      <c r="C192" s="17" t="str">
        <f t="shared" si="58"/>
        <v>SG00455</v>
      </c>
      <c r="D192" s="17" t="str">
        <f t="shared" si="59"/>
        <v>C31617</v>
      </c>
      <c r="E192" s="17" t="str">
        <f>"AA36"</f>
        <v>AA36</v>
      </c>
      <c r="F192" s="17" t="str">
        <f>"SABS Pine 38x38mm CCA H2 Treated  3.6m"</f>
        <v>SABS Pine 38x38mm CCA H2 Treated  3.6m</v>
      </c>
      <c r="G192" s="17">
        <v>0.0</v>
      </c>
      <c r="H192" s="17">
        <v>3.9</v>
      </c>
      <c r="I192" s="27">
        <f t="shared" si="3"/>
        <v>0</v>
      </c>
    </row>
    <row r="193" ht="12.75" customHeight="1">
      <c r="A193" s="17" t="s">
        <v>39</v>
      </c>
      <c r="B193" s="33" t="str">
        <f>"""BC365 (SQL)"",""Somerset Timbers"",""37"",""1"",""Order"",""3"",""SG00455"",""4"",""40000"""</f>
        <v>"BC365 (SQL)","Somerset Timbers","37","1","Order","3","SG00455","4","40000"</v>
      </c>
      <c r="C193" s="17" t="str">
        <f t="shared" si="58"/>
        <v>SG00455</v>
      </c>
      <c r="D193" s="17" t="str">
        <f t="shared" si="59"/>
        <v>C31617</v>
      </c>
      <c r="E193" s="17" t="str">
        <f>"HR065065024"</f>
        <v>HR065065024</v>
      </c>
      <c r="F193" s="17" t="str">
        <f>"Red Grandis Laminated Post 65x65mm 2.4m"</f>
        <v>Red Grandis Laminated Post 65x65mm 2.4m</v>
      </c>
      <c r="G193" s="17">
        <v>3.0</v>
      </c>
      <c r="H193" s="17">
        <v>6.47</v>
      </c>
      <c r="I193" s="27">
        <f t="shared" si="3"/>
        <v>19.41</v>
      </c>
    </row>
    <row r="194" ht="12.75" customHeight="1">
      <c r="A194" s="17" t="s">
        <v>39</v>
      </c>
      <c r="B194" s="33" t="str">
        <f>"""BC365 (SQL)"",""Somerset Timbers"",""37"",""1"",""Order"",""3"",""SG00455"",""4"",""50000"""</f>
        <v>"BC365 (SQL)","Somerset Timbers","37","1","Order","3","SG00455","4","50000"</v>
      </c>
      <c r="C194" s="17" t="str">
        <f t="shared" si="58"/>
        <v>SG00455</v>
      </c>
      <c r="D194" s="17" t="str">
        <f t="shared" si="59"/>
        <v>C31617</v>
      </c>
      <c r="E194" s="17" t="str">
        <f>"JM30"</f>
        <v>JM30</v>
      </c>
      <c r="F194" s="17" t="str">
        <f>"Red Grandis Decking  22x118mm  3.0m"</f>
        <v>Red Grandis Decking  22x118mm  3.0m</v>
      </c>
      <c r="G194" s="17">
        <v>0.0</v>
      </c>
      <c r="H194" s="17">
        <v>4.28</v>
      </c>
      <c r="I194" s="27">
        <f t="shared" si="3"/>
        <v>0</v>
      </c>
    </row>
    <row r="195" ht="12.75" customHeight="1">
      <c r="A195" s="17" t="s">
        <v>39</v>
      </c>
      <c r="B195" s="33" t="str">
        <f>"""BC365 (SQL)"",""Somerset Timbers"",""37"",""1"",""Order"",""3"",""SG00455"",""4"",""60000"""</f>
        <v>"BC365 (SQL)","Somerset Timbers","37","1","Order","3","SG00455","4","60000"</v>
      </c>
      <c r="C195" s="17" t="str">
        <f t="shared" si="58"/>
        <v>SG00455</v>
      </c>
      <c r="D195" s="17" t="str">
        <f t="shared" si="59"/>
        <v>C31617</v>
      </c>
      <c r="E195" s="17" t="str">
        <f>"JM45"</f>
        <v>JM45</v>
      </c>
      <c r="F195" s="17" t="str">
        <f>"Red Grandis Decking  22x118mm  4.5m"</f>
        <v>Red Grandis Decking  22x118mm  4.5m</v>
      </c>
      <c r="G195" s="17">
        <v>0.0</v>
      </c>
      <c r="H195" s="17">
        <v>6.42</v>
      </c>
      <c r="I195" s="27">
        <f t="shared" si="3"/>
        <v>0</v>
      </c>
    </row>
    <row r="196" ht="12.75" customHeight="1">
      <c r="A196" s="17" t="s">
        <v>39</v>
      </c>
      <c r="B196" s="33" t="str">
        <f>"""BC365 (SQL)"",""Somerset Timbers"",""37"",""1"",""Order"",""3"",""SG00455"",""4"",""70000"""</f>
        <v>"BC365 (SQL)","Somerset Timbers","37","1","Order","3","SG00455","4","70000"</v>
      </c>
      <c r="C196" s="17" t="str">
        <f t="shared" si="58"/>
        <v>SG00455</v>
      </c>
      <c r="D196" s="17" t="str">
        <f t="shared" si="59"/>
        <v>C31617</v>
      </c>
      <c r="E196" s="17" t="str">
        <f>"HTD03560024"</f>
        <v>HTD03560024</v>
      </c>
      <c r="F196" s="17" t="str">
        <f>"Counter top Red Grandis 35x600mm  2.4m"</f>
        <v>Counter top Red Grandis 35x600mm  2.4m</v>
      </c>
      <c r="G196" s="17">
        <v>2.0</v>
      </c>
      <c r="H196" s="17">
        <v>27.72</v>
      </c>
      <c r="I196" s="27">
        <f t="shared" si="3"/>
        <v>55.44</v>
      </c>
    </row>
    <row r="197" ht="12.75" customHeight="1">
      <c r="A197" s="17" t="s">
        <v>39</v>
      </c>
      <c r="B197" s="33" t="str">
        <f>"""BC365 (SQL)"",""Somerset Timbers"",""37"",""1"",""Order"",""3"",""SG00455"",""4"",""80000"""</f>
        <v>"BC365 (SQL)","Somerset Timbers","37","1","Order","3","SG00455","4","80000"</v>
      </c>
      <c r="C197" s="17" t="str">
        <f t="shared" si="58"/>
        <v>SG00455</v>
      </c>
      <c r="D197" s="17" t="str">
        <f t="shared" si="59"/>
        <v>C31617</v>
      </c>
      <c r="E197" s="17" t="str">
        <f>"YB00270 781159271465"</f>
        <v>YB00270 781159271465</v>
      </c>
      <c r="F197" s="17" t="str">
        <f>"Galseal LIGHT OAK  5 Litres"</f>
        <v>Galseal LIGHT OAK  5 Litres</v>
      </c>
      <c r="G197" s="17">
        <v>0.0</v>
      </c>
      <c r="H197" s="17">
        <v>4.3</v>
      </c>
      <c r="I197" s="27">
        <f t="shared" si="3"/>
        <v>0</v>
      </c>
    </row>
    <row r="198" ht="12.75" customHeight="1">
      <c r="A198" s="17" t="s">
        <v>39</v>
      </c>
      <c r="B198" s="33" t="str">
        <f>"""BC365 (SQL)"",""Somerset Timbers"",""37"",""1"",""Order"",""3"",""SG00455"",""4"",""90000"""</f>
        <v>"BC365 (SQL)","Somerset Timbers","37","1","Order","3","SG00455","4","90000"</v>
      </c>
      <c r="C198" s="17" t="str">
        <f t="shared" si="58"/>
        <v>SG00455</v>
      </c>
      <c r="D198" s="17" t="str">
        <f t="shared" si="59"/>
        <v>C31617</v>
      </c>
      <c r="E198" s="17" t="str">
        <f>"YA09500 400353019164"</f>
        <v>YA09500 400353019164</v>
      </c>
      <c r="F198" s="17" t="str">
        <f>"SPAX Deck spacers box (12 per box)"</f>
        <v>SPAX Deck spacers box (12 per box)</v>
      </c>
      <c r="G198" s="17">
        <v>0.0</v>
      </c>
      <c r="H198" s="17">
        <v>0.0</v>
      </c>
      <c r="I198" s="27">
        <f t="shared" si="3"/>
        <v>0</v>
      </c>
    </row>
    <row r="199" ht="12.75" customHeight="1">
      <c r="A199" s="17" t="s">
        <v>39</v>
      </c>
      <c r="B199" s="33" t="str">
        <f>"""BC365 (SQL)"",""Somerset Timbers"",""37"",""1"",""Order"",""3"",""SG00455"",""4"",""100000"""</f>
        <v>"BC365 (SQL)","Somerset Timbers","37","1","Order","3","SG00455","4","100000"</v>
      </c>
      <c r="C199" s="17" t="str">
        <f t="shared" si="58"/>
        <v>SG00455</v>
      </c>
      <c r="D199" s="17" t="str">
        <f t="shared" si="59"/>
        <v>C31617</v>
      </c>
      <c r="E199" s="17" t="str">
        <f>"YA02520 781159271540"</f>
        <v>YA02520 781159271540</v>
      </c>
      <c r="F199" s="17" t="str">
        <f>"Torx deck screws 60mm (pack of 200) - TOP FIXING"</f>
        <v>Torx deck screws 60mm (pack of 200) - TOP FIXING</v>
      </c>
      <c r="G199" s="17">
        <v>0.0</v>
      </c>
      <c r="H199" s="17">
        <v>1.0</v>
      </c>
      <c r="I199" s="27">
        <f t="shared" si="3"/>
        <v>0</v>
      </c>
    </row>
    <row r="200" ht="12.75" customHeight="1">
      <c r="A200" s="17" t="s">
        <v>39</v>
      </c>
      <c r="B200" s="33" t="str">
        <f>"""BC365 (SQL)"",""Somerset Timbers"",""37"",""1"",""Order"",""3"",""SG00455"",""4"",""110000"""</f>
        <v>"BC365 (SQL)","Somerset Timbers","37","1","Order","3","SG00455","4","110000"</v>
      </c>
      <c r="C200" s="17" t="str">
        <f t="shared" si="58"/>
        <v>SG00455</v>
      </c>
      <c r="D200" s="17" t="str">
        <f t="shared" si="59"/>
        <v>C31617</v>
      </c>
      <c r="E200" s="17" t="str">
        <f>"AI48"</f>
        <v>AI48</v>
      </c>
      <c r="F200" s="17" t="str">
        <f>"SABS Pine 50x152mm CCA H3 Treated  4.8m"</f>
        <v>SABS Pine 50x152mm CCA H3 Treated  4.8m</v>
      </c>
      <c r="G200" s="17">
        <v>0.0</v>
      </c>
      <c r="H200" s="17">
        <v>27.36</v>
      </c>
      <c r="I200" s="27">
        <f t="shared" si="3"/>
        <v>0</v>
      </c>
    </row>
    <row r="201" ht="12.75" customHeight="1">
      <c r="A201" s="17" t="s">
        <v>39</v>
      </c>
      <c r="B201" s="33" t="str">
        <f>"""BC365 (SQL)"",""Somerset Timbers"",""37"",""1"",""Order"",""3"",""SG00455"",""4"",""120000"""</f>
        <v>"BC365 (SQL)","Somerset Timbers","37","1","Order","3","SG00455","4","120000"</v>
      </c>
      <c r="C201" s="17" t="str">
        <f t="shared" si="58"/>
        <v>SG00455</v>
      </c>
      <c r="D201" s="17" t="str">
        <f t="shared" si="59"/>
        <v>C31617</v>
      </c>
      <c r="E201" s="17" t="str">
        <f>"YA06500 600951584829"</f>
        <v>YA06500 600951584829</v>
      </c>
      <c r="F201" s="17" t="str">
        <f>"TorkCraft DECKING TOOL  10G  (TCDT010-01)"</f>
        <v>TorkCraft DECKING TOOL  10G  (TCDT010-01)</v>
      </c>
      <c r="G201" s="17">
        <v>0.0</v>
      </c>
      <c r="H201" s="17">
        <v>0.026</v>
      </c>
      <c r="I201" s="27">
        <f t="shared" si="3"/>
        <v>0</v>
      </c>
    </row>
    <row r="202" ht="12.75" customHeight="1">
      <c r="A202" s="17" t="s">
        <v>39</v>
      </c>
      <c r="B202" s="33" t="str">
        <f>"""BC365 (SQL)"",""Somerset Timbers"",""37"",""1"",""Order"",""3"",""SG00455"",""4"",""130000"""</f>
        <v>"BC365 (SQL)","Somerset Timbers","37","1","Order","3","SG00455","4","130000"</v>
      </c>
      <c r="C202" s="17" t="str">
        <f t="shared" si="58"/>
        <v>SG00455</v>
      </c>
      <c r="D202" s="17" t="str">
        <f t="shared" si="59"/>
        <v>C31617</v>
      </c>
      <c r="E202" s="17" t="str">
        <f>"ZA01350"</f>
        <v>ZA01350</v>
      </c>
      <c r="F202" s="17" t="str">
        <f>"Delivery to Hout Bay (1 - 8 cubic metres)"</f>
        <v>Delivery to Hout Bay (1 - 8 cubic metres)</v>
      </c>
      <c r="G202" s="17">
        <v>0.0</v>
      </c>
      <c r="H202" s="17">
        <v>0.0</v>
      </c>
      <c r="I202" s="27">
        <f t="shared" si="3"/>
        <v>0</v>
      </c>
    </row>
    <row r="203" ht="12.75" customHeight="1">
      <c r="A203" s="17" t="s">
        <v>39</v>
      </c>
      <c r="B203" s="33" t="str">
        <f>"""BC365 (SQL)"",""Somerset Timbers"",""37"",""1"",""Order"",""3"",""SG00708"",""4"",""10000"""</f>
        <v>"BC365 (SQL)","Somerset Timbers","37","1","Order","3","SG00708","4","10000"</v>
      </c>
      <c r="C203" s="17" t="str">
        <f t="shared" ref="C203:C216" si="60">"SG00708"</f>
        <v>SG00708</v>
      </c>
      <c r="D203" s="17" t="str">
        <f t="shared" ref="D203:D216" si="61">"C28271"</f>
        <v>C28271</v>
      </c>
      <c r="E203" s="17" t="str">
        <f>"EA36"</f>
        <v>EA36</v>
      </c>
      <c r="F203" s="17" t="str">
        <f>"Solid Pine Decking 22x105mm CCA H3 Treat  3.6m"</f>
        <v>Solid Pine Decking 22x105mm CCA H3 Treat  3.6m</v>
      </c>
      <c r="G203" s="17">
        <v>9.0</v>
      </c>
      <c r="H203" s="17">
        <v>6.24</v>
      </c>
      <c r="I203" s="27">
        <f t="shared" si="3"/>
        <v>56.16</v>
      </c>
    </row>
    <row r="204" ht="12.75" customHeight="1">
      <c r="A204" s="17" t="s">
        <v>39</v>
      </c>
      <c r="B204" s="33" t="str">
        <f>"""BC365 (SQL)"",""Somerset Timbers"",""37"",""1"",""Order"",""3"",""SG00708"",""4"",""30000"""</f>
        <v>"BC365 (SQL)","Somerset Timbers","37","1","Order","3","SG00708","4","30000"</v>
      </c>
      <c r="C204" s="17" t="str">
        <f t="shared" si="60"/>
        <v>SG00708</v>
      </c>
      <c r="D204" s="17" t="str">
        <f t="shared" si="61"/>
        <v>C28271</v>
      </c>
      <c r="E204" s="17" t="str">
        <f>"AC24"</f>
        <v>AC24</v>
      </c>
      <c r="F204" s="17" t="str">
        <f>"SABS Pine 38x76mm CCA H2 Treated  2.4m"</f>
        <v>SABS Pine 38x76mm CCA H2 Treated  2.4m</v>
      </c>
      <c r="G204" s="17">
        <v>0.0</v>
      </c>
      <c r="H204" s="17">
        <v>5.2</v>
      </c>
      <c r="I204" s="27">
        <f t="shared" si="3"/>
        <v>0</v>
      </c>
    </row>
    <row r="205" ht="12.75" customHeight="1">
      <c r="A205" s="17" t="s">
        <v>39</v>
      </c>
      <c r="B205" s="33" t="str">
        <f>"""BC365 (SQL)"",""Somerset Timbers"",""37"",""1"",""Order"",""3"",""SG00708"",""4"",""40000"""</f>
        <v>"BC365 (SQL)","Somerset Timbers","37","1","Order","3","SG00708","4","40000"</v>
      </c>
      <c r="C205" s="17" t="str">
        <f t="shared" si="60"/>
        <v>SG00708</v>
      </c>
      <c r="D205" s="17" t="str">
        <f t="shared" si="61"/>
        <v>C28271</v>
      </c>
      <c r="E205" s="17" t="str">
        <f>"AC27"</f>
        <v>AC27</v>
      </c>
      <c r="F205" s="17" t="str">
        <f>"SABS Pine 38x76mm CCA H2 Treated  2.7m"</f>
        <v>SABS Pine 38x76mm CCA H2 Treated  2.7m</v>
      </c>
      <c r="G205" s="17">
        <v>0.0</v>
      </c>
      <c r="H205" s="17">
        <v>5.85</v>
      </c>
      <c r="I205" s="27">
        <f t="shared" si="3"/>
        <v>0</v>
      </c>
    </row>
    <row r="206" ht="12.75" customHeight="1">
      <c r="A206" s="17" t="s">
        <v>39</v>
      </c>
      <c r="B206" s="33" t="str">
        <f>"""BC365 (SQL)"",""Somerset Timbers"",""37"",""1"",""Order"",""3"",""SG00708"",""4"",""50000"""</f>
        <v>"BC365 (SQL)","Somerset Timbers","37","1","Order","3","SG00708","4","50000"</v>
      </c>
      <c r="C206" s="17" t="str">
        <f t="shared" si="60"/>
        <v>SG00708</v>
      </c>
      <c r="D206" s="17" t="str">
        <f t="shared" si="61"/>
        <v>C28271</v>
      </c>
      <c r="E206" s="17" t="str">
        <f>"AC30"</f>
        <v>AC30</v>
      </c>
      <c r="F206" s="17" t="str">
        <f>"SABS Pine 38x76mm CCA H2 Treated  3.0m"</f>
        <v>SABS Pine 38x76mm CCA H2 Treated  3.0m</v>
      </c>
      <c r="G206" s="17">
        <v>0.0</v>
      </c>
      <c r="H206" s="17">
        <v>6.5</v>
      </c>
      <c r="I206" s="27">
        <f t="shared" si="3"/>
        <v>0</v>
      </c>
    </row>
    <row r="207" ht="12.75" customHeight="1">
      <c r="A207" s="17" t="s">
        <v>39</v>
      </c>
      <c r="B207" s="33" t="str">
        <f>"""BC365 (SQL)"",""Somerset Timbers"",""37"",""1"",""Order"",""3"",""SG00708"",""4"",""60000"""</f>
        <v>"BC365 (SQL)","Somerset Timbers","37","1","Order","3","SG00708","4","60000"</v>
      </c>
      <c r="C207" s="17" t="str">
        <f t="shared" si="60"/>
        <v>SG00708</v>
      </c>
      <c r="D207" s="17" t="str">
        <f t="shared" si="61"/>
        <v>C28271</v>
      </c>
      <c r="E207" s="17" t="str">
        <f>"AC36"</f>
        <v>AC36</v>
      </c>
      <c r="F207" s="17" t="str">
        <f>"SABS Pine 38x76mm CCA H2 Treated  3.6m"</f>
        <v>SABS Pine 38x76mm CCA H2 Treated  3.6m</v>
      </c>
      <c r="G207" s="17">
        <v>0.0</v>
      </c>
      <c r="H207" s="17">
        <v>7.8</v>
      </c>
      <c r="I207" s="27">
        <f t="shared" si="3"/>
        <v>0</v>
      </c>
    </row>
    <row r="208" ht="12.75" customHeight="1">
      <c r="A208" s="17" t="s">
        <v>39</v>
      </c>
      <c r="B208" s="33" t="str">
        <f>"""BC365 (SQL)"",""Somerset Timbers"",""37"",""1"",""Order"",""3"",""SG00708"",""4"",""70000"""</f>
        <v>"BC365 (SQL)","Somerset Timbers","37","1","Order","3","SG00708","4","70000"</v>
      </c>
      <c r="C208" s="17" t="str">
        <f t="shared" si="60"/>
        <v>SG00708</v>
      </c>
      <c r="D208" s="17" t="str">
        <f t="shared" si="61"/>
        <v>C28271</v>
      </c>
      <c r="E208" s="17" t="str">
        <f>"AC48"</f>
        <v>AC48</v>
      </c>
      <c r="F208" s="17" t="str">
        <f>"SABS Pine 38x76mm CCA H2 Treated  4.8m"</f>
        <v>SABS Pine 38x76mm CCA H2 Treated  4.8m</v>
      </c>
      <c r="G208" s="17">
        <v>0.0</v>
      </c>
      <c r="H208" s="17">
        <v>10.4</v>
      </c>
      <c r="I208" s="27">
        <f t="shared" si="3"/>
        <v>0</v>
      </c>
    </row>
    <row r="209" ht="12.75" customHeight="1">
      <c r="A209" s="17" t="s">
        <v>39</v>
      </c>
      <c r="B209" s="33" t="str">
        <f>"""BC365 (SQL)"",""Somerset Timbers"",""37"",""1"",""Order"",""3"",""SG00708"",""4"",""80000"""</f>
        <v>"BC365 (SQL)","Somerset Timbers","37","1","Order","3","SG00708","4","80000"</v>
      </c>
      <c r="C209" s="17" t="str">
        <f t="shared" si="60"/>
        <v>SG00708</v>
      </c>
      <c r="D209" s="17" t="str">
        <f t="shared" si="61"/>
        <v>C28271</v>
      </c>
      <c r="E209" s="17" t="str">
        <f>"YB00270 781159271465"</f>
        <v>YB00270 781159271465</v>
      </c>
      <c r="F209" s="17" t="str">
        <f>"Galseal LIGHT OAK  5 Litres"</f>
        <v>Galseal LIGHT OAK  5 Litres</v>
      </c>
      <c r="G209" s="17">
        <v>0.0</v>
      </c>
      <c r="H209" s="17">
        <v>4.3</v>
      </c>
      <c r="I209" s="27">
        <f t="shared" si="3"/>
        <v>0</v>
      </c>
    </row>
    <row r="210" ht="12.75" customHeight="1">
      <c r="A210" s="17" t="s">
        <v>39</v>
      </c>
      <c r="B210" s="33" t="str">
        <f>"""BC365 (SQL)"",""Somerset Timbers"",""37"",""1"",""Order"",""3"",""SG00708"",""4"",""90000"""</f>
        <v>"BC365 (SQL)","Somerset Timbers","37","1","Order","3","SG00708","4","90000"</v>
      </c>
      <c r="C210" s="17" t="str">
        <f t="shared" si="60"/>
        <v>SG00708</v>
      </c>
      <c r="D210" s="17" t="str">
        <f t="shared" si="61"/>
        <v>C28271</v>
      </c>
      <c r="E210" s="17" t="str">
        <f>"YA02500 781159271526"</f>
        <v>YA02500 781159271526</v>
      </c>
      <c r="F210" s="17" t="str">
        <f>"Torx deck screws 40mm (pack of 200)"</f>
        <v>Torx deck screws 40mm (pack of 200)</v>
      </c>
      <c r="G210" s="17">
        <v>0.0</v>
      </c>
      <c r="H210" s="17">
        <v>0.743</v>
      </c>
      <c r="I210" s="27">
        <f t="shared" si="3"/>
        <v>0</v>
      </c>
    </row>
    <row r="211" ht="12.75" customHeight="1">
      <c r="A211" s="17" t="s">
        <v>39</v>
      </c>
      <c r="B211" s="33" t="str">
        <f>"""BC365 (SQL)"",""Somerset Timbers"",""37"",""1"",""Order"",""3"",""SG00708"",""4"",""100000"""</f>
        <v>"BC365 (SQL)","Somerset Timbers","37","1","Order","3","SG00708","4","100000"</v>
      </c>
      <c r="C211" s="17" t="str">
        <f t="shared" si="60"/>
        <v>SG00708</v>
      </c>
      <c r="D211" s="17" t="str">
        <f t="shared" si="61"/>
        <v>C28271</v>
      </c>
      <c r="E211" s="17" t="str">
        <f>"ZA00740"</f>
        <v>ZA00740</v>
      </c>
      <c r="F211" s="17" t="str">
        <f>"Delivery to Durbanville (0 - 1 cubic metres)"</f>
        <v>Delivery to Durbanville (0 - 1 cubic metres)</v>
      </c>
      <c r="G211" s="17">
        <v>0.0</v>
      </c>
      <c r="H211" s="17">
        <v>0.0</v>
      </c>
      <c r="I211" s="27">
        <f t="shared" si="3"/>
        <v>0</v>
      </c>
    </row>
    <row r="212" ht="12.75" customHeight="1">
      <c r="A212" s="17" t="s">
        <v>39</v>
      </c>
      <c r="B212" s="33" t="str">
        <f>"""BC365 (SQL)"",""Somerset Timbers"",""37"",""1"",""Order"",""3"",""SG00708"",""4"",""110000"""</f>
        <v>"BC365 (SQL)","Somerset Timbers","37","1","Order","3","SG00708","4","110000"</v>
      </c>
      <c r="C212" s="17" t="str">
        <f t="shared" si="60"/>
        <v>SG00708</v>
      </c>
      <c r="D212" s="17" t="str">
        <f t="shared" si="61"/>
        <v>C28271</v>
      </c>
      <c r="E212" s="17" t="str">
        <f>"JM24"</f>
        <v>JM24</v>
      </c>
      <c r="F212" s="17" t="str">
        <f>"Red Grandis Decking  22x118mm  2.4m"</f>
        <v>Red Grandis Decking  22x118mm  2.4m</v>
      </c>
      <c r="G212" s="17">
        <v>0.0</v>
      </c>
      <c r="H212" s="17">
        <v>3.43</v>
      </c>
      <c r="I212" s="27">
        <f t="shared" si="3"/>
        <v>0</v>
      </c>
    </row>
    <row r="213" ht="12.75" customHeight="1">
      <c r="A213" s="17" t="s">
        <v>39</v>
      </c>
      <c r="B213" s="33" t="str">
        <f>"""BC365 (SQL)"",""Somerset Timbers"",""37"",""1"",""Order"",""3"",""SG00708"",""4"",""120000"""</f>
        <v>"BC365 (SQL)","Somerset Timbers","37","1","Order","3","SG00708","4","120000"</v>
      </c>
      <c r="C213" s="17" t="str">
        <f t="shared" si="60"/>
        <v>SG00708</v>
      </c>
      <c r="D213" s="17" t="str">
        <f t="shared" si="61"/>
        <v>C28271</v>
      </c>
      <c r="E213" s="17" t="str">
        <f>"JM30"</f>
        <v>JM30</v>
      </c>
      <c r="F213" s="17" t="str">
        <f>"Red Grandis Decking  22x118mm  3.0m"</f>
        <v>Red Grandis Decking  22x118mm  3.0m</v>
      </c>
      <c r="G213" s="17">
        <v>0.0</v>
      </c>
      <c r="H213" s="17">
        <v>4.28</v>
      </c>
      <c r="I213" s="27">
        <f t="shared" si="3"/>
        <v>0</v>
      </c>
    </row>
    <row r="214" ht="12.75" customHeight="1">
      <c r="A214" s="17" t="s">
        <v>39</v>
      </c>
      <c r="B214" s="33" t="str">
        <f>"""BC365 (SQL)"",""Somerset Timbers"",""37"",""1"",""Order"",""3"",""SG00708"",""4"",""130000"""</f>
        <v>"BC365 (SQL)","Somerset Timbers","37","1","Order","3","SG00708","4","130000"</v>
      </c>
      <c r="C214" s="17" t="str">
        <f t="shared" si="60"/>
        <v>SG00708</v>
      </c>
      <c r="D214" s="17" t="str">
        <f t="shared" si="61"/>
        <v>C28271</v>
      </c>
      <c r="E214" s="17" t="str">
        <f>"JM39"</f>
        <v>JM39</v>
      </c>
      <c r="F214" s="17" t="str">
        <f>"Red Grandis Decking  22x118mm  3.9m"</f>
        <v>Red Grandis Decking  22x118mm  3.9m</v>
      </c>
      <c r="G214" s="17">
        <v>0.0</v>
      </c>
      <c r="H214" s="17">
        <v>5.57</v>
      </c>
      <c r="I214" s="27">
        <f t="shared" si="3"/>
        <v>0</v>
      </c>
    </row>
    <row r="215" ht="12.75" customHeight="1">
      <c r="A215" s="17" t="s">
        <v>39</v>
      </c>
      <c r="B215" s="33" t="str">
        <f>"""BC365 (SQL)"",""Somerset Timbers"",""37"",""1"",""Order"",""3"",""SG00708"",""4"",""140000"""</f>
        <v>"BC365 (SQL)","Somerset Timbers","37","1","Order","3","SG00708","4","140000"</v>
      </c>
      <c r="C215" s="17" t="str">
        <f t="shared" si="60"/>
        <v>SG00708</v>
      </c>
      <c r="D215" s="17" t="str">
        <f t="shared" si="61"/>
        <v>C28271</v>
      </c>
      <c r="E215" s="17" t="str">
        <f>"JM42"</f>
        <v>JM42</v>
      </c>
      <c r="F215" s="17" t="str">
        <f>"Red Grandis Decking  22x118mm  4.2m"</f>
        <v>Red Grandis Decking  22x118mm  4.2m</v>
      </c>
      <c r="G215" s="17">
        <v>0.0</v>
      </c>
      <c r="H215" s="17">
        <v>6.0</v>
      </c>
      <c r="I215" s="27">
        <f t="shared" si="3"/>
        <v>0</v>
      </c>
    </row>
    <row r="216" ht="12.75" customHeight="1">
      <c r="A216" s="17" t="s">
        <v>39</v>
      </c>
      <c r="B216" s="33" t="str">
        <f>"""BC365 (SQL)"",""Somerset Timbers"",""37"",""1"",""Order"",""3"",""SG00708"",""4"",""150000"""</f>
        <v>"BC365 (SQL)","Somerset Timbers","37","1","Order","3","SG00708","4","150000"</v>
      </c>
      <c r="C216" s="17" t="str">
        <f t="shared" si="60"/>
        <v>SG00708</v>
      </c>
      <c r="D216" s="17" t="str">
        <f t="shared" si="61"/>
        <v>C28271</v>
      </c>
      <c r="E216" s="17" t="str">
        <f>"EB48"</f>
        <v>EB48</v>
      </c>
      <c r="F216" s="17" t="str">
        <f>"Endura Decking 22x105mm CCA H3 Treat  4.8m"</f>
        <v>Endura Decking 22x105mm CCA H3 Treat  4.8m</v>
      </c>
      <c r="G216" s="17">
        <v>0.0</v>
      </c>
      <c r="H216" s="17">
        <v>8.32</v>
      </c>
      <c r="I216" s="27">
        <f t="shared" si="3"/>
        <v>0</v>
      </c>
    </row>
    <row r="217" ht="12.75" customHeight="1">
      <c r="A217" s="17" t="s">
        <v>39</v>
      </c>
      <c r="B217" s="33" t="str">
        <f>"""BC365 (SQL)"",""Somerset Timbers"",""37"",""1"",""Order"",""3"",""SG00828"",""4"",""10000"""</f>
        <v>"BC365 (SQL)","Somerset Timbers","37","1","Order","3","SG00828","4","10000"</v>
      </c>
      <c r="C217" s="17" t="str">
        <f t="shared" ref="C217:C218" si="62">"SG00828"</f>
        <v>SG00828</v>
      </c>
      <c r="D217" s="17" t="str">
        <f t="shared" ref="D217:D218" si="63">"C00388"</f>
        <v>C00388</v>
      </c>
      <c r="E217" s="17" t="str">
        <f>"W01910230"</f>
        <v>W01910230</v>
      </c>
      <c r="F217" s="17" t="str">
        <f>"WET Pine 19x102mm Untreated Rough 3.0m"</f>
        <v>WET Pine 19x102mm Untreated Rough 3.0m</v>
      </c>
      <c r="G217" s="17">
        <v>300.0</v>
      </c>
      <c r="H217" s="17">
        <v>4.07</v>
      </c>
      <c r="I217" s="27">
        <f t="shared" si="3"/>
        <v>1221</v>
      </c>
    </row>
    <row r="218" ht="12.75" customHeight="1">
      <c r="A218" s="17" t="s">
        <v>39</v>
      </c>
      <c r="B218" s="33" t="str">
        <f>"""BC365 (SQL)"",""Somerset Timbers"",""37"",""1"",""Order"",""3"",""SG00828"",""4"",""20000"""</f>
        <v>"BC365 (SQL)","Somerset Timbers","37","1","Order","3","SG00828","4","20000"</v>
      </c>
      <c r="C218" s="17" t="str">
        <f t="shared" si="62"/>
        <v>SG00828</v>
      </c>
      <c r="D218" s="17" t="str">
        <f t="shared" si="63"/>
        <v>C00388</v>
      </c>
      <c r="E218" s="17" t="str">
        <f>"ZA01260"</f>
        <v>ZA01260</v>
      </c>
      <c r="F218" s="17" t="str">
        <f>"Delivery to Greyton (1 - 8 cubic metres)"</f>
        <v>Delivery to Greyton (1 - 8 cubic metres)</v>
      </c>
      <c r="G218" s="17">
        <v>1.0</v>
      </c>
      <c r="H218" s="17">
        <v>0.0</v>
      </c>
      <c r="I218" s="27">
        <f t="shared" si="3"/>
        <v>0</v>
      </c>
    </row>
    <row r="219" ht="12.75" customHeight="1">
      <c r="A219" s="17" t="s">
        <v>39</v>
      </c>
      <c r="B219" s="33" t="str">
        <f>"""BC365 (SQL)"",""Somerset Timbers"",""37"",""1"",""Order"",""3"",""SG00984"",""4"",""10000"""</f>
        <v>"BC365 (SQL)","Somerset Timbers","37","1","Order","3","SG00984","4","10000"</v>
      </c>
      <c r="C219" s="17" t="str">
        <f t="shared" ref="C219:C222" si="64">"SG00984"</f>
        <v>SG00984</v>
      </c>
      <c r="D219" s="17" t="str">
        <f t="shared" ref="D219:D222" si="65">"C31708"</f>
        <v>C31708</v>
      </c>
      <c r="E219" s="17" t="str">
        <f t="shared" ref="E219:E221" si="66">"CZD10"</f>
        <v>CZD10</v>
      </c>
      <c r="F219" s="17" t="str">
        <f t="shared" ref="F219:F221" si="67">"SPECIAL Endura Ceiling 12x138mm AzureH2 Treated"</f>
        <v>SPECIAL Endura Ceiling 12x138mm AzureH2 Treated</v>
      </c>
      <c r="G219" s="17">
        <v>209.99999999999997</v>
      </c>
      <c r="H219" s="17">
        <v>0.91</v>
      </c>
      <c r="I219" s="27">
        <f t="shared" si="3"/>
        <v>191.1</v>
      </c>
    </row>
    <row r="220" ht="12.75" customHeight="1">
      <c r="A220" s="17" t="s">
        <v>39</v>
      </c>
      <c r="B220" s="33" t="str">
        <f>"""BC365 (SQL)"",""Somerset Timbers"",""37"",""1"",""Order"",""3"",""SG00984"",""4"",""20000"""</f>
        <v>"BC365 (SQL)","Somerset Timbers","37","1","Order","3","SG00984","4","20000"</v>
      </c>
      <c r="C220" s="17" t="str">
        <f t="shared" si="64"/>
        <v>SG00984</v>
      </c>
      <c r="D220" s="17" t="str">
        <f t="shared" si="65"/>
        <v>C31708</v>
      </c>
      <c r="E220" s="17" t="str">
        <f t="shared" si="66"/>
        <v>CZD10</v>
      </c>
      <c r="F220" s="17" t="str">
        <f t="shared" si="67"/>
        <v>SPECIAL Endura Ceiling 12x138mm AzureH2 Treated</v>
      </c>
      <c r="G220" s="17">
        <v>408.0</v>
      </c>
      <c r="H220" s="17">
        <v>0.91</v>
      </c>
      <c r="I220" s="27">
        <f t="shared" si="3"/>
        <v>371.28</v>
      </c>
    </row>
    <row r="221" ht="12.75" customHeight="1">
      <c r="A221" s="17" t="s">
        <v>39</v>
      </c>
      <c r="B221" s="33" t="str">
        <f>"""BC365 (SQL)"",""Somerset Timbers"",""37"",""1"",""Order"",""3"",""SG00984"",""4"",""30000"""</f>
        <v>"BC365 (SQL)","Somerset Timbers","37","1","Order","3","SG00984","4","30000"</v>
      </c>
      <c r="C221" s="17" t="str">
        <f t="shared" si="64"/>
        <v>SG00984</v>
      </c>
      <c r="D221" s="17" t="str">
        <f t="shared" si="65"/>
        <v>C31708</v>
      </c>
      <c r="E221" s="17" t="str">
        <f t="shared" si="66"/>
        <v>CZD10</v>
      </c>
      <c r="F221" s="17" t="str">
        <f t="shared" si="67"/>
        <v>SPECIAL Endura Ceiling 12x138mm AzureH2 Treated</v>
      </c>
      <c r="G221" s="17">
        <v>252.0</v>
      </c>
      <c r="H221" s="17">
        <v>0.91</v>
      </c>
      <c r="I221" s="27">
        <f t="shared" si="3"/>
        <v>229.32</v>
      </c>
    </row>
    <row r="222" ht="12.75" customHeight="1">
      <c r="A222" s="17" t="s">
        <v>39</v>
      </c>
      <c r="B222" s="33" t="str">
        <f>"""BC365 (SQL)"",""Somerset Timbers"",""37"",""1"",""Order"",""3"",""SG00984"",""4"",""40000"""</f>
        <v>"BC365 (SQL)","Somerset Timbers","37","1","Order","3","SG00984","4","40000"</v>
      </c>
      <c r="C222" s="17" t="str">
        <f t="shared" si="64"/>
        <v>SG00984</v>
      </c>
      <c r="D222" s="17" t="str">
        <f t="shared" si="65"/>
        <v>C31708</v>
      </c>
      <c r="E222" s="17" t="str">
        <f>"ZA01250"</f>
        <v>ZA01250</v>
      </c>
      <c r="F222" s="17" t="str">
        <f>"Delivery to Greyton (0 - 1 cubic metres)"</f>
        <v>Delivery to Greyton (0 - 1 cubic metres)</v>
      </c>
      <c r="G222" s="17">
        <v>1.0</v>
      </c>
      <c r="H222" s="17">
        <v>0.0</v>
      </c>
      <c r="I222" s="27">
        <f t="shared" si="3"/>
        <v>0</v>
      </c>
    </row>
    <row r="223" ht="12.75" customHeight="1">
      <c r="A223" s="17" t="s">
        <v>39</v>
      </c>
      <c r="B223" s="33" t="str">
        <f>"""BC365 (SQL)"",""Somerset Timbers"",""37"",""1"",""Order"",""3"",""SG00985"",""4"",""10000"""</f>
        <v>"BC365 (SQL)","Somerset Timbers","37","1","Order","3","SG00985","4","10000"</v>
      </c>
      <c r="C223" s="17" t="str">
        <f t="shared" ref="C223:C228" si="68">"SG00985"</f>
        <v>SG00985</v>
      </c>
      <c r="D223" s="17" t="str">
        <f t="shared" ref="D223:D228" si="69">"C16019"</f>
        <v>C16019</v>
      </c>
      <c r="E223" s="17" t="str">
        <f>"JE15"</f>
        <v>JE15</v>
      </c>
      <c r="F223" s="17" t="str">
        <f>"Garapa WIDE Decking  19x140mm 1.52m"</f>
        <v>Garapa WIDE Decking  19x140mm 1.52m</v>
      </c>
      <c r="G223" s="17">
        <v>25.0</v>
      </c>
      <c r="H223" s="17">
        <v>3.32</v>
      </c>
      <c r="I223" s="27">
        <f t="shared" si="3"/>
        <v>83</v>
      </c>
    </row>
    <row r="224" ht="12.75" customHeight="1">
      <c r="A224" s="17" t="s">
        <v>39</v>
      </c>
      <c r="B224" s="33" t="str">
        <f>"""BC365 (SQL)"",""Somerset Timbers"",""37"",""1"",""Order"",""3"",""SG00985"",""4"",""30000"""</f>
        <v>"BC365 (SQL)","Somerset Timbers","37","1","Order","3","SG00985","4","30000"</v>
      </c>
      <c r="C224" s="17" t="str">
        <f t="shared" si="68"/>
        <v>SG00985</v>
      </c>
      <c r="D224" s="17" t="str">
        <f t="shared" si="69"/>
        <v>C16019</v>
      </c>
      <c r="E224" s="17" t="str">
        <f>"AC27"</f>
        <v>AC27</v>
      </c>
      <c r="F224" s="17" t="str">
        <f>"SABS Pine 38x76mm CCA H2 Treated  2.7m"</f>
        <v>SABS Pine 38x76mm CCA H2 Treated  2.7m</v>
      </c>
      <c r="G224" s="17">
        <v>15.0</v>
      </c>
      <c r="H224" s="17">
        <v>5.85</v>
      </c>
      <c r="I224" s="27">
        <f t="shared" si="3"/>
        <v>87.75</v>
      </c>
    </row>
    <row r="225" ht="12.75" customHeight="1">
      <c r="A225" s="17" t="s">
        <v>39</v>
      </c>
      <c r="B225" s="33" t="str">
        <f>"""BC365 (SQL)"",""Somerset Timbers"",""37"",""1"",""Order"",""3"",""SG00985"",""4"",""40000"""</f>
        <v>"BC365 (SQL)","Somerset Timbers","37","1","Order","3","SG00985","4","40000"</v>
      </c>
      <c r="C225" s="17" t="str">
        <f t="shared" si="68"/>
        <v>SG00985</v>
      </c>
      <c r="D225" s="17" t="str">
        <f t="shared" si="69"/>
        <v>C16019</v>
      </c>
      <c r="E225" s="17" t="str">
        <f>"AE30"</f>
        <v>AE30</v>
      </c>
      <c r="F225" s="17" t="str">
        <f>"SABS Pine 38x152mm CCA H2 Treated  3.0m"</f>
        <v>SABS Pine 38x152mm CCA H2 Treated  3.0m</v>
      </c>
      <c r="G225" s="17">
        <v>9.0</v>
      </c>
      <c r="H225" s="17">
        <v>13.0</v>
      </c>
      <c r="I225" s="27">
        <f t="shared" si="3"/>
        <v>117</v>
      </c>
    </row>
    <row r="226" ht="12.75" customHeight="1">
      <c r="A226" s="17" t="s">
        <v>39</v>
      </c>
      <c r="B226" s="33" t="str">
        <f>"""BC365 (SQL)"",""Somerset Timbers"",""37"",""1"",""Order"",""3"",""SG00985"",""4"",""50000"""</f>
        <v>"BC365 (SQL)","Somerset Timbers","37","1","Order","3","SG00985","4","50000"</v>
      </c>
      <c r="C226" s="17" t="str">
        <f t="shared" si="68"/>
        <v>SG00985</v>
      </c>
      <c r="D226" s="17" t="str">
        <f t="shared" si="69"/>
        <v>C16019</v>
      </c>
      <c r="E226" s="17" t="str">
        <f>"ZA00740"</f>
        <v>ZA00740</v>
      </c>
      <c r="F226" s="17" t="str">
        <f>"Delivery to Durbanville (0 - 1 cubic metres)"</f>
        <v>Delivery to Durbanville (0 - 1 cubic metres)</v>
      </c>
      <c r="G226" s="17">
        <v>1.0</v>
      </c>
      <c r="H226" s="17">
        <v>0.0</v>
      </c>
      <c r="I226" s="27">
        <f t="shared" si="3"/>
        <v>0</v>
      </c>
    </row>
    <row r="227" ht="12.75" customHeight="1">
      <c r="A227" s="17" t="s">
        <v>39</v>
      </c>
      <c r="B227" s="33" t="str">
        <f>"""BC365 (SQL)"",""Somerset Timbers"",""37"",""1"",""Order"",""3"",""SG00985"",""4"",""60000"""</f>
        <v>"BC365 (SQL)","Somerset Timbers","37","1","Order","3","SG00985","4","60000"</v>
      </c>
      <c r="C227" s="17" t="str">
        <f t="shared" si="68"/>
        <v>SG00985</v>
      </c>
      <c r="D227" s="17" t="str">
        <f t="shared" si="69"/>
        <v>C16019</v>
      </c>
      <c r="E227" s="17" t="str">
        <f>"JE21"</f>
        <v>JE21</v>
      </c>
      <c r="F227" s="17" t="str">
        <f>"Garapa WIDE Decking  19x140mm 2.13m"</f>
        <v>Garapa WIDE Decking  19x140mm 2.13m</v>
      </c>
      <c r="G227" s="17">
        <v>8.0</v>
      </c>
      <c r="H227" s="17">
        <v>4.65</v>
      </c>
      <c r="I227" s="27">
        <f t="shared" si="3"/>
        <v>37.2</v>
      </c>
    </row>
    <row r="228" ht="12.75" customHeight="1">
      <c r="A228" s="17" t="s">
        <v>39</v>
      </c>
      <c r="B228" s="33" t="str">
        <f>"""BC365 (SQL)"",""Somerset Timbers"",""37"",""1"",""Order"",""3"",""SG00985"",""4"",""70000"""</f>
        <v>"BC365 (SQL)","Somerset Timbers","37","1","Order","3","SG00985","4","70000"</v>
      </c>
      <c r="C228" s="17" t="str">
        <f t="shared" si="68"/>
        <v>SG00985</v>
      </c>
      <c r="D228" s="17" t="str">
        <f t="shared" si="69"/>
        <v>C16019</v>
      </c>
      <c r="E228" s="17" t="str">
        <f>"JE39"</f>
        <v>JE39</v>
      </c>
      <c r="F228" s="17" t="str">
        <f>"Garapa WIDE Decking  19x140mm 3.96m"</f>
        <v>Garapa WIDE Decking  19x140mm 3.96m</v>
      </c>
      <c r="G228" s="17">
        <v>2.0</v>
      </c>
      <c r="H228" s="17">
        <v>8.64</v>
      </c>
      <c r="I228" s="27">
        <f t="shared" si="3"/>
        <v>17.28</v>
      </c>
    </row>
    <row r="229" ht="12.75" customHeight="1">
      <c r="A229" s="17" t="s">
        <v>39</v>
      </c>
      <c r="B229" s="33" t="str">
        <f>"""BC365 (SQL)"",""Somerset Timbers"",""37"",""1"",""Order"",""3"",""SG01029"",""4"",""10000"""</f>
        <v>"BC365 (SQL)","Somerset Timbers","37","1","Order","3","SG01029","4","10000"</v>
      </c>
      <c r="C229" s="17" t="str">
        <f t="shared" ref="C229:C230" si="70">"SG01029"</f>
        <v>SG01029</v>
      </c>
      <c r="D229" s="17" t="str">
        <f>"C31876"</f>
        <v>C31876</v>
      </c>
      <c r="E229" s="17" t="str">
        <f>"AG30"</f>
        <v>AG30</v>
      </c>
      <c r="F229" s="17" t="str">
        <f>"SABS Pine 50x76mm CCA H2 Treated  3.0m"</f>
        <v>SABS Pine 50x76mm CCA H2 Treated  3.0m</v>
      </c>
      <c r="G229" s="17">
        <v>8.0</v>
      </c>
      <c r="H229" s="17">
        <v>8.55</v>
      </c>
      <c r="I229" s="27">
        <f t="shared" si="3"/>
        <v>68.4</v>
      </c>
    </row>
    <row r="230" ht="12.75" customHeight="1">
      <c r="A230" s="17" t="s">
        <v>39</v>
      </c>
      <c r="B230" s="33" t="str">
        <f>"""BC365 (SQL)"",""Somerset Timbers"",""37"",""1"",""Order"",""3"",""SG01029"",""4"",""20000"""</f>
        <v>"BC365 (SQL)","Somerset Timbers","37","1","Order","3","SG01029","4","20000"</v>
      </c>
      <c r="C230" s="17" t="str">
        <f t="shared" si="70"/>
        <v>SG01029</v>
      </c>
      <c r="D230" s="17" t="str">
        <f t="shared" ref="D230:E230" si="71">""</f>
        <v/>
      </c>
      <c r="E230" s="17" t="str">
        <f t="shared" si="71"/>
        <v/>
      </c>
      <c r="F230" s="17" t="str">
        <f>"Delivery with SG00174"</f>
        <v>Delivery with SG00174</v>
      </c>
      <c r="G230" s="17">
        <v>0.0</v>
      </c>
      <c r="H230" s="17">
        <v>0.0</v>
      </c>
      <c r="I230" s="27">
        <f t="shared" si="3"/>
        <v>0</v>
      </c>
    </row>
    <row r="231" ht="12.75" customHeight="1">
      <c r="A231" s="17" t="s">
        <v>39</v>
      </c>
      <c r="B231" s="33" t="str">
        <f>"""BC365 (SQL)"",""Somerset Timbers"",""37"",""1"",""Order"",""3"",""SG01060"",""4"",""10000"""</f>
        <v>"BC365 (SQL)","Somerset Timbers","37","1","Order","3","SG01060","4","10000"</v>
      </c>
      <c r="C231" s="17" t="str">
        <f t="shared" ref="C231:C234" si="72">"SG01060"</f>
        <v>SG01060</v>
      </c>
      <c r="D231" s="17" t="str">
        <f t="shared" ref="D231:D234" si="73">"C29801"</f>
        <v>C29801</v>
      </c>
      <c r="E231" s="17" t="str">
        <f>"HS01930530"</f>
        <v>HS01930530</v>
      </c>
      <c r="F231" s="17" t="str">
        <f>"Pine Shelving 18x305mm   3.0m"</f>
        <v>Pine Shelving 18x305mm   3.0m</v>
      </c>
      <c r="G231" s="17">
        <v>12.0</v>
      </c>
      <c r="H231" s="17">
        <v>9.06</v>
      </c>
      <c r="I231" s="27">
        <f t="shared" si="3"/>
        <v>108.72</v>
      </c>
    </row>
    <row r="232" ht="12.75" customHeight="1">
      <c r="A232" s="17" t="s">
        <v>39</v>
      </c>
      <c r="B232" s="33" t="str">
        <f>"""BC365 (SQL)"",""Somerset Timbers"",""37"",""1"",""Order"",""3"",""SG01060"",""4"",""20000"""</f>
        <v>"BC365 (SQL)","Somerset Timbers","37","1","Order","3","SG01060","4","20000"</v>
      </c>
      <c r="C232" s="17" t="str">
        <f t="shared" si="72"/>
        <v>SG01060</v>
      </c>
      <c r="D232" s="17" t="str">
        <f t="shared" si="73"/>
        <v>C29801</v>
      </c>
      <c r="E232" s="17" t="str">
        <f>"YA00090 400398421002"</f>
        <v>YA00090 400398421002</v>
      </c>
      <c r="F232" s="17" t="str">
        <f>"Vormann Flat Connector 116x45mm  70901000"</f>
        <v>Vormann Flat Connector 116x45mm  70901000</v>
      </c>
      <c r="G232" s="17">
        <v>17.0</v>
      </c>
      <c r="H232" s="17">
        <v>0.091</v>
      </c>
      <c r="I232" s="27">
        <f t="shared" si="3"/>
        <v>1.547</v>
      </c>
    </row>
    <row r="233" ht="12.75" customHeight="1">
      <c r="A233" s="17" t="s">
        <v>39</v>
      </c>
      <c r="B233" s="33" t="str">
        <f>"""BC365 (SQL)"",""Somerset Timbers"",""37"",""1"",""Order"",""3"",""SG01060"",""4"",""30000"""</f>
        <v>"BC365 (SQL)","Somerset Timbers","37","1","Order","3","SG01060","4","30000"</v>
      </c>
      <c r="C233" s="17" t="str">
        <f t="shared" si="72"/>
        <v>SG01060</v>
      </c>
      <c r="D233" s="17" t="str">
        <f t="shared" si="73"/>
        <v>C29801</v>
      </c>
      <c r="E233" s="17" t="str">
        <f>"ZA02630"</f>
        <v>ZA02630</v>
      </c>
      <c r="F233" s="17" t="str">
        <f>"Delivery to Somerset West (0 - 1 cubic metres)"</f>
        <v>Delivery to Somerset West (0 - 1 cubic metres)</v>
      </c>
      <c r="G233" s="17">
        <v>1.0</v>
      </c>
      <c r="H233" s="17">
        <v>0.0</v>
      </c>
      <c r="I233" s="27">
        <f t="shared" si="3"/>
        <v>0</v>
      </c>
    </row>
    <row r="234" ht="12.75" customHeight="1">
      <c r="A234" s="17" t="s">
        <v>39</v>
      </c>
      <c r="B234" s="33" t="str">
        <f>"""BC365 (SQL)"",""Somerset Timbers"",""37"",""1"",""Order"",""3"",""SG01060"",""4"",""40000"""</f>
        <v>"BC365 (SQL)","Somerset Timbers","37","1","Order","3","SG01060","4","40000"</v>
      </c>
      <c r="C234" s="17" t="str">
        <f t="shared" si="72"/>
        <v>SG01060</v>
      </c>
      <c r="D234" s="17" t="str">
        <f t="shared" si="73"/>
        <v>C29801</v>
      </c>
      <c r="E234" s="17" t="str">
        <f>"YA02200"</f>
        <v>YA02200</v>
      </c>
      <c r="F234" s="17" t="str">
        <f>"Dry wall screw 41mm Coarse  (Pack of 200)"</f>
        <v>Dry wall screw 41mm Coarse  (Pack of 200)</v>
      </c>
      <c r="G234" s="17">
        <v>1.0</v>
      </c>
      <c r="H234" s="17">
        <v>0.365</v>
      </c>
      <c r="I234" s="27">
        <f t="shared" si="3"/>
        <v>0.365</v>
      </c>
    </row>
    <row r="235" ht="12.75" customHeight="1">
      <c r="A235" s="17" t="s">
        <v>39</v>
      </c>
      <c r="B235" s="33" t="str">
        <f>"""BC365 (SQL)"",""Somerset Timbers"",""37"",""1"",""Order"",""3"",""SG01064"",""4"",""10000"""</f>
        <v>"BC365 (SQL)","Somerset Timbers","37","1","Order","3","SG01064","4","10000"</v>
      </c>
      <c r="C235" s="17" t="str">
        <f t="shared" ref="C235:C239" si="74">"SG01064"</f>
        <v>SG01064</v>
      </c>
      <c r="D235" s="17" t="str">
        <f t="shared" ref="D235:D238" si="75">"C04353"</f>
        <v>C04353</v>
      </c>
      <c r="E235" s="17" t="str">
        <f>"AF48"</f>
        <v>AF48</v>
      </c>
      <c r="F235" s="17" t="str">
        <f>"SABS Pine 38x228mm CCA H3 Treated  4.8m"</f>
        <v>SABS Pine 38x228mm CCA H3 Treated  4.8m</v>
      </c>
      <c r="G235" s="17">
        <v>34.0</v>
      </c>
      <c r="H235" s="17">
        <v>31.19</v>
      </c>
      <c r="I235" s="27">
        <f t="shared" si="3"/>
        <v>1060.46</v>
      </c>
    </row>
    <row r="236" ht="12.75" customHeight="1">
      <c r="A236" s="17" t="s">
        <v>39</v>
      </c>
      <c r="B236" s="33" t="str">
        <f>"""BC365 (SQL)"",""Somerset Timbers"",""37"",""1"",""Order"",""3"",""SG01064"",""4"",""40000"""</f>
        <v>"BC365 (SQL)","Somerset Timbers","37","1","Order","3","SG01064","4","40000"</v>
      </c>
      <c r="C236" s="17" t="str">
        <f t="shared" si="74"/>
        <v>SG01064</v>
      </c>
      <c r="D236" s="17" t="str">
        <f t="shared" si="75"/>
        <v>C04353</v>
      </c>
      <c r="E236" s="17" t="str">
        <f>"AK66"</f>
        <v>AK66</v>
      </c>
      <c r="F236" s="17" t="str">
        <f>"SABS Pine 76x228mm CCA H3 Treated  6.6m"</f>
        <v>SABS Pine 76x228mm CCA H3 Treated  6.6m</v>
      </c>
      <c r="G236" s="17">
        <v>29.0</v>
      </c>
      <c r="H236" s="17">
        <v>85.77</v>
      </c>
      <c r="I236" s="27">
        <f t="shared" si="3"/>
        <v>2487.33</v>
      </c>
    </row>
    <row r="237" ht="12.75" customHeight="1">
      <c r="A237" s="17" t="s">
        <v>39</v>
      </c>
      <c r="B237" s="33" t="str">
        <f>"""BC365 (SQL)"",""Somerset Timbers"",""37"",""1"",""Order"",""3"",""SG01064"",""4"",""50000"""</f>
        <v>"BC365 (SQL)","Somerset Timbers","37","1","Order","3","SG01064","4","50000"</v>
      </c>
      <c r="C237" s="17" t="str">
        <f t="shared" si="74"/>
        <v>SG01064</v>
      </c>
      <c r="D237" s="17" t="str">
        <f t="shared" si="75"/>
        <v>C04353</v>
      </c>
      <c r="E237" s="17" t="str">
        <f>"AF36"</f>
        <v>AF36</v>
      </c>
      <c r="F237" s="17" t="str">
        <f>"SABS Pine 38x228mm CCA H3 Treated  3.6m"</f>
        <v>SABS Pine 38x228mm CCA H3 Treated  3.6m</v>
      </c>
      <c r="G237" s="17">
        <v>4.0</v>
      </c>
      <c r="H237" s="17">
        <v>23.39</v>
      </c>
      <c r="I237" s="27">
        <f t="shared" si="3"/>
        <v>93.56</v>
      </c>
    </row>
    <row r="238" ht="12.75" customHeight="1">
      <c r="A238" s="17" t="s">
        <v>39</v>
      </c>
      <c r="B238" s="33" t="str">
        <f>"""BC365 (SQL)"",""Somerset Timbers"",""37"",""1"",""Order"",""3"",""SG01064"",""4"",""60000"""</f>
        <v>"BC365 (SQL)","Somerset Timbers","37","1","Order","3","SG01064","4","60000"</v>
      </c>
      <c r="C238" s="17" t="str">
        <f t="shared" si="74"/>
        <v>SG01064</v>
      </c>
      <c r="D238" s="17" t="str">
        <f t="shared" si="75"/>
        <v>C04353</v>
      </c>
      <c r="E238" s="17" t="str">
        <f>"ZA00600"</f>
        <v>ZA00600</v>
      </c>
      <c r="F238" s="17" t="str">
        <f>"Delivery to Westlake (1 - 8 cubic metres)"</f>
        <v>Delivery to Westlake (1 - 8 cubic metres)</v>
      </c>
      <c r="G238" s="17">
        <v>1.0</v>
      </c>
      <c r="H238" s="17">
        <v>0.0</v>
      </c>
      <c r="I238" s="27">
        <f t="shared" si="3"/>
        <v>0</v>
      </c>
    </row>
    <row r="239" ht="12.75" customHeight="1">
      <c r="A239" s="17" t="s">
        <v>39</v>
      </c>
      <c r="B239" s="33" t="str">
        <f>"""BC365 (SQL)"",""Somerset Timbers"",""37"",""1"",""Order"",""3"",""SG01064"",""4"",""70000"""</f>
        <v>"BC365 (SQL)","Somerset Timbers","37","1","Order","3","SG01064","4","70000"</v>
      </c>
      <c r="C239" s="17" t="str">
        <f t="shared" si="74"/>
        <v>SG01064</v>
      </c>
      <c r="D239" s="17" t="str">
        <f t="shared" ref="D239:E239" si="76">""</f>
        <v/>
      </c>
      <c r="E239" s="17" t="str">
        <f t="shared" si="76"/>
        <v/>
      </c>
      <c r="F239" s="17" t="str">
        <f>"All available"</f>
        <v>All available</v>
      </c>
      <c r="G239" s="17">
        <v>0.0</v>
      </c>
      <c r="H239" s="17">
        <v>0.0</v>
      </c>
      <c r="I239" s="27">
        <f t="shared" si="3"/>
        <v>0</v>
      </c>
    </row>
    <row r="240" ht="12.75" customHeight="1">
      <c r="A240" s="17" t="s">
        <v>39</v>
      </c>
      <c r="B240" s="33" t="str">
        <f>"""BC365 (SQL)"",""Somerset Timbers"",""37"",""1"",""Order"",""3"",""SG01070"",""4"",""10000"""</f>
        <v>"BC365 (SQL)","Somerset Timbers","37","1","Order","3","SG01070","4","10000"</v>
      </c>
      <c r="C240" s="17" t="str">
        <f t="shared" ref="C240:C241" si="77">"SG01070"</f>
        <v>SG01070</v>
      </c>
      <c r="D240" s="17" t="str">
        <f>"C04353"</f>
        <v>C04353</v>
      </c>
      <c r="E240" s="17" t="str">
        <f>"AF48"</f>
        <v>AF48</v>
      </c>
      <c r="F240" s="17" t="str">
        <f>"SABS Pine 38x228mm CCA H3 Treated  4.8m"</f>
        <v>SABS Pine 38x228mm CCA H3 Treated  4.8m</v>
      </c>
      <c r="G240" s="17">
        <v>14.0</v>
      </c>
      <c r="H240" s="17">
        <v>31.19</v>
      </c>
      <c r="I240" s="27">
        <f t="shared" si="3"/>
        <v>436.66</v>
      </c>
    </row>
    <row r="241" ht="12.75" customHeight="1">
      <c r="A241" s="17" t="s">
        <v>39</v>
      </c>
      <c r="B241" s="33" t="str">
        <f>"""BC365 (SQL)"",""Somerset Timbers"",""37"",""1"",""Order"",""3"",""SG01070"",""4"",""20000"""</f>
        <v>"BC365 (SQL)","Somerset Timbers","37","1","Order","3","SG01070","4","20000"</v>
      </c>
      <c r="C241" s="17" t="str">
        <f t="shared" si="77"/>
        <v>SG01070</v>
      </c>
      <c r="D241" s="17" t="str">
        <f t="shared" ref="D241:E241" si="78">""</f>
        <v/>
      </c>
      <c r="E241" s="17" t="str">
        <f t="shared" si="78"/>
        <v/>
      </c>
      <c r="F241" s="17" t="str">
        <f>"Delivery with SG01064"</f>
        <v>Delivery with SG01064</v>
      </c>
      <c r="G241" s="17">
        <v>0.0</v>
      </c>
      <c r="H241" s="17">
        <v>0.0</v>
      </c>
      <c r="I241" s="27">
        <f t="shared" si="3"/>
        <v>0</v>
      </c>
    </row>
    <row r="242" ht="12.75" customHeight="1">
      <c r="A242" s="17" t="s">
        <v>39</v>
      </c>
      <c r="B242" s="33" t="str">
        <f>"""BC365 (SQL)"",""Somerset Timbers"",""37"",""1"",""Order"",""3"",""SG01071"",""4"",""10000"""</f>
        <v>"BC365 (SQL)","Somerset Timbers","37","1","Order","3","SG01071","4","10000"</v>
      </c>
      <c r="C242" s="17" t="str">
        <f t="shared" ref="C242:C243" si="79">"SG01071"</f>
        <v>SG01071</v>
      </c>
      <c r="D242" s="17" t="str">
        <f>"C04353"</f>
        <v>C04353</v>
      </c>
      <c r="E242" s="17" t="str">
        <f>"AJ54"</f>
        <v>AJ54</v>
      </c>
      <c r="F242" s="17" t="str">
        <f>"SABS Pine 50x228mm CCA H3 Treated  5.4m"</f>
        <v>SABS Pine 50x228mm CCA H3 Treated  5.4m</v>
      </c>
      <c r="G242" s="17">
        <v>20.0</v>
      </c>
      <c r="H242" s="17">
        <v>46.169999999999995</v>
      </c>
      <c r="I242" s="27">
        <f t="shared" si="3"/>
        <v>923.4</v>
      </c>
    </row>
    <row r="243" ht="12.75" customHeight="1">
      <c r="A243" s="17" t="s">
        <v>39</v>
      </c>
      <c r="B243" s="33" t="str">
        <f>"""BC365 (SQL)"",""Somerset Timbers"",""37"",""1"",""Order"",""3"",""SG01071"",""4"",""20000"""</f>
        <v>"BC365 (SQL)","Somerset Timbers","37","1","Order","3","SG01071","4","20000"</v>
      </c>
      <c r="C243" s="17" t="str">
        <f t="shared" si="79"/>
        <v>SG01071</v>
      </c>
      <c r="D243" s="17" t="str">
        <f t="shared" ref="D243:E243" si="80">""</f>
        <v/>
      </c>
      <c r="E243" s="17" t="str">
        <f t="shared" si="80"/>
        <v/>
      </c>
      <c r="F243" s="17" t="str">
        <f>"Delivery together with SGO 1064"</f>
        <v>Delivery together with SGO 1064</v>
      </c>
      <c r="G243" s="17">
        <v>0.0</v>
      </c>
      <c r="H243" s="17">
        <v>0.0</v>
      </c>
      <c r="I243" s="27">
        <f t="shared" si="3"/>
        <v>0</v>
      </c>
    </row>
    <row r="244" ht="12.75" customHeight="1">
      <c r="A244" s="17" t="s">
        <v>39</v>
      </c>
      <c r="B244" s="33" t="str">
        <f>"""BC365 (SQL)"",""Somerset Timbers"",""37"",""1"",""Order"",""3"",""SG01083"",""4"",""10000"""</f>
        <v>"BC365 (SQL)","Somerset Timbers","37","1","Order","3","SG01083","4","10000"</v>
      </c>
      <c r="C244" s="17" t="str">
        <f t="shared" ref="C244:C250" si="81">"SG01083"</f>
        <v>SG01083</v>
      </c>
      <c r="D244" s="17" t="str">
        <f t="shared" ref="D244:D250" si="82">"C18733"</f>
        <v>C18733</v>
      </c>
      <c r="E244" s="17" t="str">
        <f>"DAT24"</f>
        <v>DAT24</v>
      </c>
      <c r="F244" s="17" t="str">
        <f>"Endura Pine Planed 32x105mm Untreated  2.4m"</f>
        <v>Endura Pine Planed 32x105mm Untreated  2.4m</v>
      </c>
      <c r="G244" s="17">
        <v>8.0</v>
      </c>
      <c r="H244" s="17">
        <v>4.56</v>
      </c>
      <c r="I244" s="27">
        <f t="shared" si="3"/>
        <v>36.48</v>
      </c>
    </row>
    <row r="245" ht="12.75" customHeight="1">
      <c r="A245" s="17" t="s">
        <v>39</v>
      </c>
      <c r="B245" s="33" t="str">
        <f>"""BC365 (SQL)"",""Somerset Timbers"",""37"",""1"",""Order"",""3"",""SG01083"",""4"",""20000"""</f>
        <v>"BC365 (SQL)","Somerset Timbers","37","1","Order","3","SG01083","4","20000"</v>
      </c>
      <c r="C245" s="17" t="str">
        <f t="shared" si="81"/>
        <v>SG01083</v>
      </c>
      <c r="D245" s="17" t="str">
        <f t="shared" si="82"/>
        <v>C18733</v>
      </c>
      <c r="E245" s="17" t="str">
        <f>"DAT18"</f>
        <v>DAT18</v>
      </c>
      <c r="F245" s="17" t="str">
        <f>"Endura Pine Planed 32x105mm Untreated  1.8m"</f>
        <v>Endura Pine Planed 32x105mm Untreated  1.8m</v>
      </c>
      <c r="G245" s="17">
        <v>4.0</v>
      </c>
      <c r="H245" s="17">
        <v>3.42</v>
      </c>
      <c r="I245" s="27">
        <f t="shared" si="3"/>
        <v>13.68</v>
      </c>
    </row>
    <row r="246" ht="12.75" customHeight="1">
      <c r="A246" s="17" t="s">
        <v>39</v>
      </c>
      <c r="B246" s="33" t="str">
        <f>"""BC365 (SQL)"",""Somerset Timbers"",""37"",""1"",""Order"",""3"",""SG01083"",""4"",""30000"""</f>
        <v>"BC365 (SQL)","Somerset Timbers","37","1","Order","3","SG01083","4","30000"</v>
      </c>
      <c r="C246" s="17" t="str">
        <f t="shared" si="81"/>
        <v>SG01083</v>
      </c>
      <c r="D246" s="17" t="str">
        <f t="shared" si="82"/>
        <v>C18733</v>
      </c>
      <c r="E246" s="17" t="str">
        <f>"DAW18"</f>
        <v>DAW18</v>
      </c>
      <c r="F246" s="17" t="str">
        <f>"Endura Pine Planed 40x70mm Untreated  1.8m"</f>
        <v>Endura Pine Planed 40x70mm Untreated  1.8m</v>
      </c>
      <c r="G246" s="17">
        <v>4.0</v>
      </c>
      <c r="H246" s="17">
        <v>3.05</v>
      </c>
      <c r="I246" s="27">
        <f t="shared" si="3"/>
        <v>12.2</v>
      </c>
    </row>
    <row r="247" ht="12.75" customHeight="1">
      <c r="A247" s="17" t="s">
        <v>39</v>
      </c>
      <c r="B247" s="33" t="str">
        <f>"""BC365 (SQL)"",""Somerset Timbers"",""37"",""1"",""Order"",""3"",""SG01083"",""4"",""40000"""</f>
        <v>"BC365 (SQL)","Somerset Timbers","37","1","Order","3","SG01083","4","40000"</v>
      </c>
      <c r="C247" s="17" t="str">
        <f t="shared" si="81"/>
        <v>SG01083</v>
      </c>
      <c r="D247" s="17" t="str">
        <f t="shared" si="82"/>
        <v>C18733</v>
      </c>
      <c r="E247" s="17" t="str">
        <f>"DAJ24"</f>
        <v>DAJ24</v>
      </c>
      <c r="F247" s="17" t="str">
        <f>"Endura Pine Planed 20x105mm Untreated  2.4m"</f>
        <v>Endura Pine Planed 20x105mm Untreated  2.4m</v>
      </c>
      <c r="G247" s="17">
        <v>8.0</v>
      </c>
      <c r="H247" s="17">
        <v>3.05</v>
      </c>
      <c r="I247" s="27">
        <f t="shared" si="3"/>
        <v>24.4</v>
      </c>
    </row>
    <row r="248" ht="12.75" customHeight="1">
      <c r="A248" s="17" t="s">
        <v>39</v>
      </c>
      <c r="B248" s="33" t="str">
        <f>"""BC365 (SQL)"",""Somerset Timbers"",""37"",""1"",""Order"",""3"",""SG01083"",""4"",""50000"""</f>
        <v>"BC365 (SQL)","Somerset Timbers","37","1","Order","3","SG01083","4","50000"</v>
      </c>
      <c r="C248" s="17" t="str">
        <f t="shared" si="81"/>
        <v>SG01083</v>
      </c>
      <c r="D248" s="17" t="str">
        <f t="shared" si="82"/>
        <v>C18733</v>
      </c>
      <c r="E248" s="17" t="str">
        <f>"DAJ18"</f>
        <v>DAJ18</v>
      </c>
      <c r="F248" s="17" t="str">
        <f>"Endura Pine Planed 20x105mm Untreated  1.8m"</f>
        <v>Endura Pine Planed 20x105mm Untreated  1.8m</v>
      </c>
      <c r="G248" s="17">
        <v>26.0</v>
      </c>
      <c r="H248" s="17">
        <v>2.29</v>
      </c>
      <c r="I248" s="27">
        <f t="shared" si="3"/>
        <v>59.54</v>
      </c>
    </row>
    <row r="249" ht="12.75" customHeight="1">
      <c r="A249" s="17" t="s">
        <v>39</v>
      </c>
      <c r="B249" s="33" t="str">
        <f>"""BC365 (SQL)"",""Somerset Timbers"",""37"",""1"",""Order"",""3"",""SG01083"",""4"",""70000"""</f>
        <v>"BC365 (SQL)","Somerset Timbers","37","1","Order","3","SG01083","4","70000"</v>
      </c>
      <c r="C249" s="17" t="str">
        <f t="shared" si="81"/>
        <v>SG01083</v>
      </c>
      <c r="D249" s="17" t="str">
        <f t="shared" si="82"/>
        <v>C18733</v>
      </c>
      <c r="E249" s="17" t="str">
        <f>"ZA00230"</f>
        <v>ZA00230</v>
      </c>
      <c r="F249" s="17" t="str">
        <f>"Delivery to Bettys Bay (0 - 1 cubic metres)"</f>
        <v>Delivery to Bettys Bay (0 - 1 cubic metres)</v>
      </c>
      <c r="G249" s="17">
        <v>1.0</v>
      </c>
      <c r="H249" s="17">
        <v>0.0</v>
      </c>
      <c r="I249" s="27">
        <f t="shared" si="3"/>
        <v>0</v>
      </c>
    </row>
    <row r="250" ht="12.75" customHeight="1">
      <c r="A250" s="17" t="s">
        <v>39</v>
      </c>
      <c r="B250" s="33" t="str">
        <f>"""BC365 (SQL)"",""Somerset Timbers"",""37"",""1"",""Order"",""3"",""SG01083"",""4"",""80000"""</f>
        <v>"BC365 (SQL)","Somerset Timbers","37","1","Order","3","SG01083","4","80000"</v>
      </c>
      <c r="C250" s="17" t="str">
        <f t="shared" si="81"/>
        <v>SG01083</v>
      </c>
      <c r="D250" s="17" t="str">
        <f t="shared" si="82"/>
        <v>C18733</v>
      </c>
      <c r="E250" s="17" t="str">
        <f>"YB00061 600174304360"</f>
        <v>YB00061 600174304360</v>
      </c>
      <c r="F250" s="17" t="str">
        <f>"Alcolin Ultra Wood Glue 500ml"</f>
        <v>Alcolin Ultra Wood Glue 500ml</v>
      </c>
      <c r="G250" s="17">
        <v>1.0</v>
      </c>
      <c r="H250" s="17">
        <v>0.58</v>
      </c>
      <c r="I250" s="27">
        <f t="shared" si="3"/>
        <v>0.58</v>
      </c>
    </row>
    <row r="251" ht="12.75" customHeight="1">
      <c r="A251" s="17" t="s">
        <v>39</v>
      </c>
      <c r="B251" s="33" t="str">
        <f>"""BC365 (SQL)"",""Somerset Timbers"",""37"",""1"",""Order"",""3"",""SG01112"",""4"",""20000"""</f>
        <v>"BC365 (SQL)","Somerset Timbers","37","1","Order","3","SG01112","4","20000"</v>
      </c>
      <c r="C251" s="17" t="str">
        <f t="shared" ref="C251:C253" si="83">"SG01112"</f>
        <v>SG01112</v>
      </c>
      <c r="D251" s="17" t="str">
        <f t="shared" ref="D251:D253" si="84">"C26575"</f>
        <v>C26575</v>
      </c>
      <c r="E251" s="17" t="str">
        <f>"CSH30"</f>
        <v>CSH30</v>
      </c>
      <c r="F251" s="17" t="str">
        <f>"Endura Victorian Skirting 20x140mm  3.0m"</f>
        <v>Endura Victorian Skirting 20x140mm  3.0m</v>
      </c>
      <c r="G251" s="17">
        <v>40.0</v>
      </c>
      <c r="H251" s="17">
        <v>4.62</v>
      </c>
      <c r="I251" s="27">
        <f t="shared" si="3"/>
        <v>184.8</v>
      </c>
    </row>
    <row r="252" ht="12.75" customHeight="1">
      <c r="A252" s="17" t="s">
        <v>39</v>
      </c>
      <c r="B252" s="33" t="str">
        <f>"""BC365 (SQL)"",""Somerset Timbers"",""37"",""1"",""Order"",""3"",""SG01112"",""4"",""30000"""</f>
        <v>"BC365 (SQL)","Somerset Timbers","37","1","Order","3","SG01112","4","30000"</v>
      </c>
      <c r="C252" s="17" t="str">
        <f t="shared" si="83"/>
        <v>SG01112</v>
      </c>
      <c r="D252" s="17" t="str">
        <f t="shared" si="84"/>
        <v>C26575</v>
      </c>
      <c r="E252" s="17" t="str">
        <f>"CSH36"</f>
        <v>CSH36</v>
      </c>
      <c r="F252" s="17" t="str">
        <f>"Endura Victorian Skirting 20x140mm  3.6m"</f>
        <v>Endura Victorian Skirting 20x140mm  3.6m</v>
      </c>
      <c r="G252" s="17">
        <v>36.0</v>
      </c>
      <c r="H252" s="17">
        <v>5.54</v>
      </c>
      <c r="I252" s="27">
        <f t="shared" si="3"/>
        <v>199.44</v>
      </c>
    </row>
    <row r="253" ht="12.75" customHeight="1">
      <c r="A253" s="17" t="s">
        <v>39</v>
      </c>
      <c r="B253" s="33" t="str">
        <f>"""BC365 (SQL)"",""Somerset Timbers"",""37"",""1"",""Order"",""3"",""SG01112"",""4"",""50000"""</f>
        <v>"BC365 (SQL)","Somerset Timbers","37","1","Order","3","SG01112","4","50000"</v>
      </c>
      <c r="C253" s="17" t="str">
        <f t="shared" si="83"/>
        <v>SG01112</v>
      </c>
      <c r="D253" s="17" t="str">
        <f t="shared" si="84"/>
        <v>C26575</v>
      </c>
      <c r="E253" s="17" t="str">
        <f>"ZA00950"</f>
        <v>ZA00950</v>
      </c>
      <c r="F253" s="17" t="str">
        <f>"Delivery to Fish Hoek (0 - 1 cubic metres)"</f>
        <v>Delivery to Fish Hoek (0 - 1 cubic metres)</v>
      </c>
      <c r="G253" s="17">
        <v>1.0</v>
      </c>
      <c r="H253" s="17">
        <v>0.0</v>
      </c>
      <c r="I253" s="27">
        <f t="shared" si="3"/>
        <v>0</v>
      </c>
    </row>
    <row r="254" ht="12.75" customHeight="1">
      <c r="A254" s="17" t="s">
        <v>39</v>
      </c>
      <c r="B254" s="33" t="str">
        <f>"""BC365 (SQL)"",""Somerset Timbers"",""37"",""1"",""Order"",""3"",""SG01124"",""4"",""10000"""</f>
        <v>"BC365 (SQL)","Somerset Timbers","37","1","Order","3","SG01124","4","10000"</v>
      </c>
      <c r="C254" s="17" t="str">
        <f t="shared" ref="C254:C255" si="85">"SG01124"</f>
        <v>SG01124</v>
      </c>
      <c r="D254" s="17" t="str">
        <f t="shared" ref="D254:D255" si="86">"C30912"</f>
        <v>C30912</v>
      </c>
      <c r="E254" s="17" t="str">
        <f>"JC21"</f>
        <v>JC21</v>
      </c>
      <c r="F254" s="17" t="str">
        <f>"Garapa Decking  19x90mm  2.13m"</f>
        <v>Garapa Decking  19x90mm  2.13m</v>
      </c>
      <c r="G254" s="17">
        <v>3.0</v>
      </c>
      <c r="H254" s="17">
        <v>2.99</v>
      </c>
      <c r="I254" s="27">
        <f t="shared" si="3"/>
        <v>8.97</v>
      </c>
    </row>
    <row r="255" ht="12.75" customHeight="1">
      <c r="A255" s="17" t="s">
        <v>39</v>
      </c>
      <c r="B255" s="33" t="str">
        <f>"""BC365 (SQL)"",""Somerset Timbers"",""37"",""1"",""Order"",""3"",""SG01124"",""4"",""20000"""</f>
        <v>"BC365 (SQL)","Somerset Timbers","37","1","Order","3","SG01124","4","20000"</v>
      </c>
      <c r="C255" s="17" t="str">
        <f t="shared" si="85"/>
        <v>SG01124</v>
      </c>
      <c r="D255" s="17" t="str">
        <f t="shared" si="86"/>
        <v>C30912</v>
      </c>
      <c r="E255" s="17" t="str">
        <f>"ZA01640"</f>
        <v>ZA01640</v>
      </c>
      <c r="F255" s="17" t="str">
        <f>"Delivery to Kommetjie (0 - 1 cubic metres)"</f>
        <v>Delivery to Kommetjie (0 - 1 cubic metres)</v>
      </c>
      <c r="G255" s="17">
        <v>1.0</v>
      </c>
      <c r="H255" s="17">
        <v>0.0</v>
      </c>
      <c r="I255" s="27">
        <f t="shared" si="3"/>
        <v>0</v>
      </c>
    </row>
    <row r="256" ht="12.75" customHeight="1">
      <c r="A256" s="17" t="s">
        <v>39</v>
      </c>
      <c r="B256" s="33" t="str">
        <f>"""BC365 (SQL)"",""Somerset Timbers"",""37"",""1"",""Order"",""3"",""SG01128"",""4"",""10000"""</f>
        <v>"BC365 (SQL)","Somerset Timbers","37","1","Order","3","SG01128","4","10000"</v>
      </c>
      <c r="C256" s="17" t="str">
        <f t="shared" ref="C256:C265" si="87">"SG01128"</f>
        <v>SG01128</v>
      </c>
      <c r="D256" s="17" t="str">
        <f t="shared" ref="D256:D265" si="88">"C00200"</f>
        <v>C00200</v>
      </c>
      <c r="E256" s="17" t="str">
        <f>"P218"</f>
        <v>P218</v>
      </c>
      <c r="F256" s="17" t="str">
        <f>"SABS Pine Pole 50/79mm CCA H4 Trt 1.8m"</f>
        <v>SABS Pine Pole 50/79mm CCA H4 Trt 1.8m</v>
      </c>
      <c r="G256" s="17">
        <v>3.0</v>
      </c>
      <c r="H256" s="17">
        <v>6.12</v>
      </c>
      <c r="I256" s="27">
        <f t="shared" si="3"/>
        <v>18.36</v>
      </c>
    </row>
    <row r="257" ht="12.75" customHeight="1">
      <c r="A257" s="17" t="s">
        <v>39</v>
      </c>
      <c r="B257" s="33" t="str">
        <f>"""BC365 (SQL)"",""Somerset Timbers"",""37"",""1"",""Order"",""3"",""SG01128"",""4"",""20000"""</f>
        <v>"BC365 (SQL)","Somerset Timbers","37","1","Order","3","SG01128","4","20000"</v>
      </c>
      <c r="C257" s="17" t="str">
        <f t="shared" si="87"/>
        <v>SG01128</v>
      </c>
      <c r="D257" s="17" t="str">
        <f t="shared" si="88"/>
        <v>C00200</v>
      </c>
      <c r="E257" s="17" t="str">
        <f>"P318"</f>
        <v>P318</v>
      </c>
      <c r="F257" s="17" t="str">
        <f>"SABS Pine Pole 80/99mm CCA H4 Trt 1.8m"</f>
        <v>SABS Pine Pole 80/99mm CCA H4 Trt 1.8m</v>
      </c>
      <c r="G257" s="17">
        <v>3.0</v>
      </c>
      <c r="H257" s="17">
        <v>11.14</v>
      </c>
      <c r="I257" s="27">
        <f t="shared" si="3"/>
        <v>33.42</v>
      </c>
    </row>
    <row r="258" ht="12.75" customHeight="1">
      <c r="A258" s="17" t="s">
        <v>39</v>
      </c>
      <c r="B258" s="33" t="str">
        <f>"""BC365 (SQL)"",""Somerset Timbers"",""37"",""1"",""Order"",""3"",""SG01128"",""4"",""30000"""</f>
        <v>"BC365 (SQL)","Somerset Timbers","37","1","Order","3","SG01128","4","30000"</v>
      </c>
      <c r="C258" s="17" t="str">
        <f t="shared" si="87"/>
        <v>SG01128</v>
      </c>
      <c r="D258" s="17" t="str">
        <f t="shared" si="88"/>
        <v>C00200</v>
      </c>
      <c r="E258" s="17" t="str">
        <f>"P221"</f>
        <v>P221</v>
      </c>
      <c r="F258" s="17" t="str">
        <f>"SABS Pine Pole 50/79mm CCA H4 Trt 2.1m"</f>
        <v>SABS Pine Pole 50/79mm CCA H4 Trt 2.1m</v>
      </c>
      <c r="G258" s="17">
        <v>3.0</v>
      </c>
      <c r="H258" s="17">
        <v>7.31</v>
      </c>
      <c r="I258" s="27">
        <f t="shared" si="3"/>
        <v>21.93</v>
      </c>
    </row>
    <row r="259" ht="12.75" customHeight="1">
      <c r="A259" s="17" t="s">
        <v>39</v>
      </c>
      <c r="B259" s="33" t="str">
        <f>"""BC365 (SQL)"",""Somerset Timbers"",""37"",""1"",""Order"",""3"",""SG01128"",""4"",""40000"""</f>
        <v>"BC365 (SQL)","Somerset Timbers","37","1","Order","3","SG01128","4","40000"</v>
      </c>
      <c r="C259" s="17" t="str">
        <f t="shared" si="87"/>
        <v>SG01128</v>
      </c>
      <c r="D259" s="17" t="str">
        <f t="shared" si="88"/>
        <v>C00200</v>
      </c>
      <c r="E259" s="17" t="str">
        <f>"P224"</f>
        <v>P224</v>
      </c>
      <c r="F259" s="17" t="str">
        <f>"SABS Pine Pole 50/79mm CCA H4 Trt 2.4m"</f>
        <v>SABS Pine Pole 50/79mm CCA H4 Trt 2.4m</v>
      </c>
      <c r="G259" s="17">
        <v>3.0</v>
      </c>
      <c r="H259" s="17">
        <v>8.67</v>
      </c>
      <c r="I259" s="27">
        <f t="shared" si="3"/>
        <v>26.01</v>
      </c>
    </row>
    <row r="260" ht="12.75" customHeight="1">
      <c r="A260" s="17" t="s">
        <v>39</v>
      </c>
      <c r="B260" s="33" t="str">
        <f>"""BC365 (SQL)"",""Somerset Timbers"",""37"",""1"",""Order"",""3"",""SG01128"",""4"",""50000"""</f>
        <v>"BC365 (SQL)","Somerset Timbers","37","1","Order","3","SG01128","4","50000"</v>
      </c>
      <c r="C260" s="17" t="str">
        <f t="shared" si="87"/>
        <v>SG01128</v>
      </c>
      <c r="D260" s="17" t="str">
        <f t="shared" si="88"/>
        <v>C00200</v>
      </c>
      <c r="E260" s="17" t="str">
        <f>"P230"</f>
        <v>P230</v>
      </c>
      <c r="F260" s="17" t="str">
        <f>"SABS Pine Pole 50/79mm CCA H4 Trt 3.0m"</f>
        <v>SABS Pine Pole 50/79mm CCA H4 Trt 3.0m</v>
      </c>
      <c r="G260" s="17">
        <v>5.0</v>
      </c>
      <c r="H260" s="17">
        <v>11.39</v>
      </c>
      <c r="I260" s="27">
        <f t="shared" si="3"/>
        <v>56.95</v>
      </c>
    </row>
    <row r="261" ht="12.75" customHeight="1">
      <c r="A261" s="17" t="s">
        <v>39</v>
      </c>
      <c r="B261" s="33" t="str">
        <f>"""BC365 (SQL)"",""Somerset Timbers"",""37"",""1"",""Order"",""3"",""SG01128"",""4"",""60000"""</f>
        <v>"BC365 (SQL)","Somerset Timbers","37","1","Order","3","SG01128","4","60000"</v>
      </c>
      <c r="C261" s="17" t="str">
        <f t="shared" si="87"/>
        <v>SG01128</v>
      </c>
      <c r="D261" s="17" t="str">
        <f t="shared" si="88"/>
        <v>C00200</v>
      </c>
      <c r="E261" s="17" t="str">
        <f>"P321"</f>
        <v>P321</v>
      </c>
      <c r="F261" s="17" t="str">
        <f>"SABS Pine Pole 80/99mm CCA H4 Trt 2.1m"</f>
        <v>SABS Pine Pole 80/99mm CCA H4 Trt 2.1m</v>
      </c>
      <c r="G261" s="17">
        <v>3.0</v>
      </c>
      <c r="H261" s="17">
        <v>13.26</v>
      </c>
      <c r="I261" s="27">
        <f t="shared" si="3"/>
        <v>39.78</v>
      </c>
    </row>
    <row r="262" ht="12.75" customHeight="1">
      <c r="A262" s="17" t="s">
        <v>39</v>
      </c>
      <c r="B262" s="33" t="str">
        <f>"""BC365 (SQL)"",""Somerset Timbers"",""37"",""1"",""Order"",""3"",""SG01128"",""4"",""70000"""</f>
        <v>"BC365 (SQL)","Somerset Timbers","37","1","Order","3","SG01128","4","70000"</v>
      </c>
      <c r="C262" s="17" t="str">
        <f t="shared" si="87"/>
        <v>SG01128</v>
      </c>
      <c r="D262" s="17" t="str">
        <f t="shared" si="88"/>
        <v>C00200</v>
      </c>
      <c r="E262" s="17" t="str">
        <f>"P324"</f>
        <v>P324</v>
      </c>
      <c r="F262" s="17" t="str">
        <f>"SABS Pine Pole 80/99mm CCA H4 Trt 2.4m"</f>
        <v>SABS Pine Pole 80/99mm CCA H4 Trt 2.4m</v>
      </c>
      <c r="G262" s="17">
        <v>3.0</v>
      </c>
      <c r="H262" s="17">
        <v>15.56</v>
      </c>
      <c r="I262" s="27">
        <f t="shared" si="3"/>
        <v>46.68</v>
      </c>
    </row>
    <row r="263" ht="12.75" customHeight="1">
      <c r="A263" s="17" t="s">
        <v>39</v>
      </c>
      <c r="B263" s="33" t="str">
        <f>"""BC365 (SQL)"",""Somerset Timbers"",""37"",""1"",""Order"",""3"",""SG01128"",""4"",""80000"""</f>
        <v>"BC365 (SQL)","Somerset Timbers","37","1","Order","3","SG01128","4","80000"</v>
      </c>
      <c r="C263" s="17" t="str">
        <f t="shared" si="87"/>
        <v>SG01128</v>
      </c>
      <c r="D263" s="17" t="str">
        <f t="shared" si="88"/>
        <v>C00200</v>
      </c>
      <c r="E263" s="17" t="str">
        <f>"P330"</f>
        <v>P330</v>
      </c>
      <c r="F263" s="17" t="str">
        <f>"SABS Pine Pole 80/99mm CCA H4 Trt 3.0m"</f>
        <v>SABS Pine Pole 80/99mm CCA H4 Trt 3.0m</v>
      </c>
      <c r="G263" s="17">
        <v>5.0</v>
      </c>
      <c r="H263" s="17">
        <v>20.23</v>
      </c>
      <c r="I263" s="27">
        <f t="shared" si="3"/>
        <v>101.15</v>
      </c>
    </row>
    <row r="264" ht="12.75" customHeight="1">
      <c r="A264" s="17" t="s">
        <v>39</v>
      </c>
      <c r="B264" s="33" t="str">
        <f>"""BC365 (SQL)"",""Somerset Timbers"",""37"",""1"",""Order"",""3"",""SG01128"",""4"",""90000"""</f>
        <v>"BC365 (SQL)","Somerset Timbers","37","1","Order","3","SG01128","4","90000"</v>
      </c>
      <c r="C264" s="17" t="str">
        <f t="shared" si="87"/>
        <v>SG01128</v>
      </c>
      <c r="D264" s="17" t="str">
        <f t="shared" si="88"/>
        <v>C00200</v>
      </c>
      <c r="E264" s="17" t="str">
        <f>"P336"</f>
        <v>P336</v>
      </c>
      <c r="F264" s="17" t="str">
        <f>"SABS Pine Pole 80/99mm CCA H4 Trt 3.6m"</f>
        <v>SABS Pine Pole 80/99mm CCA H4 Trt 3.6m</v>
      </c>
      <c r="G264" s="17">
        <v>3.0</v>
      </c>
      <c r="H264" s="17">
        <v>25.33</v>
      </c>
      <c r="I264" s="27">
        <f t="shared" si="3"/>
        <v>75.99</v>
      </c>
    </row>
    <row r="265" ht="12.75" customHeight="1">
      <c r="A265" s="17" t="s">
        <v>39</v>
      </c>
      <c r="B265" s="33" t="str">
        <f>"""BC365 (SQL)"",""Somerset Timbers"",""37"",""1"",""Order"",""3"",""SG01128"",""4"",""100000"""</f>
        <v>"BC365 (SQL)","Somerset Timbers","37","1","Order","3","SG01128","4","100000"</v>
      </c>
      <c r="C265" s="17" t="str">
        <f t="shared" si="87"/>
        <v>SG01128</v>
      </c>
      <c r="D265" s="17" t="str">
        <f t="shared" si="88"/>
        <v>C00200</v>
      </c>
      <c r="E265" s="17" t="str">
        <f>"ZA01610"</f>
        <v>ZA01610</v>
      </c>
      <c r="F265" s="17" t="str">
        <f>"Delivery to Kleinmond (0 - 1 cubic metres)"</f>
        <v>Delivery to Kleinmond (0 - 1 cubic metres)</v>
      </c>
      <c r="G265" s="17">
        <v>1.0</v>
      </c>
      <c r="H265" s="17">
        <v>0.0</v>
      </c>
      <c r="I265" s="27">
        <f t="shared" si="3"/>
        <v>0</v>
      </c>
    </row>
    <row r="266" ht="12.75" customHeight="1">
      <c r="A266" s="17" t="s">
        <v>39</v>
      </c>
      <c r="B266" s="33" t="str">
        <f>"""BC365 (SQL)"",""Somerset Timbers"",""37"",""1"",""Order"",""3"",""SG01129"",""4"",""10000"""</f>
        <v>"BC365 (SQL)","Somerset Timbers","37","1","Order","3","SG01129","4","10000"</v>
      </c>
      <c r="C266" s="17" t="str">
        <f t="shared" ref="C266:C267" si="89">"SG01129"</f>
        <v>SG01129</v>
      </c>
      <c r="D266" s="17" t="str">
        <f t="shared" ref="D266:D267" si="90">"C00388"</f>
        <v>C00388</v>
      </c>
      <c r="E266" s="17" t="str">
        <f>"W01910230"</f>
        <v>W01910230</v>
      </c>
      <c r="F266" s="17" t="str">
        <f>"WET Pine 19x102mm Untreated Rough 3.0m"</f>
        <v>WET Pine 19x102mm Untreated Rough 3.0m</v>
      </c>
      <c r="G266" s="17">
        <v>300.0</v>
      </c>
      <c r="H266" s="17">
        <v>4.07</v>
      </c>
      <c r="I266" s="27">
        <f t="shared" si="3"/>
        <v>1221</v>
      </c>
    </row>
    <row r="267" ht="12.75" customHeight="1">
      <c r="A267" s="17" t="s">
        <v>39</v>
      </c>
      <c r="B267" s="33" t="str">
        <f>"""BC365 (SQL)"",""Somerset Timbers"",""37"",""1"",""Order"",""3"",""SG01129"",""4"",""20000"""</f>
        <v>"BC365 (SQL)","Somerset Timbers","37","1","Order","3","SG01129","4","20000"</v>
      </c>
      <c r="C267" s="17" t="str">
        <f t="shared" si="89"/>
        <v>SG01129</v>
      </c>
      <c r="D267" s="17" t="str">
        <f t="shared" si="90"/>
        <v>C00388</v>
      </c>
      <c r="E267" s="17" t="str">
        <f>"ZA01250"</f>
        <v>ZA01250</v>
      </c>
      <c r="F267" s="17" t="str">
        <f>"Delivery to Greyton (0 - 1 cubic metres)"</f>
        <v>Delivery to Greyton (0 - 1 cubic metres)</v>
      </c>
      <c r="G267" s="17">
        <v>1.0</v>
      </c>
      <c r="H267" s="17">
        <v>0.0</v>
      </c>
      <c r="I267" s="27">
        <f t="shared" si="3"/>
        <v>0</v>
      </c>
    </row>
    <row r="268" ht="12.75" customHeight="1">
      <c r="A268" s="17" t="s">
        <v>39</v>
      </c>
      <c r="B268" s="33" t="str">
        <f>"""BC365 (SQL)"",""Somerset Timbers"",""37"",""1"",""Order"",""3"",""SG01132"",""4"",""10000"""</f>
        <v>"BC365 (SQL)","Somerset Timbers","37","1","Order","3","SG01132","4","10000"</v>
      </c>
      <c r="C268" s="17" t="str">
        <f t="shared" ref="C268:C269" si="91">"SG01132"</f>
        <v>SG01132</v>
      </c>
      <c r="D268" s="17" t="str">
        <f t="shared" ref="D268:D269" si="92">"C11530"</f>
        <v>C11530</v>
      </c>
      <c r="E268" s="17" t="str">
        <f>"JM30"</f>
        <v>JM30</v>
      </c>
      <c r="F268" s="17" t="str">
        <f>"Red Grandis Decking  22x118mm  3.0m"</f>
        <v>Red Grandis Decking  22x118mm  3.0m</v>
      </c>
      <c r="G268" s="17">
        <v>20.0</v>
      </c>
      <c r="H268" s="17">
        <v>4.28</v>
      </c>
      <c r="I268" s="27">
        <f t="shared" si="3"/>
        <v>85.6</v>
      </c>
    </row>
    <row r="269" ht="12.75" customHeight="1">
      <c r="A269" s="17" t="s">
        <v>39</v>
      </c>
      <c r="B269" s="33" t="str">
        <f>"""BC365 (SQL)"",""Somerset Timbers"",""37"",""1"",""Order"",""3"",""SG01132"",""4"",""20000"""</f>
        <v>"BC365 (SQL)","Somerset Timbers","37","1","Order","3","SG01132","4","20000"</v>
      </c>
      <c r="C269" s="17" t="str">
        <f t="shared" si="91"/>
        <v>SG01132</v>
      </c>
      <c r="D269" s="17" t="str">
        <f t="shared" si="92"/>
        <v>C11530</v>
      </c>
      <c r="E269" s="17" t="str">
        <f>"ZA01610"</f>
        <v>ZA01610</v>
      </c>
      <c r="F269" s="17" t="str">
        <f>"Delivery to Kleinmond (0 - 1 cubic metres)"</f>
        <v>Delivery to Kleinmond (0 - 1 cubic metres)</v>
      </c>
      <c r="G269" s="17">
        <v>1.0</v>
      </c>
      <c r="H269" s="17">
        <v>0.0</v>
      </c>
      <c r="I269" s="27">
        <f t="shared" si="3"/>
        <v>0</v>
      </c>
    </row>
    <row r="270" ht="12.75" customHeight="1">
      <c r="A270" s="17" t="s">
        <v>39</v>
      </c>
      <c r="B270" s="33" t="str">
        <f>"""BC365 (SQL)"",""Somerset Timbers"",""37"",""1"",""Order"",""3"",""SG01195"",""4"",""10000"""</f>
        <v>"BC365 (SQL)","Somerset Timbers","37","1","Order","3","SG01195","4","10000"</v>
      </c>
      <c r="C270" s="17" t="str">
        <f t="shared" ref="C270:C271" si="93">"SG01195"</f>
        <v>SG01195</v>
      </c>
      <c r="D270" s="17" t="str">
        <f t="shared" ref="D270:D271" si="94">"C31884"</f>
        <v>C31884</v>
      </c>
      <c r="E270" s="17" t="str">
        <f>"L090"</f>
        <v>L090</v>
      </c>
      <c r="F270" s="17" t="str">
        <f>"OSB Grd3 Kronospan 12mm"</f>
        <v>OSB Grd3 Kronospan 12mm</v>
      </c>
      <c r="G270" s="17">
        <v>55.0</v>
      </c>
      <c r="H270" s="17">
        <v>23.22</v>
      </c>
      <c r="I270" s="27">
        <f t="shared" si="3"/>
        <v>1277.1</v>
      </c>
    </row>
    <row r="271" ht="12.75" customHeight="1">
      <c r="A271" s="17" t="s">
        <v>39</v>
      </c>
      <c r="B271" s="33" t="str">
        <f>"""BC365 (SQL)"",""Somerset Timbers"",""37"",""1"",""Order"",""3"",""SG01195"",""4"",""30000"""</f>
        <v>"BC365 (SQL)","Somerset Timbers","37","1","Order","3","SG01195","4","30000"</v>
      </c>
      <c r="C271" s="17" t="str">
        <f t="shared" si="93"/>
        <v>SG01195</v>
      </c>
      <c r="D271" s="17" t="str">
        <f t="shared" si="94"/>
        <v>C31884</v>
      </c>
      <c r="E271" s="17" t="str">
        <f>"ZA01040"</f>
        <v>ZA01040</v>
      </c>
      <c r="F271" s="17" t="str">
        <f>"Delivery to Franskraal (0 - 1 cubic metres)"</f>
        <v>Delivery to Franskraal (0 - 1 cubic metres)</v>
      </c>
      <c r="G271" s="17">
        <v>1.0</v>
      </c>
      <c r="H271" s="17">
        <v>0.0</v>
      </c>
      <c r="I271" s="27">
        <f t="shared" si="3"/>
        <v>0</v>
      </c>
    </row>
    <row r="272" ht="12.75" customHeight="1">
      <c r="A272" s="17" t="s">
        <v>39</v>
      </c>
      <c r="B272" s="33" t="str">
        <f>"""BC365 (SQL)"",""Somerset Timbers"",""37"",""1"",""Order"",""3"",""SG01196"",""4"",""10000"""</f>
        <v>"BC365 (SQL)","Somerset Timbers","37","1","Order","3","SG01196","4","10000"</v>
      </c>
      <c r="C272" s="17" t="str">
        <f t="shared" ref="C272:C279" si="95">"SG01196"</f>
        <v>SG01196</v>
      </c>
      <c r="D272" s="17" t="str">
        <f t="shared" ref="D272:D279" si="96">"C27626"</f>
        <v>C27626</v>
      </c>
      <c r="E272" s="17" t="str">
        <f>"HR065065030"</f>
        <v>HR065065030</v>
      </c>
      <c r="F272" s="17" t="str">
        <f>"Red Grandis Laminated Post 65x65mm 3.0m"</f>
        <v>Red Grandis Laminated Post 65x65mm 3.0m</v>
      </c>
      <c r="G272" s="17">
        <v>4.0</v>
      </c>
      <c r="H272" s="17">
        <v>6.47</v>
      </c>
      <c r="I272" s="27">
        <f t="shared" si="3"/>
        <v>25.88</v>
      </c>
    </row>
    <row r="273" ht="12.75" customHeight="1">
      <c r="A273" s="17" t="s">
        <v>39</v>
      </c>
      <c r="B273" s="33" t="str">
        <f>"""BC365 (SQL)"",""Somerset Timbers"",""37"",""1"",""Order"",""3"",""SG01196"",""4"",""20000"""</f>
        <v>"BC365 (SQL)","Somerset Timbers","37","1","Order","3","SG01196","4","20000"</v>
      </c>
      <c r="C273" s="17" t="str">
        <f t="shared" si="95"/>
        <v>SG01196</v>
      </c>
      <c r="D273" s="17" t="str">
        <f t="shared" si="96"/>
        <v>C27626</v>
      </c>
      <c r="E273" s="17" t="str">
        <f>"AF42"</f>
        <v>AF42</v>
      </c>
      <c r="F273" s="17" t="str">
        <f>"SABS Pine 38x228mm CCA H3 Treated  4.2m"</f>
        <v>SABS Pine 38x228mm CCA H3 Treated  4.2m</v>
      </c>
      <c r="G273" s="17">
        <v>2.0</v>
      </c>
      <c r="H273" s="17">
        <v>27.29</v>
      </c>
      <c r="I273" s="27">
        <f t="shared" si="3"/>
        <v>54.58</v>
      </c>
    </row>
    <row r="274" ht="12.75" customHeight="1">
      <c r="A274" s="17" t="s">
        <v>39</v>
      </c>
      <c r="B274" s="33" t="str">
        <f>"""BC365 (SQL)"",""Somerset Timbers"",""37"",""1"",""Order"",""3"",""SG01196"",""4"",""30000"""</f>
        <v>"BC365 (SQL)","Somerset Timbers","37","1","Order","3","SG01196","4","30000"</v>
      </c>
      <c r="C274" s="17" t="str">
        <f t="shared" si="95"/>
        <v>SG01196</v>
      </c>
      <c r="D274" s="17" t="str">
        <f t="shared" si="96"/>
        <v>C27626</v>
      </c>
      <c r="E274" s="17" t="str">
        <f>"AF30"</f>
        <v>AF30</v>
      </c>
      <c r="F274" s="17" t="str">
        <f>"SABS Pine 38x228mm CCA H3 Treated  3.0m"</f>
        <v>SABS Pine 38x228mm CCA H3 Treated  3.0m</v>
      </c>
      <c r="G274" s="17">
        <v>2.0</v>
      </c>
      <c r="H274" s="17">
        <v>19.49</v>
      </c>
      <c r="I274" s="27">
        <f t="shared" si="3"/>
        <v>38.98</v>
      </c>
    </row>
    <row r="275" ht="12.75" customHeight="1">
      <c r="A275" s="17" t="s">
        <v>39</v>
      </c>
      <c r="B275" s="33" t="str">
        <f>"""BC365 (SQL)"",""Somerset Timbers"",""37"",""1"",""Order"",""3"",""SG01196"",""4"",""40000"""</f>
        <v>"BC365 (SQL)","Somerset Timbers","37","1","Order","3","SG01196","4","40000"</v>
      </c>
      <c r="C275" s="17" t="str">
        <f t="shared" si="95"/>
        <v>SG01196</v>
      </c>
      <c r="D275" s="17" t="str">
        <f t="shared" si="96"/>
        <v>C27626</v>
      </c>
      <c r="E275" s="17" t="str">
        <f>"AE30"</f>
        <v>AE30</v>
      </c>
      <c r="F275" s="17" t="str">
        <f>"SABS Pine 38x152mm CCA H2 Treated  3.0m"</f>
        <v>SABS Pine 38x152mm CCA H2 Treated  3.0m</v>
      </c>
      <c r="G275" s="17">
        <v>3.0</v>
      </c>
      <c r="H275" s="17">
        <v>13.0</v>
      </c>
      <c r="I275" s="27">
        <f t="shared" si="3"/>
        <v>39</v>
      </c>
    </row>
    <row r="276" ht="12.75" customHeight="1">
      <c r="A276" s="17" t="s">
        <v>39</v>
      </c>
      <c r="B276" s="33" t="str">
        <f>"""BC365 (SQL)"",""Somerset Timbers"",""37"",""1"",""Order"",""3"",""SG01196"",""4"",""50000"""</f>
        <v>"BC365 (SQL)","Somerset Timbers","37","1","Order","3","SG01196","4","50000"</v>
      </c>
      <c r="C276" s="17" t="str">
        <f t="shared" si="95"/>
        <v>SG01196</v>
      </c>
      <c r="D276" s="17" t="str">
        <f t="shared" si="96"/>
        <v>C27626</v>
      </c>
      <c r="E276" s="17" t="str">
        <f>"AJ30"</f>
        <v>AJ30</v>
      </c>
      <c r="F276" s="17" t="str">
        <f>"SABS Pine 50x228mm CCA H3 Treated  3.0m"</f>
        <v>SABS Pine 50x228mm CCA H3 Treated  3.0m</v>
      </c>
      <c r="G276" s="17">
        <v>1.0</v>
      </c>
      <c r="H276" s="17">
        <v>25.65</v>
      </c>
      <c r="I276" s="27">
        <f t="shared" si="3"/>
        <v>25.65</v>
      </c>
    </row>
    <row r="277" ht="12.75" customHeight="1">
      <c r="A277" s="17" t="s">
        <v>39</v>
      </c>
      <c r="B277" s="33" t="str">
        <f>"""BC365 (SQL)"",""Somerset Timbers"",""37"",""1"",""Order"",""3"",""SG01196"",""4"",""60000"""</f>
        <v>"BC365 (SQL)","Somerset Timbers","37","1","Order","3","SG01196","4","60000"</v>
      </c>
      <c r="C277" s="17" t="str">
        <f t="shared" si="95"/>
        <v>SG01196</v>
      </c>
      <c r="D277" s="17" t="str">
        <f t="shared" si="96"/>
        <v>C27626</v>
      </c>
      <c r="E277" s="17" t="str">
        <f>"EC30"</f>
        <v>EC30</v>
      </c>
      <c r="F277" s="17" t="str">
        <f>"Solid Pine Decking 32x105mm CCA H3 Treat   3.0m"</f>
        <v>Solid Pine Decking 32x105mm CCA H3 Treat   3.0m</v>
      </c>
      <c r="G277" s="17">
        <v>4.0</v>
      </c>
      <c r="H277" s="17">
        <v>7.56</v>
      </c>
      <c r="I277" s="27">
        <f t="shared" si="3"/>
        <v>30.24</v>
      </c>
    </row>
    <row r="278" ht="12.75" customHeight="1">
      <c r="A278" s="17" t="s">
        <v>39</v>
      </c>
      <c r="B278" s="33" t="str">
        <f>"""BC365 (SQL)"",""Somerset Timbers"",""37"",""1"",""Order"",""3"",""SG01196"",""4"",""70000"""</f>
        <v>"BC365 (SQL)","Somerset Timbers","37","1","Order","3","SG01196","4","70000"</v>
      </c>
      <c r="C278" s="17" t="str">
        <f t="shared" si="95"/>
        <v>SG01196</v>
      </c>
      <c r="D278" s="17" t="str">
        <f t="shared" si="96"/>
        <v>C27626</v>
      </c>
      <c r="E278" s="17" t="str">
        <f>"YB00260 781159271458"</f>
        <v>YB00260 781159271458</v>
      </c>
      <c r="F278" s="17" t="str">
        <f>"Galseal TEAK  5 Litres"</f>
        <v>Galseal TEAK  5 Litres</v>
      </c>
      <c r="G278" s="17">
        <v>2.0</v>
      </c>
      <c r="H278" s="17">
        <v>4.3</v>
      </c>
      <c r="I278" s="27">
        <f t="shared" si="3"/>
        <v>8.6</v>
      </c>
    </row>
    <row r="279" ht="12.75" customHeight="1">
      <c r="A279" s="17" t="s">
        <v>39</v>
      </c>
      <c r="B279" s="33" t="str">
        <f>"""BC365 (SQL)"",""Somerset Timbers"",""37"",""1"",""Order"",""3"",""SG01196"",""4"",""80000"""</f>
        <v>"BC365 (SQL)","Somerset Timbers","37","1","Order","3","SG01196","4","80000"</v>
      </c>
      <c r="C279" s="17" t="str">
        <f t="shared" si="95"/>
        <v>SG01196</v>
      </c>
      <c r="D279" s="17" t="str">
        <f t="shared" si="96"/>
        <v>C27626</v>
      </c>
      <c r="E279" s="17" t="str">
        <f>"ZA01610"</f>
        <v>ZA01610</v>
      </c>
      <c r="F279" s="17" t="str">
        <f>"Delivery to Kleinmond (0 - 1 cubic metres)"</f>
        <v>Delivery to Kleinmond (0 - 1 cubic metres)</v>
      </c>
      <c r="G279" s="17">
        <v>1.0</v>
      </c>
      <c r="H279" s="17">
        <v>0.0</v>
      </c>
      <c r="I279" s="27">
        <f t="shared" si="3"/>
        <v>0</v>
      </c>
    </row>
    <row r="280" ht="12.75" customHeight="1">
      <c r="A280" s="17" t="s">
        <v>39</v>
      </c>
      <c r="B280" s="33" t="str">
        <f>"""BC365 (SQL)"",""Somerset Timbers"",""37"",""1"",""Order"",""3"",""SG01220"",""4"",""10000"""</f>
        <v>"BC365 (SQL)","Somerset Timbers","37","1","Order","3","SG01220","4","10000"</v>
      </c>
      <c r="C280" s="17" t="str">
        <f t="shared" ref="C280:C282" si="97">"SG01220"</f>
        <v>SG01220</v>
      </c>
      <c r="D280" s="17" t="str">
        <f t="shared" ref="D280:D282" si="98">"C31978"</f>
        <v>C31978</v>
      </c>
      <c r="E280" s="17" t="str">
        <f>"EA24"</f>
        <v>EA24</v>
      </c>
      <c r="F280" s="17" t="str">
        <f>"Solid Pine Decking 22x105mm CCA H3 Treat  2.4m"</f>
        <v>Solid Pine Decking 22x105mm CCA H3 Treat  2.4m</v>
      </c>
      <c r="G280" s="17">
        <v>9.0</v>
      </c>
      <c r="H280" s="17">
        <v>4.16</v>
      </c>
      <c r="I280" s="27">
        <f t="shared" si="3"/>
        <v>37.44</v>
      </c>
    </row>
    <row r="281" ht="12.75" customHeight="1">
      <c r="A281" s="17" t="s">
        <v>39</v>
      </c>
      <c r="B281" s="33" t="str">
        <f>"""BC365 (SQL)"",""Somerset Timbers"",""37"",""1"",""Order"",""3"",""SG01220"",""4"",""20000"""</f>
        <v>"BC365 (SQL)","Somerset Timbers","37","1","Order","3","SG01220","4","20000"</v>
      </c>
      <c r="C281" s="17" t="str">
        <f t="shared" si="97"/>
        <v>SG01220</v>
      </c>
      <c r="D281" s="17" t="str">
        <f t="shared" si="98"/>
        <v>C31978</v>
      </c>
      <c r="E281" s="17" t="str">
        <f>"FP30"</f>
        <v>FP30</v>
      </c>
      <c r="F281" s="17" t="str">
        <f>"Solid Pine 45x45mm CCA H3 Treat Sized  3.0m"</f>
        <v>Solid Pine 45x45mm CCA H3 Treat Sized  3.0m</v>
      </c>
      <c r="G281" s="17">
        <v>15.0</v>
      </c>
      <c r="H281" s="17">
        <v>4.56</v>
      </c>
      <c r="I281" s="27">
        <f t="shared" si="3"/>
        <v>68.4</v>
      </c>
    </row>
    <row r="282" ht="12.75" customHeight="1">
      <c r="A282" s="17" t="s">
        <v>39</v>
      </c>
      <c r="B282" s="33" t="str">
        <f>"""BC365 (SQL)"",""Somerset Timbers"",""37"",""1"",""Order"",""3"",""SG01220"",""4"",""30000"""</f>
        <v>"BC365 (SQL)","Somerset Timbers","37","1","Order","3","SG01220","4","30000"</v>
      </c>
      <c r="C282" s="17" t="str">
        <f t="shared" si="97"/>
        <v>SG01220</v>
      </c>
      <c r="D282" s="17" t="str">
        <f t="shared" si="98"/>
        <v>C31978</v>
      </c>
      <c r="E282" s="17" t="str">
        <f>"ZA02930"</f>
        <v>ZA02930</v>
      </c>
      <c r="F282" s="17" t="str">
        <f>"Delivery to Worcester (0 - 1 cubic metres)"</f>
        <v>Delivery to Worcester (0 - 1 cubic metres)</v>
      </c>
      <c r="G282" s="17">
        <v>1.0</v>
      </c>
      <c r="H282" s="17">
        <v>0.0</v>
      </c>
      <c r="I282" s="27">
        <f t="shared" si="3"/>
        <v>0</v>
      </c>
    </row>
    <row r="283" ht="12.75" customHeight="1">
      <c r="A283" s="17" t="s">
        <v>39</v>
      </c>
      <c r="B283" s="33" t="str">
        <f>"""BC365 (SQL)"",""Somerset Timbers"",""37"",""1"",""Order"",""3"",""SG01248"",""4"",""10000"""</f>
        <v>"BC365 (SQL)","Somerset Timbers","37","1","Order","3","SG01248","4","10000"</v>
      </c>
      <c r="C283" s="17" t="str">
        <f t="shared" ref="C283:C286" si="99">"SG01248"</f>
        <v>SG01248</v>
      </c>
      <c r="D283" s="17" t="str">
        <f t="shared" ref="D283:D286" si="100">"C17635"</f>
        <v>C17635</v>
      </c>
      <c r="E283" s="17" t="str">
        <f>"P424"</f>
        <v>P424</v>
      </c>
      <c r="F283" s="17" t="str">
        <f>"SABS Pine Pole 100/119mm CCA H4 Trt 2.4m"</f>
        <v>SABS Pine Pole 100/119mm CCA H4 Trt 2.4m</v>
      </c>
      <c r="G283" s="17">
        <v>9.0</v>
      </c>
      <c r="H283" s="17">
        <v>22.44</v>
      </c>
      <c r="I283" s="27">
        <f t="shared" si="3"/>
        <v>201.96</v>
      </c>
    </row>
    <row r="284" ht="12.75" customHeight="1">
      <c r="A284" s="17" t="s">
        <v>39</v>
      </c>
      <c r="B284" s="33" t="str">
        <f>"""BC365 (SQL)"",""Somerset Timbers"",""37"",""1"",""Order"",""3"",""SG01248"",""4"",""20000"""</f>
        <v>"BC365 (SQL)","Somerset Timbers","37","1","Order","3","SG01248","4","20000"</v>
      </c>
      <c r="C284" s="17" t="str">
        <f t="shared" si="99"/>
        <v>SG01248</v>
      </c>
      <c r="D284" s="17" t="str">
        <f t="shared" si="100"/>
        <v>C17635</v>
      </c>
      <c r="E284" s="17" t="str">
        <f>"AI42"</f>
        <v>AI42</v>
      </c>
      <c r="F284" s="17" t="str">
        <f>"SABS Pine 50x152mm CCA H3 Treated  4.2m"</f>
        <v>SABS Pine 50x152mm CCA H3 Treated  4.2m</v>
      </c>
      <c r="G284" s="17">
        <v>5.0</v>
      </c>
      <c r="H284" s="17">
        <v>23.94</v>
      </c>
      <c r="I284" s="27">
        <f t="shared" si="3"/>
        <v>119.7</v>
      </c>
    </row>
    <row r="285" ht="12.75" customHeight="1">
      <c r="A285" s="17" t="s">
        <v>39</v>
      </c>
      <c r="B285" s="33" t="str">
        <f>"""BC365 (SQL)"",""Somerset Timbers"",""37"",""1"",""Order"",""3"",""SG01248"",""4"",""30000"""</f>
        <v>"BC365 (SQL)","Somerset Timbers","37","1","Order","3","SG01248","4","30000"</v>
      </c>
      <c r="C285" s="17" t="str">
        <f t="shared" si="99"/>
        <v>SG01248</v>
      </c>
      <c r="D285" s="17" t="str">
        <f t="shared" si="100"/>
        <v>C17635</v>
      </c>
      <c r="E285" s="17" t="str">
        <f>"L010"</f>
        <v>L010</v>
      </c>
      <c r="F285" s="17" t="str">
        <f>"Shutter PLY CC Grade  18mm"</f>
        <v>Shutter PLY CC Grade  18mm</v>
      </c>
      <c r="G285" s="17">
        <v>3.0</v>
      </c>
      <c r="H285" s="17">
        <v>29.470000000000002</v>
      </c>
      <c r="I285" s="27">
        <f t="shared" si="3"/>
        <v>88.41</v>
      </c>
    </row>
    <row r="286" ht="12.75" customHeight="1">
      <c r="A286" s="17" t="s">
        <v>39</v>
      </c>
      <c r="B286" s="33" t="str">
        <f>"""BC365 (SQL)"",""Somerset Timbers"",""37"",""1"",""Order"",""3"",""SG01248"",""4"",""40000"""</f>
        <v>"BC365 (SQL)","Somerset Timbers","37","1","Order","3","SG01248","4","40000"</v>
      </c>
      <c r="C286" s="17" t="str">
        <f t="shared" si="99"/>
        <v>SG01248</v>
      </c>
      <c r="D286" s="17" t="str">
        <f t="shared" si="100"/>
        <v>C17635</v>
      </c>
      <c r="E286" s="17" t="str">
        <f>"ZA01130"</f>
        <v>ZA01130</v>
      </c>
      <c r="F286" s="17" t="str">
        <f>"Delivery to Gordons Bay (0 - 1 cubic metres)"</f>
        <v>Delivery to Gordons Bay (0 - 1 cubic metres)</v>
      </c>
      <c r="G286" s="17">
        <v>1.0</v>
      </c>
      <c r="H286" s="17">
        <v>0.0</v>
      </c>
      <c r="I286" s="27">
        <f t="shared" si="3"/>
        <v>0</v>
      </c>
    </row>
    <row r="287" ht="12.75" customHeight="1">
      <c r="A287" s="17" t="s">
        <v>39</v>
      </c>
      <c r="B287" s="33" t="str">
        <f>"""BC365 (SQL)"",""Somerset Timbers"",""37"",""1"",""Order"",""3"",""SG01251"",""4"",""10000"""</f>
        <v>"BC365 (SQL)","Somerset Timbers","37","1","Order","3","SG01251","4","10000"</v>
      </c>
      <c r="C287" s="17" t="str">
        <f t="shared" ref="C287:C293" si="101">"SG01251"</f>
        <v>SG01251</v>
      </c>
      <c r="D287" s="17" t="str">
        <f t="shared" ref="D287:D293" si="102">"C11146"</f>
        <v>C11146</v>
      </c>
      <c r="E287" s="17" t="str">
        <f>"JC36"</f>
        <v>JC36</v>
      </c>
      <c r="F287" s="17" t="str">
        <f>"Garapa Decking  19x90mm  3.66m"</f>
        <v>Garapa Decking  19x90mm  3.66m</v>
      </c>
      <c r="G287" s="17">
        <v>42.0</v>
      </c>
      <c r="H287" s="17">
        <v>5.13</v>
      </c>
      <c r="I287" s="27">
        <f t="shared" si="3"/>
        <v>215.46</v>
      </c>
    </row>
    <row r="288" ht="12.75" customHeight="1">
      <c r="A288" s="17" t="s">
        <v>39</v>
      </c>
      <c r="B288" s="33" t="str">
        <f>"""BC365 (SQL)"",""Somerset Timbers"",""37"",""1"",""Order"",""3"",""SG01251"",""4"",""20000"""</f>
        <v>"BC365 (SQL)","Somerset Timbers","37","1","Order","3","SG01251","4","20000"</v>
      </c>
      <c r="C288" s="17" t="str">
        <f t="shared" si="101"/>
        <v>SG01251</v>
      </c>
      <c r="D288" s="17" t="str">
        <f t="shared" si="102"/>
        <v>C11146</v>
      </c>
      <c r="E288" s="17" t="str">
        <f>"JC42"</f>
        <v>JC42</v>
      </c>
      <c r="F288" s="17" t="str">
        <f>"Garapa Decking  19x90mm  4.27m"</f>
        <v>Garapa Decking  19x90mm  4.27m</v>
      </c>
      <c r="G288" s="17">
        <v>42.0</v>
      </c>
      <c r="H288" s="17">
        <v>5.99</v>
      </c>
      <c r="I288" s="27">
        <f t="shared" si="3"/>
        <v>251.58</v>
      </c>
    </row>
    <row r="289" ht="12.75" customHeight="1">
      <c r="A289" s="17" t="s">
        <v>39</v>
      </c>
      <c r="B289" s="33" t="str">
        <f>"""BC365 (SQL)"",""Somerset Timbers"",""37"",""1"",""Order"",""3"",""SG01251"",""4"",""30000"""</f>
        <v>"BC365 (SQL)","Somerset Timbers","37","1","Order","3","SG01251","4","30000"</v>
      </c>
      <c r="C289" s="17" t="str">
        <f t="shared" si="101"/>
        <v>SG01251</v>
      </c>
      <c r="D289" s="17" t="str">
        <f t="shared" si="102"/>
        <v>C11146</v>
      </c>
      <c r="E289" s="17" t="str">
        <f>"JC09"</f>
        <v>JC09</v>
      </c>
      <c r="F289" s="17" t="str">
        <f>"Garapa Decking  19x90mm  0.91m"</f>
        <v>Garapa Decking  19x90mm  0.91m</v>
      </c>
      <c r="G289" s="17">
        <v>40.0</v>
      </c>
      <c r="H289" s="17">
        <v>1.28</v>
      </c>
      <c r="I289" s="27">
        <f t="shared" si="3"/>
        <v>51.2</v>
      </c>
    </row>
    <row r="290" ht="12.75" customHeight="1">
      <c r="A290" s="17" t="s">
        <v>39</v>
      </c>
      <c r="B290" s="33" t="str">
        <f>"""BC365 (SQL)"",""Somerset Timbers"",""37"",""1"",""Order"",""3"",""SG01251"",""4"",""40000"""</f>
        <v>"BC365 (SQL)","Somerset Timbers","37","1","Order","3","SG01251","4","40000"</v>
      </c>
      <c r="C290" s="17" t="str">
        <f t="shared" si="101"/>
        <v>SG01251</v>
      </c>
      <c r="D290" s="17" t="str">
        <f t="shared" si="102"/>
        <v>C11146</v>
      </c>
      <c r="E290" s="17" t="str">
        <f>"JC15"</f>
        <v>JC15</v>
      </c>
      <c r="F290" s="17" t="str">
        <f>"Garapa Decking  19x90mm  1.52m"</f>
        <v>Garapa Decking  19x90mm  1.52m</v>
      </c>
      <c r="G290" s="17">
        <v>80.0</v>
      </c>
      <c r="H290" s="17">
        <v>2.13</v>
      </c>
      <c r="I290" s="27">
        <f t="shared" si="3"/>
        <v>170.4</v>
      </c>
    </row>
    <row r="291" ht="12.75" customHeight="1">
      <c r="A291" s="17" t="s">
        <v>39</v>
      </c>
      <c r="B291" s="33" t="str">
        <f>"""BC365 (SQL)"",""Somerset Timbers"",""37"",""1"",""Order"",""3"",""SG01251"",""4"",""50000"""</f>
        <v>"BC365 (SQL)","Somerset Timbers","37","1","Order","3","SG01251","4","50000"</v>
      </c>
      <c r="C291" s="17" t="str">
        <f t="shared" si="101"/>
        <v>SG01251</v>
      </c>
      <c r="D291" s="17" t="str">
        <f t="shared" si="102"/>
        <v>C11146</v>
      </c>
      <c r="E291" s="17" t="str">
        <f>"L072"</f>
        <v>L072</v>
      </c>
      <c r="F291" s="17" t="str">
        <f>"Marine Exterior Ply AA Grade 9mm"</f>
        <v>Marine Exterior Ply AA Grade 9mm</v>
      </c>
      <c r="G291" s="17">
        <v>6.0</v>
      </c>
      <c r="H291" s="17">
        <v>18.75</v>
      </c>
      <c r="I291" s="27">
        <f t="shared" si="3"/>
        <v>112.5</v>
      </c>
    </row>
    <row r="292" ht="12.75" customHeight="1">
      <c r="A292" s="17" t="s">
        <v>39</v>
      </c>
      <c r="B292" s="33" t="str">
        <f>"""BC365 (SQL)"",""Somerset Timbers"",""37"",""1"",""Order"",""3"",""SG01251"",""4"",""60000"""</f>
        <v>"BC365 (SQL)","Somerset Timbers","37","1","Order","3","SG01251","4","60000"</v>
      </c>
      <c r="C292" s="17" t="str">
        <f t="shared" si="101"/>
        <v>SG01251</v>
      </c>
      <c r="D292" s="17" t="str">
        <f t="shared" si="102"/>
        <v>C11146</v>
      </c>
      <c r="E292" s="17" t="str">
        <f>"L074"</f>
        <v>L074</v>
      </c>
      <c r="F292" s="17" t="str">
        <f>"Marine Exterior Ply AA Grade 12mm"</f>
        <v>Marine Exterior Ply AA Grade 12mm</v>
      </c>
      <c r="G292" s="17">
        <v>12.0</v>
      </c>
      <c r="H292" s="17">
        <v>25.009999999999998</v>
      </c>
      <c r="I292" s="27">
        <f t="shared" si="3"/>
        <v>300.12</v>
      </c>
    </row>
    <row r="293" ht="12.75" customHeight="1">
      <c r="A293" s="17" t="s">
        <v>39</v>
      </c>
      <c r="B293" s="33" t="str">
        <f>"""BC365 (SQL)"",""Somerset Timbers"",""37"",""1"",""Order"",""3"",""SG01251"",""4"",""70000"""</f>
        <v>"BC365 (SQL)","Somerset Timbers","37","1","Order","3","SG01251","4","70000"</v>
      </c>
      <c r="C293" s="17" t="str">
        <f t="shared" si="101"/>
        <v>SG01251</v>
      </c>
      <c r="D293" s="17" t="str">
        <f t="shared" si="102"/>
        <v>C11146</v>
      </c>
      <c r="E293" s="17" t="str">
        <f>"ZA00960"</f>
        <v>ZA00960</v>
      </c>
      <c r="F293" s="17" t="str">
        <f>"Delivery to Fish Hoek (1 - 8 cubic metres)"</f>
        <v>Delivery to Fish Hoek (1 - 8 cubic metres)</v>
      </c>
      <c r="G293" s="17">
        <v>1.0</v>
      </c>
      <c r="H293" s="17">
        <v>0.0</v>
      </c>
      <c r="I293" s="27">
        <f t="shared" si="3"/>
        <v>0</v>
      </c>
    </row>
    <row r="294" ht="12.75" customHeight="1">
      <c r="A294" s="17" t="s">
        <v>39</v>
      </c>
      <c r="B294" s="33" t="str">
        <f>"""BC365 (SQL)"",""Somerset Timbers"",""37"",""1"",""Order"",""3"",""SG01264"",""4"",""10000"""</f>
        <v>"BC365 (SQL)","Somerset Timbers","37","1","Order","3","SG01264","4","10000"</v>
      </c>
      <c r="C294" s="17" t="str">
        <f t="shared" ref="C294:C301" si="103">"SG01264"</f>
        <v>SG01264</v>
      </c>
      <c r="D294" s="17" t="str">
        <f t="shared" ref="D294:D301" si="104">"C31022"</f>
        <v>C31022</v>
      </c>
      <c r="E294" s="17" t="str">
        <f>"HS01945530"</f>
        <v>HS01945530</v>
      </c>
      <c r="F294" s="17" t="str">
        <f>"Pine Shelving 18x455mm   3.0m"</f>
        <v>Pine Shelving 18x455mm   3.0m</v>
      </c>
      <c r="G294" s="17">
        <v>3.0</v>
      </c>
      <c r="H294" s="17">
        <v>13.51</v>
      </c>
      <c r="I294" s="27">
        <f t="shared" si="3"/>
        <v>40.53</v>
      </c>
    </row>
    <row r="295" ht="12.75" customHeight="1">
      <c r="A295" s="17" t="s">
        <v>39</v>
      </c>
      <c r="B295" s="33" t="str">
        <f>"""BC365 (SQL)"",""Somerset Timbers"",""37"",""1"",""Order"",""3"",""SG01264"",""4"",""20000"""</f>
        <v>"BC365 (SQL)","Somerset Timbers","37","1","Order","3","SG01264","4","20000"</v>
      </c>
      <c r="C295" s="17" t="str">
        <f t="shared" si="103"/>
        <v>SG01264</v>
      </c>
      <c r="D295" s="17" t="str">
        <f t="shared" si="104"/>
        <v>C31022</v>
      </c>
      <c r="E295" s="17" t="str">
        <f>"KCM30"</f>
        <v>KCM30</v>
      </c>
      <c r="F295" s="17" t="str">
        <f>"KD Industrial Pine 25x114mm Untreated Rgh 3.0m (SPECIAL)"</f>
        <v>KD Industrial Pine 25x114mm Untreated Rgh 3.0m (SPECIAL)</v>
      </c>
      <c r="G295" s="17">
        <v>25.0</v>
      </c>
      <c r="H295" s="17">
        <v>4.7</v>
      </c>
      <c r="I295" s="27">
        <f t="shared" si="3"/>
        <v>117.5</v>
      </c>
    </row>
    <row r="296" ht="12.75" customHeight="1">
      <c r="A296" s="17" t="s">
        <v>39</v>
      </c>
      <c r="B296" s="33" t="str">
        <f>"""BC365 (SQL)"",""Somerset Timbers"",""37"",""1"",""Order"",""3"",""SG01264"",""4"",""30000"""</f>
        <v>"BC365 (SQL)","Somerset Timbers","37","1","Order","3","SG01264","4","30000"</v>
      </c>
      <c r="C296" s="17" t="str">
        <f t="shared" si="103"/>
        <v>SG01264</v>
      </c>
      <c r="D296" s="17" t="str">
        <f t="shared" si="104"/>
        <v>C31022</v>
      </c>
      <c r="E296" s="17" t="str">
        <f>"YB00110 600447900023"</f>
        <v>YB00110 600447900023</v>
      </c>
      <c r="F296" s="17" t="str">
        <f>"Brummer Cold Glue 1 litre   (yellow)"</f>
        <v>Brummer Cold Glue 1 litre   (yellow)</v>
      </c>
      <c r="G296" s="17">
        <v>1.0</v>
      </c>
      <c r="H296" s="17">
        <v>1.0</v>
      </c>
      <c r="I296" s="27">
        <f t="shared" si="3"/>
        <v>1</v>
      </c>
    </row>
    <row r="297" ht="12.75" customHeight="1">
      <c r="A297" s="17" t="s">
        <v>39</v>
      </c>
      <c r="B297" s="33" t="str">
        <f>"""BC365 (SQL)"",""Somerset Timbers"",""37"",""1"",""Order"",""3"",""SG01264"",""4"",""40000"""</f>
        <v>"BC365 (SQL)","Somerset Timbers","37","1","Order","3","SG01264","4","40000"</v>
      </c>
      <c r="C297" s="17" t="str">
        <f t="shared" si="103"/>
        <v>SG01264</v>
      </c>
      <c r="D297" s="17" t="str">
        <f t="shared" si="104"/>
        <v>C31022</v>
      </c>
      <c r="E297" s="17" t="str">
        <f>"YA02520 781159271540"</f>
        <v>YA02520 781159271540</v>
      </c>
      <c r="F297" s="17" t="str">
        <f>"Torx deck screws 60mm (pack of 200)"</f>
        <v>Torx deck screws 60mm (pack of 200)</v>
      </c>
      <c r="G297" s="17">
        <v>1.0</v>
      </c>
      <c r="H297" s="17">
        <v>1.0</v>
      </c>
      <c r="I297" s="27">
        <f t="shared" si="3"/>
        <v>1</v>
      </c>
    </row>
    <row r="298" ht="12.75" customHeight="1">
      <c r="A298" s="17" t="s">
        <v>39</v>
      </c>
      <c r="B298" s="33" t="str">
        <f>"""BC365 (SQL)"",""Somerset Timbers"",""37"",""1"",""Order"",""3"",""SG01264"",""4"",""50000"""</f>
        <v>"BC365 (SQL)","Somerset Timbers","37","1","Order","3","SG01264","4","50000"</v>
      </c>
      <c r="C298" s="17" t="str">
        <f t="shared" si="103"/>
        <v>SG01264</v>
      </c>
      <c r="D298" s="17" t="str">
        <f t="shared" si="104"/>
        <v>C31022</v>
      </c>
      <c r="E298" s="17" t="str">
        <f>"YA02510 078115927153"</f>
        <v>YA02510 078115927153</v>
      </c>
      <c r="F298" s="17" t="str">
        <f>"Torx deck screws 50mm (pack of 200)"</f>
        <v>Torx deck screws 50mm (pack of 200)</v>
      </c>
      <c r="G298" s="17">
        <v>1.0</v>
      </c>
      <c r="H298" s="17">
        <v>0.9105</v>
      </c>
      <c r="I298" s="27">
        <f t="shared" si="3"/>
        <v>0.9105</v>
      </c>
    </row>
    <row r="299" ht="12.75" customHeight="1">
      <c r="A299" s="17" t="s">
        <v>39</v>
      </c>
      <c r="B299" s="33" t="str">
        <f>"""BC365 (SQL)"",""Somerset Timbers"",""37"",""1"",""Order"",""3"",""SG01264"",""4"",""60000"""</f>
        <v>"BC365 (SQL)","Somerset Timbers","37","1","Order","3","SG01264","4","60000"</v>
      </c>
      <c r="C299" s="17" t="str">
        <f t="shared" si="103"/>
        <v>SG01264</v>
      </c>
      <c r="D299" s="17" t="str">
        <f t="shared" si="104"/>
        <v>C31022</v>
      </c>
      <c r="E299" s="17" t="str">
        <f>"YB00050 600174300067"</f>
        <v>YB00050 600174300067</v>
      </c>
      <c r="F299" s="17" t="str">
        <f>"Alcolin Flexible Wood Sealant Pine 280ml"</f>
        <v>Alcolin Flexible Wood Sealant Pine 280ml</v>
      </c>
      <c r="G299" s="17">
        <v>1.0</v>
      </c>
      <c r="H299" s="17">
        <v>0.5</v>
      </c>
      <c r="I299" s="27">
        <f t="shared" si="3"/>
        <v>0.5</v>
      </c>
    </row>
    <row r="300" ht="12.75" customHeight="1">
      <c r="A300" s="17" t="s">
        <v>39</v>
      </c>
      <c r="B300" s="33" t="str">
        <f>"""BC365 (SQL)"",""Somerset Timbers"",""37"",""1"",""Order"",""3"",""SG01264"",""4"",""70000"""</f>
        <v>"BC365 (SQL)","Somerset Timbers","37","1","Order","3","SG01264","4","70000"</v>
      </c>
      <c r="C300" s="17" t="str">
        <f t="shared" si="103"/>
        <v>SG01264</v>
      </c>
      <c r="D300" s="17" t="str">
        <f t="shared" si="104"/>
        <v>C31022</v>
      </c>
      <c r="E300" s="17" t="str">
        <f>"YB00265 781159271502"</f>
        <v>YB00265 781159271502</v>
      </c>
      <c r="F300" s="17" t="str">
        <f>"Galseal LIGHT OAK  1 litre"</f>
        <v>Galseal LIGHT OAK  1 litre</v>
      </c>
      <c r="G300" s="17">
        <v>1.0</v>
      </c>
      <c r="H300" s="17">
        <v>0.86</v>
      </c>
      <c r="I300" s="27">
        <f t="shared" si="3"/>
        <v>0.86</v>
      </c>
    </row>
    <row r="301" ht="12.75" customHeight="1">
      <c r="A301" s="17" t="s">
        <v>39</v>
      </c>
      <c r="B301" s="33" t="str">
        <f>"""BC365 (SQL)"",""Somerset Timbers"",""37"",""1"",""Order"",""3"",""SG01264"",""4"",""80000"""</f>
        <v>"BC365 (SQL)","Somerset Timbers","37","1","Order","3","SG01264","4","80000"</v>
      </c>
      <c r="C301" s="17" t="str">
        <f t="shared" si="103"/>
        <v>SG01264</v>
      </c>
      <c r="D301" s="17" t="str">
        <f t="shared" si="104"/>
        <v>C31022</v>
      </c>
      <c r="E301" s="17" t="str">
        <f>"ZA00230"</f>
        <v>ZA00230</v>
      </c>
      <c r="F301" s="17" t="str">
        <f>"Delivery to Bettys Bay (0 - 1 cubic metres)"</f>
        <v>Delivery to Bettys Bay (0 - 1 cubic metres)</v>
      </c>
      <c r="G301" s="17">
        <v>1.0</v>
      </c>
      <c r="H301" s="17">
        <v>0.0</v>
      </c>
      <c r="I301" s="27">
        <f t="shared" si="3"/>
        <v>0</v>
      </c>
    </row>
    <row r="302" ht="12.75" customHeight="1">
      <c r="A302" s="17" t="s">
        <v>39</v>
      </c>
      <c r="B302" s="33" t="str">
        <f>"""BC365 (SQL)"",""Somerset Timbers"",""37"",""1"",""Order"",""3"",""SG01267"",""4"",""10000"""</f>
        <v>"BC365 (SQL)","Somerset Timbers","37","1","Order","3","SG01267","4","10000"</v>
      </c>
      <c r="C302" s="17" t="str">
        <f t="shared" ref="C302:C306" si="105">"SG01267"</f>
        <v>SG01267</v>
      </c>
      <c r="D302" s="17" t="str">
        <f t="shared" ref="D302:D306" si="106">"C31981"</f>
        <v>C31981</v>
      </c>
      <c r="E302" s="17" t="str">
        <f>"W01910230"</f>
        <v>W01910230</v>
      </c>
      <c r="F302" s="17" t="str">
        <f>"WET Pine 19x102mm Untreated Rough 3.0m"</f>
        <v>WET Pine 19x102mm Untreated Rough 3.0m</v>
      </c>
      <c r="G302" s="17">
        <v>200.0</v>
      </c>
      <c r="H302" s="17">
        <v>4.07</v>
      </c>
      <c r="I302" s="27">
        <f t="shared" si="3"/>
        <v>814</v>
      </c>
    </row>
    <row r="303" ht="12.75" customHeight="1">
      <c r="A303" s="17" t="s">
        <v>39</v>
      </c>
      <c r="B303" s="33" t="str">
        <f>"""BC365 (SQL)"",""Somerset Timbers"",""37"",""1"",""Order"",""3"",""SG01267"",""4"",""20000"""</f>
        <v>"BC365 (SQL)","Somerset Timbers","37","1","Order","3","SG01267","4","20000"</v>
      </c>
      <c r="C303" s="17" t="str">
        <f t="shared" si="105"/>
        <v>SG01267</v>
      </c>
      <c r="D303" s="17" t="str">
        <f t="shared" si="106"/>
        <v>C31981</v>
      </c>
      <c r="E303" s="17" t="str">
        <f>"KCM30"</f>
        <v>KCM30</v>
      </c>
      <c r="F303" s="17" t="str">
        <f>"KD Industrial Pine 25x114mm Untreated Rgh 3.0m (SPECIAL)"</f>
        <v>KD Industrial Pine 25x114mm Untreated Rgh 3.0m (SPECIAL)</v>
      </c>
      <c r="G303" s="17">
        <v>50.0</v>
      </c>
      <c r="H303" s="17">
        <v>4.7</v>
      </c>
      <c r="I303" s="27">
        <f t="shared" si="3"/>
        <v>235</v>
      </c>
    </row>
    <row r="304" ht="12.75" customHeight="1">
      <c r="A304" s="17" t="s">
        <v>39</v>
      </c>
      <c r="B304" s="33" t="str">
        <f>"""BC365 (SQL)"",""Somerset Timbers"",""37"",""1"",""Order"",""3"",""SG01267"",""4"",""30000"""</f>
        <v>"BC365 (SQL)","Somerset Timbers","37","1","Order","3","SG01267","4","30000"</v>
      </c>
      <c r="C304" s="17" t="str">
        <f t="shared" si="105"/>
        <v>SG01267</v>
      </c>
      <c r="D304" s="17" t="str">
        <f t="shared" si="106"/>
        <v>C31981</v>
      </c>
      <c r="E304" s="17" t="str">
        <f>"AG30"</f>
        <v>AG30</v>
      </c>
      <c r="F304" s="17" t="str">
        <f>"SABS Pine 50x76mm CCA H2 Treated  3.0m"</f>
        <v>SABS Pine 50x76mm CCA H2 Treated  3.0m</v>
      </c>
      <c r="G304" s="17">
        <v>20.0</v>
      </c>
      <c r="H304" s="17">
        <v>8.55</v>
      </c>
      <c r="I304" s="27">
        <f t="shared" si="3"/>
        <v>171</v>
      </c>
    </row>
    <row r="305" ht="12.75" customHeight="1">
      <c r="A305" s="17" t="s">
        <v>39</v>
      </c>
      <c r="B305" s="33" t="str">
        <f>"""BC365 (SQL)"",""Somerset Timbers"",""37"",""1"",""Order"",""3"",""SG01267"",""4"",""40000"""</f>
        <v>"BC365 (SQL)","Somerset Timbers","37","1","Order","3","SG01267","4","40000"</v>
      </c>
      <c r="C305" s="17" t="str">
        <f t="shared" si="105"/>
        <v>SG01267</v>
      </c>
      <c r="D305" s="17" t="str">
        <f t="shared" si="106"/>
        <v>C31981</v>
      </c>
      <c r="E305" s="17" t="str">
        <f>"AA36"</f>
        <v>AA36</v>
      </c>
      <c r="F305" s="17" t="str">
        <f>"SABS Pine 38x38mm CCA H2 Treated  3.6m"</f>
        <v>SABS Pine 38x38mm CCA H2 Treated  3.6m</v>
      </c>
      <c r="G305" s="17">
        <v>48.0</v>
      </c>
      <c r="H305" s="17">
        <v>3.9</v>
      </c>
      <c r="I305" s="27">
        <f t="shared" si="3"/>
        <v>187.2</v>
      </c>
    </row>
    <row r="306" ht="12.75" customHeight="1">
      <c r="A306" s="17" t="s">
        <v>39</v>
      </c>
      <c r="B306" s="33" t="str">
        <f>"""BC365 (SQL)"",""Somerset Timbers"",""37"",""1"",""Order"",""3"",""SG01267"",""4"",""50000"""</f>
        <v>"BC365 (SQL)","Somerset Timbers","37","1","Order","3","SG01267","4","50000"</v>
      </c>
      <c r="C306" s="17" t="str">
        <f t="shared" si="105"/>
        <v>SG01267</v>
      </c>
      <c r="D306" s="17" t="str">
        <f t="shared" si="106"/>
        <v>C31981</v>
      </c>
      <c r="E306" s="17" t="str">
        <f>"ZA02930"</f>
        <v>ZA02930</v>
      </c>
      <c r="F306" s="17" t="str">
        <f>"Delivery  (0 - 1 cubic metres)"</f>
        <v>Delivery  (0 - 1 cubic metres)</v>
      </c>
      <c r="G306" s="17">
        <v>1.0</v>
      </c>
      <c r="H306" s="17">
        <v>0.0</v>
      </c>
      <c r="I306" s="27">
        <f t="shared" si="3"/>
        <v>0</v>
      </c>
    </row>
    <row r="307" ht="12.75" customHeight="1">
      <c r="A307" s="17" t="s">
        <v>39</v>
      </c>
      <c r="B307" s="33" t="str">
        <f>"""BC365 (SQL)"",""Somerset Timbers"",""37"",""1"",""Order"",""3"",""SG01270"",""4"",""10000"""</f>
        <v>"BC365 (SQL)","Somerset Timbers","37","1","Order","3","SG01270","4","10000"</v>
      </c>
      <c r="C307" s="17" t="str">
        <f t="shared" ref="C307:C312" si="107">"SG01270"</f>
        <v>SG01270</v>
      </c>
      <c r="D307" s="17" t="str">
        <f t="shared" ref="D307:D312" si="108">"C13481"</f>
        <v>C13481</v>
      </c>
      <c r="E307" s="17" t="str">
        <f>"YA02340"</f>
        <v>YA02340</v>
      </c>
      <c r="F307" s="17" t="str">
        <f>"Pozi drive screw 10x40mm (PACK OF 200)"</f>
        <v>Pozi drive screw 10x40mm (PACK OF 200)</v>
      </c>
      <c r="G307" s="17">
        <v>1.0</v>
      </c>
      <c r="H307" s="17">
        <v>0.568</v>
      </c>
      <c r="I307" s="27">
        <f t="shared" si="3"/>
        <v>0.568</v>
      </c>
    </row>
    <row r="308" ht="12.75" customHeight="1">
      <c r="A308" s="17" t="s">
        <v>39</v>
      </c>
      <c r="B308" s="33" t="str">
        <f>"""BC365 (SQL)"",""Somerset Timbers"",""37"",""1"",""Order"",""3"",""SG01270"",""4"",""20000"""</f>
        <v>"BC365 (SQL)","Somerset Timbers","37","1","Order","3","SG01270","4","20000"</v>
      </c>
      <c r="C308" s="17" t="str">
        <f t="shared" si="107"/>
        <v>SG01270</v>
      </c>
      <c r="D308" s="17" t="str">
        <f t="shared" si="108"/>
        <v>C13481</v>
      </c>
      <c r="E308" s="17" t="str">
        <f>"FH30"</f>
        <v>FH30</v>
      </c>
      <c r="F308" s="17" t="str">
        <f>"Solid Pine Planed 22x70mm CCA H3 Treat  3.0m"</f>
        <v>Solid Pine Planed 22x70mm CCA H3 Treat  3.0m</v>
      </c>
      <c r="G308" s="17">
        <v>35.0</v>
      </c>
      <c r="H308" s="17">
        <v>3.47</v>
      </c>
      <c r="I308" s="27">
        <f t="shared" si="3"/>
        <v>121.45</v>
      </c>
    </row>
    <row r="309" ht="12.75" customHeight="1">
      <c r="A309" s="17" t="s">
        <v>39</v>
      </c>
      <c r="B309" s="33" t="str">
        <f>"""BC365 (SQL)"",""Somerset Timbers"",""37"",""1"",""Order"",""3"",""SG01270"",""4"",""30000"""</f>
        <v>"BC365 (SQL)","Somerset Timbers","37","1","Order","3","SG01270","4","30000"</v>
      </c>
      <c r="C309" s="17" t="str">
        <f t="shared" si="107"/>
        <v>SG01270</v>
      </c>
      <c r="D309" s="17" t="str">
        <f t="shared" si="108"/>
        <v>C13481</v>
      </c>
      <c r="E309" s="17" t="str">
        <f>"FH12"</f>
        <v>FH12</v>
      </c>
      <c r="F309" s="17" t="str">
        <f>"Solid Pine Planed 22x70mm CCA H3 Trt 1.2m"</f>
        <v>Solid Pine Planed 22x70mm CCA H3 Trt 1.2m</v>
      </c>
      <c r="G309" s="17">
        <v>22.0</v>
      </c>
      <c r="H309" s="17">
        <v>1.39</v>
      </c>
      <c r="I309" s="27">
        <f t="shared" si="3"/>
        <v>30.58</v>
      </c>
    </row>
    <row r="310" ht="12.75" customHeight="1">
      <c r="A310" s="17" t="s">
        <v>39</v>
      </c>
      <c r="B310" s="33" t="str">
        <f>"""BC365 (SQL)"",""Somerset Timbers"",""37"",""1"",""Order"",""3"",""SG01270"",""4"",""40000"""</f>
        <v>"BC365 (SQL)","Somerset Timbers","37","1","Order","3","SG01270","4","40000"</v>
      </c>
      <c r="C310" s="17" t="str">
        <f t="shared" si="107"/>
        <v>SG01270</v>
      </c>
      <c r="D310" s="17" t="str">
        <f t="shared" si="108"/>
        <v>C13481</v>
      </c>
      <c r="E310" s="17" t="str">
        <f>"YA00060 400398432051"</f>
        <v>YA00060 400398432051</v>
      </c>
      <c r="F310" s="17" t="str">
        <f>"Vormann T-Hinge  250x33mm 124250Z"</f>
        <v>Vormann T-Hinge  250x33mm 124250Z</v>
      </c>
      <c r="G310" s="17">
        <v>4.0</v>
      </c>
      <c r="H310" s="17">
        <v>0.2785</v>
      </c>
      <c r="I310" s="27">
        <f t="shared" si="3"/>
        <v>1.114</v>
      </c>
    </row>
    <row r="311" ht="12.75" customHeight="1">
      <c r="A311" s="17" t="s">
        <v>39</v>
      </c>
      <c r="B311" s="33" t="str">
        <f>"""BC365 (SQL)"",""Somerset Timbers"",""37"",""1"",""Order"",""3"",""SG01270"",""4"",""50000"""</f>
        <v>"BC365 (SQL)","Somerset Timbers","37","1","Order","3","SG01270","4","50000"</v>
      </c>
      <c r="C311" s="17" t="str">
        <f t="shared" si="107"/>
        <v>SG01270</v>
      </c>
      <c r="D311" s="17" t="str">
        <f t="shared" si="108"/>
        <v>C13481</v>
      </c>
      <c r="E311" s="17" t="str">
        <f>"ZA01130"</f>
        <v>ZA01130</v>
      </c>
      <c r="F311" s="17" t="str">
        <f>"Delivery to Gordons Bay (0 - 1 cubic metres)"</f>
        <v>Delivery to Gordons Bay (0 - 1 cubic metres)</v>
      </c>
      <c r="G311" s="17">
        <v>1.0</v>
      </c>
      <c r="H311" s="17">
        <v>0.0</v>
      </c>
      <c r="I311" s="27">
        <f t="shared" si="3"/>
        <v>0</v>
      </c>
    </row>
    <row r="312" ht="12.75" customHeight="1">
      <c r="A312" s="17" t="s">
        <v>39</v>
      </c>
      <c r="B312" s="33" t="str">
        <f>"""BC365 (SQL)"",""Somerset Timbers"",""37"",""1"",""Order"",""3"",""SG01270"",""4"",""60000"""</f>
        <v>"BC365 (SQL)","Somerset Timbers","37","1","Order","3","SG01270","4","60000"</v>
      </c>
      <c r="C312" s="17" t="str">
        <f t="shared" si="107"/>
        <v>SG01270</v>
      </c>
      <c r="D312" s="17" t="str">
        <f t="shared" si="108"/>
        <v>C13481</v>
      </c>
      <c r="E312" s="17" t="str">
        <f>"L020"</f>
        <v>L020</v>
      </c>
      <c r="F312" s="17" t="str">
        <f>"Shutter PLY CC Grade  21mm"</f>
        <v>Shutter PLY CC Grade  21mm</v>
      </c>
      <c r="G312" s="17">
        <v>1.0</v>
      </c>
      <c r="H312" s="17">
        <v>34.38</v>
      </c>
      <c r="I312" s="27">
        <f t="shared" si="3"/>
        <v>34.38</v>
      </c>
    </row>
    <row r="313" ht="12.75" customHeight="1">
      <c r="A313" s="17" t="s">
        <v>39</v>
      </c>
      <c r="B313" s="33" t="str">
        <f>"""BC365 (SQL)"",""Somerset Timbers"",""37"",""1"",""Order"",""3"",""SG01283"",""4"",""10000"""</f>
        <v>"BC365 (SQL)","Somerset Timbers","37","1","Order","3","SG01283","4","10000"</v>
      </c>
      <c r="C313" s="17" t="str">
        <f t="shared" ref="C313:C316" si="109">"SG01283"</f>
        <v>SG01283</v>
      </c>
      <c r="D313" s="17" t="str">
        <f t="shared" ref="D313:D316" si="110">"C31022"</f>
        <v>C31022</v>
      </c>
      <c r="E313" s="17" t="str">
        <f>"EC42"</f>
        <v>EC42</v>
      </c>
      <c r="F313" s="17" t="str">
        <f>"Solid Pine Decking 32x105mm CCA H3 Treat   4.2m"</f>
        <v>Solid Pine Decking 32x105mm CCA H3 Treat   4.2m</v>
      </c>
      <c r="G313" s="17">
        <v>2.0</v>
      </c>
      <c r="H313" s="17">
        <v>10.58</v>
      </c>
      <c r="I313" s="27">
        <f t="shared" si="3"/>
        <v>21.16</v>
      </c>
    </row>
    <row r="314" ht="12.75" customHeight="1">
      <c r="A314" s="17" t="s">
        <v>39</v>
      </c>
      <c r="B314" s="33" t="str">
        <f>"""BC365 (SQL)"",""Somerset Timbers"",""37"",""1"",""Order"",""3"",""SG01283"",""4"",""20000"""</f>
        <v>"BC365 (SQL)","Somerset Timbers","37","1","Order","3","SG01283","4","20000"</v>
      </c>
      <c r="C314" s="17" t="str">
        <f t="shared" si="109"/>
        <v>SG01283</v>
      </c>
      <c r="D314" s="17" t="str">
        <f t="shared" si="110"/>
        <v>C31022</v>
      </c>
      <c r="E314" s="17" t="str">
        <f>"AA36"</f>
        <v>AA36</v>
      </c>
      <c r="F314" s="17" t="str">
        <f>"SABS Pine 38x38mm CCA H2 Treated  3.6m"</f>
        <v>SABS Pine 38x38mm CCA H2 Treated  3.6m</v>
      </c>
      <c r="G314" s="17">
        <v>12.0</v>
      </c>
      <c r="H314" s="17">
        <v>3.9</v>
      </c>
      <c r="I314" s="27">
        <f t="shared" si="3"/>
        <v>46.8</v>
      </c>
    </row>
    <row r="315" ht="12.75" customHeight="1">
      <c r="A315" s="17" t="s">
        <v>39</v>
      </c>
      <c r="B315" s="33" t="str">
        <f>"""BC365 (SQL)"",""Somerset Timbers"",""37"",""1"",""Order"",""3"",""SG01283"",""4"",""30000"""</f>
        <v>"BC365 (SQL)","Somerset Timbers","37","1","Order","3","SG01283","4","30000"</v>
      </c>
      <c r="C315" s="17" t="str">
        <f t="shared" si="109"/>
        <v>SG01283</v>
      </c>
      <c r="D315" s="17" t="str">
        <f t="shared" si="110"/>
        <v>C31022</v>
      </c>
      <c r="E315" s="17" t="str">
        <f>"CUC30"</f>
        <v>CUC30</v>
      </c>
      <c r="F315" s="17" t="str">
        <f>"Endura Quadrant 32mm   3.0m"</f>
        <v>Endura Quadrant 32mm   3.0m</v>
      </c>
      <c r="G315" s="17">
        <v>6.0</v>
      </c>
      <c r="H315" s="17">
        <v>1.69</v>
      </c>
      <c r="I315" s="27">
        <f t="shared" si="3"/>
        <v>10.14</v>
      </c>
    </row>
    <row r="316" ht="12.75" customHeight="1">
      <c r="A316" s="17" t="s">
        <v>39</v>
      </c>
      <c r="B316" s="33" t="str">
        <f>"""BC365 (SQL)"",""Somerset Timbers"",""37"",""1"",""Order"",""3"",""SG01283"",""4"",""40000"""</f>
        <v>"BC365 (SQL)","Somerset Timbers","37","1","Order","3","SG01283","4","40000"</v>
      </c>
      <c r="C316" s="17" t="str">
        <f t="shared" si="109"/>
        <v>SG01283</v>
      </c>
      <c r="D316" s="17" t="str">
        <f t="shared" si="110"/>
        <v>C31022</v>
      </c>
      <c r="E316" s="17" t="str">
        <f>"ZA00230"</f>
        <v>ZA00230</v>
      </c>
      <c r="F316" s="17" t="str">
        <f>"Delivery to Bettys Bay (0 - 1 cubic metres)"</f>
        <v>Delivery to Bettys Bay (0 - 1 cubic metres)</v>
      </c>
      <c r="G316" s="17">
        <v>1.0</v>
      </c>
      <c r="H316" s="17">
        <v>0.0</v>
      </c>
      <c r="I316" s="27">
        <f t="shared" si="3"/>
        <v>0</v>
      </c>
    </row>
    <row r="317" ht="12.75" customHeight="1">
      <c r="A317" s="17" t="s">
        <v>39</v>
      </c>
      <c r="B317" s="33" t="str">
        <f>"""BC365 (SQL)"",""Somerset Timbers"",""37"",""1"",""Order"",""3"",""SG01300"",""4"",""10000"""</f>
        <v>"BC365 (SQL)","Somerset Timbers","37","1","Order","3","SG01300","4","10000"</v>
      </c>
      <c r="C317" s="17" t="str">
        <f t="shared" ref="C317:C321" si="111">"SG01300"</f>
        <v>SG01300</v>
      </c>
      <c r="D317" s="17" t="str">
        <f t="shared" ref="D317:D321" si="112">"C31985"</f>
        <v>C31985</v>
      </c>
      <c r="E317" s="17" t="str">
        <f>"AI24"</f>
        <v>AI24</v>
      </c>
      <c r="F317" s="17" t="str">
        <f>"SABS Pine 50x152mm CCA H3 Treated  2.4m"</f>
        <v>SABS Pine 50x152mm CCA H3 Treated  2.4m</v>
      </c>
      <c r="G317" s="17">
        <v>4.0</v>
      </c>
      <c r="H317" s="17">
        <v>13.68</v>
      </c>
      <c r="I317" s="27">
        <f t="shared" si="3"/>
        <v>54.72</v>
      </c>
    </row>
    <row r="318" ht="12.75" customHeight="1">
      <c r="A318" s="17" t="s">
        <v>39</v>
      </c>
      <c r="B318" s="33" t="str">
        <f>"""BC365 (SQL)"",""Somerset Timbers"",""37"",""1"",""Order"",""3"",""SG01300"",""4"",""20000"""</f>
        <v>"BC365 (SQL)","Somerset Timbers","37","1","Order","3","SG01300","4","20000"</v>
      </c>
      <c r="C318" s="17" t="str">
        <f t="shared" si="111"/>
        <v>SG01300</v>
      </c>
      <c r="D318" s="17" t="str">
        <f t="shared" si="112"/>
        <v>C31985</v>
      </c>
      <c r="E318" s="17" t="str">
        <f>"AE42"</f>
        <v>AE42</v>
      </c>
      <c r="F318" s="17" t="str">
        <f>"SABS Pine 38x152mm CCA H2 Treated  4.2m"</f>
        <v>SABS Pine 38x152mm CCA H2 Treated  4.2m</v>
      </c>
      <c r="G318" s="17">
        <v>13.0</v>
      </c>
      <c r="H318" s="17">
        <v>18.19</v>
      </c>
      <c r="I318" s="27">
        <f t="shared" si="3"/>
        <v>236.47</v>
      </c>
    </row>
    <row r="319" ht="12.75" customHeight="1">
      <c r="A319" s="17" t="s">
        <v>39</v>
      </c>
      <c r="B319" s="33" t="str">
        <f>"""BC365 (SQL)"",""Somerset Timbers"",""37"",""1"",""Order"",""3"",""SG01300"",""4"",""30000"""</f>
        <v>"BC365 (SQL)","Somerset Timbers","37","1","Order","3","SG01300","4","30000"</v>
      </c>
      <c r="C319" s="17" t="str">
        <f t="shared" si="111"/>
        <v>SG01300</v>
      </c>
      <c r="D319" s="17" t="str">
        <f t="shared" si="112"/>
        <v>C31985</v>
      </c>
      <c r="E319" s="17" t="str">
        <f>"AI30"</f>
        <v>AI30</v>
      </c>
      <c r="F319" s="17" t="str">
        <f>"SABS Pine 50x152mm CCA H3 Treated  3.0m"</f>
        <v>SABS Pine 50x152mm CCA H3 Treated  3.0m</v>
      </c>
      <c r="G319" s="17">
        <v>2.0</v>
      </c>
      <c r="H319" s="17">
        <v>17.1</v>
      </c>
      <c r="I319" s="27">
        <f t="shared" si="3"/>
        <v>34.2</v>
      </c>
    </row>
    <row r="320" ht="12.75" customHeight="1">
      <c r="A320" s="17" t="s">
        <v>39</v>
      </c>
      <c r="B320" s="33" t="str">
        <f>"""BC365 (SQL)"",""Somerset Timbers"",""37"",""1"",""Order"",""3"",""SG01300"",""4"",""40000"""</f>
        <v>"BC365 (SQL)","Somerset Timbers","37","1","Order","3","SG01300","4","40000"</v>
      </c>
      <c r="C320" s="17" t="str">
        <f t="shared" si="111"/>
        <v>SG01300</v>
      </c>
      <c r="D320" s="17" t="str">
        <f t="shared" si="112"/>
        <v>C31985</v>
      </c>
      <c r="E320" s="17" t="str">
        <f>"YA01110"</f>
        <v>YA01110</v>
      </c>
      <c r="F320" s="17" t="str">
        <f>"Standard Hanger bracket  38mm"</f>
        <v>Standard Hanger bracket  38mm</v>
      </c>
      <c r="G320" s="17">
        <v>22.0</v>
      </c>
      <c r="H320" s="17">
        <v>0.216</v>
      </c>
      <c r="I320" s="27">
        <f t="shared" si="3"/>
        <v>4.752</v>
      </c>
    </row>
    <row r="321" ht="12.75" customHeight="1">
      <c r="A321" s="17" t="s">
        <v>39</v>
      </c>
      <c r="B321" s="33" t="str">
        <f>"""BC365 (SQL)"",""Somerset Timbers"",""37"",""1"",""Order"",""3"",""SG01300"",""4"",""50000"""</f>
        <v>"BC365 (SQL)","Somerset Timbers","37","1","Order","3","SG01300","4","50000"</v>
      </c>
      <c r="C321" s="17" t="str">
        <f t="shared" si="111"/>
        <v>SG01300</v>
      </c>
      <c r="D321" s="17" t="str">
        <f t="shared" si="112"/>
        <v>C31985</v>
      </c>
      <c r="E321" s="17" t="str">
        <f>"ZA01160"</f>
        <v>ZA01160</v>
      </c>
      <c r="F321" s="17" t="str">
        <f>"Delivery to Grabouw (0 - 1 cubic metres)"</f>
        <v>Delivery to Grabouw (0 - 1 cubic metres)</v>
      </c>
      <c r="G321" s="17">
        <v>1.0</v>
      </c>
      <c r="H321" s="17">
        <v>0.0</v>
      </c>
      <c r="I321" s="27">
        <f t="shared" si="3"/>
        <v>0</v>
      </c>
    </row>
    <row r="322" ht="12.75" customHeight="1">
      <c r="A322" s="17" t="s">
        <v>39</v>
      </c>
      <c r="B322" s="33" t="str">
        <f>"""BC365 (SQL)"",""Somerset Timbers"",""37"",""1"",""Order"",""3"",""SG01308"",""4"",""10000"""</f>
        <v>"BC365 (SQL)","Somerset Timbers","37","1","Order","3","SG01308","4","10000"</v>
      </c>
      <c r="C322" s="17" t="str">
        <f t="shared" ref="C322:C323" si="113">"SG01308"</f>
        <v>SG01308</v>
      </c>
      <c r="D322" s="17" t="str">
        <f t="shared" ref="D322:D323" si="114">"C04379"</f>
        <v>C04379</v>
      </c>
      <c r="E322" s="17" t="str">
        <f>"HA045291096"</f>
        <v>HA045291096</v>
      </c>
      <c r="F322" s="17" t="str">
        <f>"Pine Lam Beam 45x297mm Grd8 Azure 9.6m"</f>
        <v>Pine Lam Beam 45x297mm Grd8 Azure 9.6m</v>
      </c>
      <c r="G322" s="17">
        <v>2.0</v>
      </c>
      <c r="H322" s="17">
        <v>69.14</v>
      </c>
      <c r="I322" s="27">
        <f t="shared" si="3"/>
        <v>138.28</v>
      </c>
    </row>
    <row r="323" ht="12.75" customHeight="1">
      <c r="A323" s="17" t="s">
        <v>39</v>
      </c>
      <c r="B323" s="33" t="str">
        <f>"""BC365 (SQL)"",""Somerset Timbers"",""37"",""1"",""Order"",""3"",""SG01308"",""4"",""20000"""</f>
        <v>"BC365 (SQL)","Somerset Timbers","37","1","Order","3","SG01308","4","20000"</v>
      </c>
      <c r="C323" s="17" t="str">
        <f t="shared" si="113"/>
        <v>SG01308</v>
      </c>
      <c r="D323" s="17" t="str">
        <f t="shared" si="114"/>
        <v>C04379</v>
      </c>
      <c r="E323" s="17" t="str">
        <f>"ZA00260"</f>
        <v>ZA00260</v>
      </c>
      <c r="F323" s="17" t="str">
        <f>"Delivery to Blackheath (0 - 1 cubic metres)"</f>
        <v>Delivery to Blackheath (0 - 1 cubic metres)</v>
      </c>
      <c r="G323" s="17">
        <v>1.0</v>
      </c>
      <c r="H323" s="17">
        <v>0.0</v>
      </c>
      <c r="I323" s="27">
        <f t="shared" si="3"/>
        <v>0</v>
      </c>
    </row>
    <row r="324" ht="12.75" customHeight="1">
      <c r="A324" s="17" t="s">
        <v>39</v>
      </c>
      <c r="B324" s="33" t="str">
        <f>"""BC365 (SQL)"",""Somerset Timbers"",""37"",""1"",""Order"",""3"",""SG01328"",""4"",""10000"""</f>
        <v>"BC365 (SQL)","Somerset Timbers","37","1","Order","3","SG01328","4","10000"</v>
      </c>
      <c r="C324" s="17" t="str">
        <f t="shared" ref="C324:C329" si="115">"SG01328"</f>
        <v>SG01328</v>
      </c>
      <c r="D324" s="17" t="str">
        <f t="shared" ref="D324:D329" si="116">"C31988"</f>
        <v>C31988</v>
      </c>
      <c r="E324" s="17" t="str">
        <f>"FF24"</f>
        <v>FF24</v>
      </c>
      <c r="F324" s="17" t="str">
        <f>"Solid Pine Planed 22x44mm CCA H3 Treat  2.4m"</f>
        <v>Solid Pine Planed 22x44mm CCA H3 Treat  2.4m</v>
      </c>
      <c r="G324" s="17">
        <v>1.0</v>
      </c>
      <c r="H324" s="17">
        <v>1.74</v>
      </c>
      <c r="I324" s="27">
        <f t="shared" si="3"/>
        <v>1.74</v>
      </c>
    </row>
    <row r="325" ht="12.75" customHeight="1">
      <c r="A325" s="17" t="s">
        <v>39</v>
      </c>
      <c r="B325" s="33" t="str">
        <f>"""BC365 (SQL)"",""Somerset Timbers"",""37"",""1"",""Order"",""3"",""SG01328"",""4"",""20000"""</f>
        <v>"BC365 (SQL)","Somerset Timbers","37","1","Order","3","SG01328","4","20000"</v>
      </c>
      <c r="C325" s="17" t="str">
        <f t="shared" si="115"/>
        <v>SG01328</v>
      </c>
      <c r="D325" s="17" t="str">
        <f t="shared" si="116"/>
        <v>C31988</v>
      </c>
      <c r="E325" s="17" t="str">
        <f>"FH12"</f>
        <v>FH12</v>
      </c>
      <c r="F325" s="17" t="str">
        <f>"Solid Pine Planed 22x70mm CCA H3 Trt 1.2m"</f>
        <v>Solid Pine Planed 22x70mm CCA H3 Trt 1.2m</v>
      </c>
      <c r="G325" s="17">
        <v>1.0</v>
      </c>
      <c r="H325" s="17">
        <v>1.39</v>
      </c>
      <c r="I325" s="27">
        <f t="shared" si="3"/>
        <v>1.39</v>
      </c>
    </row>
    <row r="326" ht="12.75" customHeight="1">
      <c r="A326" s="17" t="s">
        <v>39</v>
      </c>
      <c r="B326" s="33" t="str">
        <f>"""BC365 (SQL)"",""Somerset Timbers"",""37"",""1"",""Order"",""3"",""SG01328"",""4"",""30000"""</f>
        <v>"BC365 (SQL)","Somerset Timbers","37","1","Order","3","SG01328","4","30000"</v>
      </c>
      <c r="C326" s="17" t="str">
        <f t="shared" si="115"/>
        <v>SG01328</v>
      </c>
      <c r="D326" s="17" t="str">
        <f t="shared" si="116"/>
        <v>C31988</v>
      </c>
      <c r="E326" s="17" t="str">
        <f>"GA18"</f>
        <v>GA18</v>
      </c>
      <c r="F326" s="17" t="str">
        <f>"Red Grandis  20x44mm Untreated Planed 1.8m"</f>
        <v>Red Grandis  20x44mm Untreated Planed 1.8m</v>
      </c>
      <c r="G326" s="17">
        <v>1.0</v>
      </c>
      <c r="H326" s="17">
        <v>0.96</v>
      </c>
      <c r="I326" s="27">
        <f t="shared" si="3"/>
        <v>0.96</v>
      </c>
    </row>
    <row r="327" ht="12.75" customHeight="1">
      <c r="A327" s="17" t="s">
        <v>39</v>
      </c>
      <c r="B327" s="33" t="str">
        <f>"""BC365 (SQL)"",""Somerset Timbers"",""37"",""1"",""Order"",""3"",""SG01328"",""4"",""40000"""</f>
        <v>"BC365 (SQL)","Somerset Timbers","37","1","Order","3","SG01328","4","40000"</v>
      </c>
      <c r="C327" s="17" t="str">
        <f t="shared" si="115"/>
        <v>SG01328</v>
      </c>
      <c r="D327" s="17" t="str">
        <f t="shared" si="116"/>
        <v>C31988</v>
      </c>
      <c r="E327" s="17" t="str">
        <f>"AC24"</f>
        <v>AC24</v>
      </c>
      <c r="F327" s="17" t="str">
        <f>"SABS Pine 38x76mm CCA H2 Treated  2.4m"</f>
        <v>SABS Pine 38x76mm CCA H2 Treated  2.4m</v>
      </c>
      <c r="G327" s="17">
        <v>1.0</v>
      </c>
      <c r="H327" s="17">
        <v>5.2</v>
      </c>
      <c r="I327" s="27">
        <f t="shared" si="3"/>
        <v>5.2</v>
      </c>
    </row>
    <row r="328" ht="12.75" customHeight="1">
      <c r="A328" s="17" t="s">
        <v>39</v>
      </c>
      <c r="B328" s="33" t="str">
        <f>"""BC365 (SQL)"",""Somerset Timbers"",""37"",""1"",""Order"",""3"",""SG01328"",""4"",""50000"""</f>
        <v>"BC365 (SQL)","Somerset Timbers","37","1","Order","3","SG01328","4","50000"</v>
      </c>
      <c r="C328" s="17" t="str">
        <f t="shared" si="115"/>
        <v>SG01328</v>
      </c>
      <c r="D328" s="17" t="str">
        <f t="shared" si="116"/>
        <v>C31988</v>
      </c>
      <c r="E328" s="17" t="str">
        <f>"JA18"</f>
        <v>JA18</v>
      </c>
      <c r="F328" s="17" t="str">
        <f>"Balau Decking REEDED 19x90mm  1.8m"</f>
        <v>Balau Decking REEDED 19x90mm  1.8m</v>
      </c>
      <c r="G328" s="17">
        <v>1.0</v>
      </c>
      <c r="H328" s="17">
        <v>2.62</v>
      </c>
      <c r="I328" s="27">
        <f t="shared" si="3"/>
        <v>2.62</v>
      </c>
    </row>
    <row r="329" ht="12.75" customHeight="1">
      <c r="A329" s="17" t="s">
        <v>39</v>
      </c>
      <c r="B329" s="33" t="str">
        <f>"""BC365 (SQL)"",""Somerset Timbers"",""37"",""1"",""Order"",""3"",""SG01328"",""4"",""60000"""</f>
        <v>"BC365 (SQL)","Somerset Timbers","37","1","Order","3","SG01328","4","60000"</v>
      </c>
      <c r="C329" s="17" t="str">
        <f t="shared" si="115"/>
        <v>SG01328</v>
      </c>
      <c r="D329" s="17" t="str">
        <f t="shared" si="116"/>
        <v>C31988</v>
      </c>
      <c r="E329" s="17" t="str">
        <f>"ZA01130"</f>
        <v>ZA01130</v>
      </c>
      <c r="F329" s="17" t="str">
        <f>"Delivery to Gordons Bay (0 - 1 cubic metres)"</f>
        <v>Delivery to Gordons Bay (0 - 1 cubic metres)</v>
      </c>
      <c r="G329" s="17">
        <v>1.0</v>
      </c>
      <c r="H329" s="17">
        <v>0.0</v>
      </c>
      <c r="I329" s="27">
        <f t="shared" si="3"/>
        <v>0</v>
      </c>
    </row>
    <row r="330" ht="12.75" customHeight="1">
      <c r="A330" s="17" t="s">
        <v>39</v>
      </c>
      <c r="B330" s="33" t="str">
        <f>"""BC365 (SQL)"",""Somerset Timbers"",""37"",""1"",""Order"",""3"",""SG01349"",""4"",""10000"""</f>
        <v>"BC365 (SQL)","Somerset Timbers","37","1","Order","3","SG01349","4","10000"</v>
      </c>
      <c r="C330" s="17" t="str">
        <f t="shared" ref="C330:C331" si="117">"SG01349"</f>
        <v>SG01349</v>
      </c>
      <c r="D330" s="17" t="str">
        <f t="shared" ref="D330:D331" si="118">"C28344"</f>
        <v>C28344</v>
      </c>
      <c r="E330" s="17" t="str">
        <f>"AE48"</f>
        <v>AE48</v>
      </c>
      <c r="F330" s="17" t="str">
        <f>"SABS Pine 38x152mm CCA H2 Treated  4.8m"</f>
        <v>SABS Pine 38x152mm CCA H2 Treated  4.8m</v>
      </c>
      <c r="G330" s="17">
        <v>8.0</v>
      </c>
      <c r="H330" s="17">
        <v>20.79</v>
      </c>
      <c r="I330" s="27">
        <f t="shared" si="3"/>
        <v>166.32</v>
      </c>
    </row>
    <row r="331" ht="12.75" customHeight="1">
      <c r="A331" s="17" t="s">
        <v>39</v>
      </c>
      <c r="B331" s="33" t="str">
        <f>"""BC365 (SQL)"",""Somerset Timbers"",""37"",""1"",""Order"",""3"",""SG01349"",""4"",""20000"""</f>
        <v>"BC365 (SQL)","Somerset Timbers","37","1","Order","3","SG01349","4","20000"</v>
      </c>
      <c r="C331" s="17" t="str">
        <f t="shared" si="117"/>
        <v>SG01349</v>
      </c>
      <c r="D331" s="17" t="str">
        <f t="shared" si="118"/>
        <v>C28344</v>
      </c>
      <c r="E331" s="17" t="str">
        <f>"ZA01130"</f>
        <v>ZA01130</v>
      </c>
      <c r="F331" s="17" t="str">
        <f>"Delivery to Gordons Bay (0 - 1 cubic metres)"</f>
        <v>Delivery to Gordons Bay (0 - 1 cubic metres)</v>
      </c>
      <c r="G331" s="17">
        <v>1.0</v>
      </c>
      <c r="H331" s="17">
        <v>0.0</v>
      </c>
      <c r="I331" s="27">
        <f t="shared" si="3"/>
        <v>0</v>
      </c>
    </row>
    <row r="332" ht="12.75" customHeight="1">
      <c r="A332" s="17" t="s">
        <v>39</v>
      </c>
      <c r="B332" s="33" t="str">
        <f>"""BC365 (SQL)"",""Somerset Timbers"",""37"",""1"",""Order"",""3"",""SG01357"",""4"",""10000"""</f>
        <v>"BC365 (SQL)","Somerset Timbers","37","1","Order","3","SG01357","4","10000"</v>
      </c>
      <c r="C332" s="17" t="str">
        <f t="shared" ref="C332:C338" si="119">"SG01357"</f>
        <v>SG01357</v>
      </c>
      <c r="D332" s="17" t="str">
        <f t="shared" ref="D332:D338" si="120">"C03685"</f>
        <v>C03685</v>
      </c>
      <c r="E332" s="17" t="str">
        <f>"DAJ24"</f>
        <v>DAJ24</v>
      </c>
      <c r="F332" s="17" t="str">
        <f>"Endura Pine Planed 20x105mm Untreated  2.4m"</f>
        <v>Endura Pine Planed 20x105mm Untreated  2.4m</v>
      </c>
      <c r="G332" s="17">
        <v>5.0</v>
      </c>
      <c r="H332" s="17">
        <v>3.05</v>
      </c>
      <c r="I332" s="27">
        <f t="shared" si="3"/>
        <v>15.25</v>
      </c>
    </row>
    <row r="333" ht="12.75" customHeight="1">
      <c r="A333" s="17" t="s">
        <v>39</v>
      </c>
      <c r="B333" s="33" t="str">
        <f>"""BC365 (SQL)"",""Somerset Timbers"",""37"",""1"",""Order"",""3"",""SG01357"",""4"",""20000"""</f>
        <v>"BC365 (SQL)","Somerset Timbers","37","1","Order","3","SG01357","4","20000"</v>
      </c>
      <c r="C333" s="17" t="str">
        <f t="shared" si="119"/>
        <v>SG01357</v>
      </c>
      <c r="D333" s="17" t="str">
        <f t="shared" si="120"/>
        <v>C03685</v>
      </c>
      <c r="E333" s="17" t="str">
        <f>"DAB24"</f>
        <v>DAB24</v>
      </c>
      <c r="F333" s="17" t="str">
        <f>"Endura Pine Planed 10x40mm Untreated  2.4m"</f>
        <v>Endura Pine Planed 10x40mm Untreated  2.4m</v>
      </c>
      <c r="G333" s="17">
        <v>5.0</v>
      </c>
      <c r="H333" s="17">
        <v>0.53</v>
      </c>
      <c r="I333" s="27">
        <f t="shared" si="3"/>
        <v>2.65</v>
      </c>
    </row>
    <row r="334" ht="12.75" customHeight="1">
      <c r="A334" s="17" t="s">
        <v>39</v>
      </c>
      <c r="B334" s="33" t="str">
        <f>"""BC365 (SQL)"",""Somerset Timbers"",""37"",""1"",""Order"",""3"",""SG01357"",""4"",""30000"""</f>
        <v>"BC365 (SQL)","Somerset Timbers","37","1","Order","3","SG01357","4","30000"</v>
      </c>
      <c r="C334" s="17" t="str">
        <f t="shared" si="119"/>
        <v>SG01357</v>
      </c>
      <c r="D334" s="17" t="str">
        <f t="shared" si="120"/>
        <v>C03685</v>
      </c>
      <c r="E334" s="17" t="str">
        <f>"CSJ30"</f>
        <v>CSJ30</v>
      </c>
      <c r="F334" s="17" t="str">
        <f>"Endura Bullnose skirting 20x65mm 3.0m"</f>
        <v>Endura Bullnose skirting 20x65mm 3.0m</v>
      </c>
      <c r="G334" s="17">
        <v>24.0</v>
      </c>
      <c r="H334" s="17">
        <v>2.145</v>
      </c>
      <c r="I334" s="27">
        <f t="shared" si="3"/>
        <v>51.48</v>
      </c>
    </row>
    <row r="335" ht="12.75" customHeight="1">
      <c r="A335" s="17" t="s">
        <v>39</v>
      </c>
      <c r="B335" s="33" t="str">
        <f>"""BC365 (SQL)"",""Somerset Timbers"",""37"",""1"",""Order"",""3"",""SG01357"",""4"",""40000"""</f>
        <v>"BC365 (SQL)","Somerset Timbers","37","1","Order","3","SG01357","4","40000"</v>
      </c>
      <c r="C335" s="17" t="str">
        <f t="shared" si="119"/>
        <v>SG01357</v>
      </c>
      <c r="D335" s="17" t="str">
        <f t="shared" si="120"/>
        <v>C03685</v>
      </c>
      <c r="E335" s="17" t="str">
        <f>"CDD24"</f>
        <v>CDD24</v>
      </c>
      <c r="F335" s="17" t="str">
        <f>"Endura WIDE Flooring 21x132mm Azure H2 Treated 2.4m"</f>
        <v>Endura WIDE Flooring 21x132mm Azure H2 Treated 2.4m</v>
      </c>
      <c r="G335" s="17">
        <v>20.0</v>
      </c>
      <c r="H335" s="17">
        <v>3.83</v>
      </c>
      <c r="I335" s="27">
        <f t="shared" si="3"/>
        <v>76.6</v>
      </c>
    </row>
    <row r="336" ht="12.75" customHeight="1">
      <c r="A336" s="17" t="s">
        <v>39</v>
      </c>
      <c r="B336" s="33" t="str">
        <f>"""BC365 (SQL)"",""Somerset Timbers"",""37"",""1"",""Order"",""3"",""SG01357"",""4"",""50000"""</f>
        <v>"BC365 (SQL)","Somerset Timbers","37","1","Order","3","SG01357","4","50000"</v>
      </c>
      <c r="C336" s="17" t="str">
        <f t="shared" si="119"/>
        <v>SG01357</v>
      </c>
      <c r="D336" s="17" t="str">
        <f t="shared" si="120"/>
        <v>C03685</v>
      </c>
      <c r="E336" s="17" t="str">
        <f>"CDD30"</f>
        <v>CDD30</v>
      </c>
      <c r="F336" s="17" t="str">
        <f>"Endura WIDE Flooring 21x132mm Azure H2 Treated 3.0m"</f>
        <v>Endura WIDE Flooring 21x132mm Azure H2 Treated 3.0m</v>
      </c>
      <c r="G336" s="17">
        <v>25.0</v>
      </c>
      <c r="H336" s="17">
        <v>4.78</v>
      </c>
      <c r="I336" s="27">
        <f t="shared" si="3"/>
        <v>119.5</v>
      </c>
    </row>
    <row r="337" ht="12.75" customHeight="1">
      <c r="A337" s="17" t="s">
        <v>39</v>
      </c>
      <c r="B337" s="33" t="str">
        <f>"""BC365 (SQL)"",""Somerset Timbers"",""37"",""1"",""Order"",""3"",""SG01357"",""4"",""60000"""</f>
        <v>"BC365 (SQL)","Somerset Timbers","37","1","Order","3","SG01357","4","60000"</v>
      </c>
      <c r="C337" s="17" t="str">
        <f t="shared" si="119"/>
        <v>SG01357</v>
      </c>
      <c r="D337" s="17" t="str">
        <f t="shared" si="120"/>
        <v>C03685</v>
      </c>
      <c r="E337" s="17" t="str">
        <f>"CDD48"</f>
        <v>CDD48</v>
      </c>
      <c r="F337" s="17" t="str">
        <f>"Endura WIDE Flooring 21x132mm Azure H2 Treated 4.8m"</f>
        <v>Endura WIDE Flooring 21x132mm Azure H2 Treated 4.8m</v>
      </c>
      <c r="G337" s="17">
        <v>50.0</v>
      </c>
      <c r="H337" s="17">
        <v>7.65</v>
      </c>
      <c r="I337" s="27">
        <f t="shared" si="3"/>
        <v>382.5</v>
      </c>
    </row>
    <row r="338" ht="12.75" customHeight="1">
      <c r="A338" s="17" t="s">
        <v>39</v>
      </c>
      <c r="B338" s="33" t="str">
        <f>"""BC365 (SQL)"",""Somerset Timbers"",""37"",""1"",""Order"",""3"",""SG01357"",""4"",""70000"""</f>
        <v>"BC365 (SQL)","Somerset Timbers","37","1","Order","3","SG01357","4","70000"</v>
      </c>
      <c r="C338" s="17" t="str">
        <f t="shared" si="119"/>
        <v>SG01357</v>
      </c>
      <c r="D338" s="17" t="str">
        <f t="shared" si="120"/>
        <v>C03685</v>
      </c>
      <c r="E338" s="17" t="str">
        <f>"ZA02280"</f>
        <v>ZA02280</v>
      </c>
      <c r="F338" s="17" t="str">
        <f>"Delivery to Pringle Bay (1 - 8 cubic metres)"</f>
        <v>Delivery to Pringle Bay (1 - 8 cubic metres)</v>
      </c>
      <c r="G338" s="17">
        <v>1.0</v>
      </c>
      <c r="H338" s="17">
        <v>0.0</v>
      </c>
      <c r="I338" s="27">
        <f t="shared" si="3"/>
        <v>0</v>
      </c>
    </row>
    <row r="339" ht="12.75" customHeight="1">
      <c r="A339" s="17" t="s">
        <v>39</v>
      </c>
      <c r="B339" s="33" t="str">
        <f>"""BC365 (SQL)"",""Somerset Timbers"",""37"",""1"",""Order"",""3"",""SG01360"",""4"",""10000"""</f>
        <v>"BC365 (SQL)","Somerset Timbers","37","1","Order","3","SG01360","4","10000"</v>
      </c>
      <c r="C339" s="17" t="str">
        <f t="shared" ref="C339:C342" si="121">"SG01360"</f>
        <v>SG01360</v>
      </c>
      <c r="D339" s="17" t="str">
        <f t="shared" ref="D339:D342" si="122">"C29632"</f>
        <v>C29632</v>
      </c>
      <c r="E339" s="17" t="str">
        <f>"YB00270 781159271465"</f>
        <v>YB00270 781159271465</v>
      </c>
      <c r="F339" s="17" t="str">
        <f>"Galseal LIGHT OAK  5 Litres"</f>
        <v>Galseal LIGHT OAK  5 Litres</v>
      </c>
      <c r="G339" s="17">
        <v>2.0</v>
      </c>
      <c r="H339" s="17">
        <v>4.3</v>
      </c>
      <c r="I339" s="27">
        <f t="shared" si="3"/>
        <v>8.6</v>
      </c>
    </row>
    <row r="340" ht="12.75" customHeight="1">
      <c r="A340" s="17" t="s">
        <v>39</v>
      </c>
      <c r="B340" s="33" t="str">
        <f>"""BC365 (SQL)"",""Somerset Timbers"",""37"",""1"",""Order"",""3"",""SG01360"",""4"",""20000"""</f>
        <v>"BC365 (SQL)","Somerset Timbers","37","1","Order","3","SG01360","4","20000"</v>
      </c>
      <c r="C340" s="17" t="str">
        <f t="shared" si="121"/>
        <v>SG01360</v>
      </c>
      <c r="D340" s="17" t="str">
        <f t="shared" si="122"/>
        <v>C29632</v>
      </c>
      <c r="E340" s="17" t="str">
        <f>"YB00265 781159271502"</f>
        <v>YB00265 781159271502</v>
      </c>
      <c r="F340" s="17" t="str">
        <f>"Galseal LIGHT OAK  1 litre"</f>
        <v>Galseal LIGHT OAK  1 litre</v>
      </c>
      <c r="G340" s="17">
        <v>3.0</v>
      </c>
      <c r="H340" s="17">
        <v>0.86</v>
      </c>
      <c r="I340" s="27">
        <f t="shared" si="3"/>
        <v>2.58</v>
      </c>
    </row>
    <row r="341" ht="12.75" customHeight="1">
      <c r="A341" s="17" t="s">
        <v>39</v>
      </c>
      <c r="B341" s="33" t="str">
        <f>"""BC365 (SQL)"",""Somerset Timbers"",""37"",""1"",""Order"",""3"",""SG01360"",""4"",""30000"""</f>
        <v>"BC365 (SQL)","Somerset Timbers","37","1","Order","3","SG01360","4","30000"</v>
      </c>
      <c r="C341" s="17" t="str">
        <f t="shared" si="121"/>
        <v>SG01360</v>
      </c>
      <c r="D341" s="17" t="str">
        <f t="shared" si="122"/>
        <v>C29632</v>
      </c>
      <c r="E341" s="17" t="str">
        <f>"YB00250 781159271496"</f>
        <v>YB00250 781159271496</v>
      </c>
      <c r="F341" s="17" t="str">
        <f>"Galseal TEAK  1 litre"</f>
        <v>Galseal TEAK  1 litre</v>
      </c>
      <c r="G341" s="17">
        <v>3.0</v>
      </c>
      <c r="H341" s="17">
        <v>0.86</v>
      </c>
      <c r="I341" s="27">
        <f t="shared" si="3"/>
        <v>2.58</v>
      </c>
    </row>
    <row r="342" ht="12.75" customHeight="1">
      <c r="A342" s="17" t="s">
        <v>39</v>
      </c>
      <c r="B342" s="33" t="str">
        <f>"""BC365 (SQL)"",""Somerset Timbers"",""37"",""1"",""Order"",""3"",""SG01360"",""4"",""40000"""</f>
        <v>"BC365 (SQL)","Somerset Timbers","37","1","Order","3","SG01360","4","40000"</v>
      </c>
      <c r="C342" s="17" t="str">
        <f t="shared" si="121"/>
        <v>SG01360</v>
      </c>
      <c r="D342" s="17" t="str">
        <f t="shared" si="122"/>
        <v>C29632</v>
      </c>
      <c r="E342" s="17" t="str">
        <f>"ZA02630"</f>
        <v>ZA02630</v>
      </c>
      <c r="F342" s="17" t="str">
        <f>"Delivery to Somerset West (0 - 1 cubic metres)"</f>
        <v>Delivery to Somerset West (0 - 1 cubic metres)</v>
      </c>
      <c r="G342" s="17">
        <v>1.0</v>
      </c>
      <c r="H342" s="17">
        <v>0.0</v>
      </c>
      <c r="I342" s="27">
        <f t="shared" si="3"/>
        <v>0</v>
      </c>
    </row>
    <row r="343" ht="12.75" customHeight="1">
      <c r="A343" s="17" t="s">
        <v>39</v>
      </c>
      <c r="B343" s="33" t="str">
        <f>"""BC365 (SQL)"",""Somerset Timbers"",""37"",""1"",""Order"",""3"",""SG01371"",""4"",""10000"""</f>
        <v>"BC365 (SQL)","Somerset Timbers","37","1","Order","3","SG01371","4","10000"</v>
      </c>
      <c r="C343" s="17" t="str">
        <f t="shared" ref="C343:C345" si="123">"SG01371"</f>
        <v>SG01371</v>
      </c>
      <c r="D343" s="17" t="str">
        <f t="shared" ref="D343:D345" si="124">"C01091"</f>
        <v>C01091</v>
      </c>
      <c r="E343" s="17" t="str">
        <f>"AJ54"</f>
        <v>AJ54</v>
      </c>
      <c r="F343" s="17" t="str">
        <f>"SABS Pine 50x228mm CCA H3 Treated  5.4m"</f>
        <v>SABS Pine 50x228mm CCA H3 Treated  5.4m</v>
      </c>
      <c r="G343" s="17">
        <v>5.0</v>
      </c>
      <c r="H343" s="17">
        <v>46.169999999999995</v>
      </c>
      <c r="I343" s="27">
        <f t="shared" si="3"/>
        <v>230.85</v>
      </c>
    </row>
    <row r="344" ht="12.75" customHeight="1">
      <c r="A344" s="17" t="s">
        <v>39</v>
      </c>
      <c r="B344" s="33" t="str">
        <f>"""BC365 (SQL)"",""Somerset Timbers"",""37"",""1"",""Order"",""3"",""SG01371"",""4"",""20000"""</f>
        <v>"BC365 (SQL)","Somerset Timbers","37","1","Order","3","SG01371","4","20000"</v>
      </c>
      <c r="C344" s="17" t="str">
        <f t="shared" si="123"/>
        <v>SG01371</v>
      </c>
      <c r="D344" s="17" t="str">
        <f t="shared" si="124"/>
        <v>C01091</v>
      </c>
      <c r="E344" s="17" t="str">
        <f>"AG66"</f>
        <v>AG66</v>
      </c>
      <c r="F344" s="17" t="str">
        <f>"SABS Pine 50x76mm CCA H2 Treated  6.6m"</f>
        <v>SABS Pine 50x76mm CCA H2 Treated  6.6m</v>
      </c>
      <c r="G344" s="17">
        <v>6.0</v>
      </c>
      <c r="H344" s="17">
        <v>18.81</v>
      </c>
      <c r="I344" s="27">
        <f t="shared" si="3"/>
        <v>112.86</v>
      </c>
    </row>
    <row r="345" ht="12.75" customHeight="1">
      <c r="A345" s="17" t="s">
        <v>39</v>
      </c>
      <c r="B345" s="33" t="str">
        <f>"""BC365 (SQL)"",""Somerset Timbers"",""37"",""1"",""Order"",""3"",""SG01371"",""4"",""30000"""</f>
        <v>"BC365 (SQL)","Somerset Timbers","37","1","Order","3","SG01371","4","30000"</v>
      </c>
      <c r="C345" s="17" t="str">
        <f t="shared" si="123"/>
        <v>SG01371</v>
      </c>
      <c r="D345" s="17" t="str">
        <f t="shared" si="124"/>
        <v>C01091</v>
      </c>
      <c r="E345" s="17" t="str">
        <f>"ZA02720"</f>
        <v>ZA02720</v>
      </c>
      <c r="F345" s="17" t="str">
        <f>"Delivery to Stellenbosch (0 - 1 cubic metres)"</f>
        <v>Delivery to Stellenbosch (0 - 1 cubic metres)</v>
      </c>
      <c r="G345" s="17">
        <v>1.0</v>
      </c>
      <c r="H345" s="17">
        <v>0.0</v>
      </c>
      <c r="I345" s="27">
        <f t="shared" si="3"/>
        <v>0</v>
      </c>
    </row>
    <row r="346" ht="12.75" customHeight="1">
      <c r="A346" s="17" t="s">
        <v>39</v>
      </c>
      <c r="B346" s="33" t="str">
        <f>"""BC365 (SQL)"",""Somerset Timbers"",""37"",""1"",""Order"",""3"",""SG01375"",""4"",""10000"""</f>
        <v>"BC365 (SQL)","Somerset Timbers","37","1","Order","3","SG01375","4","10000"</v>
      </c>
      <c r="C346" s="17" t="str">
        <f t="shared" ref="C346:C352" si="125">"SG01375"</f>
        <v>SG01375</v>
      </c>
      <c r="D346" s="17" t="str">
        <f t="shared" ref="D346:D352" si="126">"C00250"</f>
        <v>C00250</v>
      </c>
      <c r="E346" s="17" t="str">
        <f>"P636"</f>
        <v>P636</v>
      </c>
      <c r="F346" s="17" t="str">
        <f>"SABS Pine Pole 140/159mm CCA H4 Trt 3.6m"</f>
        <v>SABS Pine Pole 140/159mm CCA H4 Trt 3.6m</v>
      </c>
      <c r="G346" s="17">
        <v>5.0</v>
      </c>
      <c r="H346" s="17">
        <v>63.580000000000005</v>
      </c>
      <c r="I346" s="27">
        <f t="shared" si="3"/>
        <v>317.9</v>
      </c>
    </row>
    <row r="347" ht="12.75" customHeight="1">
      <c r="A347" s="17" t="s">
        <v>39</v>
      </c>
      <c r="B347" s="33" t="str">
        <f>"""BC365 (SQL)"",""Somerset Timbers"",""37"",""1"",""Order"",""3"",""SG01375"",""4"",""20000"""</f>
        <v>"BC365 (SQL)","Somerset Timbers","37","1","Order","3","SG01375","4","20000"</v>
      </c>
      <c r="C347" s="17" t="str">
        <f t="shared" si="125"/>
        <v>SG01375</v>
      </c>
      <c r="D347" s="17" t="str">
        <f t="shared" si="126"/>
        <v>C00250</v>
      </c>
      <c r="E347" s="17" t="str">
        <f>"HA070225096"</f>
        <v>HA070225096</v>
      </c>
      <c r="F347" s="17" t="str">
        <f>"Pine Lam Beam 70x231mm Grd8 Azure 9.6m"</f>
        <v>Pine Lam Beam 70x231mm Grd8 Azure 9.6m</v>
      </c>
      <c r="G347" s="17">
        <v>2.0</v>
      </c>
      <c r="H347" s="17">
        <v>83.16</v>
      </c>
      <c r="I347" s="27">
        <f t="shared" si="3"/>
        <v>166.32</v>
      </c>
    </row>
    <row r="348" ht="12.75" customHeight="1">
      <c r="A348" s="17" t="s">
        <v>39</v>
      </c>
      <c r="B348" s="33" t="str">
        <f>"""BC365 (SQL)"",""Somerset Timbers"",""37"",""1"",""Order"",""3"",""SG01375"",""4"",""30000"""</f>
        <v>"BC365 (SQL)","Somerset Timbers","37","1","Order","3","SG01375","4","30000"</v>
      </c>
      <c r="C348" s="17" t="str">
        <f t="shared" si="125"/>
        <v>SG01375</v>
      </c>
      <c r="D348" s="17" t="str">
        <f t="shared" si="126"/>
        <v>C00250</v>
      </c>
      <c r="E348" s="17" t="str">
        <f>"AI36"</f>
        <v>AI36</v>
      </c>
      <c r="F348" s="17" t="str">
        <f>"SABS Pine 50x152mm CCA H3 Treated  3.6m"</f>
        <v>SABS Pine 50x152mm CCA H3 Treated  3.6m</v>
      </c>
      <c r="G348" s="17">
        <v>25.0</v>
      </c>
      <c r="H348" s="17">
        <v>20.52</v>
      </c>
      <c r="I348" s="27">
        <f t="shared" si="3"/>
        <v>513</v>
      </c>
    </row>
    <row r="349" ht="12.75" customHeight="1">
      <c r="A349" s="17" t="s">
        <v>39</v>
      </c>
      <c r="B349" s="33" t="str">
        <f>"""BC365 (SQL)"",""Somerset Timbers"",""37"",""1"",""Order"",""3"",""SG01375"",""4"",""40000"""</f>
        <v>"BC365 (SQL)","Somerset Timbers","37","1","Order","3","SG01375","4","40000"</v>
      </c>
      <c r="C349" s="17" t="str">
        <f t="shared" si="125"/>
        <v>SG01375</v>
      </c>
      <c r="D349" s="17" t="str">
        <f t="shared" si="126"/>
        <v>C00250</v>
      </c>
      <c r="E349" s="17" t="str">
        <f>"AE36"</f>
        <v>AE36</v>
      </c>
      <c r="F349" s="17" t="str">
        <f>"SABS Pine 38x152mm CCA H2 Treated  3.6m"</f>
        <v>SABS Pine 38x152mm CCA H2 Treated  3.6m</v>
      </c>
      <c r="G349" s="17">
        <v>14.0</v>
      </c>
      <c r="H349" s="17">
        <v>15.6</v>
      </c>
      <c r="I349" s="27">
        <f t="shared" si="3"/>
        <v>218.4</v>
      </c>
    </row>
    <row r="350" ht="12.75" customHeight="1">
      <c r="A350" s="17" t="s">
        <v>39</v>
      </c>
      <c r="B350" s="33" t="str">
        <f>"""BC365 (SQL)"",""Somerset Timbers"",""37"",""1"",""Order"",""3"",""SG01375"",""4"",""50000"""</f>
        <v>"BC365 (SQL)","Somerset Timbers","37","1","Order","3","SG01375","4","50000"</v>
      </c>
      <c r="C350" s="17" t="str">
        <f t="shared" si="125"/>
        <v>SG01375</v>
      </c>
      <c r="D350" s="17" t="str">
        <f t="shared" si="126"/>
        <v>C00250</v>
      </c>
      <c r="E350" s="17" t="str">
        <f>"L010"</f>
        <v>L010</v>
      </c>
      <c r="F350" s="17" t="str">
        <f>"Shutter PLY CC Grade  18mm"</f>
        <v>Shutter PLY CC Grade  18mm</v>
      </c>
      <c r="G350" s="17">
        <v>10.0</v>
      </c>
      <c r="H350" s="17">
        <v>29.470000000000002</v>
      </c>
      <c r="I350" s="27">
        <f t="shared" si="3"/>
        <v>294.7</v>
      </c>
    </row>
    <row r="351" ht="12.75" customHeight="1">
      <c r="A351" s="17" t="s">
        <v>39</v>
      </c>
      <c r="B351" s="33" t="str">
        <f>"""BC365 (SQL)"",""Somerset Timbers"",""37"",""1"",""Order"",""3"",""SG01375"",""4"",""60000"""</f>
        <v>"BC365 (SQL)","Somerset Timbers","37","1","Order","3","SG01375","4","60000"</v>
      </c>
      <c r="C351" s="17" t="str">
        <f t="shared" si="125"/>
        <v>SG01375</v>
      </c>
      <c r="D351" s="17" t="str">
        <f t="shared" si="126"/>
        <v>C00250</v>
      </c>
      <c r="E351" s="17" t="str">
        <f>"L085"</f>
        <v>L085</v>
      </c>
      <c r="F351" s="17" t="str">
        <f>"OSB Grd3 KronoSpan 9mm"</f>
        <v>OSB Grd3 KronoSpan 9mm</v>
      </c>
      <c r="G351" s="17">
        <v>20.0</v>
      </c>
      <c r="H351" s="17">
        <v>17.41</v>
      </c>
      <c r="I351" s="27">
        <f t="shared" si="3"/>
        <v>348.2</v>
      </c>
    </row>
    <row r="352" ht="12.75" customHeight="1">
      <c r="A352" s="17" t="s">
        <v>39</v>
      </c>
      <c r="B352" s="33" t="str">
        <f>"""BC365 (SQL)"",""Somerset Timbers"",""37"",""1"",""Order"",""3"",""SG01375"",""4"",""70000"""</f>
        <v>"BC365 (SQL)","Somerset Timbers","37","1","Order","3","SG01375","4","70000"</v>
      </c>
      <c r="C352" s="17" t="str">
        <f t="shared" si="125"/>
        <v>SG01375</v>
      </c>
      <c r="D352" s="17" t="str">
        <f t="shared" si="126"/>
        <v>C00250</v>
      </c>
      <c r="E352" s="17" t="str">
        <f>"ZA02280"</f>
        <v>ZA02280</v>
      </c>
      <c r="F352" s="17" t="str">
        <f>"Delivery to Pringle Bay (1 - 8 cubic metres)"</f>
        <v>Delivery to Pringle Bay (1 - 8 cubic metres)</v>
      </c>
      <c r="G352" s="17">
        <v>1.0</v>
      </c>
      <c r="H352" s="17">
        <v>0.0</v>
      </c>
      <c r="I352" s="27">
        <f t="shared" si="3"/>
        <v>0</v>
      </c>
    </row>
    <row r="353" ht="12.75" customHeight="1">
      <c r="B353" s="33"/>
    </row>
    <row r="354" ht="12.75" customHeight="1">
      <c r="B354" s="33"/>
    </row>
    <row r="355" ht="12.75" customHeight="1">
      <c r="B355" s="33"/>
    </row>
    <row r="356" ht="12.75" customHeight="1">
      <c r="B356" s="33"/>
    </row>
    <row r="357" ht="12.75" customHeight="1">
      <c r="B357" s="33"/>
    </row>
    <row r="358" ht="12.75" customHeight="1">
      <c r="B358" s="33"/>
    </row>
    <row r="359" ht="12.75" customHeight="1">
      <c r="B359" s="33"/>
    </row>
    <row r="360" ht="12.75" customHeight="1">
      <c r="B360" s="33"/>
    </row>
    <row r="361" ht="12.75" customHeight="1">
      <c r="B361" s="33"/>
    </row>
    <row r="362" ht="12.75" customHeight="1">
      <c r="B362" s="33"/>
    </row>
    <row r="363" ht="12.75" customHeight="1">
      <c r="B363" s="33"/>
    </row>
    <row r="364" ht="12.75" customHeight="1">
      <c r="B364" s="33"/>
    </row>
    <row r="365" ht="12.75" customHeight="1">
      <c r="B365" s="33"/>
    </row>
    <row r="366" ht="12.75" customHeight="1">
      <c r="B366" s="33"/>
    </row>
    <row r="367" ht="12.75" customHeight="1">
      <c r="B367" s="33"/>
    </row>
    <row r="368" ht="12.75" customHeight="1">
      <c r="B368" s="33"/>
    </row>
    <row r="369" ht="12.75" customHeight="1">
      <c r="B369" s="33"/>
    </row>
    <row r="370" ht="12.75" customHeight="1">
      <c r="B370" s="33"/>
    </row>
    <row r="371" ht="12.75" customHeight="1">
      <c r="B371" s="33"/>
    </row>
    <row r="372" ht="12.75" customHeight="1">
      <c r="B372" s="33"/>
    </row>
    <row r="373" ht="12.75" customHeight="1">
      <c r="B373" s="33"/>
    </row>
    <row r="374" ht="12.75" customHeight="1">
      <c r="B374" s="33"/>
    </row>
    <row r="375" ht="12.75" customHeight="1">
      <c r="B375" s="33"/>
    </row>
    <row r="376" ht="12.75" customHeight="1">
      <c r="B376" s="33"/>
    </row>
    <row r="377" ht="12.75" customHeight="1">
      <c r="B377" s="33"/>
    </row>
    <row r="378" ht="12.75" customHeight="1">
      <c r="B378" s="33"/>
    </row>
    <row r="379" ht="12.75" customHeight="1">
      <c r="B379" s="33"/>
    </row>
    <row r="380" ht="12.75" customHeight="1">
      <c r="B380" s="33"/>
    </row>
    <row r="381" ht="12.75" customHeight="1">
      <c r="B381" s="33"/>
    </row>
    <row r="382" ht="12.75" customHeight="1">
      <c r="B382" s="33"/>
    </row>
    <row r="383" ht="12.75" customHeight="1">
      <c r="B383" s="33"/>
    </row>
    <row r="384" ht="12.75" customHeight="1">
      <c r="B384" s="33"/>
    </row>
    <row r="385" ht="12.75" customHeight="1">
      <c r="B385" s="33"/>
    </row>
    <row r="386" ht="12.75" customHeight="1">
      <c r="B386" s="33"/>
    </row>
    <row r="387" ht="12.75" customHeight="1">
      <c r="B387" s="33"/>
    </row>
    <row r="388" ht="12.75" customHeight="1">
      <c r="B388" s="33"/>
    </row>
    <row r="389" ht="12.75" customHeight="1">
      <c r="B389" s="33"/>
    </row>
    <row r="390" ht="12.75" customHeight="1">
      <c r="B390" s="33"/>
    </row>
    <row r="391" ht="12.75" customHeight="1">
      <c r="B391" s="33"/>
    </row>
    <row r="392" ht="12.75" customHeight="1">
      <c r="B392" s="33"/>
    </row>
    <row r="393" ht="12.75" customHeight="1">
      <c r="B393" s="33"/>
    </row>
    <row r="394" ht="12.75" customHeight="1">
      <c r="B394" s="33"/>
    </row>
    <row r="395" ht="12.75" customHeight="1">
      <c r="B395" s="33"/>
    </row>
    <row r="396" ht="12.75" customHeight="1">
      <c r="B396" s="33"/>
    </row>
    <row r="397" ht="12.75" customHeight="1">
      <c r="B397" s="33"/>
    </row>
    <row r="398" ht="12.75" customHeight="1">
      <c r="B398" s="33"/>
    </row>
    <row r="399" ht="12.75" customHeight="1">
      <c r="B399" s="33"/>
    </row>
    <row r="400" ht="12.75" customHeight="1">
      <c r="B400" s="33"/>
    </row>
    <row r="401" ht="12.75" customHeight="1">
      <c r="B401" s="33"/>
    </row>
    <row r="402" ht="12.75" customHeight="1">
      <c r="B402" s="33"/>
    </row>
    <row r="403" ht="12.75" customHeight="1">
      <c r="B403" s="33"/>
    </row>
    <row r="404" ht="12.75" customHeight="1">
      <c r="B404" s="33"/>
    </row>
    <row r="405" ht="12.75" customHeight="1">
      <c r="B405" s="33"/>
    </row>
    <row r="406" ht="12.75" customHeight="1">
      <c r="B406" s="33"/>
    </row>
    <row r="407" ht="12.75" customHeight="1">
      <c r="B407" s="33"/>
    </row>
    <row r="408" ht="12.75" customHeight="1">
      <c r="B408" s="33"/>
    </row>
    <row r="409" ht="12.75" customHeight="1">
      <c r="B409" s="33"/>
    </row>
    <row r="410" ht="12.75" customHeight="1">
      <c r="B410" s="33"/>
    </row>
    <row r="411" ht="12.75" customHeight="1">
      <c r="B411" s="33"/>
    </row>
    <row r="412" ht="12.75" customHeight="1">
      <c r="B412" s="33"/>
    </row>
    <row r="413" ht="12.75" customHeight="1">
      <c r="B413" s="33"/>
    </row>
    <row r="414" ht="12.75" customHeight="1">
      <c r="B414" s="33"/>
    </row>
    <row r="415" ht="12.75" customHeight="1">
      <c r="B415" s="33"/>
    </row>
    <row r="416" ht="12.75" customHeight="1">
      <c r="B416" s="33"/>
    </row>
    <row r="417" ht="12.75" customHeight="1">
      <c r="B417" s="33"/>
    </row>
    <row r="418" ht="12.75" customHeight="1">
      <c r="B418" s="33"/>
    </row>
    <row r="419" ht="12.75" customHeight="1">
      <c r="B419" s="33"/>
    </row>
    <row r="420" ht="12.75" customHeight="1">
      <c r="B420" s="33"/>
    </row>
    <row r="421" ht="12.75" customHeight="1">
      <c r="B421" s="33"/>
    </row>
    <row r="422" ht="12.75" customHeight="1">
      <c r="B422" s="33"/>
    </row>
    <row r="423" ht="12.75" customHeight="1">
      <c r="B423" s="33"/>
    </row>
    <row r="424" ht="12.75" customHeight="1">
      <c r="B424" s="33"/>
    </row>
    <row r="425" ht="12.75" customHeight="1">
      <c r="B425" s="33"/>
    </row>
    <row r="426" ht="12.75" customHeight="1">
      <c r="B426" s="33"/>
    </row>
    <row r="427" ht="12.75" customHeight="1">
      <c r="B427" s="33"/>
    </row>
    <row r="428" ht="12.75" customHeight="1">
      <c r="B428" s="33"/>
    </row>
    <row r="429" ht="12.75" customHeight="1">
      <c r="B429" s="33"/>
    </row>
    <row r="430" ht="12.75" customHeight="1">
      <c r="B430" s="33"/>
    </row>
    <row r="431" ht="12.75" customHeight="1">
      <c r="B431" s="33"/>
    </row>
    <row r="432" ht="12.75" customHeight="1">
      <c r="B432" s="33"/>
    </row>
    <row r="433" ht="12.75" customHeight="1">
      <c r="B433" s="33"/>
    </row>
    <row r="434" ht="12.75" customHeight="1">
      <c r="B434" s="33"/>
    </row>
    <row r="435" ht="12.75" customHeight="1">
      <c r="B435" s="33"/>
    </row>
    <row r="436" ht="12.75" customHeight="1">
      <c r="B436" s="33"/>
    </row>
    <row r="437" ht="12.75" customHeight="1">
      <c r="B437" s="33"/>
    </row>
    <row r="438" ht="12.75" customHeight="1">
      <c r="B438" s="33"/>
    </row>
    <row r="439" ht="12.75" customHeight="1">
      <c r="B439" s="33"/>
    </row>
    <row r="440" ht="12.75" customHeight="1">
      <c r="B440" s="33"/>
    </row>
    <row r="441" ht="12.75" customHeight="1">
      <c r="B441" s="33"/>
    </row>
    <row r="442" ht="12.75" customHeight="1">
      <c r="B442" s="33"/>
    </row>
    <row r="443" ht="12.75" customHeight="1">
      <c r="B443" s="33"/>
    </row>
    <row r="444" ht="12.75" customHeight="1">
      <c r="B444" s="33"/>
    </row>
    <row r="445" ht="12.75" customHeight="1">
      <c r="B445" s="33"/>
    </row>
    <row r="446" ht="12.75" customHeight="1">
      <c r="B446" s="33"/>
    </row>
    <row r="447" ht="12.75" customHeight="1">
      <c r="B447" s="33"/>
    </row>
    <row r="448" ht="12.75" customHeight="1">
      <c r="B448" s="33"/>
    </row>
    <row r="449" ht="12.75" customHeight="1">
      <c r="B449" s="33"/>
    </row>
    <row r="450" ht="12.75" customHeight="1">
      <c r="B450" s="33"/>
    </row>
    <row r="451" ht="12.75" customHeight="1">
      <c r="B451" s="33"/>
    </row>
    <row r="452" ht="12.75" customHeight="1">
      <c r="B452" s="33"/>
    </row>
    <row r="453" ht="12.75" customHeight="1">
      <c r="B453" s="33"/>
    </row>
    <row r="454" ht="12.75" customHeight="1">
      <c r="B454" s="33"/>
    </row>
    <row r="455" ht="12.75" customHeight="1">
      <c r="B455" s="33"/>
    </row>
    <row r="456" ht="12.75" customHeight="1">
      <c r="B456" s="33"/>
    </row>
    <row r="457" ht="12.75" customHeight="1">
      <c r="B457" s="33"/>
    </row>
    <row r="458" ht="12.75" customHeight="1">
      <c r="B458" s="33"/>
    </row>
    <row r="459" ht="12.75" customHeight="1">
      <c r="B459" s="33"/>
    </row>
    <row r="460" ht="12.75" customHeight="1">
      <c r="B460" s="33"/>
    </row>
    <row r="461" ht="12.75" customHeight="1">
      <c r="B461" s="33"/>
    </row>
    <row r="462" ht="12.75" customHeight="1">
      <c r="B462" s="33"/>
    </row>
    <row r="463" ht="12.75" customHeight="1">
      <c r="B463" s="33"/>
    </row>
    <row r="464" ht="12.75" customHeight="1">
      <c r="B464" s="33"/>
    </row>
    <row r="465" ht="12.75" customHeight="1">
      <c r="B465" s="33"/>
    </row>
    <row r="466" ht="12.75" customHeight="1">
      <c r="B466" s="33"/>
    </row>
    <row r="467" ht="12.75" customHeight="1">
      <c r="B467" s="33"/>
    </row>
    <row r="468" ht="12.75" customHeight="1">
      <c r="B468" s="33"/>
    </row>
    <row r="469" ht="12.75" customHeight="1">
      <c r="B469" s="33"/>
    </row>
    <row r="470" ht="12.75" customHeight="1">
      <c r="B470" s="33"/>
    </row>
    <row r="471" ht="12.75" customHeight="1">
      <c r="B471" s="33"/>
    </row>
    <row r="472" ht="12.75" customHeight="1">
      <c r="B472" s="33"/>
    </row>
    <row r="473" ht="12.75" customHeight="1">
      <c r="B473" s="33"/>
    </row>
    <row r="474" ht="12.75" customHeight="1">
      <c r="B474" s="33"/>
    </row>
    <row r="475" ht="12.75" customHeight="1">
      <c r="B475" s="33"/>
    </row>
    <row r="476" ht="12.75" customHeight="1">
      <c r="B476" s="33"/>
    </row>
    <row r="477" ht="12.75" customHeight="1">
      <c r="B477" s="33"/>
    </row>
    <row r="478" ht="12.75" customHeight="1">
      <c r="B478" s="33"/>
    </row>
    <row r="479" ht="12.75" customHeight="1">
      <c r="B479" s="33"/>
    </row>
    <row r="480" ht="12.75" customHeight="1">
      <c r="B480" s="33"/>
    </row>
    <row r="481" ht="12.75" customHeight="1">
      <c r="B481" s="33"/>
    </row>
    <row r="482" ht="12.75" customHeight="1">
      <c r="B482" s="33"/>
    </row>
    <row r="483" ht="12.75" customHeight="1">
      <c r="B483" s="33"/>
    </row>
    <row r="484" ht="12.75" customHeight="1">
      <c r="B484" s="33"/>
    </row>
    <row r="485" ht="12.75" customHeight="1">
      <c r="B485" s="33"/>
    </row>
    <row r="486" ht="12.75" customHeight="1">
      <c r="B486" s="33"/>
    </row>
    <row r="487" ht="12.75" customHeight="1">
      <c r="B487" s="33"/>
    </row>
    <row r="488" ht="12.75" customHeight="1">
      <c r="B488" s="33"/>
    </row>
    <row r="489" ht="12.75" customHeight="1">
      <c r="B489" s="33"/>
    </row>
    <row r="490" ht="12.75" customHeight="1">
      <c r="B490" s="33"/>
    </row>
    <row r="491" ht="12.75" customHeight="1">
      <c r="B491" s="33"/>
    </row>
    <row r="492" ht="12.75" customHeight="1">
      <c r="B492" s="33"/>
    </row>
    <row r="493" ht="12.75" customHeight="1">
      <c r="B493" s="33"/>
    </row>
    <row r="494" ht="12.75" customHeight="1">
      <c r="B494" s="33"/>
    </row>
    <row r="495" ht="12.75" customHeight="1">
      <c r="B495" s="33"/>
    </row>
    <row r="496" ht="12.75" customHeight="1">
      <c r="B496" s="33"/>
    </row>
    <row r="497" ht="12.75" customHeight="1">
      <c r="B497" s="33"/>
    </row>
    <row r="498" ht="12.75" customHeight="1">
      <c r="B498" s="33"/>
    </row>
    <row r="499" ht="12.75" customHeight="1">
      <c r="B499" s="33"/>
    </row>
    <row r="500" ht="12.75" customHeight="1">
      <c r="B500" s="33"/>
    </row>
    <row r="501" ht="12.75" customHeight="1">
      <c r="B501" s="33"/>
    </row>
    <row r="502" ht="12.75" customHeight="1">
      <c r="B502" s="33"/>
    </row>
    <row r="503" ht="12.75" customHeight="1">
      <c r="B503" s="33"/>
    </row>
    <row r="504" ht="12.75" customHeight="1">
      <c r="B504" s="33"/>
    </row>
    <row r="505" ht="12.75" customHeight="1">
      <c r="B505" s="33"/>
    </row>
    <row r="506" ht="12.75" customHeight="1">
      <c r="B506" s="33"/>
    </row>
    <row r="507" ht="12.75" customHeight="1">
      <c r="B507" s="33"/>
    </row>
    <row r="508" ht="12.75" customHeight="1">
      <c r="B508" s="33"/>
    </row>
    <row r="509" ht="12.75" customHeight="1">
      <c r="B509" s="33"/>
    </row>
    <row r="510" ht="12.75" customHeight="1">
      <c r="B510" s="33"/>
    </row>
    <row r="511" ht="12.75" customHeight="1">
      <c r="B511" s="33"/>
    </row>
    <row r="512" ht="12.75" customHeight="1">
      <c r="B512" s="33"/>
    </row>
    <row r="513" ht="12.75" customHeight="1">
      <c r="B513" s="33"/>
    </row>
    <row r="514" ht="12.75" customHeight="1">
      <c r="B514" s="33"/>
    </row>
    <row r="515" ht="12.75" customHeight="1">
      <c r="B515" s="33"/>
    </row>
    <row r="516" ht="12.75" customHeight="1">
      <c r="B516" s="33"/>
    </row>
    <row r="517" ht="12.75" customHeight="1">
      <c r="B517" s="33"/>
    </row>
    <row r="518" ht="12.75" customHeight="1">
      <c r="B518" s="33"/>
    </row>
    <row r="519" ht="12.75" customHeight="1">
      <c r="B519" s="33"/>
    </row>
    <row r="520" ht="12.75" customHeight="1">
      <c r="B520" s="33"/>
    </row>
    <row r="521" ht="12.75" customHeight="1">
      <c r="B521" s="33"/>
    </row>
    <row r="522" ht="12.75" customHeight="1">
      <c r="B522" s="33"/>
    </row>
    <row r="523" ht="12.75" customHeight="1">
      <c r="B523" s="33"/>
    </row>
    <row r="524" ht="12.75" customHeight="1">
      <c r="B524" s="33"/>
    </row>
    <row r="525" ht="12.75" customHeight="1">
      <c r="B525" s="33"/>
    </row>
    <row r="526" ht="12.75" customHeight="1">
      <c r="B526" s="33"/>
    </row>
    <row r="527" ht="12.75" customHeight="1">
      <c r="B527" s="33"/>
    </row>
    <row r="528" ht="12.75" customHeight="1">
      <c r="B528" s="33"/>
    </row>
    <row r="529" ht="12.75" customHeight="1">
      <c r="B529" s="33"/>
    </row>
    <row r="530" ht="12.75" customHeight="1">
      <c r="B530" s="33"/>
    </row>
    <row r="531" ht="12.75" customHeight="1">
      <c r="B531" s="33"/>
    </row>
    <row r="532" ht="12.75" customHeight="1">
      <c r="B532" s="33"/>
    </row>
    <row r="533" ht="12.75" customHeight="1">
      <c r="B533" s="33"/>
    </row>
    <row r="534" ht="12.75" customHeight="1">
      <c r="B534" s="33"/>
    </row>
    <row r="535" ht="12.75" customHeight="1">
      <c r="B535" s="33"/>
    </row>
    <row r="536" ht="12.75" customHeight="1">
      <c r="B536" s="33"/>
    </row>
    <row r="537" ht="12.75" customHeight="1">
      <c r="B537" s="33"/>
    </row>
    <row r="538" ht="12.75" customHeight="1">
      <c r="B538" s="33"/>
    </row>
    <row r="539" ht="12.75" customHeight="1">
      <c r="B539" s="33"/>
    </row>
    <row r="540" ht="12.75" customHeight="1">
      <c r="B540" s="33"/>
    </row>
    <row r="541" ht="12.75" customHeight="1">
      <c r="B541" s="33"/>
    </row>
    <row r="542" ht="12.75" customHeight="1">
      <c r="B542" s="33"/>
    </row>
    <row r="543" ht="12.75" customHeight="1">
      <c r="B543" s="33"/>
    </row>
    <row r="544" ht="12.75" customHeight="1">
      <c r="B544" s="33"/>
    </row>
    <row r="545" ht="12.75" customHeight="1">
      <c r="B545" s="33"/>
    </row>
    <row r="546" ht="12.75" customHeight="1">
      <c r="B546" s="33"/>
    </row>
    <row r="547" ht="12.75" customHeight="1">
      <c r="B547" s="33"/>
    </row>
    <row r="548" ht="12.75" customHeight="1">
      <c r="B548" s="33"/>
    </row>
    <row r="549" ht="12.75" customHeight="1">
      <c r="B549" s="33"/>
    </row>
    <row r="550" ht="12.75" customHeight="1">
      <c r="B550" s="33"/>
    </row>
    <row r="551" ht="12.75" customHeight="1">
      <c r="B551" s="33"/>
    </row>
    <row r="552" ht="12.75" customHeight="1">
      <c r="B552" s="33"/>
    </row>
    <row r="553" ht="12.75" customHeight="1">
      <c r="B553" s="33"/>
    </row>
    <row r="554" ht="12.75" customHeight="1">
      <c r="B554" s="33"/>
    </row>
    <row r="555" ht="12.75" customHeight="1">
      <c r="B555" s="33"/>
    </row>
    <row r="556" ht="12.75" customHeight="1">
      <c r="B556" s="33"/>
    </row>
    <row r="557" ht="12.75" customHeight="1">
      <c r="B557" s="33"/>
    </row>
    <row r="558" ht="12.75" customHeight="1">
      <c r="B558" s="33"/>
    </row>
    <row r="559" ht="12.75" customHeight="1">
      <c r="B559" s="33"/>
    </row>
    <row r="560" ht="12.75" customHeight="1">
      <c r="B560" s="33"/>
    </row>
    <row r="561" ht="12.75" customHeight="1">
      <c r="B561" s="33"/>
    </row>
    <row r="562" ht="12.75" customHeight="1">
      <c r="B562" s="33"/>
    </row>
    <row r="563" ht="12.75" customHeight="1">
      <c r="B563" s="33"/>
    </row>
    <row r="564" ht="12.75" customHeight="1">
      <c r="B564" s="33"/>
    </row>
    <row r="565" ht="12.75" customHeight="1">
      <c r="B565" s="33"/>
    </row>
    <row r="566" ht="12.75" customHeight="1">
      <c r="B566" s="33"/>
    </row>
    <row r="567" ht="12.75" customHeight="1">
      <c r="B567" s="33"/>
    </row>
    <row r="568" ht="12.75" customHeight="1">
      <c r="B568" s="33"/>
    </row>
    <row r="569" ht="12.75" customHeight="1">
      <c r="B569" s="33"/>
    </row>
    <row r="570" ht="12.75" customHeight="1">
      <c r="B570" s="33"/>
    </row>
    <row r="571" ht="12.75" customHeight="1">
      <c r="B571" s="33"/>
    </row>
    <row r="572" ht="12.75" customHeight="1">
      <c r="B572" s="33"/>
    </row>
    <row r="573" ht="12.75" customHeight="1">
      <c r="B573" s="33"/>
    </row>
    <row r="574" ht="12.75" customHeight="1">
      <c r="B574" s="33"/>
    </row>
    <row r="575" ht="12.75" customHeight="1">
      <c r="B575" s="33"/>
    </row>
    <row r="576" ht="12.75" customHeight="1">
      <c r="B576" s="33"/>
    </row>
    <row r="577" ht="12.75" customHeight="1">
      <c r="B577" s="33"/>
    </row>
    <row r="578" ht="12.75" customHeight="1">
      <c r="B578" s="33"/>
    </row>
    <row r="579" ht="12.75" customHeight="1">
      <c r="B579" s="33"/>
    </row>
    <row r="580" ht="12.75" customHeight="1">
      <c r="B580" s="33"/>
    </row>
    <row r="581" ht="12.75" customHeight="1">
      <c r="B581" s="33"/>
    </row>
    <row r="582" ht="12.75" customHeight="1">
      <c r="B582" s="33"/>
    </row>
    <row r="583" ht="12.75" customHeight="1">
      <c r="B583" s="33"/>
    </row>
    <row r="584" ht="12.75" customHeight="1">
      <c r="B584" s="33"/>
    </row>
    <row r="585" ht="12.75" customHeight="1">
      <c r="B585" s="33"/>
    </row>
    <row r="586" ht="12.75" customHeight="1">
      <c r="B586" s="33"/>
    </row>
    <row r="587" ht="12.75" customHeight="1">
      <c r="B587" s="33"/>
    </row>
    <row r="588" ht="12.75" customHeight="1">
      <c r="B588" s="33"/>
    </row>
    <row r="589" ht="12.75" customHeight="1">
      <c r="B589" s="33"/>
    </row>
    <row r="590" ht="12.75" customHeight="1">
      <c r="B590" s="33"/>
    </row>
    <row r="591" ht="12.75" customHeight="1">
      <c r="B591" s="33"/>
    </row>
    <row r="592" ht="12.75" customHeight="1">
      <c r="B592" s="33"/>
    </row>
    <row r="593" ht="12.75" customHeight="1">
      <c r="B593" s="33"/>
    </row>
    <row r="594" ht="12.75" customHeight="1">
      <c r="B594" s="33"/>
    </row>
    <row r="595" ht="12.75" customHeight="1">
      <c r="B595" s="33"/>
    </row>
    <row r="596" ht="12.75" customHeight="1">
      <c r="B596" s="33"/>
    </row>
    <row r="597" ht="12.75" customHeight="1">
      <c r="B597" s="33"/>
    </row>
    <row r="598" ht="12.75" customHeight="1">
      <c r="B598" s="33"/>
    </row>
    <row r="599" ht="12.75" customHeight="1">
      <c r="B599" s="33"/>
    </row>
    <row r="600" ht="12.75" customHeight="1">
      <c r="B600" s="33"/>
    </row>
    <row r="601" ht="12.75" customHeight="1">
      <c r="B601" s="33"/>
    </row>
    <row r="602" ht="12.75" customHeight="1">
      <c r="B602" s="33"/>
    </row>
    <row r="603" ht="12.75" customHeight="1">
      <c r="B603" s="33"/>
    </row>
    <row r="604" ht="12.75" customHeight="1">
      <c r="B604" s="33"/>
    </row>
    <row r="605" ht="12.75" customHeight="1">
      <c r="B605" s="33"/>
    </row>
    <row r="606" ht="12.75" customHeight="1">
      <c r="B606" s="33"/>
    </row>
    <row r="607" ht="12.75" customHeight="1">
      <c r="B607" s="33"/>
    </row>
    <row r="608" ht="12.75" customHeight="1">
      <c r="B608" s="33"/>
    </row>
    <row r="609" ht="12.75" customHeight="1">
      <c r="B609" s="33"/>
    </row>
    <row r="610" ht="12.75" customHeight="1">
      <c r="B610" s="33"/>
    </row>
    <row r="611" ht="12.75" customHeight="1">
      <c r="B611" s="33"/>
    </row>
    <row r="612" ht="12.75" customHeight="1">
      <c r="B612" s="33"/>
    </row>
    <row r="613" ht="12.75" customHeight="1">
      <c r="B613" s="33"/>
    </row>
    <row r="614" ht="12.75" customHeight="1">
      <c r="B614" s="33"/>
    </row>
    <row r="615" ht="12.75" customHeight="1">
      <c r="B615" s="33"/>
    </row>
    <row r="616" ht="12.75" customHeight="1">
      <c r="B616" s="33"/>
    </row>
    <row r="617" ht="12.75" customHeight="1">
      <c r="B617" s="33"/>
    </row>
    <row r="618" ht="12.75" customHeight="1">
      <c r="B618" s="33"/>
    </row>
    <row r="619" ht="12.75" customHeight="1">
      <c r="B619" s="33"/>
    </row>
    <row r="620" ht="12.75" customHeight="1">
      <c r="B620" s="33"/>
    </row>
    <row r="621" ht="12.75" customHeight="1">
      <c r="B621" s="33"/>
    </row>
    <row r="622" ht="12.75" customHeight="1">
      <c r="B622" s="33"/>
    </row>
    <row r="623" ht="12.75" customHeight="1">
      <c r="B623" s="33"/>
    </row>
    <row r="624" ht="12.75" customHeight="1">
      <c r="B624" s="33"/>
    </row>
    <row r="625" ht="12.75" customHeight="1">
      <c r="B625" s="33"/>
    </row>
    <row r="626" ht="12.75" customHeight="1">
      <c r="B626" s="33"/>
    </row>
    <row r="627" ht="12.75" customHeight="1">
      <c r="B627" s="33"/>
    </row>
    <row r="628" ht="12.75" customHeight="1">
      <c r="B628" s="33"/>
    </row>
    <row r="629" ht="12.75" customHeight="1">
      <c r="B629" s="33"/>
    </row>
    <row r="630" ht="12.75" customHeight="1">
      <c r="B630" s="33"/>
    </row>
    <row r="631" ht="12.75" customHeight="1">
      <c r="B631" s="33"/>
    </row>
    <row r="632" ht="12.75" customHeight="1">
      <c r="B632" s="33"/>
    </row>
    <row r="633" ht="12.75" customHeight="1">
      <c r="B633" s="33"/>
    </row>
    <row r="634" ht="12.75" customHeight="1">
      <c r="B634" s="33"/>
    </row>
    <row r="635" ht="12.75" customHeight="1">
      <c r="B635" s="33"/>
    </row>
    <row r="636" ht="12.75" customHeight="1">
      <c r="B636" s="33"/>
    </row>
    <row r="637" ht="12.75" customHeight="1">
      <c r="B637" s="33"/>
    </row>
    <row r="638" ht="12.75" customHeight="1">
      <c r="B638" s="33"/>
    </row>
    <row r="639" ht="12.75" customHeight="1">
      <c r="B639" s="33"/>
    </row>
    <row r="640" ht="12.75" customHeight="1">
      <c r="B640" s="33"/>
    </row>
    <row r="641" ht="12.75" customHeight="1">
      <c r="B641" s="33"/>
    </row>
    <row r="642" ht="12.75" customHeight="1">
      <c r="B642" s="33"/>
    </row>
    <row r="643" ht="12.75" customHeight="1">
      <c r="B643" s="33"/>
    </row>
    <row r="644" ht="12.75" customHeight="1">
      <c r="B644" s="33"/>
    </row>
    <row r="645" ht="12.75" customHeight="1">
      <c r="B645" s="33"/>
    </row>
    <row r="646" ht="12.75" customHeight="1">
      <c r="B646" s="33"/>
    </row>
    <row r="647" ht="12.75" customHeight="1">
      <c r="B647" s="33"/>
    </row>
    <row r="648" ht="12.75" customHeight="1">
      <c r="B648" s="33"/>
    </row>
    <row r="649" ht="12.75" customHeight="1">
      <c r="B649" s="33"/>
    </row>
    <row r="650" ht="12.75" customHeight="1">
      <c r="B650" s="33"/>
    </row>
    <row r="651" ht="12.75" customHeight="1">
      <c r="B651" s="33"/>
    </row>
    <row r="652" ht="12.75" customHeight="1">
      <c r="B652" s="33"/>
    </row>
    <row r="653" ht="12.75" customHeight="1">
      <c r="B653" s="33"/>
    </row>
    <row r="654" ht="12.75" customHeight="1">
      <c r="B654" s="33"/>
    </row>
    <row r="655" ht="12.75" customHeight="1">
      <c r="B655" s="33"/>
    </row>
    <row r="656" ht="12.75" customHeight="1">
      <c r="B656" s="33"/>
    </row>
    <row r="657" ht="12.75" customHeight="1">
      <c r="B657" s="33"/>
    </row>
    <row r="658" ht="12.75" customHeight="1">
      <c r="B658" s="33"/>
    </row>
    <row r="659" ht="12.75" customHeight="1">
      <c r="B659" s="33"/>
    </row>
    <row r="660" ht="12.75" customHeight="1">
      <c r="B660" s="33"/>
    </row>
    <row r="661" ht="12.75" customHeight="1">
      <c r="B661" s="33"/>
    </row>
    <row r="662" ht="12.75" customHeight="1">
      <c r="B662" s="33"/>
    </row>
    <row r="663" ht="12.75" customHeight="1">
      <c r="B663" s="33"/>
    </row>
    <row r="664" ht="12.75" customHeight="1">
      <c r="B664" s="33"/>
    </row>
    <row r="665" ht="12.75" customHeight="1">
      <c r="B665" s="33"/>
    </row>
    <row r="666" ht="12.75" customHeight="1">
      <c r="B666" s="33"/>
    </row>
    <row r="667" ht="12.75" customHeight="1">
      <c r="B667" s="33"/>
    </row>
    <row r="668" ht="12.75" customHeight="1">
      <c r="B668" s="33"/>
    </row>
    <row r="669" ht="12.75" customHeight="1">
      <c r="B669" s="33"/>
    </row>
    <row r="670" ht="12.75" customHeight="1">
      <c r="B670" s="33"/>
    </row>
    <row r="671" ht="12.75" customHeight="1">
      <c r="B671" s="33"/>
    </row>
    <row r="672" ht="12.75" customHeight="1">
      <c r="B672" s="33"/>
    </row>
    <row r="673" ht="12.75" customHeight="1">
      <c r="B673" s="33"/>
    </row>
    <row r="674" ht="12.75" customHeight="1">
      <c r="B674" s="33"/>
    </row>
    <row r="675" ht="12.75" customHeight="1">
      <c r="B675" s="33"/>
    </row>
    <row r="676" ht="12.75" customHeight="1">
      <c r="B676" s="33"/>
    </row>
    <row r="677" ht="12.75" customHeight="1">
      <c r="B677" s="33"/>
    </row>
    <row r="678" ht="12.75" customHeight="1">
      <c r="B678" s="33"/>
    </row>
    <row r="679" ht="12.75" customHeight="1">
      <c r="B679" s="33"/>
    </row>
    <row r="680" ht="12.75" customHeight="1">
      <c r="B680" s="33"/>
    </row>
    <row r="681" ht="12.75" customHeight="1">
      <c r="B681" s="33"/>
    </row>
    <row r="682" ht="12.75" customHeight="1">
      <c r="B682" s="33"/>
    </row>
    <row r="683" ht="12.75" customHeight="1">
      <c r="B683" s="33"/>
    </row>
    <row r="684" ht="12.75" customHeight="1">
      <c r="B684" s="33"/>
    </row>
    <row r="685" ht="12.75" customHeight="1">
      <c r="B685" s="33"/>
    </row>
    <row r="686" ht="12.75" customHeight="1">
      <c r="B686" s="33"/>
    </row>
    <row r="687" ht="12.75" customHeight="1">
      <c r="B687" s="33"/>
    </row>
    <row r="688" ht="12.75" customHeight="1">
      <c r="B688" s="33"/>
    </row>
    <row r="689" ht="12.75" customHeight="1">
      <c r="B689" s="33"/>
    </row>
    <row r="690" ht="12.75" customHeight="1">
      <c r="B690" s="33"/>
    </row>
    <row r="691" ht="12.75" customHeight="1">
      <c r="B691" s="33"/>
    </row>
    <row r="692" ht="12.75" customHeight="1">
      <c r="B692" s="33"/>
    </row>
    <row r="693" ht="12.75" customHeight="1">
      <c r="B693" s="33"/>
    </row>
    <row r="694" ht="12.75" customHeight="1">
      <c r="B694" s="33"/>
    </row>
    <row r="695" ht="12.75" customHeight="1">
      <c r="B695" s="33"/>
    </row>
    <row r="696" ht="12.75" customHeight="1">
      <c r="B696" s="33"/>
    </row>
    <row r="697" ht="12.75" customHeight="1">
      <c r="B697" s="33"/>
    </row>
    <row r="698" ht="12.75" customHeight="1">
      <c r="B698" s="33"/>
    </row>
    <row r="699" ht="12.75" customHeight="1">
      <c r="B699" s="33"/>
    </row>
    <row r="700" ht="12.75" customHeight="1">
      <c r="B700" s="33"/>
    </row>
    <row r="701" ht="12.75" customHeight="1">
      <c r="B701" s="33"/>
    </row>
    <row r="702" ht="12.75" customHeight="1">
      <c r="B702" s="33"/>
    </row>
    <row r="703" ht="12.75" customHeight="1">
      <c r="B703" s="33"/>
    </row>
    <row r="704" ht="12.75" customHeight="1">
      <c r="B704" s="33"/>
    </row>
    <row r="705" ht="12.75" customHeight="1">
      <c r="B705" s="33"/>
    </row>
    <row r="706" ht="12.75" customHeight="1">
      <c r="B706" s="33"/>
    </row>
    <row r="707" ht="12.75" customHeight="1">
      <c r="B707" s="33"/>
    </row>
    <row r="708" ht="12.75" customHeight="1">
      <c r="B708" s="33"/>
    </row>
    <row r="709" ht="12.75" customHeight="1">
      <c r="B709" s="33"/>
    </row>
    <row r="710" ht="12.75" customHeight="1">
      <c r="B710" s="33"/>
    </row>
    <row r="711" ht="12.75" customHeight="1">
      <c r="B711" s="33"/>
    </row>
    <row r="712" ht="12.75" customHeight="1">
      <c r="B712" s="33"/>
    </row>
    <row r="713" ht="12.75" customHeight="1">
      <c r="B713" s="33"/>
    </row>
    <row r="714" ht="12.75" customHeight="1">
      <c r="B714" s="33"/>
    </row>
    <row r="715" ht="12.75" customHeight="1">
      <c r="B715" s="33"/>
    </row>
    <row r="716" ht="12.75" customHeight="1">
      <c r="B716" s="33"/>
    </row>
    <row r="717" ht="12.75" customHeight="1">
      <c r="B717" s="33"/>
    </row>
    <row r="718" ht="12.75" customHeight="1">
      <c r="B718" s="33"/>
    </row>
    <row r="719" ht="12.75" customHeight="1">
      <c r="B719" s="33"/>
    </row>
    <row r="720" ht="12.75" customHeight="1">
      <c r="B720" s="33"/>
    </row>
    <row r="721" ht="12.75" customHeight="1">
      <c r="B721" s="33"/>
    </row>
    <row r="722" ht="12.75" customHeight="1">
      <c r="B722" s="33"/>
    </row>
    <row r="723" ht="12.75" customHeight="1">
      <c r="B723" s="33"/>
    </row>
    <row r="724" ht="12.75" customHeight="1">
      <c r="B724" s="33"/>
    </row>
    <row r="725" ht="12.75" customHeight="1">
      <c r="B725" s="33"/>
    </row>
    <row r="726" ht="12.75" customHeight="1">
      <c r="B726" s="33"/>
    </row>
    <row r="727" ht="12.75" customHeight="1">
      <c r="B727" s="33"/>
    </row>
    <row r="728" ht="12.75" customHeight="1">
      <c r="B728" s="33"/>
    </row>
    <row r="729" ht="12.75" customHeight="1">
      <c r="B729" s="33"/>
    </row>
    <row r="730" ht="12.75" customHeight="1">
      <c r="B730" s="33"/>
    </row>
    <row r="731" ht="12.75" customHeight="1">
      <c r="B731" s="33"/>
    </row>
    <row r="732" ht="12.75" customHeight="1">
      <c r="B732" s="33"/>
    </row>
    <row r="733" ht="12.75" customHeight="1">
      <c r="B733" s="33"/>
    </row>
    <row r="734" ht="12.75" customHeight="1">
      <c r="B734" s="33"/>
    </row>
    <row r="735" ht="12.75" customHeight="1">
      <c r="B735" s="33"/>
    </row>
    <row r="736" ht="12.75" customHeight="1">
      <c r="B736" s="33"/>
    </row>
    <row r="737" ht="12.75" customHeight="1">
      <c r="B737" s="33"/>
    </row>
    <row r="738" ht="12.75" customHeight="1">
      <c r="B738" s="33"/>
    </row>
    <row r="739" ht="12.75" customHeight="1">
      <c r="B739" s="33"/>
    </row>
    <row r="740" ht="12.75" customHeight="1">
      <c r="B740" s="33"/>
    </row>
    <row r="741" ht="12.75" customHeight="1">
      <c r="B741" s="33"/>
    </row>
    <row r="742" ht="12.75" customHeight="1">
      <c r="B742" s="33"/>
    </row>
    <row r="743" ht="12.75" customHeight="1">
      <c r="B743" s="33"/>
    </row>
    <row r="744" ht="12.75" customHeight="1">
      <c r="B744" s="33"/>
    </row>
    <row r="745" ht="12.75" customHeight="1">
      <c r="B745" s="33"/>
    </row>
    <row r="746" ht="12.75" customHeight="1">
      <c r="B746" s="33"/>
    </row>
    <row r="747" ht="12.75" customHeight="1">
      <c r="B747" s="33"/>
    </row>
    <row r="748" ht="12.75" customHeight="1">
      <c r="B748" s="33"/>
    </row>
    <row r="749" ht="12.75" customHeight="1">
      <c r="B749" s="33"/>
    </row>
    <row r="750" ht="12.75" customHeight="1">
      <c r="B750" s="33"/>
    </row>
    <row r="751" ht="12.75" customHeight="1">
      <c r="B751" s="33"/>
    </row>
    <row r="752" ht="12.75" customHeight="1">
      <c r="B752" s="33"/>
    </row>
    <row r="753" ht="12.75" customHeight="1">
      <c r="B753" s="33"/>
    </row>
    <row r="754" ht="12.75" customHeight="1">
      <c r="B754" s="33"/>
    </row>
    <row r="755" ht="12.75" customHeight="1">
      <c r="B755" s="33"/>
    </row>
    <row r="756" ht="12.75" customHeight="1">
      <c r="B756" s="33"/>
    </row>
    <row r="757" ht="12.75" customHeight="1">
      <c r="B757" s="33"/>
    </row>
    <row r="758" ht="12.75" customHeight="1">
      <c r="B758" s="33"/>
    </row>
    <row r="759" ht="12.75" customHeight="1">
      <c r="B759" s="33"/>
    </row>
    <row r="760" ht="12.75" customHeight="1">
      <c r="B760" s="33"/>
    </row>
    <row r="761" ht="12.75" customHeight="1">
      <c r="B761" s="33"/>
    </row>
    <row r="762" ht="12.75" customHeight="1">
      <c r="B762" s="33"/>
    </row>
    <row r="763" ht="12.75" customHeight="1">
      <c r="B763" s="33"/>
    </row>
    <row r="764" ht="12.75" customHeight="1">
      <c r="B764" s="33"/>
    </row>
    <row r="765" ht="12.75" customHeight="1">
      <c r="B765" s="33"/>
    </row>
    <row r="766" ht="12.75" customHeight="1">
      <c r="B766" s="33"/>
    </row>
    <row r="767" ht="12.75" customHeight="1">
      <c r="B767" s="33"/>
    </row>
    <row r="768" ht="12.75" customHeight="1">
      <c r="B768" s="33"/>
    </row>
    <row r="769" ht="12.75" customHeight="1">
      <c r="B769" s="33"/>
    </row>
    <row r="770" ht="12.75" customHeight="1">
      <c r="B770" s="33"/>
    </row>
    <row r="771" ht="12.75" customHeight="1">
      <c r="B771" s="33"/>
    </row>
    <row r="772" ht="12.75" customHeight="1">
      <c r="B772" s="33"/>
    </row>
    <row r="773" ht="12.75" customHeight="1">
      <c r="B773" s="33"/>
    </row>
    <row r="774" ht="12.75" customHeight="1">
      <c r="B774" s="33"/>
    </row>
    <row r="775" ht="12.75" customHeight="1">
      <c r="B775" s="33"/>
    </row>
    <row r="776" ht="12.75" customHeight="1">
      <c r="B776" s="33"/>
    </row>
    <row r="777" ht="12.75" customHeight="1">
      <c r="B777" s="33"/>
    </row>
    <row r="778" ht="12.75" customHeight="1">
      <c r="B778" s="33"/>
    </row>
    <row r="779" ht="12.75" customHeight="1">
      <c r="B779" s="33"/>
    </row>
    <row r="780" ht="12.75" customHeight="1">
      <c r="B780" s="33"/>
    </row>
    <row r="781" ht="12.75" customHeight="1">
      <c r="B781" s="33"/>
    </row>
    <row r="782" ht="12.75" customHeight="1">
      <c r="B782" s="33"/>
    </row>
    <row r="783" ht="12.75" customHeight="1">
      <c r="B783" s="33"/>
    </row>
    <row r="784" ht="12.75" customHeight="1">
      <c r="B784" s="33"/>
    </row>
    <row r="785" ht="12.75" customHeight="1">
      <c r="B785" s="33"/>
    </row>
    <row r="786" ht="12.75" customHeight="1">
      <c r="B786" s="33"/>
    </row>
    <row r="787" ht="12.75" customHeight="1">
      <c r="B787" s="33"/>
    </row>
    <row r="788" ht="12.75" customHeight="1">
      <c r="B788" s="33"/>
    </row>
    <row r="789" ht="12.75" customHeight="1">
      <c r="B789" s="33"/>
    </row>
    <row r="790" ht="12.75" customHeight="1">
      <c r="B790" s="33"/>
    </row>
    <row r="791" ht="12.75" customHeight="1">
      <c r="B791" s="33"/>
    </row>
    <row r="792" ht="12.75" customHeight="1">
      <c r="B792" s="33"/>
    </row>
    <row r="793" ht="12.75" customHeight="1">
      <c r="B793" s="33"/>
    </row>
    <row r="794" ht="12.75" customHeight="1">
      <c r="B794" s="33"/>
    </row>
    <row r="795" ht="12.75" customHeight="1">
      <c r="B795" s="33"/>
    </row>
    <row r="796" ht="12.75" customHeight="1">
      <c r="B796" s="33"/>
    </row>
    <row r="797" ht="12.75" customHeight="1">
      <c r="B797" s="33"/>
    </row>
    <row r="798" ht="12.75" customHeight="1">
      <c r="B798" s="33"/>
    </row>
    <row r="799" ht="12.75" customHeight="1">
      <c r="B799" s="33"/>
    </row>
    <row r="800" ht="12.75" customHeight="1">
      <c r="B800" s="33"/>
    </row>
    <row r="801" ht="12.75" customHeight="1">
      <c r="B801" s="33"/>
    </row>
    <row r="802" ht="12.75" customHeight="1">
      <c r="B802" s="33"/>
    </row>
    <row r="803" ht="12.75" customHeight="1">
      <c r="B803" s="33"/>
    </row>
    <row r="804" ht="12.75" customHeight="1">
      <c r="B804" s="33"/>
    </row>
    <row r="805" ht="12.75" customHeight="1">
      <c r="B805" s="33"/>
    </row>
    <row r="806" ht="12.75" customHeight="1">
      <c r="B806" s="33"/>
    </row>
    <row r="807" ht="12.75" customHeight="1">
      <c r="B807" s="33"/>
    </row>
    <row r="808" ht="12.75" customHeight="1">
      <c r="B808" s="33"/>
    </row>
    <row r="809" ht="12.75" customHeight="1">
      <c r="B809" s="33"/>
    </row>
    <row r="810" ht="12.75" customHeight="1">
      <c r="B810" s="33"/>
    </row>
    <row r="811" ht="12.75" customHeight="1">
      <c r="B811" s="33"/>
    </row>
    <row r="812" ht="12.75" customHeight="1">
      <c r="B812" s="33"/>
    </row>
    <row r="813" ht="12.75" customHeight="1">
      <c r="B813" s="33"/>
    </row>
    <row r="814" ht="12.75" customHeight="1">
      <c r="B814" s="33"/>
    </row>
    <row r="815" ht="12.75" customHeight="1">
      <c r="B815" s="33"/>
    </row>
    <row r="816" ht="12.75" customHeight="1">
      <c r="B816" s="33"/>
    </row>
    <row r="817" ht="12.75" customHeight="1">
      <c r="B817" s="33"/>
    </row>
    <row r="818" ht="12.75" customHeight="1">
      <c r="B818" s="33"/>
    </row>
    <row r="819" ht="12.75" customHeight="1">
      <c r="B819" s="33"/>
    </row>
    <row r="820" ht="12.75" customHeight="1">
      <c r="B820" s="33"/>
    </row>
    <row r="821" ht="12.75" customHeight="1">
      <c r="B821" s="33"/>
    </row>
    <row r="822" ht="12.75" customHeight="1">
      <c r="B822" s="33"/>
    </row>
    <row r="823" ht="12.75" customHeight="1">
      <c r="B823" s="33"/>
    </row>
    <row r="824" ht="12.75" customHeight="1">
      <c r="B824" s="33"/>
    </row>
    <row r="825" ht="12.75" customHeight="1">
      <c r="B825" s="33"/>
    </row>
    <row r="826" ht="12.75" customHeight="1">
      <c r="B826" s="33"/>
    </row>
    <row r="827" ht="12.75" customHeight="1">
      <c r="B827" s="33"/>
    </row>
    <row r="828" ht="12.75" customHeight="1">
      <c r="B828" s="33"/>
    </row>
    <row r="829" ht="12.75" customHeight="1">
      <c r="B829" s="33"/>
    </row>
    <row r="830" ht="12.75" customHeight="1">
      <c r="B830" s="33"/>
    </row>
    <row r="831" ht="12.75" customHeight="1">
      <c r="B831" s="33"/>
    </row>
    <row r="832" ht="12.75" customHeight="1">
      <c r="B832" s="33"/>
    </row>
    <row r="833" ht="12.75" customHeight="1">
      <c r="B833" s="33"/>
    </row>
    <row r="834" ht="12.75" customHeight="1">
      <c r="B834" s="33"/>
    </row>
    <row r="835" ht="12.75" customHeight="1">
      <c r="B835" s="33"/>
    </row>
    <row r="836" ht="12.75" customHeight="1">
      <c r="B836" s="33"/>
    </row>
    <row r="837" ht="12.75" customHeight="1">
      <c r="B837" s="33"/>
    </row>
    <row r="838" ht="12.75" customHeight="1">
      <c r="B838" s="33"/>
    </row>
    <row r="839" ht="12.75" customHeight="1">
      <c r="B839" s="33"/>
    </row>
    <row r="840" ht="12.75" customHeight="1">
      <c r="B840" s="33"/>
    </row>
    <row r="841" ht="12.75" customHeight="1">
      <c r="B841" s="33"/>
    </row>
    <row r="842" ht="12.75" customHeight="1">
      <c r="B842" s="33"/>
    </row>
    <row r="843" ht="12.75" customHeight="1">
      <c r="B843" s="33"/>
    </row>
    <row r="844" ht="12.75" customHeight="1">
      <c r="B844" s="33"/>
    </row>
    <row r="845" ht="12.75" customHeight="1">
      <c r="B845" s="33"/>
    </row>
    <row r="846" ht="12.75" customHeight="1">
      <c r="B846" s="33"/>
    </row>
    <row r="847" ht="12.75" customHeight="1">
      <c r="B847" s="33"/>
    </row>
    <row r="848" ht="12.75" customHeight="1">
      <c r="B848" s="33"/>
    </row>
    <row r="849" ht="12.75" customHeight="1">
      <c r="B849" s="33"/>
    </row>
    <row r="850" ht="12.75" customHeight="1">
      <c r="B850" s="33"/>
    </row>
    <row r="851" ht="12.75" customHeight="1">
      <c r="B851" s="33"/>
    </row>
    <row r="852" ht="12.75" customHeight="1">
      <c r="B852" s="33"/>
    </row>
    <row r="853" ht="12.75" customHeight="1">
      <c r="B853" s="33"/>
    </row>
    <row r="854" ht="12.75" customHeight="1">
      <c r="B854" s="33"/>
    </row>
    <row r="855" ht="12.75" customHeight="1">
      <c r="B855" s="33"/>
    </row>
    <row r="856" ht="12.75" customHeight="1">
      <c r="B856" s="33"/>
    </row>
    <row r="857" ht="12.75" customHeight="1">
      <c r="B857" s="33"/>
    </row>
    <row r="858" ht="12.75" customHeight="1">
      <c r="B858" s="33"/>
    </row>
    <row r="859" ht="12.75" customHeight="1">
      <c r="B859" s="33"/>
    </row>
    <row r="860" ht="12.75" customHeight="1">
      <c r="B860" s="33"/>
    </row>
    <row r="861" ht="12.75" customHeight="1">
      <c r="B861" s="33"/>
    </row>
    <row r="862" ht="12.75" customHeight="1">
      <c r="B862" s="33"/>
    </row>
    <row r="863" ht="12.75" customHeight="1">
      <c r="B863" s="33"/>
    </row>
    <row r="864" ht="12.75" customHeight="1">
      <c r="B864" s="33"/>
    </row>
    <row r="865" ht="12.75" customHeight="1">
      <c r="B865" s="33"/>
    </row>
    <row r="866" ht="12.75" customHeight="1">
      <c r="B866" s="33"/>
    </row>
    <row r="867" ht="12.75" customHeight="1">
      <c r="B867" s="33"/>
    </row>
    <row r="868" ht="12.75" customHeight="1">
      <c r="B868" s="33"/>
    </row>
    <row r="869" ht="12.75" customHeight="1">
      <c r="B869" s="33"/>
    </row>
    <row r="870" ht="12.75" customHeight="1">
      <c r="B870" s="33"/>
    </row>
    <row r="871" ht="12.75" customHeight="1">
      <c r="B871" s="33"/>
    </row>
    <row r="872" ht="12.75" customHeight="1">
      <c r="B872" s="33"/>
    </row>
    <row r="873" ht="12.75" customHeight="1">
      <c r="B873" s="33"/>
    </row>
    <row r="874" ht="12.75" customHeight="1">
      <c r="B874" s="33"/>
    </row>
    <row r="875" ht="12.75" customHeight="1">
      <c r="B875" s="33"/>
    </row>
    <row r="876" ht="12.75" customHeight="1">
      <c r="B876" s="33"/>
    </row>
    <row r="877" ht="12.75" customHeight="1">
      <c r="B877" s="33"/>
    </row>
    <row r="878" ht="12.75" customHeight="1">
      <c r="B878" s="33"/>
    </row>
    <row r="879" ht="12.75" customHeight="1">
      <c r="B879" s="33"/>
    </row>
    <row r="880" ht="12.75" customHeight="1">
      <c r="B880" s="33"/>
    </row>
    <row r="881" ht="12.75" customHeight="1">
      <c r="B881" s="33"/>
    </row>
    <row r="882" ht="12.75" customHeight="1">
      <c r="B882" s="33"/>
    </row>
    <row r="883" ht="12.75" customHeight="1">
      <c r="B883" s="33"/>
    </row>
    <row r="884" ht="12.75" customHeight="1">
      <c r="B884" s="33"/>
    </row>
    <row r="885" ht="12.75" customHeight="1">
      <c r="B885" s="33"/>
    </row>
    <row r="886" ht="12.75" customHeight="1">
      <c r="B886" s="33"/>
    </row>
    <row r="887" ht="12.75" customHeight="1">
      <c r="B887" s="33"/>
    </row>
    <row r="888" ht="12.75" customHeight="1">
      <c r="B888" s="33"/>
    </row>
    <row r="889" ht="12.75" customHeight="1">
      <c r="B889" s="33"/>
    </row>
    <row r="890" ht="12.75" customHeight="1">
      <c r="B890" s="33"/>
    </row>
    <row r="891" ht="12.75" customHeight="1">
      <c r="B891" s="33"/>
    </row>
    <row r="892" ht="12.75" customHeight="1">
      <c r="B892" s="33"/>
    </row>
    <row r="893" ht="12.75" customHeight="1">
      <c r="B893" s="33"/>
    </row>
    <row r="894" ht="12.75" customHeight="1">
      <c r="B894" s="33"/>
    </row>
    <row r="895" ht="12.75" customHeight="1">
      <c r="B895" s="33"/>
    </row>
    <row r="896" ht="12.75" customHeight="1">
      <c r="B896" s="33"/>
    </row>
    <row r="897" ht="12.75" customHeight="1">
      <c r="B897" s="33"/>
    </row>
    <row r="898" ht="12.75" customHeight="1">
      <c r="B898" s="33"/>
    </row>
    <row r="899" ht="12.75" customHeight="1">
      <c r="B899" s="33"/>
    </row>
    <row r="900" ht="12.75" customHeight="1">
      <c r="B900" s="33"/>
    </row>
    <row r="901" ht="12.75" customHeight="1">
      <c r="B901" s="33"/>
    </row>
    <row r="902" ht="12.75" customHeight="1">
      <c r="B902" s="33"/>
    </row>
    <row r="903" ht="12.75" customHeight="1">
      <c r="B903" s="33"/>
    </row>
    <row r="904" ht="12.75" customHeight="1">
      <c r="B904" s="33"/>
    </row>
    <row r="905" ht="12.75" customHeight="1">
      <c r="B905" s="33"/>
    </row>
    <row r="906" ht="12.75" customHeight="1">
      <c r="B906" s="33"/>
    </row>
    <row r="907" ht="12.75" customHeight="1">
      <c r="B907" s="33"/>
    </row>
    <row r="908" ht="12.75" customHeight="1">
      <c r="B908" s="33"/>
    </row>
    <row r="909" ht="12.75" customHeight="1">
      <c r="B909" s="33"/>
    </row>
    <row r="910" ht="12.75" customHeight="1">
      <c r="B910" s="33"/>
    </row>
    <row r="911" ht="12.75" customHeight="1">
      <c r="B911" s="33"/>
    </row>
    <row r="912" ht="12.75" customHeight="1">
      <c r="B912" s="33"/>
    </row>
    <row r="913" ht="12.75" customHeight="1">
      <c r="B913" s="33"/>
    </row>
    <row r="914" ht="12.75" customHeight="1">
      <c r="B914" s="33"/>
    </row>
    <row r="915" ht="12.75" customHeight="1">
      <c r="B915" s="33"/>
    </row>
    <row r="916" ht="12.75" customHeight="1">
      <c r="B916" s="33"/>
    </row>
    <row r="917" ht="12.75" customHeight="1">
      <c r="B917" s="33"/>
    </row>
    <row r="918" ht="12.75" customHeight="1">
      <c r="B918" s="33"/>
    </row>
    <row r="919" ht="12.75" customHeight="1">
      <c r="B919" s="33"/>
    </row>
    <row r="920" ht="12.75" customHeight="1">
      <c r="B920" s="33"/>
    </row>
    <row r="921" ht="12.75" customHeight="1">
      <c r="B921" s="33"/>
    </row>
    <row r="922" ht="12.75" customHeight="1">
      <c r="B922" s="33"/>
    </row>
    <row r="923" ht="12.75" customHeight="1">
      <c r="B923" s="33"/>
    </row>
    <row r="924" ht="12.75" customHeight="1">
      <c r="B924" s="33"/>
    </row>
    <row r="925" ht="12.75" customHeight="1">
      <c r="B925" s="33"/>
    </row>
    <row r="926" ht="12.75" customHeight="1">
      <c r="B926" s="33"/>
    </row>
    <row r="927" ht="12.75" customHeight="1">
      <c r="B927" s="33"/>
    </row>
    <row r="928" ht="12.75" customHeight="1">
      <c r="B928" s="33"/>
    </row>
    <row r="929" ht="12.75" customHeight="1">
      <c r="B929" s="33"/>
    </row>
    <row r="930" ht="12.75" customHeight="1">
      <c r="B930" s="33"/>
    </row>
    <row r="931" ht="12.75" customHeight="1">
      <c r="B931" s="33"/>
    </row>
    <row r="932" ht="12.75" customHeight="1">
      <c r="B932" s="33"/>
    </row>
    <row r="933" ht="12.75" customHeight="1">
      <c r="B933" s="33"/>
    </row>
    <row r="934" ht="12.75" customHeight="1">
      <c r="B934" s="33"/>
    </row>
    <row r="935" ht="12.75" customHeight="1">
      <c r="B935" s="33"/>
    </row>
    <row r="936" ht="12.75" customHeight="1">
      <c r="B936" s="33"/>
    </row>
    <row r="937" ht="12.75" customHeight="1">
      <c r="B937" s="33"/>
    </row>
    <row r="938" ht="12.75" customHeight="1">
      <c r="B938" s="33"/>
    </row>
    <row r="939" ht="12.75" customHeight="1">
      <c r="B939" s="33"/>
    </row>
    <row r="940" ht="12.75" customHeight="1">
      <c r="B940" s="33"/>
    </row>
    <row r="941" ht="12.75" customHeight="1">
      <c r="B941" s="33"/>
    </row>
    <row r="942" ht="12.75" customHeight="1">
      <c r="B942" s="33"/>
    </row>
    <row r="943" ht="12.75" customHeight="1">
      <c r="B943" s="33"/>
    </row>
    <row r="944" ht="12.75" customHeight="1">
      <c r="B944" s="33"/>
    </row>
    <row r="945" ht="12.75" customHeight="1">
      <c r="B945" s="33"/>
    </row>
    <row r="946" ht="12.75" customHeight="1">
      <c r="B946" s="33"/>
    </row>
    <row r="947" ht="12.75" customHeight="1">
      <c r="B947" s="33"/>
    </row>
    <row r="948" ht="12.75" customHeight="1">
      <c r="B948" s="33"/>
    </row>
    <row r="949" ht="12.75" customHeight="1">
      <c r="B949" s="33"/>
    </row>
    <row r="950" ht="12.75" customHeight="1">
      <c r="B950" s="33"/>
    </row>
    <row r="951" ht="12.75" customHeight="1">
      <c r="B951" s="33"/>
    </row>
    <row r="952" ht="12.75" customHeight="1">
      <c r="B952" s="33"/>
    </row>
    <row r="953" ht="12.75" customHeight="1">
      <c r="B953" s="33"/>
    </row>
    <row r="954" ht="12.75" customHeight="1">
      <c r="B954" s="33"/>
    </row>
    <row r="955" ht="12.75" customHeight="1">
      <c r="B955" s="33"/>
    </row>
    <row r="956" ht="12.75" customHeight="1">
      <c r="B956" s="33"/>
    </row>
    <row r="957" ht="12.75" customHeight="1">
      <c r="B957" s="33"/>
    </row>
    <row r="958" ht="12.75" customHeight="1">
      <c r="B958" s="33"/>
    </row>
    <row r="959" ht="12.75" customHeight="1">
      <c r="B959" s="33"/>
    </row>
    <row r="960" ht="12.75" customHeight="1">
      <c r="B960" s="33"/>
    </row>
    <row r="961" ht="12.75" customHeight="1">
      <c r="B961" s="33"/>
    </row>
    <row r="962" ht="12.75" customHeight="1">
      <c r="B962" s="33"/>
    </row>
    <row r="963" ht="12.75" customHeight="1">
      <c r="B963" s="33"/>
    </row>
    <row r="964" ht="12.75" customHeight="1">
      <c r="B964" s="33"/>
    </row>
    <row r="965" ht="12.75" customHeight="1">
      <c r="B965" s="33"/>
    </row>
    <row r="966" ht="12.75" customHeight="1">
      <c r="B966" s="33"/>
    </row>
    <row r="967" ht="12.75" customHeight="1">
      <c r="B967" s="33"/>
    </row>
    <row r="968" ht="12.75" customHeight="1">
      <c r="B968" s="33"/>
    </row>
    <row r="969" ht="12.75" customHeight="1">
      <c r="B969" s="33"/>
    </row>
    <row r="970" ht="12.75" customHeight="1">
      <c r="B970" s="33"/>
    </row>
    <row r="971" ht="12.75" customHeight="1">
      <c r="B971" s="33"/>
    </row>
    <row r="972" ht="12.75" customHeight="1">
      <c r="B972" s="33"/>
    </row>
    <row r="973" ht="12.75" customHeight="1">
      <c r="B973" s="33"/>
    </row>
    <row r="974" ht="12.75" customHeight="1">
      <c r="B974" s="33"/>
    </row>
    <row r="975" ht="12.75" customHeight="1">
      <c r="B975" s="33"/>
    </row>
    <row r="976" ht="12.75" customHeight="1">
      <c r="B976" s="33"/>
    </row>
    <row r="977" ht="12.75" customHeight="1">
      <c r="B977" s="33"/>
    </row>
    <row r="978" ht="12.75" customHeight="1">
      <c r="B978" s="33"/>
    </row>
    <row r="979" ht="12.75" customHeight="1">
      <c r="B979" s="33"/>
    </row>
    <row r="980" ht="12.75" customHeight="1">
      <c r="B980" s="33"/>
    </row>
    <row r="981" ht="12.75" customHeight="1">
      <c r="B981" s="33"/>
    </row>
    <row r="982" ht="12.75" customHeight="1">
      <c r="B982" s="33"/>
    </row>
    <row r="983" ht="12.75" customHeight="1">
      <c r="B983" s="33"/>
    </row>
    <row r="984" ht="12.75" customHeight="1">
      <c r="B984" s="33"/>
    </row>
    <row r="985" ht="12.75" customHeight="1">
      <c r="B985" s="33"/>
    </row>
    <row r="986" ht="12.75" customHeight="1">
      <c r="B986" s="33"/>
    </row>
    <row r="987" ht="12.75" customHeight="1">
      <c r="B987" s="33"/>
    </row>
    <row r="988" ht="12.75" customHeight="1">
      <c r="B988" s="33"/>
    </row>
    <row r="989" ht="12.75" customHeight="1">
      <c r="B989" s="33"/>
    </row>
    <row r="990" ht="12.75" customHeight="1">
      <c r="B990" s="33"/>
    </row>
    <row r="991" ht="12.75" customHeight="1">
      <c r="B991" s="33"/>
    </row>
    <row r="992" ht="12.75" customHeight="1">
      <c r="B992" s="33"/>
    </row>
    <row r="993" ht="12.75" customHeight="1">
      <c r="B993" s="33"/>
    </row>
    <row r="994" ht="12.75" customHeight="1">
      <c r="B994" s="33"/>
    </row>
    <row r="995" ht="12.75" customHeight="1">
      <c r="B995" s="33"/>
    </row>
    <row r="996" ht="12.75" customHeight="1">
      <c r="B996" s="3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8.63"/>
  </cols>
  <sheetData>
    <row r="1" ht="12.75" customHeight="1">
      <c r="A1" s="34" t="s">
        <v>40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41</v>
      </c>
      <c r="I1" s="34" t="s">
        <v>42</v>
      </c>
      <c r="J1" s="34" t="s">
        <v>42</v>
      </c>
      <c r="K1" s="34" t="s">
        <v>42</v>
      </c>
      <c r="L1" s="34" t="s">
        <v>42</v>
      </c>
      <c r="M1" s="34" t="s">
        <v>42</v>
      </c>
      <c r="N1" s="34" t="s">
        <v>42</v>
      </c>
      <c r="O1" s="34" t="s">
        <v>42</v>
      </c>
      <c r="P1" s="34" t="s">
        <v>42</v>
      </c>
      <c r="Q1" s="34" t="s">
        <v>42</v>
      </c>
      <c r="R1" s="34" t="s">
        <v>42</v>
      </c>
      <c r="T1" s="34" t="s">
        <v>42</v>
      </c>
      <c r="U1" s="34" t="s">
        <v>42</v>
      </c>
      <c r="V1" s="34" t="s">
        <v>42</v>
      </c>
      <c r="W1" s="34" t="s">
        <v>42</v>
      </c>
      <c r="X1" s="34" t="s">
        <v>42</v>
      </c>
      <c r="Y1" s="34" t="s">
        <v>42</v>
      </c>
      <c r="Z1" s="34" t="s">
        <v>42</v>
      </c>
      <c r="AA1" s="34" t="s">
        <v>42</v>
      </c>
      <c r="AB1" s="34" t="s">
        <v>42</v>
      </c>
      <c r="AD1" s="34" t="s">
        <v>41</v>
      </c>
      <c r="AE1" s="34" t="s">
        <v>41</v>
      </c>
      <c r="AF1" s="34" t="s">
        <v>41</v>
      </c>
      <c r="AG1" s="34" t="s">
        <v>41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1</v>
      </c>
      <c r="E5" s="34" t="s">
        <v>2</v>
      </c>
      <c r="F5" s="34" t="s">
        <v>5</v>
      </c>
      <c r="G5" s="34" t="s">
        <v>6</v>
      </c>
      <c r="H5" s="34" t="s">
        <v>7</v>
      </c>
      <c r="I5" s="34" t="s">
        <v>8</v>
      </c>
      <c r="J5" s="34" t="s">
        <v>4</v>
      </c>
      <c r="K5" s="34" t="s">
        <v>9</v>
      </c>
      <c r="L5" s="34" t="s">
        <v>10</v>
      </c>
      <c r="M5" s="34" t="s">
        <v>11</v>
      </c>
      <c r="N5" s="34" t="s">
        <v>12</v>
      </c>
      <c r="O5" s="34" t="s">
        <v>13</v>
      </c>
      <c r="P5" s="34" t="s">
        <v>14</v>
      </c>
      <c r="Q5" s="34" t="s">
        <v>15</v>
      </c>
      <c r="R5" s="34" t="s">
        <v>16</v>
      </c>
      <c r="S5" s="34" t="s">
        <v>17</v>
      </c>
      <c r="T5" s="34" t="s">
        <v>18</v>
      </c>
      <c r="U5" s="34" t="s">
        <v>19</v>
      </c>
      <c r="V5" s="34" t="s">
        <v>20</v>
      </c>
      <c r="W5" s="34" t="s">
        <v>21</v>
      </c>
      <c r="X5" s="34" t="s">
        <v>22</v>
      </c>
      <c r="Y5" s="34" t="s">
        <v>23</v>
      </c>
      <c r="Z5" s="34" t="s">
        <v>24</v>
      </c>
      <c r="AA5" s="34" t="s">
        <v>25</v>
      </c>
      <c r="AC5" s="34" t="s">
        <v>26</v>
      </c>
      <c r="AD5" s="34" t="s">
        <v>27</v>
      </c>
      <c r="AE5" s="34" t="s">
        <v>28</v>
      </c>
      <c r="AF5" s="34" t="s">
        <v>29</v>
      </c>
      <c r="AG5" s="34" t="s">
        <v>29</v>
      </c>
    </row>
    <row r="6" ht="12.75" customHeight="1">
      <c r="B6" s="34" t="s">
        <v>43</v>
      </c>
      <c r="C6" s="34" t="s">
        <v>44</v>
      </c>
      <c r="D6" s="34" t="s">
        <v>30</v>
      </c>
      <c r="E6" s="34" t="s">
        <v>31</v>
      </c>
      <c r="F6" s="34" t="s">
        <v>31</v>
      </c>
      <c r="G6" s="34" t="s">
        <v>45</v>
      </c>
      <c r="H6" s="34" t="s">
        <v>46</v>
      </c>
      <c r="I6" s="34" t="s">
        <v>47</v>
      </c>
      <c r="J6" s="34" t="s">
        <v>48</v>
      </c>
      <c r="M6" s="34" t="s">
        <v>33</v>
      </c>
      <c r="O6" s="34" t="s">
        <v>49</v>
      </c>
      <c r="P6" s="34" t="s">
        <v>50</v>
      </c>
      <c r="Q6" s="34" t="s">
        <v>51</v>
      </c>
      <c r="R6" s="34" t="s">
        <v>52</v>
      </c>
      <c r="S6" s="34" t="s">
        <v>53</v>
      </c>
      <c r="T6" s="34" t="s">
        <v>54</v>
      </c>
      <c r="U6" s="34" t="s">
        <v>55</v>
      </c>
      <c r="V6" s="34" t="s">
        <v>56</v>
      </c>
      <c r="W6" s="34" t="s">
        <v>57</v>
      </c>
      <c r="X6" s="34" t="s">
        <v>58</v>
      </c>
      <c r="Y6" s="34" t="s">
        <v>59</v>
      </c>
      <c r="Z6" s="34" t="s">
        <v>60</v>
      </c>
      <c r="AA6" s="34" t="s">
        <v>61</v>
      </c>
      <c r="AB6" s="34" t="s">
        <v>62</v>
      </c>
      <c r="AC6" s="34" t="s">
        <v>63</v>
      </c>
      <c r="AD6" s="34" t="s">
        <v>64</v>
      </c>
      <c r="AE6" s="34" t="s">
        <v>65</v>
      </c>
      <c r="AF6" s="34" t="s">
        <v>66</v>
      </c>
      <c r="AG6" s="34" t="s">
        <v>67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8.63"/>
  </cols>
  <sheetData>
    <row r="1" ht="12.75" customHeight="1">
      <c r="A1" s="34" t="s">
        <v>40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41</v>
      </c>
      <c r="I1" s="34" t="s">
        <v>42</v>
      </c>
      <c r="J1" s="34" t="s">
        <v>42</v>
      </c>
      <c r="K1" s="34" t="s">
        <v>42</v>
      </c>
      <c r="L1" s="34" t="s">
        <v>42</v>
      </c>
      <c r="M1" s="34" t="s">
        <v>42</v>
      </c>
      <c r="N1" s="34" t="s">
        <v>42</v>
      </c>
      <c r="O1" s="34" t="s">
        <v>42</v>
      </c>
      <c r="P1" s="34" t="s">
        <v>42</v>
      </c>
      <c r="Q1" s="34" t="s">
        <v>42</v>
      </c>
      <c r="R1" s="34" t="s">
        <v>42</v>
      </c>
      <c r="T1" s="34" t="s">
        <v>42</v>
      </c>
      <c r="U1" s="34" t="s">
        <v>42</v>
      </c>
      <c r="V1" s="34" t="s">
        <v>42</v>
      </c>
      <c r="W1" s="34" t="s">
        <v>42</v>
      </c>
      <c r="X1" s="34" t="s">
        <v>42</v>
      </c>
      <c r="Y1" s="34" t="s">
        <v>42</v>
      </c>
      <c r="Z1" s="34" t="s">
        <v>42</v>
      </c>
      <c r="AA1" s="34" t="s">
        <v>42</v>
      </c>
      <c r="AB1" s="34" t="s">
        <v>42</v>
      </c>
      <c r="AD1" s="34" t="s">
        <v>41</v>
      </c>
      <c r="AE1" s="34" t="s">
        <v>41</v>
      </c>
      <c r="AF1" s="34" t="s">
        <v>41</v>
      </c>
      <c r="AG1" s="34" t="s">
        <v>41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1</v>
      </c>
      <c r="E5" s="34" t="s">
        <v>2</v>
      </c>
      <c r="F5" s="34" t="s">
        <v>5</v>
      </c>
      <c r="G5" s="34" t="s">
        <v>6</v>
      </c>
      <c r="H5" s="34" t="s">
        <v>7</v>
      </c>
      <c r="I5" s="34" t="s">
        <v>8</v>
      </c>
      <c r="J5" s="34" t="s">
        <v>4</v>
      </c>
      <c r="K5" s="34" t="s">
        <v>9</v>
      </c>
      <c r="L5" s="34" t="s">
        <v>10</v>
      </c>
      <c r="M5" s="34" t="s">
        <v>11</v>
      </c>
      <c r="N5" s="34" t="s">
        <v>12</v>
      </c>
      <c r="O5" s="34" t="s">
        <v>13</v>
      </c>
      <c r="P5" s="34" t="s">
        <v>14</v>
      </c>
      <c r="Q5" s="34" t="s">
        <v>15</v>
      </c>
      <c r="R5" s="34" t="s">
        <v>16</v>
      </c>
      <c r="S5" s="34" t="s">
        <v>17</v>
      </c>
      <c r="T5" s="34" t="s">
        <v>18</v>
      </c>
      <c r="U5" s="34" t="s">
        <v>19</v>
      </c>
      <c r="V5" s="34" t="s">
        <v>20</v>
      </c>
      <c r="W5" s="34" t="s">
        <v>21</v>
      </c>
      <c r="X5" s="34" t="s">
        <v>22</v>
      </c>
      <c r="Y5" s="34" t="s">
        <v>23</v>
      </c>
      <c r="Z5" s="34" t="s">
        <v>24</v>
      </c>
      <c r="AA5" s="34" t="s">
        <v>25</v>
      </c>
      <c r="AC5" s="34" t="s">
        <v>26</v>
      </c>
      <c r="AD5" s="34" t="s">
        <v>27</v>
      </c>
      <c r="AE5" s="34" t="s">
        <v>28</v>
      </c>
      <c r="AF5" s="34" t="s">
        <v>29</v>
      </c>
      <c r="AG5" s="34" t="s">
        <v>29</v>
      </c>
    </row>
    <row r="6" ht="12.75" customHeight="1">
      <c r="B6" s="34" t="s">
        <v>43</v>
      </c>
      <c r="C6" s="34" t="s">
        <v>44</v>
      </c>
      <c r="D6" s="34" t="s">
        <v>30</v>
      </c>
      <c r="E6" s="34" t="s">
        <v>31</v>
      </c>
      <c r="F6" s="34" t="s">
        <v>31</v>
      </c>
      <c r="G6" s="34" t="s">
        <v>45</v>
      </c>
      <c r="H6" s="34" t="s">
        <v>46</v>
      </c>
      <c r="I6" s="34" t="s">
        <v>47</v>
      </c>
      <c r="J6" s="34" t="s">
        <v>48</v>
      </c>
      <c r="M6" s="34" t="s">
        <v>33</v>
      </c>
      <c r="O6" s="34" t="s">
        <v>49</v>
      </c>
      <c r="P6" s="34" t="s">
        <v>50</v>
      </c>
      <c r="Q6" s="34" t="s">
        <v>51</v>
      </c>
      <c r="R6" s="34" t="s">
        <v>52</v>
      </c>
      <c r="S6" s="34" t="s">
        <v>53</v>
      </c>
      <c r="T6" s="34" t="s">
        <v>54</v>
      </c>
      <c r="U6" s="34" t="s">
        <v>55</v>
      </c>
      <c r="V6" s="34" t="s">
        <v>56</v>
      </c>
      <c r="W6" s="34" t="s">
        <v>57</v>
      </c>
      <c r="X6" s="34" t="s">
        <v>58</v>
      </c>
      <c r="Y6" s="34" t="s">
        <v>59</v>
      </c>
      <c r="Z6" s="34" t="s">
        <v>60</v>
      </c>
      <c r="AA6" s="34" t="s">
        <v>61</v>
      </c>
      <c r="AB6" s="34" t="s">
        <v>62</v>
      </c>
      <c r="AC6" s="34" t="s">
        <v>63</v>
      </c>
      <c r="AD6" s="34" t="s">
        <v>64</v>
      </c>
      <c r="AE6" s="34" t="s">
        <v>65</v>
      </c>
      <c r="AF6" s="34" t="s">
        <v>66</v>
      </c>
      <c r="AG6" s="34" t="s">
        <v>67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34" t="s">
        <v>68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42</v>
      </c>
      <c r="I1" s="34" t="s">
        <v>42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6</v>
      </c>
      <c r="E5" s="34" t="s">
        <v>35</v>
      </c>
      <c r="F5" s="34" t="s">
        <v>36</v>
      </c>
      <c r="G5" s="34" t="s">
        <v>37</v>
      </c>
      <c r="H5" s="34" t="s">
        <v>38</v>
      </c>
      <c r="I5" s="34" t="s">
        <v>19</v>
      </c>
    </row>
    <row r="6" ht="12.75" customHeight="1">
      <c r="B6" s="34" t="s">
        <v>69</v>
      </c>
      <c r="C6" s="34" t="s">
        <v>70</v>
      </c>
      <c r="D6" s="34" t="s">
        <v>71</v>
      </c>
      <c r="E6" s="34" t="s">
        <v>44</v>
      </c>
      <c r="F6" s="34" t="s">
        <v>72</v>
      </c>
      <c r="G6" s="34" t="s">
        <v>73</v>
      </c>
      <c r="H6" s="34" t="s">
        <v>74</v>
      </c>
      <c r="I6" s="34" t="s">
        <v>75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34" t="s">
        <v>68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42</v>
      </c>
      <c r="I1" s="34" t="s">
        <v>42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6</v>
      </c>
      <c r="E5" s="34" t="s">
        <v>35</v>
      </c>
      <c r="F5" s="34" t="s">
        <v>36</v>
      </c>
      <c r="G5" s="34" t="s">
        <v>37</v>
      </c>
      <c r="H5" s="34" t="s">
        <v>38</v>
      </c>
      <c r="I5" s="34" t="s">
        <v>19</v>
      </c>
    </row>
    <row r="6" ht="12.75" customHeight="1">
      <c r="B6" s="34" t="s">
        <v>69</v>
      </c>
      <c r="C6" s="34" t="s">
        <v>70</v>
      </c>
      <c r="D6" s="34" t="s">
        <v>71</v>
      </c>
      <c r="E6" s="34" t="s">
        <v>44</v>
      </c>
      <c r="F6" s="34" t="s">
        <v>72</v>
      </c>
      <c r="G6" s="34" t="s">
        <v>73</v>
      </c>
      <c r="H6" s="34" t="s">
        <v>74</v>
      </c>
      <c r="I6" s="34" t="s">
        <v>75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8.63"/>
  </cols>
  <sheetData>
    <row r="1" ht="12.75" customHeight="1">
      <c r="A1" s="34" t="s">
        <v>76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41</v>
      </c>
      <c r="I1" s="34" t="s">
        <v>42</v>
      </c>
      <c r="J1" s="34" t="s">
        <v>42</v>
      </c>
      <c r="K1" s="34" t="s">
        <v>42</v>
      </c>
      <c r="L1" s="34" t="s">
        <v>42</v>
      </c>
      <c r="M1" s="34" t="s">
        <v>42</v>
      </c>
      <c r="N1" s="34" t="s">
        <v>42</v>
      </c>
      <c r="O1" s="34" t="s">
        <v>42</v>
      </c>
      <c r="P1" s="34" t="s">
        <v>42</v>
      </c>
      <c r="Q1" s="34" t="s">
        <v>42</v>
      </c>
      <c r="R1" s="34" t="s">
        <v>42</v>
      </c>
      <c r="T1" s="34" t="s">
        <v>42</v>
      </c>
      <c r="U1" s="34" t="s">
        <v>42</v>
      </c>
      <c r="V1" s="34" t="s">
        <v>42</v>
      </c>
      <c r="W1" s="34" t="s">
        <v>42</v>
      </c>
      <c r="X1" s="34" t="s">
        <v>42</v>
      </c>
      <c r="Y1" s="34" t="s">
        <v>42</v>
      </c>
      <c r="Z1" s="34" t="s">
        <v>42</v>
      </c>
      <c r="AA1" s="34" t="s">
        <v>42</v>
      </c>
      <c r="AB1" s="34" t="s">
        <v>42</v>
      </c>
      <c r="AD1" s="34" t="s">
        <v>41</v>
      </c>
      <c r="AE1" s="34" t="s">
        <v>41</v>
      </c>
      <c r="AF1" s="34" t="s">
        <v>41</v>
      </c>
      <c r="AG1" s="34" t="s">
        <v>41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1</v>
      </c>
      <c r="E5" s="34" t="s">
        <v>2</v>
      </c>
      <c r="F5" s="34" t="s">
        <v>5</v>
      </c>
      <c r="G5" s="34" t="s">
        <v>6</v>
      </c>
      <c r="H5" s="34" t="s">
        <v>7</v>
      </c>
      <c r="I5" s="34" t="s">
        <v>8</v>
      </c>
      <c r="J5" s="34" t="s">
        <v>4</v>
      </c>
      <c r="K5" s="34" t="s">
        <v>9</v>
      </c>
      <c r="L5" s="34" t="s">
        <v>10</v>
      </c>
      <c r="M5" s="34" t="s">
        <v>11</v>
      </c>
      <c r="N5" s="34" t="s">
        <v>12</v>
      </c>
      <c r="O5" s="34" t="s">
        <v>13</v>
      </c>
      <c r="P5" s="34" t="s">
        <v>14</v>
      </c>
      <c r="Q5" s="34" t="s">
        <v>15</v>
      </c>
      <c r="R5" s="34" t="s">
        <v>16</v>
      </c>
      <c r="S5" s="34" t="s">
        <v>17</v>
      </c>
      <c r="T5" s="34" t="s">
        <v>18</v>
      </c>
      <c r="U5" s="34" t="s">
        <v>19</v>
      </c>
      <c r="V5" s="34" t="s">
        <v>20</v>
      </c>
      <c r="W5" s="34" t="s">
        <v>21</v>
      </c>
      <c r="X5" s="34" t="s">
        <v>22</v>
      </c>
      <c r="Y5" s="34" t="s">
        <v>23</v>
      </c>
      <c r="Z5" s="34" t="s">
        <v>24</v>
      </c>
      <c r="AA5" s="34" t="s">
        <v>25</v>
      </c>
      <c r="AC5" s="34" t="s">
        <v>26</v>
      </c>
      <c r="AD5" s="34" t="s">
        <v>27</v>
      </c>
      <c r="AE5" s="34" t="s">
        <v>28</v>
      </c>
      <c r="AF5" s="34" t="s">
        <v>29</v>
      </c>
      <c r="AG5" s="34" t="s">
        <v>29</v>
      </c>
    </row>
    <row r="6" ht="12.75" customHeight="1">
      <c r="B6" s="34" t="s">
        <v>43</v>
      </c>
      <c r="C6" s="34" t="s">
        <v>44</v>
      </c>
      <c r="D6" s="34" t="s">
        <v>30</v>
      </c>
      <c r="E6" s="34" t="s">
        <v>31</v>
      </c>
      <c r="F6" s="34" t="s">
        <v>31</v>
      </c>
      <c r="G6" s="34" t="s">
        <v>45</v>
      </c>
      <c r="H6" s="34" t="s">
        <v>46</v>
      </c>
      <c r="I6" s="34" t="s">
        <v>47</v>
      </c>
      <c r="J6" s="34" t="s">
        <v>48</v>
      </c>
      <c r="M6" s="34" t="s">
        <v>33</v>
      </c>
      <c r="O6" s="34" t="s">
        <v>49</v>
      </c>
      <c r="P6" s="34" t="s">
        <v>50</v>
      </c>
      <c r="Q6" s="34" t="s">
        <v>51</v>
      </c>
      <c r="R6" s="34" t="s">
        <v>52</v>
      </c>
      <c r="S6" s="34" t="s">
        <v>53</v>
      </c>
      <c r="T6" s="34" t="s">
        <v>54</v>
      </c>
      <c r="U6" s="34" t="s">
        <v>55</v>
      </c>
      <c r="V6" s="34" t="s">
        <v>56</v>
      </c>
      <c r="W6" s="34" t="s">
        <v>57</v>
      </c>
      <c r="X6" s="34" t="s">
        <v>58</v>
      </c>
      <c r="Y6" s="34" t="s">
        <v>59</v>
      </c>
      <c r="Z6" s="34" t="s">
        <v>60</v>
      </c>
      <c r="AA6" s="34" t="s">
        <v>61</v>
      </c>
      <c r="AB6" s="34" t="s">
        <v>62</v>
      </c>
      <c r="AC6" s="34" t="s">
        <v>63</v>
      </c>
      <c r="AD6" s="34" t="s">
        <v>64</v>
      </c>
      <c r="AE6" s="34" t="s">
        <v>65</v>
      </c>
      <c r="AF6" s="34" t="s">
        <v>66</v>
      </c>
      <c r="AG6" s="34" t="s">
        <v>67</v>
      </c>
    </row>
    <row r="7" ht="12.75" customHeight="1">
      <c r="A7" s="34" t="s">
        <v>39</v>
      </c>
      <c r="B7" s="34" t="s">
        <v>77</v>
      </c>
      <c r="C7" s="34" t="s">
        <v>78</v>
      </c>
      <c r="D7" s="34" t="s">
        <v>30</v>
      </c>
      <c r="E7" s="34" t="s">
        <v>31</v>
      </c>
      <c r="F7" s="34" t="s">
        <v>31</v>
      </c>
      <c r="G7" s="34" t="s">
        <v>79</v>
      </c>
      <c r="H7" s="34" t="s">
        <v>80</v>
      </c>
      <c r="I7" s="34" t="s">
        <v>81</v>
      </c>
      <c r="J7" s="34" t="s">
        <v>82</v>
      </c>
      <c r="M7" s="34" t="s">
        <v>33</v>
      </c>
      <c r="O7" s="34" t="s">
        <v>83</v>
      </c>
      <c r="P7" s="34" t="s">
        <v>84</v>
      </c>
      <c r="Q7" s="34" t="s">
        <v>85</v>
      </c>
      <c r="R7" s="34" t="s">
        <v>86</v>
      </c>
      <c r="S7" s="34" t="s">
        <v>87</v>
      </c>
      <c r="T7" s="34" t="s">
        <v>88</v>
      </c>
      <c r="U7" s="34" t="s">
        <v>89</v>
      </c>
      <c r="V7" s="34" t="s">
        <v>90</v>
      </c>
      <c r="W7" s="34" t="s">
        <v>91</v>
      </c>
      <c r="X7" s="34" t="s">
        <v>92</v>
      </c>
      <c r="Y7" s="34" t="s">
        <v>93</v>
      </c>
      <c r="Z7" s="34" t="s">
        <v>94</v>
      </c>
      <c r="AA7" s="34" t="s">
        <v>95</v>
      </c>
      <c r="AB7" s="34" t="s">
        <v>96</v>
      </c>
      <c r="AC7" s="34" t="s">
        <v>97</v>
      </c>
      <c r="AD7" s="34" t="s">
        <v>98</v>
      </c>
      <c r="AE7" s="34" t="s">
        <v>99</v>
      </c>
      <c r="AF7" s="34" t="s">
        <v>100</v>
      </c>
      <c r="AG7" s="34" t="s">
        <v>67</v>
      </c>
    </row>
    <row r="8" ht="12.75" customHeight="1">
      <c r="A8" s="34" t="s">
        <v>39</v>
      </c>
      <c r="B8" s="34" t="s">
        <v>101</v>
      </c>
      <c r="C8" s="34" t="s">
        <v>102</v>
      </c>
      <c r="D8" s="34" t="s">
        <v>30</v>
      </c>
      <c r="E8" s="34" t="s">
        <v>31</v>
      </c>
      <c r="F8" s="34" t="s">
        <v>31</v>
      </c>
      <c r="G8" s="34" t="s">
        <v>103</v>
      </c>
      <c r="H8" s="34" t="s">
        <v>104</v>
      </c>
      <c r="I8" s="34" t="s">
        <v>105</v>
      </c>
      <c r="J8" s="34" t="s">
        <v>106</v>
      </c>
      <c r="M8" s="34" t="s">
        <v>33</v>
      </c>
      <c r="O8" s="34" t="s">
        <v>107</v>
      </c>
      <c r="P8" s="34" t="s">
        <v>108</v>
      </c>
      <c r="Q8" s="34" t="s">
        <v>109</v>
      </c>
      <c r="R8" s="34" t="s">
        <v>110</v>
      </c>
      <c r="S8" s="34" t="s">
        <v>111</v>
      </c>
      <c r="T8" s="34" t="s">
        <v>112</v>
      </c>
      <c r="U8" s="34" t="s">
        <v>113</v>
      </c>
      <c r="V8" s="34" t="s">
        <v>114</v>
      </c>
      <c r="W8" s="34" t="s">
        <v>115</v>
      </c>
      <c r="X8" s="34" t="s">
        <v>116</v>
      </c>
      <c r="Y8" s="34" t="s">
        <v>117</v>
      </c>
      <c r="Z8" s="34" t="s">
        <v>118</v>
      </c>
      <c r="AA8" s="34" t="s">
        <v>119</v>
      </c>
      <c r="AB8" s="34" t="s">
        <v>120</v>
      </c>
      <c r="AC8" s="34" t="s">
        <v>121</v>
      </c>
      <c r="AD8" s="34" t="s">
        <v>122</v>
      </c>
      <c r="AE8" s="34" t="s">
        <v>123</v>
      </c>
      <c r="AF8" s="34" t="s">
        <v>124</v>
      </c>
      <c r="AG8" s="34" t="s">
        <v>67</v>
      </c>
    </row>
    <row r="9" ht="12.75" customHeight="1">
      <c r="A9" s="34" t="s">
        <v>39</v>
      </c>
      <c r="B9" s="34" t="s">
        <v>125</v>
      </c>
      <c r="C9" s="34" t="s">
        <v>126</v>
      </c>
      <c r="D9" s="34" t="s">
        <v>30</v>
      </c>
      <c r="E9" s="34" t="s">
        <v>31</v>
      </c>
      <c r="F9" s="34" t="s">
        <v>31</v>
      </c>
      <c r="G9" s="34" t="s">
        <v>127</v>
      </c>
      <c r="H9" s="34" t="s">
        <v>128</v>
      </c>
      <c r="I9" s="34" t="s">
        <v>129</v>
      </c>
      <c r="J9" s="34" t="s">
        <v>130</v>
      </c>
      <c r="M9" s="34" t="s">
        <v>33</v>
      </c>
      <c r="O9" s="34" t="s">
        <v>131</v>
      </c>
      <c r="P9" s="34" t="s">
        <v>132</v>
      </c>
      <c r="Q9" s="34" t="s">
        <v>133</v>
      </c>
      <c r="R9" s="34" t="s">
        <v>134</v>
      </c>
      <c r="S9" s="34" t="s">
        <v>135</v>
      </c>
      <c r="T9" s="34" t="s">
        <v>136</v>
      </c>
      <c r="U9" s="34" t="s">
        <v>137</v>
      </c>
      <c r="V9" s="34" t="s">
        <v>138</v>
      </c>
      <c r="W9" s="34" t="s">
        <v>139</v>
      </c>
      <c r="X9" s="34" t="s">
        <v>140</v>
      </c>
      <c r="Y9" s="34" t="s">
        <v>141</v>
      </c>
      <c r="Z9" s="34" t="s">
        <v>142</v>
      </c>
      <c r="AA9" s="34" t="s">
        <v>143</v>
      </c>
      <c r="AB9" s="34" t="s">
        <v>144</v>
      </c>
      <c r="AC9" s="34" t="s">
        <v>145</v>
      </c>
      <c r="AD9" s="34" t="s">
        <v>146</v>
      </c>
      <c r="AE9" s="34" t="s">
        <v>147</v>
      </c>
      <c r="AF9" s="34" t="s">
        <v>148</v>
      </c>
      <c r="AG9" s="34" t="s">
        <v>67</v>
      </c>
    </row>
    <row r="10" ht="12.75" customHeight="1">
      <c r="A10" s="34" t="s">
        <v>39</v>
      </c>
      <c r="B10" s="34" t="s">
        <v>149</v>
      </c>
      <c r="C10" s="34" t="s">
        <v>150</v>
      </c>
      <c r="D10" s="34" t="s">
        <v>30</v>
      </c>
      <c r="E10" s="34" t="s">
        <v>31</v>
      </c>
      <c r="F10" s="34" t="s">
        <v>31</v>
      </c>
      <c r="G10" s="34" t="s">
        <v>151</v>
      </c>
      <c r="H10" s="34" t="s">
        <v>152</v>
      </c>
      <c r="I10" s="34" t="s">
        <v>153</v>
      </c>
      <c r="J10" s="34" t="s">
        <v>154</v>
      </c>
      <c r="M10" s="34" t="s">
        <v>33</v>
      </c>
      <c r="O10" s="34" t="s">
        <v>155</v>
      </c>
      <c r="P10" s="34" t="s">
        <v>156</v>
      </c>
      <c r="Q10" s="34" t="s">
        <v>157</v>
      </c>
      <c r="R10" s="34" t="s">
        <v>158</v>
      </c>
      <c r="S10" s="34" t="s">
        <v>159</v>
      </c>
      <c r="T10" s="34" t="s">
        <v>160</v>
      </c>
      <c r="U10" s="34" t="s">
        <v>161</v>
      </c>
      <c r="V10" s="34" t="s">
        <v>162</v>
      </c>
      <c r="W10" s="34" t="s">
        <v>163</v>
      </c>
      <c r="X10" s="34" t="s">
        <v>164</v>
      </c>
      <c r="Y10" s="34" t="s">
        <v>165</v>
      </c>
      <c r="Z10" s="34" t="s">
        <v>166</v>
      </c>
      <c r="AA10" s="34" t="s">
        <v>167</v>
      </c>
      <c r="AB10" s="34" t="s">
        <v>168</v>
      </c>
      <c r="AC10" s="34" t="s">
        <v>169</v>
      </c>
      <c r="AD10" s="34" t="s">
        <v>170</v>
      </c>
      <c r="AE10" s="34" t="s">
        <v>171</v>
      </c>
      <c r="AF10" s="34" t="s">
        <v>172</v>
      </c>
      <c r="AG10" s="34" t="s">
        <v>67</v>
      </c>
    </row>
    <row r="11" ht="12.75" customHeight="1">
      <c r="A11" s="34" t="s">
        <v>39</v>
      </c>
      <c r="B11" s="34" t="s">
        <v>173</v>
      </c>
      <c r="C11" s="34" t="s">
        <v>174</v>
      </c>
      <c r="D11" s="34" t="s">
        <v>30</v>
      </c>
      <c r="E11" s="34" t="s">
        <v>31</v>
      </c>
      <c r="F11" s="34" t="s">
        <v>31</v>
      </c>
      <c r="G11" s="34" t="s">
        <v>175</v>
      </c>
      <c r="H11" s="34" t="s">
        <v>176</v>
      </c>
      <c r="I11" s="34" t="s">
        <v>177</v>
      </c>
      <c r="J11" s="34" t="s">
        <v>178</v>
      </c>
      <c r="M11" s="34" t="s">
        <v>33</v>
      </c>
      <c r="O11" s="34" t="s">
        <v>179</v>
      </c>
      <c r="P11" s="34" t="s">
        <v>180</v>
      </c>
      <c r="Q11" s="34" t="s">
        <v>181</v>
      </c>
      <c r="R11" s="34" t="s">
        <v>182</v>
      </c>
      <c r="S11" s="34" t="s">
        <v>183</v>
      </c>
      <c r="T11" s="34" t="s">
        <v>184</v>
      </c>
      <c r="U11" s="34" t="s">
        <v>185</v>
      </c>
      <c r="V11" s="34" t="s">
        <v>186</v>
      </c>
      <c r="W11" s="34" t="s">
        <v>187</v>
      </c>
      <c r="X11" s="34" t="s">
        <v>188</v>
      </c>
      <c r="Y11" s="34" t="s">
        <v>189</v>
      </c>
      <c r="Z11" s="34" t="s">
        <v>190</v>
      </c>
      <c r="AA11" s="34" t="s">
        <v>191</v>
      </c>
      <c r="AB11" s="34" t="s">
        <v>192</v>
      </c>
      <c r="AC11" s="34" t="s">
        <v>193</v>
      </c>
      <c r="AD11" s="34" t="s">
        <v>194</v>
      </c>
      <c r="AE11" s="34" t="s">
        <v>195</v>
      </c>
      <c r="AF11" s="34" t="s">
        <v>196</v>
      </c>
      <c r="AG11" s="34" t="s">
        <v>67</v>
      </c>
    </row>
    <row r="12" ht="12.75" customHeight="1">
      <c r="A12" s="34" t="s">
        <v>39</v>
      </c>
      <c r="B12" s="34" t="s">
        <v>197</v>
      </c>
      <c r="C12" s="34" t="s">
        <v>198</v>
      </c>
      <c r="D12" s="34" t="s">
        <v>30</v>
      </c>
      <c r="E12" s="34" t="s">
        <v>31</v>
      </c>
      <c r="F12" s="34" t="s">
        <v>31</v>
      </c>
      <c r="G12" s="34" t="s">
        <v>199</v>
      </c>
      <c r="H12" s="34" t="s">
        <v>200</v>
      </c>
      <c r="I12" s="34" t="s">
        <v>201</v>
      </c>
      <c r="J12" s="34" t="s">
        <v>202</v>
      </c>
      <c r="M12" s="34" t="s">
        <v>33</v>
      </c>
      <c r="O12" s="34" t="s">
        <v>203</v>
      </c>
      <c r="P12" s="34" t="s">
        <v>204</v>
      </c>
      <c r="Q12" s="34" t="s">
        <v>205</v>
      </c>
      <c r="R12" s="34" t="s">
        <v>206</v>
      </c>
      <c r="S12" s="34" t="s">
        <v>207</v>
      </c>
      <c r="T12" s="34" t="s">
        <v>208</v>
      </c>
      <c r="U12" s="34" t="s">
        <v>209</v>
      </c>
      <c r="V12" s="34" t="s">
        <v>210</v>
      </c>
      <c r="W12" s="34" t="s">
        <v>211</v>
      </c>
      <c r="X12" s="34" t="s">
        <v>212</v>
      </c>
      <c r="Y12" s="34" t="s">
        <v>213</v>
      </c>
      <c r="Z12" s="34" t="s">
        <v>214</v>
      </c>
      <c r="AA12" s="34" t="s">
        <v>215</v>
      </c>
      <c r="AB12" s="34" t="s">
        <v>216</v>
      </c>
      <c r="AC12" s="34" t="s">
        <v>217</v>
      </c>
      <c r="AD12" s="34" t="s">
        <v>218</v>
      </c>
      <c r="AE12" s="34" t="s">
        <v>219</v>
      </c>
      <c r="AF12" s="34" t="s">
        <v>220</v>
      </c>
      <c r="AG12" s="34" t="s">
        <v>67</v>
      </c>
    </row>
    <row r="13" ht="12.75" customHeight="1">
      <c r="A13" s="34" t="s">
        <v>39</v>
      </c>
      <c r="B13" s="34" t="s">
        <v>221</v>
      </c>
      <c r="C13" s="34" t="s">
        <v>222</v>
      </c>
      <c r="D13" s="34" t="s">
        <v>30</v>
      </c>
      <c r="E13" s="34" t="s">
        <v>31</v>
      </c>
      <c r="F13" s="34" t="s">
        <v>31</v>
      </c>
      <c r="G13" s="34" t="s">
        <v>223</v>
      </c>
      <c r="H13" s="34" t="s">
        <v>224</v>
      </c>
      <c r="I13" s="34" t="s">
        <v>225</v>
      </c>
      <c r="J13" s="34" t="s">
        <v>226</v>
      </c>
      <c r="M13" s="34" t="s">
        <v>33</v>
      </c>
      <c r="O13" s="34" t="s">
        <v>227</v>
      </c>
      <c r="P13" s="34" t="s">
        <v>228</v>
      </c>
      <c r="Q13" s="34" t="s">
        <v>229</v>
      </c>
      <c r="R13" s="34" t="s">
        <v>230</v>
      </c>
      <c r="S13" s="34" t="s">
        <v>231</v>
      </c>
      <c r="T13" s="34" t="s">
        <v>232</v>
      </c>
      <c r="U13" s="34" t="s">
        <v>233</v>
      </c>
      <c r="V13" s="34" t="s">
        <v>234</v>
      </c>
      <c r="W13" s="34" t="s">
        <v>235</v>
      </c>
      <c r="X13" s="34" t="s">
        <v>236</v>
      </c>
      <c r="Y13" s="34" t="s">
        <v>237</v>
      </c>
      <c r="Z13" s="34" t="s">
        <v>238</v>
      </c>
      <c r="AA13" s="34" t="s">
        <v>239</v>
      </c>
      <c r="AB13" s="34" t="s">
        <v>240</v>
      </c>
      <c r="AC13" s="34" t="s">
        <v>241</v>
      </c>
      <c r="AD13" s="34" t="s">
        <v>242</v>
      </c>
      <c r="AE13" s="34" t="s">
        <v>243</v>
      </c>
      <c r="AF13" s="34" t="s">
        <v>244</v>
      </c>
      <c r="AG13" s="34" t="s">
        <v>67</v>
      </c>
    </row>
    <row r="14" ht="12.75" customHeight="1">
      <c r="A14" s="34" t="s">
        <v>39</v>
      </c>
      <c r="B14" s="34" t="s">
        <v>245</v>
      </c>
      <c r="C14" s="34" t="s">
        <v>246</v>
      </c>
      <c r="D14" s="34" t="s">
        <v>30</v>
      </c>
      <c r="E14" s="34" t="s">
        <v>31</v>
      </c>
      <c r="F14" s="34" t="s">
        <v>31</v>
      </c>
      <c r="G14" s="34" t="s">
        <v>247</v>
      </c>
      <c r="H14" s="34" t="s">
        <v>248</v>
      </c>
      <c r="I14" s="34" t="s">
        <v>249</v>
      </c>
      <c r="J14" s="34" t="s">
        <v>250</v>
      </c>
      <c r="M14" s="34" t="s">
        <v>33</v>
      </c>
      <c r="O14" s="34" t="s">
        <v>251</v>
      </c>
      <c r="P14" s="34" t="s">
        <v>252</v>
      </c>
      <c r="Q14" s="34" t="s">
        <v>253</v>
      </c>
      <c r="R14" s="34" t="s">
        <v>254</v>
      </c>
      <c r="S14" s="34" t="s">
        <v>255</v>
      </c>
      <c r="T14" s="34" t="s">
        <v>256</v>
      </c>
      <c r="U14" s="34" t="s">
        <v>257</v>
      </c>
      <c r="V14" s="34" t="s">
        <v>258</v>
      </c>
      <c r="W14" s="34" t="s">
        <v>259</v>
      </c>
      <c r="X14" s="34" t="s">
        <v>260</v>
      </c>
      <c r="Y14" s="34" t="s">
        <v>261</v>
      </c>
      <c r="Z14" s="34" t="s">
        <v>262</v>
      </c>
      <c r="AA14" s="34" t="s">
        <v>263</v>
      </c>
      <c r="AB14" s="34" t="s">
        <v>264</v>
      </c>
      <c r="AC14" s="34" t="s">
        <v>265</v>
      </c>
      <c r="AD14" s="34" t="s">
        <v>266</v>
      </c>
      <c r="AE14" s="34" t="s">
        <v>267</v>
      </c>
      <c r="AF14" s="34" t="s">
        <v>268</v>
      </c>
      <c r="AG14" s="34" t="s">
        <v>67</v>
      </c>
    </row>
    <row r="15" ht="12.75" customHeight="1">
      <c r="A15" s="34" t="s">
        <v>39</v>
      </c>
      <c r="B15" s="34" t="s">
        <v>269</v>
      </c>
      <c r="C15" s="34" t="s">
        <v>270</v>
      </c>
      <c r="D15" s="34" t="s">
        <v>30</v>
      </c>
      <c r="E15" s="34" t="s">
        <v>31</v>
      </c>
      <c r="F15" s="34" t="s">
        <v>31</v>
      </c>
      <c r="G15" s="34" t="s">
        <v>271</v>
      </c>
      <c r="H15" s="34" t="s">
        <v>272</v>
      </c>
      <c r="I15" s="34" t="s">
        <v>273</v>
      </c>
      <c r="J15" s="34" t="s">
        <v>274</v>
      </c>
      <c r="M15" s="34" t="s">
        <v>33</v>
      </c>
      <c r="O15" s="34" t="s">
        <v>275</v>
      </c>
      <c r="P15" s="34" t="s">
        <v>276</v>
      </c>
      <c r="Q15" s="34" t="s">
        <v>277</v>
      </c>
      <c r="R15" s="34" t="s">
        <v>278</v>
      </c>
      <c r="S15" s="34" t="s">
        <v>279</v>
      </c>
      <c r="T15" s="34" t="s">
        <v>280</v>
      </c>
      <c r="U15" s="34" t="s">
        <v>281</v>
      </c>
      <c r="V15" s="34" t="s">
        <v>282</v>
      </c>
      <c r="W15" s="34" t="s">
        <v>283</v>
      </c>
      <c r="X15" s="34" t="s">
        <v>284</v>
      </c>
      <c r="Y15" s="34" t="s">
        <v>285</v>
      </c>
      <c r="Z15" s="34" t="s">
        <v>286</v>
      </c>
      <c r="AA15" s="34" t="s">
        <v>287</v>
      </c>
      <c r="AB15" s="34" t="s">
        <v>288</v>
      </c>
      <c r="AC15" s="34" t="s">
        <v>289</v>
      </c>
      <c r="AD15" s="34" t="s">
        <v>290</v>
      </c>
      <c r="AE15" s="34" t="s">
        <v>291</v>
      </c>
      <c r="AF15" s="34" t="s">
        <v>292</v>
      </c>
      <c r="AG15" s="34" t="s">
        <v>67</v>
      </c>
    </row>
    <row r="16" ht="12.75" customHeight="1">
      <c r="A16" s="34" t="s">
        <v>39</v>
      </c>
      <c r="B16" s="34" t="s">
        <v>293</v>
      </c>
      <c r="C16" s="34" t="s">
        <v>294</v>
      </c>
      <c r="D16" s="34" t="s">
        <v>30</v>
      </c>
      <c r="E16" s="34" t="s">
        <v>31</v>
      </c>
      <c r="F16" s="34" t="s">
        <v>31</v>
      </c>
      <c r="G16" s="34" t="s">
        <v>295</v>
      </c>
      <c r="H16" s="34" t="s">
        <v>296</v>
      </c>
      <c r="I16" s="34" t="s">
        <v>297</v>
      </c>
      <c r="J16" s="34" t="s">
        <v>298</v>
      </c>
      <c r="M16" s="34" t="s">
        <v>33</v>
      </c>
      <c r="O16" s="34" t="s">
        <v>299</v>
      </c>
      <c r="P16" s="34" t="s">
        <v>300</v>
      </c>
      <c r="Q16" s="34" t="s">
        <v>301</v>
      </c>
      <c r="R16" s="34" t="s">
        <v>302</v>
      </c>
      <c r="S16" s="34" t="s">
        <v>303</v>
      </c>
      <c r="T16" s="34" t="s">
        <v>304</v>
      </c>
      <c r="U16" s="34" t="s">
        <v>305</v>
      </c>
      <c r="V16" s="34" t="s">
        <v>306</v>
      </c>
      <c r="W16" s="34" t="s">
        <v>307</v>
      </c>
      <c r="X16" s="34" t="s">
        <v>308</v>
      </c>
      <c r="Y16" s="34" t="s">
        <v>309</v>
      </c>
      <c r="Z16" s="34" t="s">
        <v>310</v>
      </c>
      <c r="AA16" s="34" t="s">
        <v>311</v>
      </c>
      <c r="AB16" s="34" t="s">
        <v>312</v>
      </c>
      <c r="AC16" s="34" t="s">
        <v>313</v>
      </c>
      <c r="AD16" s="34" t="s">
        <v>314</v>
      </c>
      <c r="AE16" s="34" t="s">
        <v>315</v>
      </c>
      <c r="AF16" s="34" t="s">
        <v>316</v>
      </c>
      <c r="AG16" s="34" t="s">
        <v>67</v>
      </c>
    </row>
    <row r="17" ht="12.75" customHeight="1">
      <c r="A17" s="34" t="s">
        <v>39</v>
      </c>
      <c r="B17" s="34" t="s">
        <v>317</v>
      </c>
      <c r="C17" s="34" t="s">
        <v>318</v>
      </c>
      <c r="D17" s="34" t="s">
        <v>30</v>
      </c>
      <c r="E17" s="34" t="s">
        <v>31</v>
      </c>
      <c r="F17" s="34" t="s">
        <v>31</v>
      </c>
      <c r="G17" s="34" t="s">
        <v>319</v>
      </c>
      <c r="H17" s="34" t="s">
        <v>320</v>
      </c>
      <c r="I17" s="34" t="s">
        <v>321</v>
      </c>
      <c r="J17" s="34" t="s">
        <v>322</v>
      </c>
      <c r="M17" s="34" t="s">
        <v>33</v>
      </c>
      <c r="O17" s="34" t="s">
        <v>323</v>
      </c>
      <c r="P17" s="34" t="s">
        <v>324</v>
      </c>
      <c r="Q17" s="34" t="s">
        <v>325</v>
      </c>
      <c r="R17" s="34" t="s">
        <v>326</v>
      </c>
      <c r="S17" s="34" t="s">
        <v>327</v>
      </c>
      <c r="T17" s="34" t="s">
        <v>328</v>
      </c>
      <c r="U17" s="34" t="s">
        <v>329</v>
      </c>
      <c r="V17" s="34" t="s">
        <v>330</v>
      </c>
      <c r="W17" s="34" t="s">
        <v>331</v>
      </c>
      <c r="X17" s="34" t="s">
        <v>332</v>
      </c>
      <c r="Y17" s="34" t="s">
        <v>333</v>
      </c>
      <c r="Z17" s="34" t="s">
        <v>334</v>
      </c>
      <c r="AA17" s="34" t="s">
        <v>335</v>
      </c>
      <c r="AB17" s="34" t="s">
        <v>336</v>
      </c>
      <c r="AC17" s="34" t="s">
        <v>337</v>
      </c>
      <c r="AD17" s="34" t="s">
        <v>338</v>
      </c>
      <c r="AE17" s="34" t="s">
        <v>339</v>
      </c>
      <c r="AF17" s="34" t="s">
        <v>340</v>
      </c>
      <c r="AG17" s="34" t="s">
        <v>67</v>
      </c>
    </row>
    <row r="18" ht="12.75" customHeight="1">
      <c r="A18" s="34" t="s">
        <v>39</v>
      </c>
      <c r="B18" s="34" t="s">
        <v>341</v>
      </c>
      <c r="C18" s="34" t="s">
        <v>342</v>
      </c>
      <c r="D18" s="34" t="s">
        <v>30</v>
      </c>
      <c r="E18" s="34" t="s">
        <v>31</v>
      </c>
      <c r="F18" s="34" t="s">
        <v>31</v>
      </c>
      <c r="G18" s="34" t="s">
        <v>343</v>
      </c>
      <c r="H18" s="34" t="s">
        <v>344</v>
      </c>
      <c r="I18" s="34" t="s">
        <v>345</v>
      </c>
      <c r="J18" s="34" t="s">
        <v>346</v>
      </c>
      <c r="M18" s="34" t="s">
        <v>33</v>
      </c>
      <c r="O18" s="34" t="s">
        <v>347</v>
      </c>
      <c r="P18" s="34" t="s">
        <v>348</v>
      </c>
      <c r="Q18" s="34" t="s">
        <v>349</v>
      </c>
      <c r="R18" s="34" t="s">
        <v>350</v>
      </c>
      <c r="S18" s="34" t="s">
        <v>351</v>
      </c>
      <c r="T18" s="34" t="s">
        <v>352</v>
      </c>
      <c r="U18" s="34" t="s">
        <v>353</v>
      </c>
      <c r="V18" s="34" t="s">
        <v>354</v>
      </c>
      <c r="W18" s="34" t="s">
        <v>355</v>
      </c>
      <c r="X18" s="34" t="s">
        <v>356</v>
      </c>
      <c r="Y18" s="34" t="s">
        <v>357</v>
      </c>
      <c r="Z18" s="34" t="s">
        <v>358</v>
      </c>
      <c r="AA18" s="34" t="s">
        <v>359</v>
      </c>
      <c r="AB18" s="34" t="s">
        <v>360</v>
      </c>
      <c r="AC18" s="34" t="s">
        <v>361</v>
      </c>
      <c r="AD18" s="34" t="s">
        <v>362</v>
      </c>
      <c r="AE18" s="34" t="s">
        <v>363</v>
      </c>
      <c r="AF18" s="34" t="s">
        <v>364</v>
      </c>
      <c r="AG18" s="34" t="s">
        <v>67</v>
      </c>
    </row>
    <row r="19" ht="12.75" customHeight="1">
      <c r="A19" s="34" t="s">
        <v>39</v>
      </c>
      <c r="B19" s="34" t="s">
        <v>365</v>
      </c>
      <c r="C19" s="34" t="s">
        <v>366</v>
      </c>
      <c r="D19" s="34" t="s">
        <v>30</v>
      </c>
      <c r="E19" s="34" t="s">
        <v>31</v>
      </c>
      <c r="F19" s="34" t="s">
        <v>31</v>
      </c>
      <c r="G19" s="34" t="s">
        <v>367</v>
      </c>
      <c r="H19" s="34" t="s">
        <v>368</v>
      </c>
      <c r="I19" s="34" t="s">
        <v>369</v>
      </c>
      <c r="J19" s="34" t="s">
        <v>370</v>
      </c>
      <c r="M19" s="34" t="s">
        <v>33</v>
      </c>
      <c r="O19" s="34" t="s">
        <v>371</v>
      </c>
      <c r="P19" s="34" t="s">
        <v>372</v>
      </c>
      <c r="Q19" s="34" t="s">
        <v>373</v>
      </c>
      <c r="R19" s="34" t="s">
        <v>374</v>
      </c>
      <c r="S19" s="34" t="s">
        <v>375</v>
      </c>
      <c r="T19" s="34" t="s">
        <v>376</v>
      </c>
      <c r="U19" s="34" t="s">
        <v>377</v>
      </c>
      <c r="V19" s="34" t="s">
        <v>378</v>
      </c>
      <c r="W19" s="34" t="s">
        <v>379</v>
      </c>
      <c r="X19" s="34" t="s">
        <v>380</v>
      </c>
      <c r="Y19" s="34" t="s">
        <v>381</v>
      </c>
      <c r="Z19" s="34" t="s">
        <v>382</v>
      </c>
      <c r="AA19" s="34" t="s">
        <v>383</v>
      </c>
      <c r="AB19" s="34" t="s">
        <v>384</v>
      </c>
      <c r="AC19" s="34" t="s">
        <v>385</v>
      </c>
      <c r="AD19" s="34" t="s">
        <v>386</v>
      </c>
      <c r="AE19" s="34" t="s">
        <v>387</v>
      </c>
      <c r="AF19" s="34" t="s">
        <v>388</v>
      </c>
      <c r="AG19" s="34" t="s">
        <v>67</v>
      </c>
    </row>
    <row r="20" ht="12.75" customHeight="1">
      <c r="A20" s="34" t="s">
        <v>39</v>
      </c>
      <c r="B20" s="34" t="s">
        <v>389</v>
      </c>
      <c r="C20" s="34" t="s">
        <v>390</v>
      </c>
      <c r="D20" s="34" t="s">
        <v>30</v>
      </c>
      <c r="E20" s="34" t="s">
        <v>31</v>
      </c>
      <c r="F20" s="34" t="s">
        <v>31</v>
      </c>
      <c r="G20" s="34" t="s">
        <v>391</v>
      </c>
      <c r="H20" s="34" t="s">
        <v>392</v>
      </c>
      <c r="I20" s="34" t="s">
        <v>393</v>
      </c>
      <c r="J20" s="34" t="s">
        <v>394</v>
      </c>
      <c r="M20" s="34" t="s">
        <v>33</v>
      </c>
      <c r="O20" s="34" t="s">
        <v>395</v>
      </c>
      <c r="P20" s="34" t="s">
        <v>396</v>
      </c>
      <c r="Q20" s="34" t="s">
        <v>397</v>
      </c>
      <c r="R20" s="34" t="s">
        <v>398</v>
      </c>
      <c r="S20" s="34" t="s">
        <v>399</v>
      </c>
      <c r="T20" s="34" t="s">
        <v>400</v>
      </c>
      <c r="U20" s="34" t="s">
        <v>401</v>
      </c>
      <c r="V20" s="34" t="s">
        <v>402</v>
      </c>
      <c r="W20" s="34" t="s">
        <v>403</v>
      </c>
      <c r="X20" s="34" t="s">
        <v>404</v>
      </c>
      <c r="Y20" s="34" t="s">
        <v>405</v>
      </c>
      <c r="Z20" s="34" t="s">
        <v>406</v>
      </c>
      <c r="AA20" s="34" t="s">
        <v>407</v>
      </c>
      <c r="AB20" s="34" t="s">
        <v>408</v>
      </c>
      <c r="AC20" s="34" t="s">
        <v>409</v>
      </c>
      <c r="AD20" s="34" t="s">
        <v>410</v>
      </c>
      <c r="AE20" s="34" t="s">
        <v>411</v>
      </c>
      <c r="AF20" s="34" t="s">
        <v>412</v>
      </c>
      <c r="AG20" s="34" t="s">
        <v>67</v>
      </c>
    </row>
    <row r="21" ht="12.75" customHeight="1">
      <c r="A21" s="34" t="s">
        <v>39</v>
      </c>
      <c r="B21" s="34" t="s">
        <v>413</v>
      </c>
      <c r="C21" s="34" t="s">
        <v>414</v>
      </c>
      <c r="D21" s="34" t="s">
        <v>30</v>
      </c>
      <c r="E21" s="34" t="s">
        <v>31</v>
      </c>
      <c r="F21" s="34" t="s">
        <v>31</v>
      </c>
      <c r="G21" s="34" t="s">
        <v>415</v>
      </c>
      <c r="H21" s="34" t="s">
        <v>416</v>
      </c>
      <c r="I21" s="34" t="s">
        <v>417</v>
      </c>
      <c r="J21" s="34" t="s">
        <v>418</v>
      </c>
      <c r="M21" s="34" t="s">
        <v>33</v>
      </c>
      <c r="O21" s="34" t="s">
        <v>419</v>
      </c>
      <c r="P21" s="34" t="s">
        <v>420</v>
      </c>
      <c r="Q21" s="34" t="s">
        <v>421</v>
      </c>
      <c r="R21" s="34" t="s">
        <v>422</v>
      </c>
      <c r="S21" s="34" t="s">
        <v>423</v>
      </c>
      <c r="T21" s="34" t="s">
        <v>424</v>
      </c>
      <c r="U21" s="34" t="s">
        <v>425</v>
      </c>
      <c r="V21" s="34" t="s">
        <v>426</v>
      </c>
      <c r="W21" s="34" t="s">
        <v>427</v>
      </c>
      <c r="X21" s="34" t="s">
        <v>428</v>
      </c>
      <c r="Y21" s="34" t="s">
        <v>429</v>
      </c>
      <c r="Z21" s="34" t="s">
        <v>430</v>
      </c>
      <c r="AA21" s="34" t="s">
        <v>431</v>
      </c>
      <c r="AB21" s="34" t="s">
        <v>432</v>
      </c>
      <c r="AC21" s="34" t="s">
        <v>433</v>
      </c>
      <c r="AD21" s="34" t="s">
        <v>434</v>
      </c>
      <c r="AE21" s="34" t="s">
        <v>435</v>
      </c>
      <c r="AF21" s="34" t="s">
        <v>436</v>
      </c>
      <c r="AG21" s="34" t="s">
        <v>67</v>
      </c>
    </row>
    <row r="22" ht="12.75" customHeight="1">
      <c r="A22" s="34" t="s">
        <v>39</v>
      </c>
      <c r="B22" s="34" t="s">
        <v>437</v>
      </c>
      <c r="C22" s="34" t="s">
        <v>438</v>
      </c>
      <c r="D22" s="34" t="s">
        <v>30</v>
      </c>
      <c r="E22" s="34" t="s">
        <v>31</v>
      </c>
      <c r="F22" s="34" t="s">
        <v>31</v>
      </c>
      <c r="G22" s="34" t="s">
        <v>439</v>
      </c>
      <c r="H22" s="34" t="s">
        <v>440</v>
      </c>
      <c r="I22" s="34" t="s">
        <v>441</v>
      </c>
      <c r="J22" s="34" t="s">
        <v>442</v>
      </c>
      <c r="M22" s="34" t="s">
        <v>33</v>
      </c>
      <c r="O22" s="34" t="s">
        <v>443</v>
      </c>
      <c r="P22" s="34" t="s">
        <v>444</v>
      </c>
      <c r="Q22" s="34" t="s">
        <v>445</v>
      </c>
      <c r="R22" s="34" t="s">
        <v>446</v>
      </c>
      <c r="S22" s="34" t="s">
        <v>447</v>
      </c>
      <c r="T22" s="34" t="s">
        <v>448</v>
      </c>
      <c r="U22" s="34" t="s">
        <v>449</v>
      </c>
      <c r="V22" s="34" t="s">
        <v>450</v>
      </c>
      <c r="W22" s="34" t="s">
        <v>451</v>
      </c>
      <c r="X22" s="34" t="s">
        <v>452</v>
      </c>
      <c r="Y22" s="34" t="s">
        <v>453</v>
      </c>
      <c r="Z22" s="34" t="s">
        <v>454</v>
      </c>
      <c r="AA22" s="34" t="s">
        <v>455</v>
      </c>
      <c r="AB22" s="34" t="s">
        <v>456</v>
      </c>
      <c r="AC22" s="34" t="s">
        <v>457</v>
      </c>
      <c r="AD22" s="34" t="s">
        <v>458</v>
      </c>
      <c r="AE22" s="34" t="s">
        <v>459</v>
      </c>
      <c r="AF22" s="34" t="s">
        <v>460</v>
      </c>
      <c r="AG22" s="34" t="s">
        <v>67</v>
      </c>
    </row>
    <row r="23" ht="12.75" customHeight="1">
      <c r="A23" s="34" t="s">
        <v>39</v>
      </c>
      <c r="B23" s="34" t="s">
        <v>461</v>
      </c>
      <c r="C23" s="34" t="s">
        <v>462</v>
      </c>
      <c r="D23" s="34" t="s">
        <v>30</v>
      </c>
      <c r="E23" s="34" t="s">
        <v>31</v>
      </c>
      <c r="F23" s="34" t="s">
        <v>31</v>
      </c>
      <c r="G23" s="34" t="s">
        <v>463</v>
      </c>
      <c r="H23" s="34" t="s">
        <v>464</v>
      </c>
      <c r="I23" s="34" t="s">
        <v>465</v>
      </c>
      <c r="J23" s="34" t="s">
        <v>466</v>
      </c>
      <c r="M23" s="34" t="s">
        <v>33</v>
      </c>
      <c r="O23" s="34" t="s">
        <v>467</v>
      </c>
      <c r="P23" s="34" t="s">
        <v>468</v>
      </c>
      <c r="Q23" s="34" t="s">
        <v>469</v>
      </c>
      <c r="R23" s="34" t="s">
        <v>470</v>
      </c>
      <c r="S23" s="34" t="s">
        <v>471</v>
      </c>
      <c r="T23" s="34" t="s">
        <v>472</v>
      </c>
      <c r="U23" s="34" t="s">
        <v>473</v>
      </c>
      <c r="V23" s="34" t="s">
        <v>474</v>
      </c>
      <c r="W23" s="34" t="s">
        <v>475</v>
      </c>
      <c r="X23" s="34" t="s">
        <v>476</v>
      </c>
      <c r="Y23" s="34" t="s">
        <v>477</v>
      </c>
      <c r="Z23" s="34" t="s">
        <v>478</v>
      </c>
      <c r="AA23" s="34" t="s">
        <v>479</v>
      </c>
      <c r="AB23" s="34" t="s">
        <v>480</v>
      </c>
      <c r="AC23" s="34" t="s">
        <v>481</v>
      </c>
      <c r="AD23" s="34" t="s">
        <v>482</v>
      </c>
      <c r="AE23" s="34" t="s">
        <v>483</v>
      </c>
      <c r="AF23" s="34" t="s">
        <v>484</v>
      </c>
      <c r="AG23" s="34" t="s">
        <v>67</v>
      </c>
    </row>
    <row r="24" ht="12.75" customHeight="1">
      <c r="A24" s="34" t="s">
        <v>39</v>
      </c>
      <c r="B24" s="34" t="s">
        <v>485</v>
      </c>
      <c r="C24" s="34" t="s">
        <v>486</v>
      </c>
      <c r="D24" s="34" t="s">
        <v>30</v>
      </c>
      <c r="E24" s="34" t="s">
        <v>31</v>
      </c>
      <c r="F24" s="34" t="s">
        <v>31</v>
      </c>
      <c r="G24" s="34" t="s">
        <v>487</v>
      </c>
      <c r="H24" s="34" t="s">
        <v>488</v>
      </c>
      <c r="I24" s="34" t="s">
        <v>489</v>
      </c>
      <c r="J24" s="34" t="s">
        <v>490</v>
      </c>
      <c r="M24" s="34" t="s">
        <v>33</v>
      </c>
      <c r="O24" s="34" t="s">
        <v>491</v>
      </c>
      <c r="P24" s="34" t="s">
        <v>492</v>
      </c>
      <c r="Q24" s="34" t="s">
        <v>493</v>
      </c>
      <c r="R24" s="34" t="s">
        <v>494</v>
      </c>
      <c r="S24" s="34" t="s">
        <v>495</v>
      </c>
      <c r="T24" s="34" t="s">
        <v>496</v>
      </c>
      <c r="U24" s="34" t="s">
        <v>497</v>
      </c>
      <c r="V24" s="34" t="s">
        <v>498</v>
      </c>
      <c r="W24" s="34" t="s">
        <v>499</v>
      </c>
      <c r="X24" s="34" t="s">
        <v>500</v>
      </c>
      <c r="Y24" s="34" t="s">
        <v>501</v>
      </c>
      <c r="Z24" s="34" t="s">
        <v>502</v>
      </c>
      <c r="AA24" s="34" t="s">
        <v>503</v>
      </c>
      <c r="AB24" s="34" t="s">
        <v>504</v>
      </c>
      <c r="AC24" s="34" t="s">
        <v>505</v>
      </c>
      <c r="AD24" s="34" t="s">
        <v>506</v>
      </c>
      <c r="AE24" s="34" t="s">
        <v>507</v>
      </c>
      <c r="AF24" s="34" t="s">
        <v>508</v>
      </c>
      <c r="AG24" s="34" t="s">
        <v>67</v>
      </c>
    </row>
    <row r="25" ht="12.75" customHeight="1">
      <c r="A25" s="34" t="s">
        <v>39</v>
      </c>
      <c r="B25" s="34" t="s">
        <v>509</v>
      </c>
      <c r="C25" s="34" t="s">
        <v>510</v>
      </c>
      <c r="D25" s="34" t="s">
        <v>30</v>
      </c>
      <c r="E25" s="34" t="s">
        <v>31</v>
      </c>
      <c r="F25" s="34" t="s">
        <v>31</v>
      </c>
      <c r="G25" s="34" t="s">
        <v>511</v>
      </c>
      <c r="H25" s="34" t="s">
        <v>512</v>
      </c>
      <c r="I25" s="34" t="s">
        <v>513</v>
      </c>
      <c r="J25" s="34" t="s">
        <v>514</v>
      </c>
      <c r="M25" s="34" t="s">
        <v>33</v>
      </c>
      <c r="O25" s="34" t="s">
        <v>515</v>
      </c>
      <c r="P25" s="34" t="s">
        <v>516</v>
      </c>
      <c r="Q25" s="34" t="s">
        <v>517</v>
      </c>
      <c r="R25" s="34" t="s">
        <v>518</v>
      </c>
      <c r="S25" s="34" t="s">
        <v>519</v>
      </c>
      <c r="T25" s="34" t="s">
        <v>520</v>
      </c>
      <c r="U25" s="34" t="s">
        <v>521</v>
      </c>
      <c r="V25" s="34" t="s">
        <v>522</v>
      </c>
      <c r="W25" s="34" t="s">
        <v>523</v>
      </c>
      <c r="X25" s="34" t="s">
        <v>524</v>
      </c>
      <c r="Y25" s="34" t="s">
        <v>525</v>
      </c>
      <c r="Z25" s="34" t="s">
        <v>526</v>
      </c>
      <c r="AA25" s="34" t="s">
        <v>527</v>
      </c>
      <c r="AB25" s="34" t="s">
        <v>528</v>
      </c>
      <c r="AC25" s="34" t="s">
        <v>529</v>
      </c>
      <c r="AD25" s="34" t="s">
        <v>530</v>
      </c>
      <c r="AE25" s="34" t="s">
        <v>531</v>
      </c>
      <c r="AF25" s="34" t="s">
        <v>532</v>
      </c>
      <c r="AG25" s="34" t="s">
        <v>67</v>
      </c>
    </row>
    <row r="26" ht="12.75" customHeight="1">
      <c r="A26" s="34" t="s">
        <v>39</v>
      </c>
      <c r="B26" s="34" t="s">
        <v>533</v>
      </c>
      <c r="C26" s="34" t="s">
        <v>534</v>
      </c>
      <c r="D26" s="34" t="s">
        <v>30</v>
      </c>
      <c r="E26" s="34" t="s">
        <v>31</v>
      </c>
      <c r="F26" s="34" t="s">
        <v>31</v>
      </c>
      <c r="G26" s="34" t="s">
        <v>535</v>
      </c>
      <c r="H26" s="34" t="s">
        <v>536</v>
      </c>
      <c r="I26" s="34" t="s">
        <v>537</v>
      </c>
      <c r="J26" s="34" t="s">
        <v>538</v>
      </c>
      <c r="M26" s="34" t="s">
        <v>33</v>
      </c>
      <c r="O26" s="34" t="s">
        <v>539</v>
      </c>
      <c r="P26" s="34" t="s">
        <v>540</v>
      </c>
      <c r="Q26" s="34" t="s">
        <v>541</v>
      </c>
      <c r="R26" s="34" t="s">
        <v>542</v>
      </c>
      <c r="S26" s="34" t="s">
        <v>543</v>
      </c>
      <c r="T26" s="34" t="s">
        <v>544</v>
      </c>
      <c r="U26" s="34" t="s">
        <v>545</v>
      </c>
      <c r="V26" s="34" t="s">
        <v>546</v>
      </c>
      <c r="W26" s="34" t="s">
        <v>547</v>
      </c>
      <c r="X26" s="34" t="s">
        <v>548</v>
      </c>
      <c r="Y26" s="34" t="s">
        <v>549</v>
      </c>
      <c r="Z26" s="34" t="s">
        <v>550</v>
      </c>
      <c r="AA26" s="34" t="s">
        <v>551</v>
      </c>
      <c r="AB26" s="34" t="s">
        <v>552</v>
      </c>
      <c r="AC26" s="34" t="s">
        <v>553</v>
      </c>
      <c r="AD26" s="34" t="s">
        <v>554</v>
      </c>
      <c r="AE26" s="34" t="s">
        <v>555</v>
      </c>
      <c r="AF26" s="34" t="s">
        <v>556</v>
      </c>
      <c r="AG26" s="34" t="s">
        <v>67</v>
      </c>
    </row>
    <row r="27" ht="12.75" customHeight="1">
      <c r="A27" s="34" t="s">
        <v>39</v>
      </c>
      <c r="B27" s="34" t="s">
        <v>557</v>
      </c>
      <c r="C27" s="34" t="s">
        <v>558</v>
      </c>
      <c r="D27" s="34" t="s">
        <v>30</v>
      </c>
      <c r="E27" s="34" t="s">
        <v>31</v>
      </c>
      <c r="F27" s="34" t="s">
        <v>31</v>
      </c>
      <c r="G27" s="34" t="s">
        <v>559</v>
      </c>
      <c r="H27" s="34" t="s">
        <v>560</v>
      </c>
      <c r="I27" s="34" t="s">
        <v>561</v>
      </c>
      <c r="J27" s="34" t="s">
        <v>562</v>
      </c>
      <c r="M27" s="34" t="s">
        <v>33</v>
      </c>
      <c r="O27" s="34" t="s">
        <v>563</v>
      </c>
      <c r="P27" s="34" t="s">
        <v>564</v>
      </c>
      <c r="Q27" s="34" t="s">
        <v>565</v>
      </c>
      <c r="R27" s="34" t="s">
        <v>566</v>
      </c>
      <c r="S27" s="34" t="s">
        <v>567</v>
      </c>
      <c r="T27" s="34" t="s">
        <v>568</v>
      </c>
      <c r="U27" s="34" t="s">
        <v>569</v>
      </c>
      <c r="V27" s="34" t="s">
        <v>570</v>
      </c>
      <c r="W27" s="34" t="s">
        <v>571</v>
      </c>
      <c r="X27" s="34" t="s">
        <v>572</v>
      </c>
      <c r="Y27" s="34" t="s">
        <v>573</v>
      </c>
      <c r="Z27" s="34" t="s">
        <v>574</v>
      </c>
      <c r="AA27" s="34" t="s">
        <v>575</v>
      </c>
      <c r="AB27" s="34" t="s">
        <v>576</v>
      </c>
      <c r="AC27" s="34" t="s">
        <v>577</v>
      </c>
      <c r="AD27" s="34" t="s">
        <v>578</v>
      </c>
      <c r="AE27" s="34" t="s">
        <v>579</v>
      </c>
      <c r="AF27" s="34" t="s">
        <v>580</v>
      </c>
      <c r="AG27" s="34" t="s">
        <v>67</v>
      </c>
    </row>
    <row r="28" ht="12.75" customHeight="1">
      <c r="A28" s="34" t="s">
        <v>39</v>
      </c>
      <c r="B28" s="34" t="s">
        <v>581</v>
      </c>
      <c r="C28" s="34" t="s">
        <v>582</v>
      </c>
      <c r="D28" s="34" t="s">
        <v>30</v>
      </c>
      <c r="E28" s="34" t="s">
        <v>31</v>
      </c>
      <c r="F28" s="34" t="s">
        <v>31</v>
      </c>
      <c r="G28" s="34" t="s">
        <v>583</v>
      </c>
      <c r="H28" s="34" t="s">
        <v>584</v>
      </c>
      <c r="I28" s="34" t="s">
        <v>585</v>
      </c>
      <c r="J28" s="34" t="s">
        <v>586</v>
      </c>
      <c r="M28" s="34" t="s">
        <v>33</v>
      </c>
      <c r="O28" s="34" t="s">
        <v>587</v>
      </c>
      <c r="P28" s="34" t="s">
        <v>588</v>
      </c>
      <c r="Q28" s="34" t="s">
        <v>589</v>
      </c>
      <c r="R28" s="34" t="s">
        <v>590</v>
      </c>
      <c r="S28" s="34" t="s">
        <v>591</v>
      </c>
      <c r="T28" s="34" t="s">
        <v>592</v>
      </c>
      <c r="U28" s="34" t="s">
        <v>593</v>
      </c>
      <c r="V28" s="34" t="s">
        <v>594</v>
      </c>
      <c r="W28" s="34" t="s">
        <v>595</v>
      </c>
      <c r="X28" s="34" t="s">
        <v>596</v>
      </c>
      <c r="Y28" s="34" t="s">
        <v>597</v>
      </c>
      <c r="Z28" s="34" t="s">
        <v>598</v>
      </c>
      <c r="AA28" s="34" t="s">
        <v>599</v>
      </c>
      <c r="AB28" s="34" t="s">
        <v>600</v>
      </c>
      <c r="AC28" s="34" t="s">
        <v>601</v>
      </c>
      <c r="AD28" s="34" t="s">
        <v>602</v>
      </c>
      <c r="AE28" s="34" t="s">
        <v>603</v>
      </c>
      <c r="AF28" s="34" t="s">
        <v>604</v>
      </c>
      <c r="AG28" s="34" t="s">
        <v>67</v>
      </c>
    </row>
    <row r="29" ht="12.75" customHeight="1">
      <c r="A29" s="34" t="s">
        <v>39</v>
      </c>
      <c r="B29" s="34" t="s">
        <v>605</v>
      </c>
      <c r="C29" s="34" t="s">
        <v>606</v>
      </c>
      <c r="D29" s="34" t="s">
        <v>30</v>
      </c>
      <c r="E29" s="34" t="s">
        <v>31</v>
      </c>
      <c r="F29" s="34" t="s">
        <v>31</v>
      </c>
      <c r="G29" s="34" t="s">
        <v>607</v>
      </c>
      <c r="H29" s="34" t="s">
        <v>608</v>
      </c>
      <c r="I29" s="34" t="s">
        <v>609</v>
      </c>
      <c r="J29" s="34" t="s">
        <v>610</v>
      </c>
      <c r="M29" s="34" t="s">
        <v>33</v>
      </c>
      <c r="O29" s="34" t="s">
        <v>611</v>
      </c>
      <c r="P29" s="34" t="s">
        <v>612</v>
      </c>
      <c r="Q29" s="34" t="s">
        <v>613</v>
      </c>
      <c r="R29" s="34" t="s">
        <v>614</v>
      </c>
      <c r="S29" s="34" t="s">
        <v>615</v>
      </c>
      <c r="T29" s="34" t="s">
        <v>616</v>
      </c>
      <c r="U29" s="34" t="s">
        <v>617</v>
      </c>
      <c r="V29" s="34" t="s">
        <v>618</v>
      </c>
      <c r="W29" s="34" t="s">
        <v>619</v>
      </c>
      <c r="X29" s="34" t="s">
        <v>620</v>
      </c>
      <c r="Y29" s="34" t="s">
        <v>621</v>
      </c>
      <c r="Z29" s="34" t="s">
        <v>622</v>
      </c>
      <c r="AA29" s="34" t="s">
        <v>623</v>
      </c>
      <c r="AB29" s="34" t="s">
        <v>624</v>
      </c>
      <c r="AC29" s="34" t="s">
        <v>625</v>
      </c>
      <c r="AD29" s="34" t="s">
        <v>626</v>
      </c>
      <c r="AE29" s="34" t="s">
        <v>627</v>
      </c>
      <c r="AF29" s="34" t="s">
        <v>628</v>
      </c>
      <c r="AG29" s="34" t="s">
        <v>67</v>
      </c>
    </row>
    <row r="30" ht="12.75" customHeight="1">
      <c r="A30" s="34" t="s">
        <v>39</v>
      </c>
      <c r="B30" s="34" t="s">
        <v>629</v>
      </c>
      <c r="C30" s="34" t="s">
        <v>630</v>
      </c>
      <c r="D30" s="34" t="s">
        <v>30</v>
      </c>
      <c r="E30" s="34" t="s">
        <v>31</v>
      </c>
      <c r="F30" s="34" t="s">
        <v>31</v>
      </c>
      <c r="G30" s="34" t="s">
        <v>631</v>
      </c>
      <c r="H30" s="34" t="s">
        <v>632</v>
      </c>
      <c r="I30" s="34" t="s">
        <v>633</v>
      </c>
      <c r="J30" s="34" t="s">
        <v>634</v>
      </c>
      <c r="M30" s="34" t="s">
        <v>33</v>
      </c>
      <c r="O30" s="34" t="s">
        <v>635</v>
      </c>
      <c r="P30" s="34" t="s">
        <v>636</v>
      </c>
      <c r="Q30" s="34" t="s">
        <v>637</v>
      </c>
      <c r="R30" s="34" t="s">
        <v>638</v>
      </c>
      <c r="S30" s="34" t="s">
        <v>639</v>
      </c>
      <c r="T30" s="34" t="s">
        <v>640</v>
      </c>
      <c r="U30" s="34" t="s">
        <v>641</v>
      </c>
      <c r="V30" s="34" t="s">
        <v>642</v>
      </c>
      <c r="W30" s="34" t="s">
        <v>643</v>
      </c>
      <c r="X30" s="34" t="s">
        <v>644</v>
      </c>
      <c r="Y30" s="34" t="s">
        <v>645</v>
      </c>
      <c r="Z30" s="34" t="s">
        <v>646</v>
      </c>
      <c r="AA30" s="34" t="s">
        <v>647</v>
      </c>
      <c r="AB30" s="34" t="s">
        <v>648</v>
      </c>
      <c r="AC30" s="34" t="s">
        <v>649</v>
      </c>
      <c r="AD30" s="34" t="s">
        <v>650</v>
      </c>
      <c r="AE30" s="34" t="s">
        <v>651</v>
      </c>
      <c r="AF30" s="34" t="s">
        <v>652</v>
      </c>
      <c r="AG30" s="34" t="s">
        <v>67</v>
      </c>
    </row>
    <row r="31" ht="12.75" customHeight="1">
      <c r="A31" s="34" t="s">
        <v>39</v>
      </c>
      <c r="B31" s="34" t="s">
        <v>653</v>
      </c>
      <c r="C31" s="34" t="s">
        <v>654</v>
      </c>
      <c r="D31" s="34" t="s">
        <v>30</v>
      </c>
      <c r="E31" s="34" t="s">
        <v>31</v>
      </c>
      <c r="F31" s="34" t="s">
        <v>31</v>
      </c>
      <c r="G31" s="34" t="s">
        <v>655</v>
      </c>
      <c r="H31" s="34" t="s">
        <v>656</v>
      </c>
      <c r="I31" s="34" t="s">
        <v>657</v>
      </c>
      <c r="J31" s="34" t="s">
        <v>658</v>
      </c>
      <c r="M31" s="34" t="s">
        <v>33</v>
      </c>
      <c r="O31" s="34" t="s">
        <v>659</v>
      </c>
      <c r="P31" s="34" t="s">
        <v>660</v>
      </c>
      <c r="Q31" s="34" t="s">
        <v>661</v>
      </c>
      <c r="R31" s="34" t="s">
        <v>662</v>
      </c>
      <c r="S31" s="34" t="s">
        <v>663</v>
      </c>
      <c r="T31" s="34" t="s">
        <v>664</v>
      </c>
      <c r="U31" s="34" t="s">
        <v>665</v>
      </c>
      <c r="V31" s="34" t="s">
        <v>666</v>
      </c>
      <c r="W31" s="34" t="s">
        <v>667</v>
      </c>
      <c r="X31" s="34" t="s">
        <v>668</v>
      </c>
      <c r="Y31" s="34" t="s">
        <v>669</v>
      </c>
      <c r="Z31" s="34" t="s">
        <v>670</v>
      </c>
      <c r="AA31" s="34" t="s">
        <v>671</v>
      </c>
      <c r="AB31" s="34" t="s">
        <v>672</v>
      </c>
      <c r="AC31" s="34" t="s">
        <v>673</v>
      </c>
      <c r="AD31" s="34" t="s">
        <v>674</v>
      </c>
      <c r="AE31" s="34" t="s">
        <v>675</v>
      </c>
      <c r="AF31" s="34" t="s">
        <v>676</v>
      </c>
      <c r="AG31" s="34" t="s">
        <v>67</v>
      </c>
    </row>
    <row r="32" ht="12.75" customHeight="1">
      <c r="A32" s="34" t="s">
        <v>39</v>
      </c>
      <c r="B32" s="34" t="s">
        <v>677</v>
      </c>
      <c r="C32" s="34" t="s">
        <v>678</v>
      </c>
      <c r="D32" s="34" t="s">
        <v>30</v>
      </c>
      <c r="E32" s="34" t="s">
        <v>31</v>
      </c>
      <c r="F32" s="34" t="s">
        <v>31</v>
      </c>
      <c r="G32" s="34" t="s">
        <v>679</v>
      </c>
      <c r="H32" s="34" t="s">
        <v>680</v>
      </c>
      <c r="I32" s="34" t="s">
        <v>681</v>
      </c>
      <c r="J32" s="34" t="s">
        <v>682</v>
      </c>
      <c r="M32" s="34" t="s">
        <v>33</v>
      </c>
      <c r="O32" s="34" t="s">
        <v>683</v>
      </c>
      <c r="P32" s="34" t="s">
        <v>684</v>
      </c>
      <c r="Q32" s="34" t="s">
        <v>685</v>
      </c>
      <c r="R32" s="34" t="s">
        <v>686</v>
      </c>
      <c r="S32" s="34" t="s">
        <v>687</v>
      </c>
      <c r="T32" s="34" t="s">
        <v>688</v>
      </c>
      <c r="U32" s="34" t="s">
        <v>689</v>
      </c>
      <c r="V32" s="34" t="s">
        <v>690</v>
      </c>
      <c r="W32" s="34" t="s">
        <v>691</v>
      </c>
      <c r="X32" s="34" t="s">
        <v>692</v>
      </c>
      <c r="Y32" s="34" t="s">
        <v>693</v>
      </c>
      <c r="Z32" s="34" t="s">
        <v>694</v>
      </c>
      <c r="AA32" s="34" t="s">
        <v>695</v>
      </c>
      <c r="AB32" s="34" t="s">
        <v>696</v>
      </c>
      <c r="AC32" s="34" t="s">
        <v>697</v>
      </c>
      <c r="AD32" s="34" t="s">
        <v>698</v>
      </c>
      <c r="AE32" s="34" t="s">
        <v>699</v>
      </c>
      <c r="AF32" s="34" t="s">
        <v>700</v>
      </c>
      <c r="AG32" s="34" t="s">
        <v>67</v>
      </c>
    </row>
    <row r="33" ht="12.75" customHeight="1">
      <c r="A33" s="34" t="s">
        <v>39</v>
      </c>
      <c r="B33" s="34" t="s">
        <v>701</v>
      </c>
      <c r="C33" s="34" t="s">
        <v>702</v>
      </c>
      <c r="D33" s="34" t="s">
        <v>30</v>
      </c>
      <c r="E33" s="34" t="s">
        <v>31</v>
      </c>
      <c r="F33" s="34" t="s">
        <v>31</v>
      </c>
      <c r="G33" s="34" t="s">
        <v>703</v>
      </c>
      <c r="H33" s="34" t="s">
        <v>704</v>
      </c>
      <c r="I33" s="34" t="s">
        <v>705</v>
      </c>
      <c r="J33" s="34" t="s">
        <v>706</v>
      </c>
      <c r="M33" s="34" t="s">
        <v>33</v>
      </c>
      <c r="O33" s="34" t="s">
        <v>707</v>
      </c>
      <c r="P33" s="34" t="s">
        <v>708</v>
      </c>
      <c r="Q33" s="34" t="s">
        <v>709</v>
      </c>
      <c r="R33" s="34" t="s">
        <v>710</v>
      </c>
      <c r="S33" s="34" t="s">
        <v>711</v>
      </c>
      <c r="T33" s="34" t="s">
        <v>712</v>
      </c>
      <c r="U33" s="34" t="s">
        <v>713</v>
      </c>
      <c r="V33" s="34" t="s">
        <v>714</v>
      </c>
      <c r="W33" s="34" t="s">
        <v>715</v>
      </c>
      <c r="X33" s="34" t="s">
        <v>716</v>
      </c>
      <c r="Y33" s="34" t="s">
        <v>717</v>
      </c>
      <c r="Z33" s="34" t="s">
        <v>718</v>
      </c>
      <c r="AA33" s="34" t="s">
        <v>719</v>
      </c>
      <c r="AB33" s="34" t="s">
        <v>720</v>
      </c>
      <c r="AC33" s="34" t="s">
        <v>721</v>
      </c>
      <c r="AD33" s="34" t="s">
        <v>722</v>
      </c>
      <c r="AE33" s="34" t="s">
        <v>723</v>
      </c>
      <c r="AF33" s="34" t="s">
        <v>724</v>
      </c>
      <c r="AG33" s="34" t="s">
        <v>67</v>
      </c>
    </row>
    <row r="34" ht="12.75" customHeight="1">
      <c r="A34" s="34" t="s">
        <v>39</v>
      </c>
      <c r="B34" s="34" t="s">
        <v>725</v>
      </c>
      <c r="C34" s="34" t="s">
        <v>726</v>
      </c>
      <c r="D34" s="34" t="s">
        <v>30</v>
      </c>
      <c r="E34" s="34" t="s">
        <v>31</v>
      </c>
      <c r="F34" s="34" t="s">
        <v>31</v>
      </c>
      <c r="G34" s="34" t="s">
        <v>727</v>
      </c>
      <c r="H34" s="34" t="s">
        <v>728</v>
      </c>
      <c r="I34" s="34" t="s">
        <v>729</v>
      </c>
      <c r="J34" s="34" t="s">
        <v>730</v>
      </c>
      <c r="M34" s="34" t="s">
        <v>33</v>
      </c>
      <c r="O34" s="34" t="s">
        <v>731</v>
      </c>
      <c r="P34" s="34" t="s">
        <v>732</v>
      </c>
      <c r="Q34" s="34" t="s">
        <v>733</v>
      </c>
      <c r="R34" s="34" t="s">
        <v>734</v>
      </c>
      <c r="S34" s="34" t="s">
        <v>735</v>
      </c>
      <c r="T34" s="34" t="s">
        <v>736</v>
      </c>
      <c r="U34" s="34" t="s">
        <v>737</v>
      </c>
      <c r="V34" s="34" t="s">
        <v>738</v>
      </c>
      <c r="W34" s="34" t="s">
        <v>739</v>
      </c>
      <c r="X34" s="34" t="s">
        <v>740</v>
      </c>
      <c r="Y34" s="34" t="s">
        <v>741</v>
      </c>
      <c r="Z34" s="34" t="s">
        <v>742</v>
      </c>
      <c r="AA34" s="34" t="s">
        <v>743</v>
      </c>
      <c r="AB34" s="34" t="s">
        <v>744</v>
      </c>
      <c r="AC34" s="34" t="s">
        <v>745</v>
      </c>
      <c r="AD34" s="34" t="s">
        <v>746</v>
      </c>
      <c r="AE34" s="34" t="s">
        <v>747</v>
      </c>
      <c r="AF34" s="34" t="s">
        <v>748</v>
      </c>
      <c r="AG34" s="34" t="s">
        <v>67</v>
      </c>
    </row>
    <row r="35" ht="12.75" customHeight="1">
      <c r="A35" s="34" t="s">
        <v>39</v>
      </c>
      <c r="B35" s="34" t="s">
        <v>749</v>
      </c>
      <c r="C35" s="34" t="s">
        <v>750</v>
      </c>
      <c r="D35" s="34" t="s">
        <v>30</v>
      </c>
      <c r="E35" s="34" t="s">
        <v>31</v>
      </c>
      <c r="F35" s="34" t="s">
        <v>31</v>
      </c>
      <c r="G35" s="34" t="s">
        <v>751</v>
      </c>
      <c r="H35" s="34" t="s">
        <v>752</v>
      </c>
      <c r="I35" s="34" t="s">
        <v>753</v>
      </c>
      <c r="J35" s="34" t="s">
        <v>754</v>
      </c>
      <c r="M35" s="34" t="s">
        <v>33</v>
      </c>
      <c r="O35" s="34" t="s">
        <v>755</v>
      </c>
      <c r="P35" s="34" t="s">
        <v>756</v>
      </c>
      <c r="Q35" s="34" t="s">
        <v>757</v>
      </c>
      <c r="R35" s="34" t="s">
        <v>758</v>
      </c>
      <c r="S35" s="34" t="s">
        <v>759</v>
      </c>
      <c r="T35" s="34" t="s">
        <v>760</v>
      </c>
      <c r="U35" s="34" t="s">
        <v>761</v>
      </c>
      <c r="V35" s="34" t="s">
        <v>762</v>
      </c>
      <c r="W35" s="34" t="s">
        <v>763</v>
      </c>
      <c r="X35" s="34" t="s">
        <v>764</v>
      </c>
      <c r="Y35" s="34" t="s">
        <v>765</v>
      </c>
      <c r="Z35" s="34" t="s">
        <v>766</v>
      </c>
      <c r="AA35" s="34" t="s">
        <v>767</v>
      </c>
      <c r="AB35" s="34" t="s">
        <v>768</v>
      </c>
      <c r="AC35" s="34" t="s">
        <v>769</v>
      </c>
      <c r="AD35" s="34" t="s">
        <v>770</v>
      </c>
      <c r="AE35" s="34" t="s">
        <v>771</v>
      </c>
      <c r="AF35" s="34" t="s">
        <v>772</v>
      </c>
      <c r="AG35" s="34" t="s">
        <v>67</v>
      </c>
    </row>
    <row r="36" ht="12.75" customHeight="1">
      <c r="A36" s="34" t="s">
        <v>39</v>
      </c>
      <c r="B36" s="34" t="s">
        <v>773</v>
      </c>
      <c r="C36" s="34" t="s">
        <v>774</v>
      </c>
      <c r="D36" s="34" t="s">
        <v>30</v>
      </c>
      <c r="E36" s="34" t="s">
        <v>31</v>
      </c>
      <c r="F36" s="34" t="s">
        <v>31</v>
      </c>
      <c r="G36" s="34" t="s">
        <v>775</v>
      </c>
      <c r="H36" s="34" t="s">
        <v>776</v>
      </c>
      <c r="I36" s="34" t="s">
        <v>777</v>
      </c>
      <c r="J36" s="34" t="s">
        <v>778</v>
      </c>
      <c r="M36" s="34" t="s">
        <v>33</v>
      </c>
      <c r="O36" s="34" t="s">
        <v>779</v>
      </c>
      <c r="P36" s="34" t="s">
        <v>780</v>
      </c>
      <c r="Q36" s="34" t="s">
        <v>781</v>
      </c>
      <c r="R36" s="34" t="s">
        <v>782</v>
      </c>
      <c r="S36" s="34" t="s">
        <v>783</v>
      </c>
      <c r="T36" s="34" t="s">
        <v>784</v>
      </c>
      <c r="U36" s="34" t="s">
        <v>785</v>
      </c>
      <c r="V36" s="34" t="s">
        <v>786</v>
      </c>
      <c r="W36" s="34" t="s">
        <v>787</v>
      </c>
      <c r="X36" s="34" t="s">
        <v>788</v>
      </c>
      <c r="Y36" s="34" t="s">
        <v>789</v>
      </c>
      <c r="Z36" s="34" t="s">
        <v>790</v>
      </c>
      <c r="AA36" s="34" t="s">
        <v>791</v>
      </c>
      <c r="AB36" s="34" t="s">
        <v>792</v>
      </c>
      <c r="AC36" s="34" t="s">
        <v>793</v>
      </c>
      <c r="AD36" s="34" t="s">
        <v>794</v>
      </c>
      <c r="AE36" s="34" t="s">
        <v>795</v>
      </c>
      <c r="AF36" s="34" t="s">
        <v>796</v>
      </c>
      <c r="AG36" s="34" t="s">
        <v>67</v>
      </c>
    </row>
    <row r="37" ht="12.75" customHeight="1">
      <c r="A37" s="34" t="s">
        <v>39</v>
      </c>
      <c r="B37" s="34" t="s">
        <v>797</v>
      </c>
      <c r="C37" s="34" t="s">
        <v>798</v>
      </c>
      <c r="D37" s="34" t="s">
        <v>30</v>
      </c>
      <c r="E37" s="34" t="s">
        <v>31</v>
      </c>
      <c r="F37" s="34" t="s">
        <v>31</v>
      </c>
      <c r="G37" s="34" t="s">
        <v>799</v>
      </c>
      <c r="H37" s="34" t="s">
        <v>800</v>
      </c>
      <c r="I37" s="34" t="s">
        <v>801</v>
      </c>
      <c r="J37" s="34" t="s">
        <v>802</v>
      </c>
      <c r="M37" s="34" t="s">
        <v>33</v>
      </c>
      <c r="O37" s="34" t="s">
        <v>803</v>
      </c>
      <c r="P37" s="34" t="s">
        <v>804</v>
      </c>
      <c r="Q37" s="34" t="s">
        <v>805</v>
      </c>
      <c r="R37" s="34" t="s">
        <v>806</v>
      </c>
      <c r="S37" s="34" t="s">
        <v>807</v>
      </c>
      <c r="T37" s="34" t="s">
        <v>808</v>
      </c>
      <c r="U37" s="34" t="s">
        <v>809</v>
      </c>
      <c r="V37" s="34" t="s">
        <v>810</v>
      </c>
      <c r="W37" s="34" t="s">
        <v>811</v>
      </c>
      <c r="X37" s="34" t="s">
        <v>812</v>
      </c>
      <c r="Y37" s="34" t="s">
        <v>813</v>
      </c>
      <c r="Z37" s="34" t="s">
        <v>814</v>
      </c>
      <c r="AA37" s="34" t="s">
        <v>815</v>
      </c>
      <c r="AB37" s="34" t="s">
        <v>816</v>
      </c>
      <c r="AC37" s="34" t="s">
        <v>817</v>
      </c>
      <c r="AD37" s="34" t="s">
        <v>818</v>
      </c>
      <c r="AE37" s="34" t="s">
        <v>819</v>
      </c>
      <c r="AF37" s="34" t="s">
        <v>820</v>
      </c>
      <c r="AG37" s="34" t="s">
        <v>67</v>
      </c>
    </row>
    <row r="38" ht="12.75" customHeight="1">
      <c r="A38" s="34" t="s">
        <v>39</v>
      </c>
      <c r="B38" s="34" t="s">
        <v>821</v>
      </c>
      <c r="C38" s="34" t="s">
        <v>822</v>
      </c>
      <c r="D38" s="34" t="s">
        <v>30</v>
      </c>
      <c r="E38" s="34" t="s">
        <v>31</v>
      </c>
      <c r="F38" s="34" t="s">
        <v>31</v>
      </c>
      <c r="G38" s="34" t="s">
        <v>823</v>
      </c>
      <c r="H38" s="34" t="s">
        <v>824</v>
      </c>
      <c r="I38" s="34" t="s">
        <v>825</v>
      </c>
      <c r="J38" s="34" t="s">
        <v>826</v>
      </c>
      <c r="M38" s="34" t="s">
        <v>33</v>
      </c>
      <c r="O38" s="34" t="s">
        <v>827</v>
      </c>
      <c r="P38" s="34" t="s">
        <v>828</v>
      </c>
      <c r="Q38" s="34" t="s">
        <v>829</v>
      </c>
      <c r="R38" s="34" t="s">
        <v>830</v>
      </c>
      <c r="S38" s="34" t="s">
        <v>831</v>
      </c>
      <c r="T38" s="34" t="s">
        <v>832</v>
      </c>
      <c r="U38" s="34" t="s">
        <v>833</v>
      </c>
      <c r="V38" s="34" t="s">
        <v>834</v>
      </c>
      <c r="W38" s="34" t="s">
        <v>835</v>
      </c>
      <c r="X38" s="34" t="s">
        <v>836</v>
      </c>
      <c r="Y38" s="34" t="s">
        <v>837</v>
      </c>
      <c r="Z38" s="34" t="s">
        <v>838</v>
      </c>
      <c r="AA38" s="34" t="s">
        <v>839</v>
      </c>
      <c r="AB38" s="34" t="s">
        <v>840</v>
      </c>
      <c r="AC38" s="34" t="s">
        <v>841</v>
      </c>
      <c r="AD38" s="34" t="s">
        <v>842</v>
      </c>
      <c r="AE38" s="34" t="s">
        <v>843</v>
      </c>
      <c r="AF38" s="34" t="s">
        <v>844</v>
      </c>
      <c r="AG38" s="34" t="s">
        <v>67</v>
      </c>
    </row>
    <row r="39" ht="12.75" customHeight="1">
      <c r="A39" s="34" t="s">
        <v>39</v>
      </c>
      <c r="B39" s="34" t="s">
        <v>845</v>
      </c>
      <c r="C39" s="34" t="s">
        <v>846</v>
      </c>
      <c r="D39" s="34" t="s">
        <v>30</v>
      </c>
      <c r="E39" s="34" t="s">
        <v>31</v>
      </c>
      <c r="F39" s="34" t="s">
        <v>31</v>
      </c>
      <c r="G39" s="34" t="s">
        <v>847</v>
      </c>
      <c r="H39" s="34" t="s">
        <v>848</v>
      </c>
      <c r="I39" s="34" t="s">
        <v>849</v>
      </c>
      <c r="J39" s="34" t="s">
        <v>850</v>
      </c>
      <c r="M39" s="34" t="s">
        <v>33</v>
      </c>
      <c r="O39" s="34" t="s">
        <v>851</v>
      </c>
      <c r="P39" s="34" t="s">
        <v>852</v>
      </c>
      <c r="Q39" s="34" t="s">
        <v>853</v>
      </c>
      <c r="R39" s="34" t="s">
        <v>854</v>
      </c>
      <c r="S39" s="34" t="s">
        <v>855</v>
      </c>
      <c r="T39" s="34" t="s">
        <v>856</v>
      </c>
      <c r="U39" s="34" t="s">
        <v>857</v>
      </c>
      <c r="V39" s="34" t="s">
        <v>858</v>
      </c>
      <c r="W39" s="34" t="s">
        <v>859</v>
      </c>
      <c r="X39" s="34" t="s">
        <v>860</v>
      </c>
      <c r="Y39" s="34" t="s">
        <v>861</v>
      </c>
      <c r="Z39" s="34" t="s">
        <v>862</v>
      </c>
      <c r="AA39" s="34" t="s">
        <v>863</v>
      </c>
      <c r="AB39" s="34" t="s">
        <v>864</v>
      </c>
      <c r="AC39" s="34" t="s">
        <v>865</v>
      </c>
      <c r="AD39" s="34" t="s">
        <v>866</v>
      </c>
      <c r="AE39" s="34" t="s">
        <v>867</v>
      </c>
      <c r="AF39" s="34" t="s">
        <v>868</v>
      </c>
      <c r="AG39" s="34" t="s">
        <v>67</v>
      </c>
    </row>
    <row r="40" ht="12.75" customHeight="1">
      <c r="A40" s="34" t="s">
        <v>39</v>
      </c>
      <c r="B40" s="34" t="s">
        <v>869</v>
      </c>
      <c r="C40" s="34" t="s">
        <v>870</v>
      </c>
      <c r="D40" s="34" t="s">
        <v>30</v>
      </c>
      <c r="E40" s="34" t="s">
        <v>31</v>
      </c>
      <c r="F40" s="34" t="s">
        <v>31</v>
      </c>
      <c r="G40" s="34" t="s">
        <v>871</v>
      </c>
      <c r="H40" s="34" t="s">
        <v>872</v>
      </c>
      <c r="I40" s="34" t="s">
        <v>873</v>
      </c>
      <c r="J40" s="34" t="s">
        <v>874</v>
      </c>
      <c r="M40" s="34" t="s">
        <v>33</v>
      </c>
      <c r="O40" s="34" t="s">
        <v>875</v>
      </c>
      <c r="P40" s="34" t="s">
        <v>876</v>
      </c>
      <c r="Q40" s="34" t="s">
        <v>877</v>
      </c>
      <c r="R40" s="34" t="s">
        <v>878</v>
      </c>
      <c r="S40" s="34" t="s">
        <v>879</v>
      </c>
      <c r="T40" s="34" t="s">
        <v>880</v>
      </c>
      <c r="U40" s="34" t="s">
        <v>881</v>
      </c>
      <c r="V40" s="34" t="s">
        <v>882</v>
      </c>
      <c r="W40" s="34" t="s">
        <v>883</v>
      </c>
      <c r="X40" s="34" t="s">
        <v>884</v>
      </c>
      <c r="Y40" s="34" t="s">
        <v>885</v>
      </c>
      <c r="Z40" s="34" t="s">
        <v>886</v>
      </c>
      <c r="AA40" s="34" t="s">
        <v>887</v>
      </c>
      <c r="AB40" s="34" t="s">
        <v>888</v>
      </c>
      <c r="AC40" s="34" t="s">
        <v>889</v>
      </c>
      <c r="AD40" s="34" t="s">
        <v>890</v>
      </c>
      <c r="AE40" s="34" t="s">
        <v>891</v>
      </c>
      <c r="AF40" s="34" t="s">
        <v>892</v>
      </c>
      <c r="AG40" s="34" t="s">
        <v>67</v>
      </c>
    </row>
    <row r="41" ht="12.75" customHeight="1">
      <c r="A41" s="34" t="s">
        <v>39</v>
      </c>
      <c r="B41" s="34" t="s">
        <v>893</v>
      </c>
      <c r="C41" s="34" t="s">
        <v>894</v>
      </c>
      <c r="D41" s="34" t="s">
        <v>30</v>
      </c>
      <c r="E41" s="34" t="s">
        <v>31</v>
      </c>
      <c r="F41" s="34" t="s">
        <v>31</v>
      </c>
      <c r="G41" s="34" t="s">
        <v>895</v>
      </c>
      <c r="H41" s="34" t="s">
        <v>896</v>
      </c>
      <c r="I41" s="34" t="s">
        <v>897</v>
      </c>
      <c r="J41" s="34" t="s">
        <v>898</v>
      </c>
      <c r="M41" s="34" t="s">
        <v>33</v>
      </c>
      <c r="O41" s="34" t="s">
        <v>899</v>
      </c>
      <c r="P41" s="34" t="s">
        <v>900</v>
      </c>
      <c r="Q41" s="34" t="s">
        <v>901</v>
      </c>
      <c r="R41" s="34" t="s">
        <v>902</v>
      </c>
      <c r="S41" s="34" t="s">
        <v>903</v>
      </c>
      <c r="T41" s="34" t="s">
        <v>904</v>
      </c>
      <c r="U41" s="34" t="s">
        <v>905</v>
      </c>
      <c r="V41" s="34" t="s">
        <v>906</v>
      </c>
      <c r="W41" s="34" t="s">
        <v>907</v>
      </c>
      <c r="X41" s="34" t="s">
        <v>908</v>
      </c>
      <c r="Y41" s="34" t="s">
        <v>909</v>
      </c>
      <c r="Z41" s="34" t="s">
        <v>910</v>
      </c>
      <c r="AA41" s="34" t="s">
        <v>911</v>
      </c>
      <c r="AB41" s="34" t="s">
        <v>912</v>
      </c>
      <c r="AC41" s="34" t="s">
        <v>913</v>
      </c>
      <c r="AD41" s="34" t="s">
        <v>914</v>
      </c>
      <c r="AE41" s="34" t="s">
        <v>915</v>
      </c>
      <c r="AF41" s="34" t="s">
        <v>916</v>
      </c>
      <c r="AG41" s="34" t="s">
        <v>67</v>
      </c>
    </row>
    <row r="42" ht="12.75" customHeight="1">
      <c r="A42" s="34" t="s">
        <v>39</v>
      </c>
      <c r="B42" s="34" t="s">
        <v>917</v>
      </c>
      <c r="C42" s="34" t="s">
        <v>918</v>
      </c>
      <c r="D42" s="34" t="s">
        <v>30</v>
      </c>
      <c r="E42" s="34" t="s">
        <v>31</v>
      </c>
      <c r="F42" s="34" t="s">
        <v>31</v>
      </c>
      <c r="G42" s="34" t="s">
        <v>919</v>
      </c>
      <c r="H42" s="34" t="s">
        <v>920</v>
      </c>
      <c r="I42" s="34" t="s">
        <v>921</v>
      </c>
      <c r="J42" s="34" t="s">
        <v>922</v>
      </c>
      <c r="M42" s="34" t="s">
        <v>33</v>
      </c>
      <c r="O42" s="34" t="s">
        <v>923</v>
      </c>
      <c r="P42" s="34" t="s">
        <v>924</v>
      </c>
      <c r="Q42" s="34" t="s">
        <v>925</v>
      </c>
      <c r="R42" s="34" t="s">
        <v>926</v>
      </c>
      <c r="S42" s="34" t="s">
        <v>927</v>
      </c>
      <c r="T42" s="34" t="s">
        <v>928</v>
      </c>
      <c r="U42" s="34" t="s">
        <v>929</v>
      </c>
      <c r="V42" s="34" t="s">
        <v>930</v>
      </c>
      <c r="W42" s="34" t="s">
        <v>931</v>
      </c>
      <c r="X42" s="34" t="s">
        <v>932</v>
      </c>
      <c r="Y42" s="34" t="s">
        <v>933</v>
      </c>
      <c r="Z42" s="34" t="s">
        <v>934</v>
      </c>
      <c r="AA42" s="34" t="s">
        <v>935</v>
      </c>
      <c r="AB42" s="34" t="s">
        <v>936</v>
      </c>
      <c r="AC42" s="34" t="s">
        <v>937</v>
      </c>
      <c r="AD42" s="34" t="s">
        <v>938</v>
      </c>
      <c r="AE42" s="34" t="s">
        <v>939</v>
      </c>
      <c r="AF42" s="34" t="s">
        <v>940</v>
      </c>
      <c r="AG42" s="34" t="s">
        <v>67</v>
      </c>
    </row>
    <row r="43" ht="12.75" customHeight="1">
      <c r="A43" s="34" t="s">
        <v>39</v>
      </c>
      <c r="B43" s="34" t="s">
        <v>941</v>
      </c>
      <c r="C43" s="34" t="s">
        <v>942</v>
      </c>
      <c r="D43" s="34" t="s">
        <v>30</v>
      </c>
      <c r="E43" s="34" t="s">
        <v>31</v>
      </c>
      <c r="F43" s="34" t="s">
        <v>31</v>
      </c>
      <c r="G43" s="34" t="s">
        <v>943</v>
      </c>
      <c r="H43" s="34" t="s">
        <v>944</v>
      </c>
      <c r="I43" s="34" t="s">
        <v>945</v>
      </c>
      <c r="J43" s="34" t="s">
        <v>946</v>
      </c>
      <c r="M43" s="34" t="s">
        <v>33</v>
      </c>
      <c r="O43" s="34" t="s">
        <v>947</v>
      </c>
      <c r="P43" s="34" t="s">
        <v>948</v>
      </c>
      <c r="Q43" s="34" t="s">
        <v>949</v>
      </c>
      <c r="R43" s="34" t="s">
        <v>950</v>
      </c>
      <c r="S43" s="34" t="s">
        <v>951</v>
      </c>
      <c r="T43" s="34" t="s">
        <v>952</v>
      </c>
      <c r="U43" s="34" t="s">
        <v>953</v>
      </c>
      <c r="V43" s="34" t="s">
        <v>954</v>
      </c>
      <c r="W43" s="34" t="s">
        <v>955</v>
      </c>
      <c r="X43" s="34" t="s">
        <v>956</v>
      </c>
      <c r="Y43" s="34" t="s">
        <v>957</v>
      </c>
      <c r="Z43" s="34" t="s">
        <v>958</v>
      </c>
      <c r="AA43" s="34" t="s">
        <v>959</v>
      </c>
      <c r="AB43" s="34" t="s">
        <v>960</v>
      </c>
      <c r="AC43" s="34" t="s">
        <v>961</v>
      </c>
      <c r="AD43" s="34" t="s">
        <v>962</v>
      </c>
      <c r="AE43" s="34" t="s">
        <v>963</v>
      </c>
      <c r="AF43" s="34" t="s">
        <v>964</v>
      </c>
      <c r="AG43" s="34" t="s">
        <v>67</v>
      </c>
    </row>
    <row r="44" ht="12.75" customHeight="1">
      <c r="A44" s="34" t="s">
        <v>39</v>
      </c>
      <c r="B44" s="34" t="s">
        <v>965</v>
      </c>
      <c r="C44" s="34" t="s">
        <v>966</v>
      </c>
      <c r="D44" s="34" t="s">
        <v>30</v>
      </c>
      <c r="E44" s="34" t="s">
        <v>31</v>
      </c>
      <c r="F44" s="34" t="s">
        <v>31</v>
      </c>
      <c r="G44" s="34" t="s">
        <v>967</v>
      </c>
      <c r="H44" s="34" t="s">
        <v>968</v>
      </c>
      <c r="I44" s="34" t="s">
        <v>969</v>
      </c>
      <c r="J44" s="34" t="s">
        <v>970</v>
      </c>
      <c r="M44" s="34" t="s">
        <v>33</v>
      </c>
      <c r="O44" s="34" t="s">
        <v>971</v>
      </c>
      <c r="P44" s="34" t="s">
        <v>972</v>
      </c>
      <c r="Q44" s="34" t="s">
        <v>973</v>
      </c>
      <c r="R44" s="34" t="s">
        <v>974</v>
      </c>
      <c r="S44" s="34" t="s">
        <v>975</v>
      </c>
      <c r="T44" s="34" t="s">
        <v>976</v>
      </c>
      <c r="U44" s="34" t="s">
        <v>977</v>
      </c>
      <c r="V44" s="34" t="s">
        <v>978</v>
      </c>
      <c r="W44" s="34" t="s">
        <v>979</v>
      </c>
      <c r="X44" s="34" t="s">
        <v>980</v>
      </c>
      <c r="Y44" s="34" t="s">
        <v>981</v>
      </c>
      <c r="Z44" s="34" t="s">
        <v>982</v>
      </c>
      <c r="AA44" s="34" t="s">
        <v>983</v>
      </c>
      <c r="AB44" s="34" t="s">
        <v>984</v>
      </c>
      <c r="AC44" s="34" t="s">
        <v>985</v>
      </c>
      <c r="AD44" s="34" t="s">
        <v>986</v>
      </c>
      <c r="AE44" s="34" t="s">
        <v>987</v>
      </c>
      <c r="AF44" s="34" t="s">
        <v>988</v>
      </c>
      <c r="AG44" s="34" t="s">
        <v>67</v>
      </c>
    </row>
    <row r="45" ht="12.75" customHeight="1">
      <c r="A45" s="34" t="s">
        <v>39</v>
      </c>
      <c r="B45" s="34" t="s">
        <v>989</v>
      </c>
      <c r="C45" s="34" t="s">
        <v>990</v>
      </c>
      <c r="D45" s="34" t="s">
        <v>30</v>
      </c>
      <c r="E45" s="34" t="s">
        <v>31</v>
      </c>
      <c r="F45" s="34" t="s">
        <v>31</v>
      </c>
      <c r="G45" s="34" t="s">
        <v>991</v>
      </c>
      <c r="H45" s="34" t="s">
        <v>992</v>
      </c>
      <c r="I45" s="34" t="s">
        <v>993</v>
      </c>
      <c r="J45" s="34" t="s">
        <v>994</v>
      </c>
      <c r="M45" s="34" t="s">
        <v>33</v>
      </c>
      <c r="O45" s="34" t="s">
        <v>995</v>
      </c>
      <c r="P45" s="34" t="s">
        <v>996</v>
      </c>
      <c r="Q45" s="34" t="s">
        <v>997</v>
      </c>
      <c r="R45" s="34" t="s">
        <v>998</v>
      </c>
      <c r="S45" s="34" t="s">
        <v>999</v>
      </c>
      <c r="T45" s="34" t="s">
        <v>1000</v>
      </c>
      <c r="U45" s="34" t="s">
        <v>1001</v>
      </c>
      <c r="V45" s="34" t="s">
        <v>1002</v>
      </c>
      <c r="W45" s="34" t="s">
        <v>1003</v>
      </c>
      <c r="X45" s="34" t="s">
        <v>1004</v>
      </c>
      <c r="Y45" s="34" t="s">
        <v>1005</v>
      </c>
      <c r="Z45" s="34" t="s">
        <v>1006</v>
      </c>
      <c r="AA45" s="34" t="s">
        <v>1007</v>
      </c>
      <c r="AB45" s="34" t="s">
        <v>1008</v>
      </c>
      <c r="AC45" s="34" t="s">
        <v>1009</v>
      </c>
      <c r="AD45" s="34" t="s">
        <v>1010</v>
      </c>
      <c r="AE45" s="34" t="s">
        <v>1011</v>
      </c>
      <c r="AF45" s="34" t="s">
        <v>1012</v>
      </c>
      <c r="AG45" s="34" t="s">
        <v>67</v>
      </c>
    </row>
    <row r="46" ht="12.75" customHeight="1">
      <c r="A46" s="34" t="s">
        <v>39</v>
      </c>
      <c r="B46" s="34" t="s">
        <v>1013</v>
      </c>
      <c r="C46" s="34" t="s">
        <v>1014</v>
      </c>
      <c r="D46" s="34" t="s">
        <v>30</v>
      </c>
      <c r="E46" s="34" t="s">
        <v>31</v>
      </c>
      <c r="F46" s="34" t="s">
        <v>31</v>
      </c>
      <c r="G46" s="34" t="s">
        <v>1015</v>
      </c>
      <c r="H46" s="34" t="s">
        <v>1016</v>
      </c>
      <c r="I46" s="34" t="s">
        <v>1017</v>
      </c>
      <c r="J46" s="34" t="s">
        <v>1018</v>
      </c>
      <c r="M46" s="34" t="s">
        <v>33</v>
      </c>
      <c r="O46" s="34" t="s">
        <v>1019</v>
      </c>
      <c r="P46" s="34" t="s">
        <v>1020</v>
      </c>
      <c r="Q46" s="34" t="s">
        <v>1021</v>
      </c>
      <c r="R46" s="34" t="s">
        <v>1022</v>
      </c>
      <c r="S46" s="34" t="s">
        <v>1023</v>
      </c>
      <c r="T46" s="34" t="s">
        <v>1024</v>
      </c>
      <c r="U46" s="34" t="s">
        <v>1025</v>
      </c>
      <c r="V46" s="34" t="s">
        <v>1026</v>
      </c>
      <c r="W46" s="34" t="s">
        <v>1027</v>
      </c>
      <c r="X46" s="34" t="s">
        <v>1028</v>
      </c>
      <c r="Y46" s="34" t="s">
        <v>1029</v>
      </c>
      <c r="Z46" s="34" t="s">
        <v>1030</v>
      </c>
      <c r="AA46" s="34" t="s">
        <v>1031</v>
      </c>
      <c r="AB46" s="34" t="s">
        <v>1032</v>
      </c>
      <c r="AC46" s="34" t="s">
        <v>1033</v>
      </c>
      <c r="AD46" s="34" t="s">
        <v>1034</v>
      </c>
      <c r="AE46" s="34" t="s">
        <v>1035</v>
      </c>
      <c r="AF46" s="34" t="s">
        <v>1036</v>
      </c>
      <c r="AG46" s="34" t="s">
        <v>67</v>
      </c>
    </row>
    <row r="47" ht="12.75" customHeight="1">
      <c r="A47" s="34" t="s">
        <v>39</v>
      </c>
      <c r="B47" s="34" t="s">
        <v>1037</v>
      </c>
      <c r="C47" s="34" t="s">
        <v>1038</v>
      </c>
      <c r="D47" s="34" t="s">
        <v>30</v>
      </c>
      <c r="E47" s="34" t="s">
        <v>31</v>
      </c>
      <c r="F47" s="34" t="s">
        <v>31</v>
      </c>
      <c r="G47" s="34" t="s">
        <v>1039</v>
      </c>
      <c r="H47" s="34" t="s">
        <v>1040</v>
      </c>
      <c r="I47" s="34" t="s">
        <v>1041</v>
      </c>
      <c r="J47" s="34" t="s">
        <v>1042</v>
      </c>
      <c r="M47" s="34" t="s">
        <v>33</v>
      </c>
      <c r="O47" s="34" t="s">
        <v>1043</v>
      </c>
      <c r="P47" s="34" t="s">
        <v>1044</v>
      </c>
      <c r="Q47" s="34" t="s">
        <v>1045</v>
      </c>
      <c r="R47" s="34" t="s">
        <v>1046</v>
      </c>
      <c r="S47" s="34" t="s">
        <v>1047</v>
      </c>
      <c r="T47" s="34" t="s">
        <v>1048</v>
      </c>
      <c r="U47" s="34" t="s">
        <v>1049</v>
      </c>
      <c r="V47" s="34" t="s">
        <v>1050</v>
      </c>
      <c r="W47" s="34" t="s">
        <v>1051</v>
      </c>
      <c r="X47" s="34" t="s">
        <v>1052</v>
      </c>
      <c r="Y47" s="34" t="s">
        <v>1053</v>
      </c>
      <c r="Z47" s="34" t="s">
        <v>1054</v>
      </c>
      <c r="AA47" s="34" t="s">
        <v>1055</v>
      </c>
      <c r="AB47" s="34" t="s">
        <v>1056</v>
      </c>
      <c r="AC47" s="34" t="s">
        <v>1057</v>
      </c>
      <c r="AD47" s="34" t="s">
        <v>1058</v>
      </c>
      <c r="AE47" s="34" t="s">
        <v>1059</v>
      </c>
      <c r="AF47" s="34" t="s">
        <v>1060</v>
      </c>
      <c r="AG47" s="34" t="s">
        <v>67</v>
      </c>
    </row>
    <row r="48" ht="12.75" customHeight="1">
      <c r="A48" s="34" t="s">
        <v>39</v>
      </c>
      <c r="B48" s="34" t="s">
        <v>1061</v>
      </c>
      <c r="C48" s="34" t="s">
        <v>1062</v>
      </c>
      <c r="D48" s="34" t="s">
        <v>30</v>
      </c>
      <c r="E48" s="34" t="s">
        <v>31</v>
      </c>
      <c r="F48" s="34" t="s">
        <v>31</v>
      </c>
      <c r="G48" s="34" t="s">
        <v>1063</v>
      </c>
      <c r="H48" s="34" t="s">
        <v>1064</v>
      </c>
      <c r="I48" s="34" t="s">
        <v>1065</v>
      </c>
      <c r="J48" s="34" t="s">
        <v>1066</v>
      </c>
      <c r="M48" s="34" t="s">
        <v>33</v>
      </c>
      <c r="O48" s="34" t="s">
        <v>1067</v>
      </c>
      <c r="P48" s="34" t="s">
        <v>1068</v>
      </c>
      <c r="Q48" s="34" t="s">
        <v>1069</v>
      </c>
      <c r="R48" s="34" t="s">
        <v>1070</v>
      </c>
      <c r="S48" s="34" t="s">
        <v>1071</v>
      </c>
      <c r="T48" s="34" t="s">
        <v>1072</v>
      </c>
      <c r="U48" s="34" t="s">
        <v>1073</v>
      </c>
      <c r="V48" s="34" t="s">
        <v>1074</v>
      </c>
      <c r="W48" s="34" t="s">
        <v>1075</v>
      </c>
      <c r="X48" s="34" t="s">
        <v>1076</v>
      </c>
      <c r="Y48" s="34" t="s">
        <v>1077</v>
      </c>
      <c r="Z48" s="34" t="s">
        <v>1078</v>
      </c>
      <c r="AA48" s="34" t="s">
        <v>1079</v>
      </c>
      <c r="AB48" s="34" t="s">
        <v>1080</v>
      </c>
      <c r="AC48" s="34" t="s">
        <v>1081</v>
      </c>
      <c r="AD48" s="34" t="s">
        <v>1082</v>
      </c>
      <c r="AE48" s="34" t="s">
        <v>1083</v>
      </c>
      <c r="AF48" s="34" t="s">
        <v>1084</v>
      </c>
      <c r="AG48" s="34" t="s">
        <v>67</v>
      </c>
    </row>
    <row r="49" ht="12.75" customHeight="1">
      <c r="A49" s="34" t="s">
        <v>39</v>
      </c>
      <c r="B49" s="34" t="s">
        <v>1085</v>
      </c>
      <c r="C49" s="34" t="s">
        <v>1086</v>
      </c>
      <c r="D49" s="34" t="s">
        <v>30</v>
      </c>
      <c r="E49" s="34" t="s">
        <v>31</v>
      </c>
      <c r="F49" s="34" t="s">
        <v>31</v>
      </c>
      <c r="G49" s="34" t="s">
        <v>1087</v>
      </c>
      <c r="H49" s="34" t="s">
        <v>1088</v>
      </c>
      <c r="I49" s="34" t="s">
        <v>1089</v>
      </c>
      <c r="J49" s="34" t="s">
        <v>1090</v>
      </c>
      <c r="M49" s="34" t="s">
        <v>33</v>
      </c>
      <c r="O49" s="34" t="s">
        <v>1091</v>
      </c>
      <c r="P49" s="34" t="s">
        <v>1092</v>
      </c>
      <c r="Q49" s="34" t="s">
        <v>1093</v>
      </c>
      <c r="R49" s="34" t="s">
        <v>1094</v>
      </c>
      <c r="S49" s="34" t="s">
        <v>1095</v>
      </c>
      <c r="T49" s="34" t="s">
        <v>1096</v>
      </c>
      <c r="U49" s="34" t="s">
        <v>1097</v>
      </c>
      <c r="V49" s="34" t="s">
        <v>1098</v>
      </c>
      <c r="W49" s="34" t="s">
        <v>1099</v>
      </c>
      <c r="X49" s="34" t="s">
        <v>1100</v>
      </c>
      <c r="Y49" s="34" t="s">
        <v>1101</v>
      </c>
      <c r="Z49" s="34" t="s">
        <v>1102</v>
      </c>
      <c r="AA49" s="34" t="s">
        <v>1103</v>
      </c>
      <c r="AB49" s="34" t="s">
        <v>1104</v>
      </c>
      <c r="AC49" s="34" t="s">
        <v>1105</v>
      </c>
      <c r="AD49" s="34" t="s">
        <v>1106</v>
      </c>
      <c r="AE49" s="34" t="s">
        <v>1107</v>
      </c>
      <c r="AF49" s="34" t="s">
        <v>1108</v>
      </c>
      <c r="AG49" s="34" t="s">
        <v>67</v>
      </c>
    </row>
    <row r="50" ht="12.75" customHeight="1">
      <c r="A50" s="34" t="s">
        <v>39</v>
      </c>
      <c r="B50" s="34" t="s">
        <v>1109</v>
      </c>
      <c r="C50" s="34" t="s">
        <v>1110</v>
      </c>
      <c r="D50" s="34" t="s">
        <v>30</v>
      </c>
      <c r="E50" s="34" t="s">
        <v>31</v>
      </c>
      <c r="F50" s="34" t="s">
        <v>31</v>
      </c>
      <c r="G50" s="34" t="s">
        <v>1111</v>
      </c>
      <c r="H50" s="34" t="s">
        <v>1112</v>
      </c>
      <c r="I50" s="34" t="s">
        <v>1113</v>
      </c>
      <c r="J50" s="34" t="s">
        <v>1114</v>
      </c>
      <c r="M50" s="34" t="s">
        <v>33</v>
      </c>
      <c r="O50" s="34" t="s">
        <v>1115</v>
      </c>
      <c r="P50" s="34" t="s">
        <v>1116</v>
      </c>
      <c r="Q50" s="34" t="s">
        <v>1117</v>
      </c>
      <c r="R50" s="34" t="s">
        <v>1118</v>
      </c>
      <c r="S50" s="34" t="s">
        <v>1119</v>
      </c>
      <c r="T50" s="34" t="s">
        <v>1120</v>
      </c>
      <c r="U50" s="34" t="s">
        <v>1121</v>
      </c>
      <c r="V50" s="34" t="s">
        <v>1122</v>
      </c>
      <c r="W50" s="34" t="s">
        <v>1123</v>
      </c>
      <c r="X50" s="34" t="s">
        <v>1124</v>
      </c>
      <c r="Y50" s="34" t="s">
        <v>1125</v>
      </c>
      <c r="Z50" s="34" t="s">
        <v>1126</v>
      </c>
      <c r="AA50" s="34" t="s">
        <v>1127</v>
      </c>
      <c r="AB50" s="34" t="s">
        <v>1128</v>
      </c>
      <c r="AC50" s="34" t="s">
        <v>1129</v>
      </c>
      <c r="AD50" s="34" t="s">
        <v>1130</v>
      </c>
      <c r="AE50" s="34" t="s">
        <v>1131</v>
      </c>
      <c r="AF50" s="34" t="s">
        <v>1132</v>
      </c>
      <c r="AG50" s="34" t="s">
        <v>67</v>
      </c>
    </row>
    <row r="51" ht="12.75" customHeight="1">
      <c r="A51" s="34" t="s">
        <v>39</v>
      </c>
      <c r="B51" s="34" t="s">
        <v>1133</v>
      </c>
      <c r="C51" s="34" t="s">
        <v>1134</v>
      </c>
      <c r="D51" s="34" t="s">
        <v>30</v>
      </c>
      <c r="E51" s="34" t="s">
        <v>31</v>
      </c>
      <c r="F51" s="34" t="s">
        <v>31</v>
      </c>
      <c r="G51" s="34" t="s">
        <v>1135</v>
      </c>
      <c r="H51" s="34" t="s">
        <v>1136</v>
      </c>
      <c r="I51" s="34" t="s">
        <v>1137</v>
      </c>
      <c r="J51" s="34" t="s">
        <v>1138</v>
      </c>
      <c r="M51" s="34" t="s">
        <v>33</v>
      </c>
      <c r="O51" s="34" t="s">
        <v>1139</v>
      </c>
      <c r="P51" s="34" t="s">
        <v>1140</v>
      </c>
      <c r="Q51" s="34" t="s">
        <v>1141</v>
      </c>
      <c r="R51" s="34" t="s">
        <v>1142</v>
      </c>
      <c r="S51" s="34" t="s">
        <v>1143</v>
      </c>
      <c r="T51" s="34" t="s">
        <v>1144</v>
      </c>
      <c r="U51" s="34" t="s">
        <v>1145</v>
      </c>
      <c r="V51" s="34" t="s">
        <v>1146</v>
      </c>
      <c r="W51" s="34" t="s">
        <v>1147</v>
      </c>
      <c r="X51" s="34" t="s">
        <v>1148</v>
      </c>
      <c r="Y51" s="34" t="s">
        <v>1149</v>
      </c>
      <c r="Z51" s="34" t="s">
        <v>1150</v>
      </c>
      <c r="AA51" s="34" t="s">
        <v>1151</v>
      </c>
      <c r="AB51" s="34" t="s">
        <v>1152</v>
      </c>
      <c r="AC51" s="34" t="s">
        <v>1153</v>
      </c>
      <c r="AD51" s="34" t="s">
        <v>1154</v>
      </c>
      <c r="AE51" s="34" t="s">
        <v>1155</v>
      </c>
      <c r="AF51" s="34" t="s">
        <v>1156</v>
      </c>
      <c r="AG51" s="34" t="s">
        <v>67</v>
      </c>
    </row>
    <row r="52" ht="12.75" customHeight="1">
      <c r="A52" s="34" t="s">
        <v>39</v>
      </c>
      <c r="B52" s="34" t="s">
        <v>1157</v>
      </c>
      <c r="C52" s="34" t="s">
        <v>1158</v>
      </c>
      <c r="D52" s="34" t="s">
        <v>30</v>
      </c>
      <c r="E52" s="34" t="s">
        <v>31</v>
      </c>
      <c r="F52" s="34" t="s">
        <v>31</v>
      </c>
      <c r="G52" s="34" t="s">
        <v>1159</v>
      </c>
      <c r="H52" s="34" t="s">
        <v>1160</v>
      </c>
      <c r="I52" s="34" t="s">
        <v>1161</v>
      </c>
      <c r="J52" s="34" t="s">
        <v>1162</v>
      </c>
      <c r="M52" s="34" t="s">
        <v>33</v>
      </c>
      <c r="O52" s="34" t="s">
        <v>1163</v>
      </c>
      <c r="P52" s="34" t="s">
        <v>1164</v>
      </c>
      <c r="Q52" s="34" t="s">
        <v>1165</v>
      </c>
      <c r="R52" s="34" t="s">
        <v>1166</v>
      </c>
      <c r="S52" s="34" t="s">
        <v>1167</v>
      </c>
      <c r="T52" s="34" t="s">
        <v>1168</v>
      </c>
      <c r="U52" s="34" t="s">
        <v>1169</v>
      </c>
      <c r="V52" s="34" t="s">
        <v>1170</v>
      </c>
      <c r="W52" s="34" t="s">
        <v>1171</v>
      </c>
      <c r="X52" s="34" t="s">
        <v>1172</v>
      </c>
      <c r="Y52" s="34" t="s">
        <v>1173</v>
      </c>
      <c r="Z52" s="34" t="s">
        <v>1174</v>
      </c>
      <c r="AA52" s="34" t="s">
        <v>1175</v>
      </c>
      <c r="AB52" s="34" t="s">
        <v>1176</v>
      </c>
      <c r="AC52" s="34" t="s">
        <v>1177</v>
      </c>
      <c r="AD52" s="34" t="s">
        <v>1178</v>
      </c>
      <c r="AE52" s="34" t="s">
        <v>1179</v>
      </c>
      <c r="AF52" s="34" t="s">
        <v>1180</v>
      </c>
      <c r="AG52" s="34" t="s">
        <v>67</v>
      </c>
    </row>
    <row r="53" ht="12.75" customHeight="1">
      <c r="A53" s="34" t="s">
        <v>39</v>
      </c>
      <c r="B53" s="34" t="s">
        <v>1181</v>
      </c>
      <c r="C53" s="34" t="s">
        <v>1182</v>
      </c>
      <c r="D53" s="34" t="s">
        <v>30</v>
      </c>
      <c r="E53" s="34" t="s">
        <v>31</v>
      </c>
      <c r="F53" s="34" t="s">
        <v>31</v>
      </c>
      <c r="G53" s="34" t="s">
        <v>1183</v>
      </c>
      <c r="H53" s="34" t="s">
        <v>1184</v>
      </c>
      <c r="I53" s="34" t="s">
        <v>1185</v>
      </c>
      <c r="J53" s="34" t="s">
        <v>1186</v>
      </c>
      <c r="M53" s="34" t="s">
        <v>33</v>
      </c>
      <c r="O53" s="34" t="s">
        <v>1187</v>
      </c>
      <c r="P53" s="34" t="s">
        <v>1188</v>
      </c>
      <c r="Q53" s="34" t="s">
        <v>1189</v>
      </c>
      <c r="R53" s="34" t="s">
        <v>1190</v>
      </c>
      <c r="S53" s="34" t="s">
        <v>1191</v>
      </c>
      <c r="T53" s="34" t="s">
        <v>1192</v>
      </c>
      <c r="U53" s="34" t="s">
        <v>1193</v>
      </c>
      <c r="V53" s="34" t="s">
        <v>1194</v>
      </c>
      <c r="W53" s="34" t="s">
        <v>1195</v>
      </c>
      <c r="X53" s="34" t="s">
        <v>1196</v>
      </c>
      <c r="Y53" s="34" t="s">
        <v>1197</v>
      </c>
      <c r="Z53" s="34" t="s">
        <v>1198</v>
      </c>
      <c r="AA53" s="34" t="s">
        <v>1199</v>
      </c>
      <c r="AB53" s="34" t="s">
        <v>1200</v>
      </c>
      <c r="AC53" s="34" t="s">
        <v>1201</v>
      </c>
      <c r="AD53" s="34" t="s">
        <v>1202</v>
      </c>
      <c r="AE53" s="34" t="s">
        <v>1203</v>
      </c>
      <c r="AF53" s="34" t="s">
        <v>1204</v>
      </c>
      <c r="AG53" s="34" t="s">
        <v>67</v>
      </c>
    </row>
    <row r="54" ht="12.75" customHeight="1">
      <c r="A54" s="34" t="s">
        <v>39</v>
      </c>
      <c r="B54" s="34" t="s">
        <v>1205</v>
      </c>
      <c r="C54" s="34" t="s">
        <v>1206</v>
      </c>
      <c r="D54" s="34" t="s">
        <v>30</v>
      </c>
      <c r="E54" s="34" t="s">
        <v>31</v>
      </c>
      <c r="F54" s="34" t="s">
        <v>31</v>
      </c>
      <c r="G54" s="34" t="s">
        <v>1207</v>
      </c>
      <c r="H54" s="34" t="s">
        <v>1208</v>
      </c>
      <c r="I54" s="34" t="s">
        <v>1209</v>
      </c>
      <c r="J54" s="34" t="s">
        <v>1210</v>
      </c>
      <c r="M54" s="34" t="s">
        <v>33</v>
      </c>
      <c r="O54" s="34" t="s">
        <v>1211</v>
      </c>
      <c r="P54" s="34" t="s">
        <v>1212</v>
      </c>
      <c r="Q54" s="34" t="s">
        <v>1213</v>
      </c>
      <c r="R54" s="34" t="s">
        <v>1214</v>
      </c>
      <c r="S54" s="34" t="s">
        <v>1215</v>
      </c>
      <c r="T54" s="34" t="s">
        <v>1216</v>
      </c>
      <c r="U54" s="34" t="s">
        <v>1217</v>
      </c>
      <c r="V54" s="34" t="s">
        <v>1218</v>
      </c>
      <c r="W54" s="34" t="s">
        <v>1219</v>
      </c>
      <c r="X54" s="34" t="s">
        <v>1220</v>
      </c>
      <c r="Y54" s="34" t="s">
        <v>1221</v>
      </c>
      <c r="Z54" s="34" t="s">
        <v>1222</v>
      </c>
      <c r="AA54" s="34" t="s">
        <v>1223</v>
      </c>
      <c r="AB54" s="34" t="s">
        <v>1224</v>
      </c>
      <c r="AC54" s="34" t="s">
        <v>1225</v>
      </c>
      <c r="AD54" s="34" t="s">
        <v>1226</v>
      </c>
      <c r="AE54" s="34" t="s">
        <v>1227</v>
      </c>
      <c r="AF54" s="34" t="s">
        <v>1228</v>
      </c>
      <c r="AG54" s="34" t="s">
        <v>67</v>
      </c>
    </row>
    <row r="55" ht="12.75" customHeight="1">
      <c r="A55" s="34" t="s">
        <v>39</v>
      </c>
      <c r="B55" s="34" t="s">
        <v>1229</v>
      </c>
      <c r="C55" s="34" t="s">
        <v>1230</v>
      </c>
      <c r="D55" s="34" t="s">
        <v>30</v>
      </c>
      <c r="E55" s="34" t="s">
        <v>31</v>
      </c>
      <c r="F55" s="34" t="s">
        <v>31</v>
      </c>
      <c r="G55" s="34" t="s">
        <v>1231</v>
      </c>
      <c r="H55" s="34" t="s">
        <v>1232</v>
      </c>
      <c r="I55" s="34" t="s">
        <v>1233</v>
      </c>
      <c r="J55" s="34" t="s">
        <v>1234</v>
      </c>
      <c r="M55" s="34" t="s">
        <v>33</v>
      </c>
      <c r="O55" s="34" t="s">
        <v>1235</v>
      </c>
      <c r="P55" s="34" t="s">
        <v>1236</v>
      </c>
      <c r="Q55" s="34" t="s">
        <v>1237</v>
      </c>
      <c r="R55" s="34" t="s">
        <v>1238</v>
      </c>
      <c r="S55" s="34" t="s">
        <v>1239</v>
      </c>
      <c r="T55" s="34" t="s">
        <v>1240</v>
      </c>
      <c r="U55" s="34" t="s">
        <v>1241</v>
      </c>
      <c r="V55" s="34" t="s">
        <v>1242</v>
      </c>
      <c r="W55" s="34" t="s">
        <v>1243</v>
      </c>
      <c r="X55" s="34" t="s">
        <v>1244</v>
      </c>
      <c r="Y55" s="34" t="s">
        <v>1245</v>
      </c>
      <c r="Z55" s="34" t="s">
        <v>1246</v>
      </c>
      <c r="AA55" s="34" t="s">
        <v>1247</v>
      </c>
      <c r="AB55" s="34" t="s">
        <v>1248</v>
      </c>
      <c r="AC55" s="34" t="s">
        <v>1249</v>
      </c>
      <c r="AD55" s="34" t="s">
        <v>1250</v>
      </c>
      <c r="AE55" s="34" t="s">
        <v>1251</v>
      </c>
      <c r="AF55" s="34" t="s">
        <v>1252</v>
      </c>
      <c r="AG55" s="34" t="s">
        <v>67</v>
      </c>
    </row>
    <row r="56" ht="12.75" customHeight="1">
      <c r="A56" s="34" t="s">
        <v>39</v>
      </c>
      <c r="B56" s="34" t="s">
        <v>1253</v>
      </c>
      <c r="C56" s="34" t="s">
        <v>1254</v>
      </c>
      <c r="D56" s="34" t="s">
        <v>30</v>
      </c>
      <c r="E56" s="34" t="s">
        <v>31</v>
      </c>
      <c r="F56" s="34" t="s">
        <v>31</v>
      </c>
      <c r="G56" s="34" t="s">
        <v>1255</v>
      </c>
      <c r="H56" s="34" t="s">
        <v>1256</v>
      </c>
      <c r="I56" s="34" t="s">
        <v>1257</v>
      </c>
      <c r="J56" s="34" t="s">
        <v>1258</v>
      </c>
      <c r="M56" s="34" t="s">
        <v>33</v>
      </c>
      <c r="O56" s="34" t="s">
        <v>1259</v>
      </c>
      <c r="P56" s="34" t="s">
        <v>1260</v>
      </c>
      <c r="Q56" s="34" t="s">
        <v>1261</v>
      </c>
      <c r="R56" s="34" t="s">
        <v>1262</v>
      </c>
      <c r="S56" s="34" t="s">
        <v>1263</v>
      </c>
      <c r="T56" s="34" t="s">
        <v>1264</v>
      </c>
      <c r="U56" s="34" t="s">
        <v>1265</v>
      </c>
      <c r="V56" s="34" t="s">
        <v>1266</v>
      </c>
      <c r="W56" s="34" t="s">
        <v>1267</v>
      </c>
      <c r="X56" s="34" t="s">
        <v>1268</v>
      </c>
      <c r="Y56" s="34" t="s">
        <v>1269</v>
      </c>
      <c r="Z56" s="34" t="s">
        <v>1270</v>
      </c>
      <c r="AA56" s="34" t="s">
        <v>1271</v>
      </c>
      <c r="AB56" s="34" t="s">
        <v>1272</v>
      </c>
      <c r="AC56" s="34" t="s">
        <v>1273</v>
      </c>
      <c r="AD56" s="34" t="s">
        <v>1274</v>
      </c>
      <c r="AE56" s="34" t="s">
        <v>1275</v>
      </c>
      <c r="AF56" s="34" t="s">
        <v>1276</v>
      </c>
      <c r="AG56" s="34" t="s">
        <v>67</v>
      </c>
    </row>
    <row r="57" ht="12.75" customHeight="1">
      <c r="A57" s="34" t="s">
        <v>39</v>
      </c>
      <c r="B57" s="34" t="s">
        <v>1277</v>
      </c>
      <c r="C57" s="34" t="s">
        <v>1278</v>
      </c>
      <c r="D57" s="34" t="s">
        <v>30</v>
      </c>
      <c r="E57" s="34" t="s">
        <v>31</v>
      </c>
      <c r="F57" s="34" t="s">
        <v>31</v>
      </c>
      <c r="G57" s="34" t="s">
        <v>1279</v>
      </c>
      <c r="H57" s="34" t="s">
        <v>1280</v>
      </c>
      <c r="I57" s="34" t="s">
        <v>1281</v>
      </c>
      <c r="J57" s="34" t="s">
        <v>1282</v>
      </c>
      <c r="M57" s="34" t="s">
        <v>33</v>
      </c>
      <c r="O57" s="34" t="s">
        <v>1283</v>
      </c>
      <c r="P57" s="34" t="s">
        <v>1284</v>
      </c>
      <c r="Q57" s="34" t="s">
        <v>1285</v>
      </c>
      <c r="R57" s="34" t="s">
        <v>1286</v>
      </c>
      <c r="S57" s="34" t="s">
        <v>1287</v>
      </c>
      <c r="T57" s="34" t="s">
        <v>1288</v>
      </c>
      <c r="U57" s="34" t="s">
        <v>1289</v>
      </c>
      <c r="V57" s="34" t="s">
        <v>1290</v>
      </c>
      <c r="W57" s="34" t="s">
        <v>1291</v>
      </c>
      <c r="X57" s="34" t="s">
        <v>1292</v>
      </c>
      <c r="Y57" s="34" t="s">
        <v>1293</v>
      </c>
      <c r="Z57" s="34" t="s">
        <v>1294</v>
      </c>
      <c r="AA57" s="34" t="s">
        <v>1295</v>
      </c>
      <c r="AB57" s="34" t="s">
        <v>1296</v>
      </c>
      <c r="AC57" s="34" t="s">
        <v>1297</v>
      </c>
      <c r="AD57" s="34" t="s">
        <v>1298</v>
      </c>
      <c r="AE57" s="34" t="s">
        <v>1299</v>
      </c>
      <c r="AF57" s="34" t="s">
        <v>1300</v>
      </c>
      <c r="AG57" s="34" t="s">
        <v>67</v>
      </c>
    </row>
    <row r="58" ht="12.75" customHeight="1">
      <c r="A58" s="34" t="s">
        <v>39</v>
      </c>
      <c r="B58" s="34" t="s">
        <v>1301</v>
      </c>
      <c r="C58" s="34" t="s">
        <v>1302</v>
      </c>
      <c r="D58" s="34" t="s">
        <v>30</v>
      </c>
      <c r="E58" s="34" t="s">
        <v>31</v>
      </c>
      <c r="F58" s="34" t="s">
        <v>31</v>
      </c>
      <c r="G58" s="34" t="s">
        <v>1303</v>
      </c>
      <c r="H58" s="34" t="s">
        <v>1304</v>
      </c>
      <c r="I58" s="34" t="s">
        <v>1305</v>
      </c>
      <c r="J58" s="34" t="s">
        <v>1306</v>
      </c>
      <c r="M58" s="34" t="s">
        <v>33</v>
      </c>
      <c r="O58" s="34" t="s">
        <v>1307</v>
      </c>
      <c r="P58" s="34" t="s">
        <v>1308</v>
      </c>
      <c r="Q58" s="34" t="s">
        <v>1309</v>
      </c>
      <c r="R58" s="34" t="s">
        <v>1310</v>
      </c>
      <c r="S58" s="34" t="s">
        <v>1311</v>
      </c>
      <c r="T58" s="34" t="s">
        <v>1312</v>
      </c>
      <c r="U58" s="34" t="s">
        <v>1313</v>
      </c>
      <c r="V58" s="34" t="s">
        <v>1314</v>
      </c>
      <c r="W58" s="34" t="s">
        <v>1315</v>
      </c>
      <c r="X58" s="34" t="s">
        <v>1316</v>
      </c>
      <c r="Y58" s="34" t="s">
        <v>1317</v>
      </c>
      <c r="Z58" s="34" t="s">
        <v>1318</v>
      </c>
      <c r="AA58" s="34" t="s">
        <v>1319</v>
      </c>
      <c r="AB58" s="34" t="s">
        <v>1320</v>
      </c>
      <c r="AC58" s="34" t="s">
        <v>1321</v>
      </c>
      <c r="AD58" s="34" t="s">
        <v>1322</v>
      </c>
      <c r="AE58" s="34" t="s">
        <v>1323</v>
      </c>
      <c r="AF58" s="34" t="s">
        <v>1324</v>
      </c>
      <c r="AG58" s="34" t="s">
        <v>67</v>
      </c>
    </row>
    <row r="59" ht="12.75" customHeight="1">
      <c r="A59" s="34" t="s">
        <v>39</v>
      </c>
      <c r="B59" s="34" t="s">
        <v>1325</v>
      </c>
      <c r="C59" s="34" t="s">
        <v>1326</v>
      </c>
      <c r="D59" s="34" t="s">
        <v>30</v>
      </c>
      <c r="E59" s="34" t="s">
        <v>31</v>
      </c>
      <c r="F59" s="34" t="s">
        <v>31</v>
      </c>
      <c r="G59" s="34" t="s">
        <v>1327</v>
      </c>
      <c r="H59" s="34" t="s">
        <v>1328</v>
      </c>
      <c r="I59" s="34" t="s">
        <v>1329</v>
      </c>
      <c r="J59" s="34" t="s">
        <v>1330</v>
      </c>
      <c r="M59" s="34" t="s">
        <v>33</v>
      </c>
      <c r="O59" s="34" t="s">
        <v>1331</v>
      </c>
      <c r="P59" s="34" t="s">
        <v>1332</v>
      </c>
      <c r="Q59" s="34" t="s">
        <v>1333</v>
      </c>
      <c r="R59" s="34" t="s">
        <v>1334</v>
      </c>
      <c r="S59" s="34" t="s">
        <v>1335</v>
      </c>
      <c r="T59" s="34" t="s">
        <v>1336</v>
      </c>
      <c r="U59" s="34" t="s">
        <v>1337</v>
      </c>
      <c r="V59" s="34" t="s">
        <v>1338</v>
      </c>
      <c r="W59" s="34" t="s">
        <v>1339</v>
      </c>
      <c r="X59" s="34" t="s">
        <v>1340</v>
      </c>
      <c r="Y59" s="34" t="s">
        <v>1341</v>
      </c>
      <c r="Z59" s="34" t="s">
        <v>1342</v>
      </c>
      <c r="AA59" s="34" t="s">
        <v>1343</v>
      </c>
      <c r="AB59" s="34" t="s">
        <v>1344</v>
      </c>
      <c r="AC59" s="34" t="s">
        <v>1345</v>
      </c>
      <c r="AD59" s="34" t="s">
        <v>1346</v>
      </c>
      <c r="AE59" s="34" t="s">
        <v>1347</v>
      </c>
      <c r="AF59" s="34" t="s">
        <v>1348</v>
      </c>
      <c r="AG59" s="34" t="s">
        <v>67</v>
      </c>
    </row>
    <row r="60" ht="12.75" customHeight="1">
      <c r="A60" s="34" t="s">
        <v>39</v>
      </c>
      <c r="B60" s="34" t="s">
        <v>1349</v>
      </c>
      <c r="C60" s="34" t="s">
        <v>1350</v>
      </c>
      <c r="D60" s="34" t="s">
        <v>30</v>
      </c>
      <c r="E60" s="34" t="s">
        <v>31</v>
      </c>
      <c r="F60" s="34" t="s">
        <v>31</v>
      </c>
      <c r="G60" s="34" t="s">
        <v>1351</v>
      </c>
      <c r="H60" s="34" t="s">
        <v>1352</v>
      </c>
      <c r="I60" s="34" t="s">
        <v>1353</v>
      </c>
      <c r="J60" s="34" t="s">
        <v>1354</v>
      </c>
      <c r="M60" s="34" t="s">
        <v>33</v>
      </c>
      <c r="O60" s="34" t="s">
        <v>1355</v>
      </c>
      <c r="P60" s="34" t="s">
        <v>1356</v>
      </c>
      <c r="Q60" s="34" t="s">
        <v>1357</v>
      </c>
      <c r="R60" s="34" t="s">
        <v>1358</v>
      </c>
      <c r="S60" s="34" t="s">
        <v>1359</v>
      </c>
      <c r="T60" s="34" t="s">
        <v>1360</v>
      </c>
      <c r="U60" s="34" t="s">
        <v>1361</v>
      </c>
      <c r="V60" s="34" t="s">
        <v>1362</v>
      </c>
      <c r="W60" s="34" t="s">
        <v>1363</v>
      </c>
      <c r="X60" s="34" t="s">
        <v>1364</v>
      </c>
      <c r="Y60" s="34" t="s">
        <v>1365</v>
      </c>
      <c r="Z60" s="34" t="s">
        <v>1366</v>
      </c>
      <c r="AA60" s="34" t="s">
        <v>1367</v>
      </c>
      <c r="AB60" s="34" t="s">
        <v>1368</v>
      </c>
      <c r="AC60" s="34" t="s">
        <v>1369</v>
      </c>
      <c r="AD60" s="34" t="s">
        <v>1370</v>
      </c>
      <c r="AE60" s="34" t="s">
        <v>1371</v>
      </c>
      <c r="AF60" s="34" t="s">
        <v>1372</v>
      </c>
      <c r="AG60" s="34" t="s">
        <v>67</v>
      </c>
    </row>
    <row r="61" ht="12.75" customHeight="1">
      <c r="A61" s="34" t="s">
        <v>39</v>
      </c>
      <c r="B61" s="34" t="s">
        <v>1373</v>
      </c>
      <c r="C61" s="34" t="s">
        <v>1374</v>
      </c>
      <c r="D61" s="34" t="s">
        <v>30</v>
      </c>
      <c r="E61" s="34" t="s">
        <v>31</v>
      </c>
      <c r="F61" s="34" t="s">
        <v>31</v>
      </c>
      <c r="G61" s="34" t="s">
        <v>1375</v>
      </c>
      <c r="H61" s="34" t="s">
        <v>1376</v>
      </c>
      <c r="I61" s="34" t="s">
        <v>1377</v>
      </c>
      <c r="J61" s="34" t="s">
        <v>1378</v>
      </c>
      <c r="M61" s="34" t="s">
        <v>33</v>
      </c>
      <c r="O61" s="34" t="s">
        <v>1379</v>
      </c>
      <c r="P61" s="34" t="s">
        <v>1380</v>
      </c>
      <c r="Q61" s="34" t="s">
        <v>1381</v>
      </c>
      <c r="R61" s="34" t="s">
        <v>1382</v>
      </c>
      <c r="S61" s="34" t="s">
        <v>1383</v>
      </c>
      <c r="T61" s="34" t="s">
        <v>1384</v>
      </c>
      <c r="U61" s="34" t="s">
        <v>1385</v>
      </c>
      <c r="V61" s="34" t="s">
        <v>1386</v>
      </c>
      <c r="W61" s="34" t="s">
        <v>1387</v>
      </c>
      <c r="X61" s="34" t="s">
        <v>1388</v>
      </c>
      <c r="Y61" s="34" t="s">
        <v>1389</v>
      </c>
      <c r="Z61" s="34" t="s">
        <v>1390</v>
      </c>
      <c r="AA61" s="34" t="s">
        <v>1391</v>
      </c>
      <c r="AB61" s="34" t="s">
        <v>1392</v>
      </c>
      <c r="AC61" s="34" t="s">
        <v>1393</v>
      </c>
      <c r="AD61" s="34" t="s">
        <v>1394</v>
      </c>
      <c r="AE61" s="34" t="s">
        <v>1395</v>
      </c>
      <c r="AF61" s="34" t="s">
        <v>1396</v>
      </c>
      <c r="AG61" s="34" t="s">
        <v>67</v>
      </c>
    </row>
    <row r="62" ht="12.75" customHeight="1">
      <c r="A62" s="34" t="s">
        <v>39</v>
      </c>
      <c r="B62" s="34" t="s">
        <v>1397</v>
      </c>
      <c r="C62" s="34" t="s">
        <v>1398</v>
      </c>
      <c r="D62" s="34" t="s">
        <v>30</v>
      </c>
      <c r="E62" s="34" t="s">
        <v>31</v>
      </c>
      <c r="F62" s="34" t="s">
        <v>31</v>
      </c>
      <c r="G62" s="34" t="s">
        <v>1399</v>
      </c>
      <c r="H62" s="34" t="s">
        <v>1400</v>
      </c>
      <c r="I62" s="34" t="s">
        <v>1401</v>
      </c>
      <c r="J62" s="34" t="s">
        <v>1402</v>
      </c>
      <c r="M62" s="34" t="s">
        <v>33</v>
      </c>
      <c r="O62" s="34" t="s">
        <v>1403</v>
      </c>
      <c r="P62" s="34" t="s">
        <v>1404</v>
      </c>
      <c r="Q62" s="34" t="s">
        <v>1405</v>
      </c>
      <c r="R62" s="34" t="s">
        <v>1406</v>
      </c>
      <c r="S62" s="34" t="s">
        <v>1407</v>
      </c>
      <c r="T62" s="34" t="s">
        <v>1408</v>
      </c>
      <c r="U62" s="34" t="s">
        <v>1409</v>
      </c>
      <c r="V62" s="34" t="s">
        <v>1410</v>
      </c>
      <c r="W62" s="34" t="s">
        <v>1411</v>
      </c>
      <c r="X62" s="34" t="s">
        <v>1412</v>
      </c>
      <c r="Y62" s="34" t="s">
        <v>1413</v>
      </c>
      <c r="Z62" s="34" t="s">
        <v>1414</v>
      </c>
      <c r="AA62" s="34" t="s">
        <v>1415</v>
      </c>
      <c r="AB62" s="34" t="s">
        <v>1416</v>
      </c>
      <c r="AC62" s="34" t="s">
        <v>1417</v>
      </c>
      <c r="AD62" s="34" t="s">
        <v>1418</v>
      </c>
      <c r="AE62" s="34" t="s">
        <v>1419</v>
      </c>
      <c r="AF62" s="34" t="s">
        <v>1420</v>
      </c>
      <c r="AG62" s="34" t="s">
        <v>67</v>
      </c>
    </row>
    <row r="63" ht="12.75" customHeight="1">
      <c r="A63" s="34" t="s">
        <v>39</v>
      </c>
      <c r="B63" s="34" t="s">
        <v>1421</v>
      </c>
      <c r="C63" s="34" t="s">
        <v>1422</v>
      </c>
      <c r="D63" s="34" t="s">
        <v>30</v>
      </c>
      <c r="E63" s="34" t="s">
        <v>31</v>
      </c>
      <c r="F63" s="34" t="s">
        <v>31</v>
      </c>
      <c r="G63" s="34" t="s">
        <v>1423</v>
      </c>
      <c r="H63" s="34" t="s">
        <v>1424</v>
      </c>
      <c r="I63" s="34" t="s">
        <v>1425</v>
      </c>
      <c r="J63" s="34" t="s">
        <v>1426</v>
      </c>
      <c r="M63" s="34" t="s">
        <v>33</v>
      </c>
      <c r="O63" s="34" t="s">
        <v>1427</v>
      </c>
      <c r="P63" s="34" t="s">
        <v>1428</v>
      </c>
      <c r="Q63" s="34" t="s">
        <v>1429</v>
      </c>
      <c r="R63" s="34" t="s">
        <v>1430</v>
      </c>
      <c r="S63" s="34" t="s">
        <v>1431</v>
      </c>
      <c r="T63" s="34" t="s">
        <v>1432</v>
      </c>
      <c r="U63" s="34" t="s">
        <v>1433</v>
      </c>
      <c r="V63" s="34" t="s">
        <v>1434</v>
      </c>
      <c r="W63" s="34" t="s">
        <v>1435</v>
      </c>
      <c r="X63" s="34" t="s">
        <v>1436</v>
      </c>
      <c r="Y63" s="34" t="s">
        <v>1437</v>
      </c>
      <c r="Z63" s="34" t="s">
        <v>1438</v>
      </c>
      <c r="AA63" s="34" t="s">
        <v>1439</v>
      </c>
      <c r="AB63" s="34" t="s">
        <v>1440</v>
      </c>
      <c r="AC63" s="34" t="s">
        <v>1441</v>
      </c>
      <c r="AD63" s="34" t="s">
        <v>1442</v>
      </c>
      <c r="AE63" s="34" t="s">
        <v>1443</v>
      </c>
      <c r="AF63" s="34" t="s">
        <v>1444</v>
      </c>
      <c r="AG63" s="34" t="s">
        <v>67</v>
      </c>
    </row>
    <row r="64" ht="12.75" customHeight="1">
      <c r="A64" s="34" t="s">
        <v>39</v>
      </c>
      <c r="B64" s="34" t="s">
        <v>1445</v>
      </c>
      <c r="C64" s="34" t="s">
        <v>1446</v>
      </c>
      <c r="D64" s="34" t="s">
        <v>30</v>
      </c>
      <c r="E64" s="34" t="s">
        <v>31</v>
      </c>
      <c r="F64" s="34" t="s">
        <v>31</v>
      </c>
      <c r="G64" s="34" t="s">
        <v>1447</v>
      </c>
      <c r="H64" s="34" t="s">
        <v>1448</v>
      </c>
      <c r="I64" s="34" t="s">
        <v>1449</v>
      </c>
      <c r="J64" s="34" t="s">
        <v>1450</v>
      </c>
      <c r="M64" s="34" t="s">
        <v>33</v>
      </c>
      <c r="O64" s="34" t="s">
        <v>1451</v>
      </c>
      <c r="P64" s="34" t="s">
        <v>1452</v>
      </c>
      <c r="Q64" s="34" t="s">
        <v>1453</v>
      </c>
      <c r="R64" s="34" t="s">
        <v>1454</v>
      </c>
      <c r="S64" s="34" t="s">
        <v>1455</v>
      </c>
      <c r="T64" s="34" t="s">
        <v>1456</v>
      </c>
      <c r="U64" s="34" t="s">
        <v>1457</v>
      </c>
      <c r="V64" s="34" t="s">
        <v>1458</v>
      </c>
      <c r="W64" s="34" t="s">
        <v>1459</v>
      </c>
      <c r="X64" s="34" t="s">
        <v>1460</v>
      </c>
      <c r="Y64" s="34" t="s">
        <v>1461</v>
      </c>
      <c r="Z64" s="34" t="s">
        <v>1462</v>
      </c>
      <c r="AA64" s="34" t="s">
        <v>1463</v>
      </c>
      <c r="AB64" s="34" t="s">
        <v>1464</v>
      </c>
      <c r="AC64" s="34" t="s">
        <v>1465</v>
      </c>
      <c r="AD64" s="34" t="s">
        <v>1466</v>
      </c>
      <c r="AE64" s="34" t="s">
        <v>1467</v>
      </c>
      <c r="AF64" s="34" t="s">
        <v>1468</v>
      </c>
      <c r="AG64" s="34" t="s">
        <v>67</v>
      </c>
    </row>
    <row r="65" ht="12.75" customHeight="1">
      <c r="A65" s="34" t="s">
        <v>39</v>
      </c>
      <c r="B65" s="34" t="s">
        <v>1469</v>
      </c>
      <c r="C65" s="34" t="s">
        <v>1470</v>
      </c>
      <c r="D65" s="34" t="s">
        <v>30</v>
      </c>
      <c r="E65" s="34" t="s">
        <v>31</v>
      </c>
      <c r="F65" s="34" t="s">
        <v>31</v>
      </c>
      <c r="G65" s="34" t="s">
        <v>1471</v>
      </c>
      <c r="H65" s="34" t="s">
        <v>1472</v>
      </c>
      <c r="I65" s="34" t="s">
        <v>1473</v>
      </c>
      <c r="J65" s="34" t="s">
        <v>1474</v>
      </c>
      <c r="M65" s="34" t="s">
        <v>33</v>
      </c>
      <c r="O65" s="34" t="s">
        <v>1475</v>
      </c>
      <c r="P65" s="34" t="s">
        <v>1476</v>
      </c>
      <c r="Q65" s="34" t="s">
        <v>1477</v>
      </c>
      <c r="R65" s="34" t="s">
        <v>1478</v>
      </c>
      <c r="S65" s="34" t="s">
        <v>1479</v>
      </c>
      <c r="T65" s="34" t="s">
        <v>1480</v>
      </c>
      <c r="U65" s="34" t="s">
        <v>1481</v>
      </c>
      <c r="V65" s="34" t="s">
        <v>1482</v>
      </c>
      <c r="W65" s="34" t="s">
        <v>1483</v>
      </c>
      <c r="X65" s="34" t="s">
        <v>1484</v>
      </c>
      <c r="Y65" s="34" t="s">
        <v>1485</v>
      </c>
      <c r="Z65" s="34" t="s">
        <v>1486</v>
      </c>
      <c r="AA65" s="34" t="s">
        <v>1487</v>
      </c>
      <c r="AB65" s="34" t="s">
        <v>1488</v>
      </c>
      <c r="AC65" s="34" t="s">
        <v>1489</v>
      </c>
      <c r="AD65" s="34" t="s">
        <v>1490</v>
      </c>
      <c r="AE65" s="34" t="s">
        <v>1491</v>
      </c>
      <c r="AF65" s="34" t="s">
        <v>1492</v>
      </c>
      <c r="AG65" s="34" t="s">
        <v>67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34" t="s">
        <v>1493</v>
      </c>
      <c r="B1" s="34" t="s">
        <v>41</v>
      </c>
      <c r="C1" s="34" t="s">
        <v>42</v>
      </c>
      <c r="D1" s="34" t="s">
        <v>42</v>
      </c>
      <c r="E1" s="34" t="s">
        <v>42</v>
      </c>
      <c r="F1" s="34" t="s">
        <v>42</v>
      </c>
      <c r="G1" s="34" t="s">
        <v>42</v>
      </c>
      <c r="H1" s="34" t="s">
        <v>42</v>
      </c>
      <c r="I1" s="34" t="s">
        <v>42</v>
      </c>
    </row>
    <row r="2" ht="12.75" customHeight="1"/>
    <row r="3" ht="12.75" customHeight="1"/>
    <row r="4" ht="12.75" customHeight="1"/>
    <row r="5" ht="12.75" customHeight="1">
      <c r="C5" s="34" t="s">
        <v>34</v>
      </c>
      <c r="D5" s="34" t="s">
        <v>6</v>
      </c>
      <c r="E5" s="34" t="s">
        <v>35</v>
      </c>
      <c r="F5" s="34" t="s">
        <v>36</v>
      </c>
      <c r="G5" s="34" t="s">
        <v>37</v>
      </c>
      <c r="H5" s="34" t="s">
        <v>38</v>
      </c>
      <c r="I5" s="34" t="s">
        <v>19</v>
      </c>
    </row>
    <row r="6" ht="12.75" customHeight="1">
      <c r="B6" s="34" t="s">
        <v>69</v>
      </c>
      <c r="C6" s="34" t="s">
        <v>70</v>
      </c>
      <c r="D6" s="34" t="s">
        <v>71</v>
      </c>
      <c r="E6" s="34" t="s">
        <v>44</v>
      </c>
      <c r="F6" s="34" t="s">
        <v>72</v>
      </c>
      <c r="G6" s="34" t="s">
        <v>73</v>
      </c>
      <c r="H6" s="34" t="s">
        <v>74</v>
      </c>
      <c r="I6" s="34" t="s">
        <v>75</v>
      </c>
    </row>
    <row r="7" ht="12.75" customHeight="1">
      <c r="A7" s="34" t="s">
        <v>39</v>
      </c>
      <c r="B7" s="34" t="s">
        <v>1494</v>
      </c>
      <c r="C7" s="34" t="s">
        <v>1495</v>
      </c>
      <c r="D7" s="34" t="s">
        <v>1496</v>
      </c>
      <c r="E7" s="34" t="s">
        <v>78</v>
      </c>
      <c r="F7" s="34" t="s">
        <v>1497</v>
      </c>
      <c r="G7" s="34" t="s">
        <v>1498</v>
      </c>
      <c r="H7" s="34" t="s">
        <v>1499</v>
      </c>
      <c r="I7" s="34" t="s">
        <v>1500</v>
      </c>
    </row>
    <row r="8" ht="12.75" customHeight="1">
      <c r="A8" s="34" t="s">
        <v>39</v>
      </c>
      <c r="B8" s="34" t="s">
        <v>1501</v>
      </c>
      <c r="C8" s="34" t="s">
        <v>1502</v>
      </c>
      <c r="D8" s="34" t="s">
        <v>1503</v>
      </c>
      <c r="E8" s="34" t="s">
        <v>102</v>
      </c>
      <c r="F8" s="34" t="s">
        <v>1504</v>
      </c>
      <c r="G8" s="34" t="s">
        <v>1505</v>
      </c>
      <c r="H8" s="34" t="s">
        <v>1506</v>
      </c>
      <c r="I8" s="34" t="s">
        <v>1507</v>
      </c>
    </row>
    <row r="9" ht="12.75" customHeight="1">
      <c r="A9" s="34" t="s">
        <v>39</v>
      </c>
      <c r="B9" s="34" t="s">
        <v>1508</v>
      </c>
      <c r="C9" s="34" t="s">
        <v>1509</v>
      </c>
      <c r="D9" s="34" t="s">
        <v>1510</v>
      </c>
      <c r="E9" s="34" t="s">
        <v>126</v>
      </c>
      <c r="F9" s="34" t="s">
        <v>1511</v>
      </c>
      <c r="G9" s="34" t="s">
        <v>1512</v>
      </c>
      <c r="H9" s="34" t="s">
        <v>1513</v>
      </c>
      <c r="I9" s="34" t="s">
        <v>1514</v>
      </c>
    </row>
    <row r="10" ht="12.75" customHeight="1">
      <c r="A10" s="34" t="s">
        <v>39</v>
      </c>
      <c r="B10" s="34" t="s">
        <v>1515</v>
      </c>
      <c r="C10" s="34" t="s">
        <v>1516</v>
      </c>
      <c r="D10" s="34" t="s">
        <v>1517</v>
      </c>
      <c r="E10" s="34" t="s">
        <v>150</v>
      </c>
      <c r="F10" s="34" t="s">
        <v>1518</v>
      </c>
      <c r="G10" s="34" t="s">
        <v>1519</v>
      </c>
      <c r="H10" s="34" t="s">
        <v>1520</v>
      </c>
      <c r="I10" s="34" t="s">
        <v>1521</v>
      </c>
    </row>
    <row r="11" ht="12.75" customHeight="1">
      <c r="A11" s="34" t="s">
        <v>39</v>
      </c>
      <c r="B11" s="34" t="s">
        <v>1522</v>
      </c>
      <c r="C11" s="34" t="s">
        <v>1523</v>
      </c>
      <c r="D11" s="34" t="s">
        <v>1524</v>
      </c>
      <c r="E11" s="34" t="s">
        <v>174</v>
      </c>
      <c r="F11" s="34" t="s">
        <v>1525</v>
      </c>
      <c r="G11" s="34" t="s">
        <v>1526</v>
      </c>
      <c r="H11" s="34" t="s">
        <v>1527</v>
      </c>
      <c r="I11" s="34" t="s">
        <v>1528</v>
      </c>
    </row>
    <row r="12" ht="12.75" customHeight="1">
      <c r="A12" s="34" t="s">
        <v>39</v>
      </c>
      <c r="B12" s="34" t="s">
        <v>1529</v>
      </c>
      <c r="C12" s="34" t="s">
        <v>1530</v>
      </c>
      <c r="D12" s="34" t="s">
        <v>1531</v>
      </c>
      <c r="E12" s="34" t="s">
        <v>198</v>
      </c>
      <c r="F12" s="34" t="s">
        <v>1532</v>
      </c>
      <c r="G12" s="34" t="s">
        <v>1533</v>
      </c>
      <c r="H12" s="34" t="s">
        <v>1534</v>
      </c>
      <c r="I12" s="34" t="s">
        <v>1535</v>
      </c>
    </row>
    <row r="13" ht="12.75" customHeight="1">
      <c r="A13" s="34" t="s">
        <v>39</v>
      </c>
      <c r="B13" s="34" t="s">
        <v>1536</v>
      </c>
      <c r="C13" s="34" t="s">
        <v>1537</v>
      </c>
      <c r="D13" s="34" t="s">
        <v>1538</v>
      </c>
      <c r="E13" s="34" t="s">
        <v>222</v>
      </c>
      <c r="F13" s="34" t="s">
        <v>1539</v>
      </c>
      <c r="G13" s="34" t="s">
        <v>1540</v>
      </c>
      <c r="H13" s="34" t="s">
        <v>1541</v>
      </c>
      <c r="I13" s="34" t="s">
        <v>1542</v>
      </c>
    </row>
    <row r="14" ht="12.75" customHeight="1">
      <c r="A14" s="34" t="s">
        <v>39</v>
      </c>
      <c r="B14" s="34" t="s">
        <v>1543</v>
      </c>
      <c r="C14" s="34" t="s">
        <v>1544</v>
      </c>
      <c r="D14" s="34" t="s">
        <v>1545</v>
      </c>
      <c r="E14" s="34" t="s">
        <v>246</v>
      </c>
      <c r="F14" s="34" t="s">
        <v>1546</v>
      </c>
      <c r="G14" s="34" t="s">
        <v>1547</v>
      </c>
      <c r="H14" s="34" t="s">
        <v>1548</v>
      </c>
      <c r="I14" s="34" t="s">
        <v>1549</v>
      </c>
    </row>
    <row r="15" ht="12.75" customHeight="1">
      <c r="A15" s="34" t="s">
        <v>39</v>
      </c>
      <c r="B15" s="34" t="s">
        <v>1550</v>
      </c>
      <c r="C15" s="34" t="s">
        <v>1551</v>
      </c>
      <c r="D15" s="34" t="s">
        <v>1552</v>
      </c>
      <c r="E15" s="34" t="s">
        <v>270</v>
      </c>
      <c r="F15" s="34" t="s">
        <v>1553</v>
      </c>
      <c r="G15" s="34" t="s">
        <v>1554</v>
      </c>
      <c r="H15" s="34" t="s">
        <v>1555</v>
      </c>
      <c r="I15" s="34" t="s">
        <v>1556</v>
      </c>
    </row>
    <row r="16" ht="12.75" customHeight="1">
      <c r="A16" s="34" t="s">
        <v>39</v>
      </c>
      <c r="B16" s="34" t="s">
        <v>1557</v>
      </c>
      <c r="C16" s="34" t="s">
        <v>1558</v>
      </c>
      <c r="D16" s="34" t="s">
        <v>1559</v>
      </c>
      <c r="E16" s="34" t="s">
        <v>294</v>
      </c>
      <c r="F16" s="34" t="s">
        <v>1560</v>
      </c>
      <c r="G16" s="34" t="s">
        <v>1561</v>
      </c>
      <c r="H16" s="34" t="s">
        <v>1562</v>
      </c>
      <c r="I16" s="34" t="s">
        <v>1563</v>
      </c>
    </row>
    <row r="17" ht="12.75" customHeight="1">
      <c r="A17" s="34" t="s">
        <v>39</v>
      </c>
      <c r="B17" s="34" t="s">
        <v>1564</v>
      </c>
      <c r="C17" s="34" t="s">
        <v>1565</v>
      </c>
      <c r="D17" s="34" t="s">
        <v>1566</v>
      </c>
      <c r="E17" s="34" t="s">
        <v>318</v>
      </c>
      <c r="F17" s="34" t="s">
        <v>1567</v>
      </c>
      <c r="G17" s="34" t="s">
        <v>1568</v>
      </c>
      <c r="H17" s="34" t="s">
        <v>1569</v>
      </c>
      <c r="I17" s="34" t="s">
        <v>1570</v>
      </c>
    </row>
    <row r="18" ht="12.75" customHeight="1">
      <c r="A18" s="34" t="s">
        <v>39</v>
      </c>
      <c r="B18" s="34" t="s">
        <v>1571</v>
      </c>
      <c r="C18" s="34" t="s">
        <v>1572</v>
      </c>
      <c r="D18" s="34" t="s">
        <v>1573</v>
      </c>
      <c r="E18" s="34" t="s">
        <v>342</v>
      </c>
      <c r="F18" s="34" t="s">
        <v>1574</v>
      </c>
      <c r="G18" s="34" t="s">
        <v>1575</v>
      </c>
      <c r="H18" s="34" t="s">
        <v>1576</v>
      </c>
      <c r="I18" s="34" t="s">
        <v>1577</v>
      </c>
    </row>
    <row r="19" ht="12.75" customHeight="1">
      <c r="A19" s="34" t="s">
        <v>39</v>
      </c>
      <c r="B19" s="34" t="s">
        <v>1578</v>
      </c>
      <c r="C19" s="34" t="s">
        <v>1579</v>
      </c>
      <c r="D19" s="34" t="s">
        <v>1580</v>
      </c>
      <c r="E19" s="34" t="s">
        <v>366</v>
      </c>
      <c r="F19" s="34" t="s">
        <v>1581</v>
      </c>
      <c r="G19" s="34" t="s">
        <v>1582</v>
      </c>
      <c r="H19" s="34" t="s">
        <v>1583</v>
      </c>
      <c r="I19" s="34" t="s">
        <v>1584</v>
      </c>
    </row>
    <row r="20" ht="12.75" customHeight="1">
      <c r="A20" s="34" t="s">
        <v>39</v>
      </c>
      <c r="B20" s="34" t="s">
        <v>1585</v>
      </c>
      <c r="C20" s="34" t="s">
        <v>1586</v>
      </c>
      <c r="D20" s="34" t="s">
        <v>1587</v>
      </c>
      <c r="E20" s="34" t="s">
        <v>390</v>
      </c>
      <c r="F20" s="34" t="s">
        <v>1588</v>
      </c>
      <c r="G20" s="34" t="s">
        <v>1589</v>
      </c>
      <c r="H20" s="34" t="s">
        <v>1590</v>
      </c>
      <c r="I20" s="34" t="s">
        <v>1591</v>
      </c>
    </row>
    <row r="21" ht="12.75" customHeight="1">
      <c r="A21" s="34" t="s">
        <v>39</v>
      </c>
      <c r="B21" s="34" t="s">
        <v>1592</v>
      </c>
      <c r="C21" s="34" t="s">
        <v>1593</v>
      </c>
      <c r="D21" s="34" t="s">
        <v>1594</v>
      </c>
      <c r="E21" s="34" t="s">
        <v>414</v>
      </c>
      <c r="F21" s="34" t="s">
        <v>1595</v>
      </c>
      <c r="G21" s="34" t="s">
        <v>1596</v>
      </c>
      <c r="H21" s="34" t="s">
        <v>1597</v>
      </c>
      <c r="I21" s="34" t="s">
        <v>1598</v>
      </c>
    </row>
    <row r="22" ht="12.75" customHeight="1">
      <c r="A22" s="34" t="s">
        <v>39</v>
      </c>
      <c r="B22" s="34" t="s">
        <v>1599</v>
      </c>
      <c r="C22" s="34" t="s">
        <v>1600</v>
      </c>
      <c r="D22" s="34" t="s">
        <v>1601</v>
      </c>
      <c r="E22" s="34" t="s">
        <v>438</v>
      </c>
      <c r="F22" s="34" t="s">
        <v>1602</v>
      </c>
      <c r="G22" s="34" t="s">
        <v>1603</v>
      </c>
      <c r="H22" s="34" t="s">
        <v>1604</v>
      </c>
      <c r="I22" s="34" t="s">
        <v>1605</v>
      </c>
    </row>
    <row r="23" ht="12.75" customHeight="1">
      <c r="A23" s="34" t="s">
        <v>39</v>
      </c>
      <c r="B23" s="34" t="s">
        <v>1606</v>
      </c>
      <c r="C23" s="34" t="s">
        <v>1607</v>
      </c>
      <c r="D23" s="34" t="s">
        <v>1608</v>
      </c>
      <c r="E23" s="34" t="s">
        <v>462</v>
      </c>
      <c r="F23" s="34" t="s">
        <v>1609</v>
      </c>
      <c r="G23" s="34" t="s">
        <v>1610</v>
      </c>
      <c r="H23" s="34" t="s">
        <v>1611</v>
      </c>
      <c r="I23" s="34" t="s">
        <v>1612</v>
      </c>
    </row>
    <row r="24" ht="12.75" customHeight="1">
      <c r="A24" s="34" t="s">
        <v>39</v>
      </c>
      <c r="B24" s="34" t="s">
        <v>1613</v>
      </c>
      <c r="C24" s="34" t="s">
        <v>1614</v>
      </c>
      <c r="D24" s="34" t="s">
        <v>1615</v>
      </c>
      <c r="E24" s="34" t="s">
        <v>486</v>
      </c>
      <c r="F24" s="34" t="s">
        <v>1616</v>
      </c>
      <c r="G24" s="34" t="s">
        <v>1617</v>
      </c>
      <c r="H24" s="34" t="s">
        <v>1618</v>
      </c>
      <c r="I24" s="34" t="s">
        <v>1619</v>
      </c>
    </row>
    <row r="25" ht="12.75" customHeight="1">
      <c r="A25" s="34" t="s">
        <v>39</v>
      </c>
      <c r="B25" s="34" t="s">
        <v>1620</v>
      </c>
      <c r="C25" s="34" t="s">
        <v>1621</v>
      </c>
      <c r="D25" s="34" t="s">
        <v>1622</v>
      </c>
      <c r="E25" s="34" t="s">
        <v>510</v>
      </c>
      <c r="F25" s="34" t="s">
        <v>1623</v>
      </c>
      <c r="G25" s="34" t="s">
        <v>1624</v>
      </c>
      <c r="H25" s="34" t="s">
        <v>1625</v>
      </c>
      <c r="I25" s="34" t="s">
        <v>1626</v>
      </c>
    </row>
    <row r="26" ht="12.75" customHeight="1">
      <c r="A26" s="34" t="s">
        <v>39</v>
      </c>
      <c r="B26" s="34" t="s">
        <v>1627</v>
      </c>
      <c r="C26" s="34" t="s">
        <v>1628</v>
      </c>
      <c r="D26" s="34" t="s">
        <v>1629</v>
      </c>
      <c r="E26" s="34" t="s">
        <v>534</v>
      </c>
      <c r="F26" s="34" t="s">
        <v>1630</v>
      </c>
      <c r="G26" s="34" t="s">
        <v>1631</v>
      </c>
      <c r="H26" s="34" t="s">
        <v>1632</v>
      </c>
      <c r="I26" s="34" t="s">
        <v>1633</v>
      </c>
    </row>
    <row r="27" ht="12.75" customHeight="1">
      <c r="A27" s="34" t="s">
        <v>39</v>
      </c>
      <c r="B27" s="34" t="s">
        <v>1634</v>
      </c>
      <c r="C27" s="34" t="s">
        <v>1635</v>
      </c>
      <c r="D27" s="34" t="s">
        <v>1636</v>
      </c>
      <c r="E27" s="34" t="s">
        <v>558</v>
      </c>
      <c r="F27" s="34" t="s">
        <v>1637</v>
      </c>
      <c r="G27" s="34" t="s">
        <v>1638</v>
      </c>
      <c r="H27" s="34" t="s">
        <v>1639</v>
      </c>
      <c r="I27" s="34" t="s">
        <v>1640</v>
      </c>
    </row>
    <row r="28" ht="12.75" customHeight="1">
      <c r="A28" s="34" t="s">
        <v>39</v>
      </c>
      <c r="B28" s="34" t="s">
        <v>1641</v>
      </c>
      <c r="C28" s="34" t="s">
        <v>1642</v>
      </c>
      <c r="D28" s="34" t="s">
        <v>1643</v>
      </c>
      <c r="E28" s="34" t="s">
        <v>582</v>
      </c>
      <c r="F28" s="34" t="s">
        <v>1644</v>
      </c>
      <c r="G28" s="34" t="s">
        <v>1645</v>
      </c>
      <c r="H28" s="34" t="s">
        <v>1646</v>
      </c>
      <c r="I28" s="34" t="s">
        <v>1647</v>
      </c>
    </row>
    <row r="29" ht="12.75" customHeight="1">
      <c r="A29" s="34" t="s">
        <v>39</v>
      </c>
      <c r="B29" s="34" t="s">
        <v>1648</v>
      </c>
      <c r="C29" s="34" t="s">
        <v>1649</v>
      </c>
      <c r="D29" s="34" t="s">
        <v>1650</v>
      </c>
      <c r="E29" s="34" t="s">
        <v>606</v>
      </c>
      <c r="F29" s="34" t="s">
        <v>1651</v>
      </c>
      <c r="G29" s="34" t="s">
        <v>1652</v>
      </c>
      <c r="H29" s="34" t="s">
        <v>1653</v>
      </c>
      <c r="I29" s="34" t="s">
        <v>1654</v>
      </c>
    </row>
    <row r="30" ht="12.75" customHeight="1">
      <c r="A30" s="34" t="s">
        <v>39</v>
      </c>
      <c r="B30" s="34" t="s">
        <v>1655</v>
      </c>
      <c r="C30" s="34" t="s">
        <v>1656</v>
      </c>
      <c r="D30" s="34" t="s">
        <v>1657</v>
      </c>
      <c r="E30" s="34" t="s">
        <v>630</v>
      </c>
      <c r="F30" s="34" t="s">
        <v>1658</v>
      </c>
      <c r="G30" s="34" t="s">
        <v>1659</v>
      </c>
      <c r="H30" s="34" t="s">
        <v>1660</v>
      </c>
      <c r="I30" s="34" t="s">
        <v>1661</v>
      </c>
    </row>
    <row r="31" ht="12.75" customHeight="1">
      <c r="A31" s="34" t="s">
        <v>39</v>
      </c>
      <c r="B31" s="34" t="s">
        <v>1662</v>
      </c>
      <c r="C31" s="34" t="s">
        <v>1663</v>
      </c>
      <c r="D31" s="34" t="s">
        <v>1664</v>
      </c>
      <c r="E31" s="34" t="s">
        <v>654</v>
      </c>
      <c r="F31" s="34" t="s">
        <v>1665</v>
      </c>
      <c r="G31" s="34" t="s">
        <v>1666</v>
      </c>
      <c r="H31" s="34" t="s">
        <v>1667</v>
      </c>
      <c r="I31" s="34" t="s">
        <v>1668</v>
      </c>
    </row>
    <row r="32" ht="12.75" customHeight="1">
      <c r="A32" s="34" t="s">
        <v>39</v>
      </c>
      <c r="B32" s="34" t="s">
        <v>1669</v>
      </c>
      <c r="C32" s="34" t="s">
        <v>1670</v>
      </c>
      <c r="D32" s="34" t="s">
        <v>1671</v>
      </c>
      <c r="E32" s="34" t="s">
        <v>678</v>
      </c>
      <c r="F32" s="34" t="s">
        <v>1672</v>
      </c>
      <c r="G32" s="34" t="s">
        <v>1673</v>
      </c>
      <c r="H32" s="34" t="s">
        <v>1674</v>
      </c>
      <c r="I32" s="34" t="s">
        <v>1675</v>
      </c>
    </row>
    <row r="33" ht="12.75" customHeight="1">
      <c r="A33" s="34" t="s">
        <v>39</v>
      </c>
      <c r="B33" s="34" t="s">
        <v>1676</v>
      </c>
      <c r="C33" s="34" t="s">
        <v>1677</v>
      </c>
      <c r="D33" s="34" t="s">
        <v>1678</v>
      </c>
      <c r="E33" s="34" t="s">
        <v>702</v>
      </c>
      <c r="F33" s="34" t="s">
        <v>1679</v>
      </c>
      <c r="G33" s="34" t="s">
        <v>1680</v>
      </c>
      <c r="H33" s="34" t="s">
        <v>1681</v>
      </c>
      <c r="I33" s="34" t="s">
        <v>1682</v>
      </c>
    </row>
    <row r="34" ht="12.75" customHeight="1">
      <c r="A34" s="34" t="s">
        <v>39</v>
      </c>
      <c r="B34" s="34" t="s">
        <v>1683</v>
      </c>
      <c r="C34" s="34" t="s">
        <v>1684</v>
      </c>
      <c r="D34" s="34" t="s">
        <v>1685</v>
      </c>
      <c r="E34" s="34" t="s">
        <v>726</v>
      </c>
      <c r="F34" s="34" t="s">
        <v>1686</v>
      </c>
      <c r="G34" s="34" t="s">
        <v>1687</v>
      </c>
      <c r="H34" s="34" t="s">
        <v>1688</v>
      </c>
      <c r="I34" s="34" t="s">
        <v>1689</v>
      </c>
    </row>
    <row r="35" ht="12.75" customHeight="1">
      <c r="A35" s="34" t="s">
        <v>39</v>
      </c>
      <c r="B35" s="34" t="s">
        <v>1690</v>
      </c>
      <c r="C35" s="34" t="s">
        <v>1691</v>
      </c>
      <c r="D35" s="34" t="s">
        <v>1692</v>
      </c>
      <c r="E35" s="34" t="s">
        <v>750</v>
      </c>
      <c r="F35" s="34" t="s">
        <v>1693</v>
      </c>
      <c r="G35" s="34" t="s">
        <v>1694</v>
      </c>
      <c r="H35" s="34" t="s">
        <v>1695</v>
      </c>
      <c r="I35" s="34" t="s">
        <v>1696</v>
      </c>
    </row>
    <row r="36" ht="12.75" customHeight="1">
      <c r="A36" s="34" t="s">
        <v>39</v>
      </c>
      <c r="B36" s="34" t="s">
        <v>1697</v>
      </c>
      <c r="C36" s="34" t="s">
        <v>1698</v>
      </c>
      <c r="D36" s="34" t="s">
        <v>1699</v>
      </c>
      <c r="E36" s="34" t="s">
        <v>774</v>
      </c>
      <c r="F36" s="34" t="s">
        <v>1700</v>
      </c>
      <c r="G36" s="34" t="s">
        <v>1701</v>
      </c>
      <c r="H36" s="34" t="s">
        <v>1702</v>
      </c>
      <c r="I36" s="34" t="s">
        <v>1703</v>
      </c>
    </row>
    <row r="37" ht="12.75" customHeight="1">
      <c r="A37" s="34" t="s">
        <v>39</v>
      </c>
      <c r="B37" s="34" t="s">
        <v>1704</v>
      </c>
      <c r="C37" s="34" t="s">
        <v>1705</v>
      </c>
      <c r="D37" s="34" t="s">
        <v>1706</v>
      </c>
      <c r="E37" s="34" t="s">
        <v>798</v>
      </c>
      <c r="F37" s="34" t="s">
        <v>1707</v>
      </c>
      <c r="G37" s="34" t="s">
        <v>1708</v>
      </c>
      <c r="H37" s="34" t="s">
        <v>1709</v>
      </c>
      <c r="I37" s="34" t="s">
        <v>1710</v>
      </c>
    </row>
    <row r="38" ht="12.75" customHeight="1">
      <c r="A38" s="34" t="s">
        <v>39</v>
      </c>
      <c r="B38" s="34" t="s">
        <v>1711</v>
      </c>
      <c r="C38" s="34" t="s">
        <v>1712</v>
      </c>
      <c r="D38" s="34" t="s">
        <v>1713</v>
      </c>
      <c r="E38" s="34" t="s">
        <v>822</v>
      </c>
      <c r="F38" s="34" t="s">
        <v>1714</v>
      </c>
      <c r="G38" s="34" t="s">
        <v>1715</v>
      </c>
      <c r="H38" s="34" t="s">
        <v>1716</v>
      </c>
      <c r="I38" s="34" t="s">
        <v>1717</v>
      </c>
    </row>
    <row r="39" ht="12.75" customHeight="1">
      <c r="A39" s="34" t="s">
        <v>39</v>
      </c>
      <c r="B39" s="34" t="s">
        <v>1718</v>
      </c>
      <c r="C39" s="34" t="s">
        <v>1719</v>
      </c>
      <c r="D39" s="34" t="s">
        <v>1720</v>
      </c>
      <c r="E39" s="34" t="s">
        <v>846</v>
      </c>
      <c r="F39" s="34" t="s">
        <v>1721</v>
      </c>
      <c r="G39" s="34" t="s">
        <v>1722</v>
      </c>
      <c r="H39" s="34" t="s">
        <v>1723</v>
      </c>
      <c r="I39" s="34" t="s">
        <v>1724</v>
      </c>
    </row>
    <row r="40" ht="12.75" customHeight="1">
      <c r="A40" s="34" t="s">
        <v>39</v>
      </c>
      <c r="B40" s="34" t="s">
        <v>1725</v>
      </c>
      <c r="C40" s="34" t="s">
        <v>1726</v>
      </c>
      <c r="D40" s="34" t="s">
        <v>1727</v>
      </c>
      <c r="E40" s="34" t="s">
        <v>870</v>
      </c>
      <c r="F40" s="34" t="s">
        <v>1728</v>
      </c>
      <c r="G40" s="34" t="s">
        <v>1729</v>
      </c>
      <c r="H40" s="34" t="s">
        <v>1730</v>
      </c>
      <c r="I40" s="34" t="s">
        <v>1731</v>
      </c>
    </row>
    <row r="41" ht="12.75" customHeight="1">
      <c r="A41" s="34" t="s">
        <v>39</v>
      </c>
      <c r="B41" s="34" t="s">
        <v>1732</v>
      </c>
      <c r="C41" s="34" t="s">
        <v>1733</v>
      </c>
      <c r="D41" s="34" t="s">
        <v>1734</v>
      </c>
      <c r="E41" s="34" t="s">
        <v>894</v>
      </c>
      <c r="F41" s="34" t="s">
        <v>1735</v>
      </c>
      <c r="G41" s="34" t="s">
        <v>1736</v>
      </c>
      <c r="H41" s="34" t="s">
        <v>1737</v>
      </c>
      <c r="I41" s="34" t="s">
        <v>1738</v>
      </c>
    </row>
    <row r="42" ht="12.75" customHeight="1">
      <c r="A42" s="34" t="s">
        <v>39</v>
      </c>
      <c r="B42" s="34" t="s">
        <v>1739</v>
      </c>
      <c r="C42" s="34" t="s">
        <v>1740</v>
      </c>
      <c r="D42" s="34" t="s">
        <v>1741</v>
      </c>
      <c r="E42" s="34" t="s">
        <v>918</v>
      </c>
      <c r="F42" s="34" t="s">
        <v>1742</v>
      </c>
      <c r="G42" s="34" t="s">
        <v>1743</v>
      </c>
      <c r="H42" s="34" t="s">
        <v>1744</v>
      </c>
      <c r="I42" s="34" t="s">
        <v>1745</v>
      </c>
    </row>
    <row r="43" ht="12.75" customHeight="1">
      <c r="A43" s="34" t="s">
        <v>39</v>
      </c>
      <c r="B43" s="34" t="s">
        <v>1746</v>
      </c>
      <c r="C43" s="34" t="s">
        <v>1747</v>
      </c>
      <c r="D43" s="34" t="s">
        <v>1748</v>
      </c>
      <c r="E43" s="34" t="s">
        <v>942</v>
      </c>
      <c r="F43" s="34" t="s">
        <v>1749</v>
      </c>
      <c r="G43" s="34" t="s">
        <v>1750</v>
      </c>
      <c r="H43" s="34" t="s">
        <v>1751</v>
      </c>
      <c r="I43" s="34" t="s">
        <v>1752</v>
      </c>
    </row>
    <row r="44" ht="12.75" customHeight="1">
      <c r="A44" s="34" t="s">
        <v>39</v>
      </c>
      <c r="B44" s="34" t="s">
        <v>1753</v>
      </c>
      <c r="C44" s="34" t="s">
        <v>1754</v>
      </c>
      <c r="D44" s="34" t="s">
        <v>1755</v>
      </c>
      <c r="E44" s="34" t="s">
        <v>966</v>
      </c>
      <c r="F44" s="34" t="s">
        <v>1756</v>
      </c>
      <c r="G44" s="34" t="s">
        <v>1757</v>
      </c>
      <c r="H44" s="34" t="s">
        <v>1758</v>
      </c>
      <c r="I44" s="34" t="s">
        <v>1759</v>
      </c>
    </row>
    <row r="45" ht="12.75" customHeight="1">
      <c r="A45" s="34" t="s">
        <v>39</v>
      </c>
      <c r="B45" s="34" t="s">
        <v>1760</v>
      </c>
      <c r="C45" s="34" t="s">
        <v>1761</v>
      </c>
      <c r="D45" s="34" t="s">
        <v>1762</v>
      </c>
      <c r="E45" s="34" t="s">
        <v>990</v>
      </c>
      <c r="F45" s="34" t="s">
        <v>1763</v>
      </c>
      <c r="G45" s="34" t="s">
        <v>1764</v>
      </c>
      <c r="H45" s="34" t="s">
        <v>1765</v>
      </c>
      <c r="I45" s="34" t="s">
        <v>1766</v>
      </c>
    </row>
    <row r="46" ht="12.75" customHeight="1">
      <c r="A46" s="34" t="s">
        <v>39</v>
      </c>
      <c r="B46" s="34" t="s">
        <v>1767</v>
      </c>
      <c r="C46" s="34" t="s">
        <v>1768</v>
      </c>
      <c r="D46" s="34" t="s">
        <v>1769</v>
      </c>
      <c r="E46" s="34" t="s">
        <v>1014</v>
      </c>
      <c r="F46" s="34" t="s">
        <v>1770</v>
      </c>
      <c r="G46" s="34" t="s">
        <v>1771</v>
      </c>
      <c r="H46" s="34" t="s">
        <v>1772</v>
      </c>
      <c r="I46" s="34" t="s">
        <v>1773</v>
      </c>
    </row>
    <row r="47" ht="12.75" customHeight="1">
      <c r="A47" s="34" t="s">
        <v>39</v>
      </c>
      <c r="B47" s="34" t="s">
        <v>1774</v>
      </c>
      <c r="C47" s="34" t="s">
        <v>1775</v>
      </c>
      <c r="D47" s="34" t="s">
        <v>1776</v>
      </c>
      <c r="E47" s="34" t="s">
        <v>1038</v>
      </c>
      <c r="F47" s="34" t="s">
        <v>1777</v>
      </c>
      <c r="G47" s="34" t="s">
        <v>1778</v>
      </c>
      <c r="H47" s="34" t="s">
        <v>1779</v>
      </c>
      <c r="I47" s="34" t="s">
        <v>1780</v>
      </c>
    </row>
    <row r="48" ht="12.75" customHeight="1">
      <c r="A48" s="34" t="s">
        <v>39</v>
      </c>
      <c r="B48" s="34" t="s">
        <v>1781</v>
      </c>
      <c r="C48" s="34" t="s">
        <v>1782</v>
      </c>
      <c r="D48" s="34" t="s">
        <v>1783</v>
      </c>
      <c r="E48" s="34" t="s">
        <v>1062</v>
      </c>
      <c r="F48" s="34" t="s">
        <v>1784</v>
      </c>
      <c r="G48" s="34" t="s">
        <v>1785</v>
      </c>
      <c r="H48" s="34" t="s">
        <v>1786</v>
      </c>
      <c r="I48" s="34" t="s">
        <v>1787</v>
      </c>
    </row>
    <row r="49" ht="12.75" customHeight="1">
      <c r="A49" s="34" t="s">
        <v>39</v>
      </c>
      <c r="B49" s="34" t="s">
        <v>1788</v>
      </c>
      <c r="C49" s="34" t="s">
        <v>1789</v>
      </c>
      <c r="D49" s="34" t="s">
        <v>1790</v>
      </c>
      <c r="E49" s="34" t="s">
        <v>1086</v>
      </c>
      <c r="F49" s="34" t="s">
        <v>1791</v>
      </c>
      <c r="G49" s="34" t="s">
        <v>1792</v>
      </c>
      <c r="H49" s="34" t="s">
        <v>1793</v>
      </c>
      <c r="I49" s="34" t="s">
        <v>1794</v>
      </c>
    </row>
    <row r="50" ht="12.75" customHeight="1">
      <c r="A50" s="34" t="s">
        <v>39</v>
      </c>
      <c r="B50" s="34" t="s">
        <v>1795</v>
      </c>
      <c r="C50" s="34" t="s">
        <v>1796</v>
      </c>
      <c r="D50" s="34" t="s">
        <v>1797</v>
      </c>
      <c r="E50" s="34" t="s">
        <v>1110</v>
      </c>
      <c r="F50" s="34" t="s">
        <v>1798</v>
      </c>
      <c r="G50" s="34" t="s">
        <v>1799</v>
      </c>
      <c r="H50" s="34" t="s">
        <v>1800</v>
      </c>
      <c r="I50" s="34" t="s">
        <v>1801</v>
      </c>
    </row>
    <row r="51" ht="12.75" customHeight="1">
      <c r="A51" s="34" t="s">
        <v>39</v>
      </c>
      <c r="B51" s="34" t="s">
        <v>1802</v>
      </c>
      <c r="C51" s="34" t="s">
        <v>1803</v>
      </c>
      <c r="D51" s="34" t="s">
        <v>1804</v>
      </c>
      <c r="E51" s="34" t="s">
        <v>1134</v>
      </c>
      <c r="F51" s="34" t="s">
        <v>1805</v>
      </c>
      <c r="G51" s="34" t="s">
        <v>1806</v>
      </c>
      <c r="H51" s="34" t="s">
        <v>1807</v>
      </c>
      <c r="I51" s="34" t="s">
        <v>1808</v>
      </c>
    </row>
    <row r="52" ht="12.75" customHeight="1">
      <c r="A52" s="34" t="s">
        <v>39</v>
      </c>
      <c r="B52" s="34" t="s">
        <v>1809</v>
      </c>
      <c r="C52" s="34" t="s">
        <v>1810</v>
      </c>
      <c r="D52" s="34" t="s">
        <v>1811</v>
      </c>
      <c r="E52" s="34" t="s">
        <v>1158</v>
      </c>
      <c r="F52" s="34" t="s">
        <v>1812</v>
      </c>
      <c r="G52" s="34" t="s">
        <v>1813</v>
      </c>
      <c r="H52" s="34" t="s">
        <v>1814</v>
      </c>
      <c r="I52" s="34" t="s">
        <v>1815</v>
      </c>
    </row>
    <row r="53" ht="12.75" customHeight="1">
      <c r="A53" s="34" t="s">
        <v>39</v>
      </c>
      <c r="B53" s="34" t="s">
        <v>1816</v>
      </c>
      <c r="C53" s="34" t="s">
        <v>1817</v>
      </c>
      <c r="D53" s="34" t="s">
        <v>1818</v>
      </c>
      <c r="E53" s="34" t="s">
        <v>1182</v>
      </c>
      <c r="F53" s="34" t="s">
        <v>1819</v>
      </c>
      <c r="G53" s="34" t="s">
        <v>1820</v>
      </c>
      <c r="H53" s="34" t="s">
        <v>1821</v>
      </c>
      <c r="I53" s="34" t="s">
        <v>1822</v>
      </c>
    </row>
    <row r="54" ht="12.75" customHeight="1">
      <c r="A54" s="34" t="s">
        <v>39</v>
      </c>
      <c r="B54" s="34" t="s">
        <v>1823</v>
      </c>
      <c r="C54" s="34" t="s">
        <v>1824</v>
      </c>
      <c r="D54" s="34" t="s">
        <v>1825</v>
      </c>
      <c r="E54" s="34" t="s">
        <v>1206</v>
      </c>
      <c r="F54" s="34" t="s">
        <v>1826</v>
      </c>
      <c r="G54" s="34" t="s">
        <v>1827</v>
      </c>
      <c r="H54" s="34" t="s">
        <v>1828</v>
      </c>
      <c r="I54" s="34" t="s">
        <v>1829</v>
      </c>
    </row>
    <row r="55" ht="12.75" customHeight="1">
      <c r="A55" s="34" t="s">
        <v>39</v>
      </c>
      <c r="B55" s="34" t="s">
        <v>1830</v>
      </c>
      <c r="C55" s="34" t="s">
        <v>1831</v>
      </c>
      <c r="D55" s="34" t="s">
        <v>1832</v>
      </c>
      <c r="E55" s="34" t="s">
        <v>1230</v>
      </c>
      <c r="F55" s="34" t="s">
        <v>1833</v>
      </c>
      <c r="G55" s="34" t="s">
        <v>1834</v>
      </c>
      <c r="H55" s="34" t="s">
        <v>1835</v>
      </c>
      <c r="I55" s="34" t="s">
        <v>1836</v>
      </c>
    </row>
    <row r="56" ht="12.75" customHeight="1">
      <c r="A56" s="34" t="s">
        <v>39</v>
      </c>
      <c r="B56" s="34" t="s">
        <v>1837</v>
      </c>
      <c r="C56" s="34" t="s">
        <v>1838</v>
      </c>
      <c r="D56" s="34" t="s">
        <v>1839</v>
      </c>
      <c r="E56" s="34" t="s">
        <v>1254</v>
      </c>
      <c r="F56" s="34" t="s">
        <v>1840</v>
      </c>
      <c r="G56" s="34" t="s">
        <v>1841</v>
      </c>
      <c r="H56" s="34" t="s">
        <v>1842</v>
      </c>
      <c r="I56" s="34" t="s">
        <v>1843</v>
      </c>
    </row>
    <row r="57" ht="12.75" customHeight="1">
      <c r="A57" s="34" t="s">
        <v>39</v>
      </c>
      <c r="B57" s="34" t="s">
        <v>1844</v>
      </c>
      <c r="C57" s="34" t="s">
        <v>1845</v>
      </c>
      <c r="D57" s="34" t="s">
        <v>1846</v>
      </c>
      <c r="E57" s="34" t="s">
        <v>1278</v>
      </c>
      <c r="F57" s="34" t="s">
        <v>1847</v>
      </c>
      <c r="G57" s="34" t="s">
        <v>1848</v>
      </c>
      <c r="H57" s="34" t="s">
        <v>1849</v>
      </c>
      <c r="I57" s="34" t="s">
        <v>1850</v>
      </c>
    </row>
    <row r="58" ht="12.75" customHeight="1">
      <c r="A58" s="34" t="s">
        <v>39</v>
      </c>
      <c r="B58" s="34" t="s">
        <v>1851</v>
      </c>
      <c r="C58" s="34" t="s">
        <v>1852</v>
      </c>
      <c r="D58" s="34" t="s">
        <v>1853</v>
      </c>
      <c r="E58" s="34" t="s">
        <v>1302</v>
      </c>
      <c r="F58" s="34" t="s">
        <v>1854</v>
      </c>
      <c r="G58" s="34" t="s">
        <v>1855</v>
      </c>
      <c r="H58" s="34" t="s">
        <v>1856</v>
      </c>
      <c r="I58" s="34" t="s">
        <v>1857</v>
      </c>
    </row>
    <row r="59" ht="12.75" customHeight="1">
      <c r="A59" s="34" t="s">
        <v>39</v>
      </c>
      <c r="B59" s="34" t="s">
        <v>1858</v>
      </c>
      <c r="C59" s="34" t="s">
        <v>1859</v>
      </c>
      <c r="D59" s="34" t="s">
        <v>1860</v>
      </c>
      <c r="E59" s="34" t="s">
        <v>1326</v>
      </c>
      <c r="F59" s="34" t="s">
        <v>1861</v>
      </c>
      <c r="G59" s="34" t="s">
        <v>1862</v>
      </c>
      <c r="H59" s="34" t="s">
        <v>1863</v>
      </c>
      <c r="I59" s="34" t="s">
        <v>1864</v>
      </c>
    </row>
    <row r="60" ht="12.75" customHeight="1">
      <c r="A60" s="34" t="s">
        <v>39</v>
      </c>
      <c r="B60" s="34" t="s">
        <v>1865</v>
      </c>
      <c r="C60" s="34" t="s">
        <v>1866</v>
      </c>
      <c r="D60" s="34" t="s">
        <v>1867</v>
      </c>
      <c r="E60" s="34" t="s">
        <v>1350</v>
      </c>
      <c r="F60" s="34" t="s">
        <v>1868</v>
      </c>
      <c r="G60" s="34" t="s">
        <v>1869</v>
      </c>
      <c r="H60" s="34" t="s">
        <v>1870</v>
      </c>
      <c r="I60" s="34" t="s">
        <v>1871</v>
      </c>
    </row>
    <row r="61" ht="12.75" customHeight="1">
      <c r="A61" s="34" t="s">
        <v>39</v>
      </c>
      <c r="B61" s="34" t="s">
        <v>1872</v>
      </c>
      <c r="C61" s="34" t="s">
        <v>1873</v>
      </c>
      <c r="D61" s="34" t="s">
        <v>1874</v>
      </c>
      <c r="E61" s="34" t="s">
        <v>1374</v>
      </c>
      <c r="F61" s="34" t="s">
        <v>1875</v>
      </c>
      <c r="G61" s="34" t="s">
        <v>1876</v>
      </c>
      <c r="H61" s="34" t="s">
        <v>1877</v>
      </c>
      <c r="I61" s="34" t="s">
        <v>1878</v>
      </c>
    </row>
    <row r="62" ht="12.75" customHeight="1">
      <c r="A62" s="34" t="s">
        <v>39</v>
      </c>
      <c r="B62" s="34" t="s">
        <v>1879</v>
      </c>
      <c r="C62" s="34" t="s">
        <v>1880</v>
      </c>
      <c r="D62" s="34" t="s">
        <v>1881</v>
      </c>
      <c r="E62" s="34" t="s">
        <v>1398</v>
      </c>
      <c r="F62" s="34" t="s">
        <v>1882</v>
      </c>
      <c r="G62" s="34" t="s">
        <v>1883</v>
      </c>
      <c r="H62" s="34" t="s">
        <v>1884</v>
      </c>
      <c r="I62" s="34" t="s">
        <v>1885</v>
      </c>
    </row>
    <row r="63" ht="12.75" customHeight="1">
      <c r="A63" s="34" t="s">
        <v>39</v>
      </c>
      <c r="B63" s="34" t="s">
        <v>1886</v>
      </c>
      <c r="C63" s="34" t="s">
        <v>1887</v>
      </c>
      <c r="D63" s="34" t="s">
        <v>1888</v>
      </c>
      <c r="E63" s="34" t="s">
        <v>1422</v>
      </c>
      <c r="F63" s="34" t="s">
        <v>1889</v>
      </c>
      <c r="G63" s="34" t="s">
        <v>1890</v>
      </c>
      <c r="H63" s="34" t="s">
        <v>1891</v>
      </c>
      <c r="I63" s="34" t="s">
        <v>1892</v>
      </c>
    </row>
    <row r="64" ht="12.75" customHeight="1">
      <c r="A64" s="34" t="s">
        <v>39</v>
      </c>
      <c r="B64" s="34" t="s">
        <v>1893</v>
      </c>
      <c r="C64" s="34" t="s">
        <v>1894</v>
      </c>
      <c r="D64" s="34" t="s">
        <v>1895</v>
      </c>
      <c r="E64" s="34" t="s">
        <v>1446</v>
      </c>
      <c r="F64" s="34" t="s">
        <v>1896</v>
      </c>
      <c r="G64" s="34" t="s">
        <v>1897</v>
      </c>
      <c r="H64" s="34" t="s">
        <v>1898</v>
      </c>
      <c r="I64" s="34" t="s">
        <v>1899</v>
      </c>
    </row>
    <row r="65" ht="12.75" customHeight="1">
      <c r="A65" s="34" t="s">
        <v>39</v>
      </c>
      <c r="B65" s="34" t="s">
        <v>1900</v>
      </c>
      <c r="C65" s="34" t="s">
        <v>1901</v>
      </c>
      <c r="D65" s="34" t="s">
        <v>1902</v>
      </c>
      <c r="E65" s="34" t="s">
        <v>1470</v>
      </c>
      <c r="F65" s="34" t="s">
        <v>1903</v>
      </c>
      <c r="G65" s="34" t="s">
        <v>1904</v>
      </c>
      <c r="H65" s="34" t="s">
        <v>1905</v>
      </c>
      <c r="I65" s="34" t="s">
        <v>1906</v>
      </c>
    </row>
    <row r="66" ht="12.75" customHeight="1">
      <c r="A66" s="34" t="s">
        <v>39</v>
      </c>
      <c r="B66" s="34" t="s">
        <v>1907</v>
      </c>
      <c r="C66" s="34" t="s">
        <v>1908</v>
      </c>
      <c r="D66" s="34" t="s">
        <v>1909</v>
      </c>
      <c r="E66" s="34" t="s">
        <v>1910</v>
      </c>
      <c r="F66" s="34" t="s">
        <v>1911</v>
      </c>
      <c r="G66" s="34" t="s">
        <v>1912</v>
      </c>
      <c r="H66" s="34" t="s">
        <v>1913</v>
      </c>
      <c r="I66" s="34" t="s">
        <v>1914</v>
      </c>
    </row>
    <row r="67" ht="12.75" customHeight="1">
      <c r="A67" s="34" t="s">
        <v>39</v>
      </c>
      <c r="B67" s="34" t="s">
        <v>1915</v>
      </c>
      <c r="C67" s="34" t="s">
        <v>1916</v>
      </c>
      <c r="D67" s="34" t="s">
        <v>1917</v>
      </c>
      <c r="E67" s="34" t="s">
        <v>1918</v>
      </c>
      <c r="F67" s="34" t="s">
        <v>1919</v>
      </c>
      <c r="G67" s="34" t="s">
        <v>1920</v>
      </c>
      <c r="H67" s="34" t="s">
        <v>1921</v>
      </c>
      <c r="I67" s="34" t="s">
        <v>1922</v>
      </c>
    </row>
    <row r="68" ht="12.75" customHeight="1">
      <c r="A68" s="34" t="s">
        <v>39</v>
      </c>
      <c r="B68" s="34" t="s">
        <v>1923</v>
      </c>
      <c r="C68" s="34" t="s">
        <v>1924</v>
      </c>
      <c r="D68" s="34" t="s">
        <v>1925</v>
      </c>
      <c r="E68" s="34" t="s">
        <v>1926</v>
      </c>
      <c r="F68" s="34" t="s">
        <v>1927</v>
      </c>
      <c r="G68" s="34" t="s">
        <v>1928</v>
      </c>
      <c r="H68" s="34" t="s">
        <v>1929</v>
      </c>
      <c r="I68" s="34" t="s">
        <v>1930</v>
      </c>
    </row>
    <row r="69" ht="12.75" customHeight="1">
      <c r="A69" s="34" t="s">
        <v>39</v>
      </c>
      <c r="B69" s="34" t="s">
        <v>1931</v>
      </c>
      <c r="C69" s="34" t="s">
        <v>1932</v>
      </c>
      <c r="D69" s="34" t="s">
        <v>1933</v>
      </c>
      <c r="E69" s="34" t="s">
        <v>1934</v>
      </c>
      <c r="F69" s="34" t="s">
        <v>1935</v>
      </c>
      <c r="G69" s="34" t="s">
        <v>1936</v>
      </c>
      <c r="H69" s="34" t="s">
        <v>1937</v>
      </c>
      <c r="I69" s="34" t="s">
        <v>1938</v>
      </c>
    </row>
    <row r="70" ht="12.75" customHeight="1">
      <c r="A70" s="34" t="s">
        <v>39</v>
      </c>
      <c r="B70" s="34" t="s">
        <v>1939</v>
      </c>
      <c r="C70" s="34" t="s">
        <v>1940</v>
      </c>
      <c r="D70" s="34" t="s">
        <v>1941</v>
      </c>
      <c r="E70" s="34" t="s">
        <v>1942</v>
      </c>
      <c r="F70" s="34" t="s">
        <v>1943</v>
      </c>
      <c r="G70" s="34" t="s">
        <v>1944</v>
      </c>
      <c r="H70" s="34" t="s">
        <v>1945</v>
      </c>
      <c r="I70" s="34" t="s">
        <v>1946</v>
      </c>
    </row>
    <row r="71" ht="12.75" customHeight="1">
      <c r="A71" s="34" t="s">
        <v>39</v>
      </c>
      <c r="B71" s="34" t="s">
        <v>1947</v>
      </c>
      <c r="C71" s="34" t="s">
        <v>1948</v>
      </c>
      <c r="D71" s="34" t="s">
        <v>1949</v>
      </c>
      <c r="E71" s="34" t="s">
        <v>1950</v>
      </c>
      <c r="F71" s="34" t="s">
        <v>1951</v>
      </c>
      <c r="G71" s="34" t="s">
        <v>1952</v>
      </c>
      <c r="H71" s="34" t="s">
        <v>1953</v>
      </c>
      <c r="I71" s="34" t="s">
        <v>1954</v>
      </c>
    </row>
    <row r="72" ht="12.75" customHeight="1">
      <c r="A72" s="34" t="s">
        <v>39</v>
      </c>
      <c r="B72" s="34" t="s">
        <v>1955</v>
      </c>
      <c r="C72" s="34" t="s">
        <v>1956</v>
      </c>
      <c r="D72" s="34" t="s">
        <v>1957</v>
      </c>
      <c r="E72" s="34" t="s">
        <v>1958</v>
      </c>
      <c r="F72" s="34" t="s">
        <v>1959</v>
      </c>
      <c r="G72" s="34" t="s">
        <v>1960</v>
      </c>
      <c r="H72" s="34" t="s">
        <v>1961</v>
      </c>
      <c r="I72" s="34" t="s">
        <v>1962</v>
      </c>
    </row>
    <row r="73" ht="12.75" customHeight="1">
      <c r="A73" s="34" t="s">
        <v>39</v>
      </c>
      <c r="B73" s="34" t="s">
        <v>1963</v>
      </c>
      <c r="C73" s="34" t="s">
        <v>1964</v>
      </c>
      <c r="D73" s="34" t="s">
        <v>1965</v>
      </c>
      <c r="E73" s="34" t="s">
        <v>1966</v>
      </c>
      <c r="F73" s="34" t="s">
        <v>1967</v>
      </c>
      <c r="G73" s="34" t="s">
        <v>1968</v>
      </c>
      <c r="H73" s="34" t="s">
        <v>1969</v>
      </c>
      <c r="I73" s="34" t="s">
        <v>1970</v>
      </c>
    </row>
    <row r="74" ht="12.75" customHeight="1">
      <c r="A74" s="34" t="s">
        <v>39</v>
      </c>
      <c r="B74" s="34" t="s">
        <v>1971</v>
      </c>
      <c r="C74" s="34" t="s">
        <v>1972</v>
      </c>
      <c r="D74" s="34" t="s">
        <v>1973</v>
      </c>
      <c r="E74" s="34" t="s">
        <v>1974</v>
      </c>
      <c r="F74" s="34" t="s">
        <v>1975</v>
      </c>
      <c r="G74" s="34" t="s">
        <v>1976</v>
      </c>
      <c r="H74" s="34" t="s">
        <v>1977</v>
      </c>
      <c r="I74" s="34" t="s">
        <v>1978</v>
      </c>
    </row>
    <row r="75" ht="12.75" customHeight="1">
      <c r="A75" s="34" t="s">
        <v>39</v>
      </c>
      <c r="B75" s="34" t="s">
        <v>1979</v>
      </c>
      <c r="C75" s="34" t="s">
        <v>1980</v>
      </c>
      <c r="D75" s="34" t="s">
        <v>1981</v>
      </c>
      <c r="E75" s="34" t="s">
        <v>1982</v>
      </c>
      <c r="F75" s="34" t="s">
        <v>1983</v>
      </c>
      <c r="G75" s="34" t="s">
        <v>1984</v>
      </c>
      <c r="H75" s="34" t="s">
        <v>1985</v>
      </c>
      <c r="I75" s="34" t="s">
        <v>1986</v>
      </c>
    </row>
    <row r="76" ht="12.75" customHeight="1">
      <c r="A76" s="34" t="s">
        <v>39</v>
      </c>
      <c r="B76" s="34" t="s">
        <v>1987</v>
      </c>
      <c r="C76" s="34" t="s">
        <v>1988</v>
      </c>
      <c r="D76" s="34" t="s">
        <v>1989</v>
      </c>
      <c r="E76" s="34" t="s">
        <v>1990</v>
      </c>
      <c r="F76" s="34" t="s">
        <v>1991</v>
      </c>
      <c r="G76" s="34" t="s">
        <v>1992</v>
      </c>
      <c r="H76" s="34" t="s">
        <v>1993</v>
      </c>
      <c r="I76" s="34" t="s">
        <v>1994</v>
      </c>
    </row>
    <row r="77" ht="12.75" customHeight="1">
      <c r="A77" s="34" t="s">
        <v>39</v>
      </c>
      <c r="B77" s="34" t="s">
        <v>1995</v>
      </c>
      <c r="C77" s="34" t="s">
        <v>1996</v>
      </c>
      <c r="D77" s="34" t="s">
        <v>1997</v>
      </c>
      <c r="E77" s="34" t="s">
        <v>1998</v>
      </c>
      <c r="F77" s="34" t="s">
        <v>1999</v>
      </c>
      <c r="G77" s="34" t="s">
        <v>2000</v>
      </c>
      <c r="H77" s="34" t="s">
        <v>2001</v>
      </c>
      <c r="I77" s="34" t="s">
        <v>2002</v>
      </c>
    </row>
    <row r="78" ht="12.75" customHeight="1">
      <c r="A78" s="34" t="s">
        <v>39</v>
      </c>
      <c r="B78" s="34" t="s">
        <v>2003</v>
      </c>
      <c r="C78" s="34" t="s">
        <v>2004</v>
      </c>
      <c r="D78" s="34" t="s">
        <v>2005</v>
      </c>
      <c r="E78" s="34" t="s">
        <v>2006</v>
      </c>
      <c r="F78" s="34" t="s">
        <v>2007</v>
      </c>
      <c r="G78" s="34" t="s">
        <v>2008</v>
      </c>
      <c r="H78" s="34" t="s">
        <v>2009</v>
      </c>
      <c r="I78" s="34" t="s">
        <v>2010</v>
      </c>
    </row>
    <row r="79" ht="12.75" customHeight="1">
      <c r="A79" s="34" t="s">
        <v>39</v>
      </c>
      <c r="B79" s="34" t="s">
        <v>2011</v>
      </c>
      <c r="C79" s="34" t="s">
        <v>2012</v>
      </c>
      <c r="D79" s="34" t="s">
        <v>2013</v>
      </c>
      <c r="E79" s="34" t="s">
        <v>2014</v>
      </c>
      <c r="F79" s="34" t="s">
        <v>2015</v>
      </c>
      <c r="G79" s="34" t="s">
        <v>2016</v>
      </c>
      <c r="H79" s="34" t="s">
        <v>2017</v>
      </c>
      <c r="I79" s="34" t="s">
        <v>2018</v>
      </c>
    </row>
    <row r="80" ht="12.75" customHeight="1">
      <c r="A80" s="34" t="s">
        <v>39</v>
      </c>
      <c r="B80" s="34" t="s">
        <v>2019</v>
      </c>
      <c r="C80" s="34" t="s">
        <v>2020</v>
      </c>
      <c r="D80" s="34" t="s">
        <v>2021</v>
      </c>
      <c r="E80" s="34" t="s">
        <v>2022</v>
      </c>
      <c r="F80" s="34" t="s">
        <v>2023</v>
      </c>
      <c r="G80" s="34" t="s">
        <v>2024</v>
      </c>
      <c r="H80" s="34" t="s">
        <v>2025</v>
      </c>
      <c r="I80" s="34" t="s">
        <v>2026</v>
      </c>
    </row>
    <row r="81" ht="12.75" customHeight="1">
      <c r="A81" s="34" t="s">
        <v>39</v>
      </c>
      <c r="B81" s="34" t="s">
        <v>2027</v>
      </c>
      <c r="C81" s="34" t="s">
        <v>2028</v>
      </c>
      <c r="D81" s="34" t="s">
        <v>2029</v>
      </c>
      <c r="E81" s="34" t="s">
        <v>2030</v>
      </c>
      <c r="F81" s="34" t="s">
        <v>2031</v>
      </c>
      <c r="G81" s="34" t="s">
        <v>2032</v>
      </c>
      <c r="H81" s="34" t="s">
        <v>2033</v>
      </c>
      <c r="I81" s="34" t="s">
        <v>2034</v>
      </c>
    </row>
    <row r="82" ht="12.75" customHeight="1">
      <c r="A82" s="34" t="s">
        <v>39</v>
      </c>
      <c r="B82" s="34" t="s">
        <v>2035</v>
      </c>
      <c r="C82" s="34" t="s">
        <v>2036</v>
      </c>
      <c r="D82" s="34" t="s">
        <v>2037</v>
      </c>
      <c r="E82" s="34" t="s">
        <v>2038</v>
      </c>
      <c r="F82" s="34" t="s">
        <v>2039</v>
      </c>
      <c r="G82" s="34" t="s">
        <v>2040</v>
      </c>
      <c r="H82" s="34" t="s">
        <v>2041</v>
      </c>
      <c r="I82" s="34" t="s">
        <v>2042</v>
      </c>
    </row>
    <row r="83" ht="12.75" customHeight="1">
      <c r="A83" s="34" t="s">
        <v>39</v>
      </c>
      <c r="B83" s="34" t="s">
        <v>2043</v>
      </c>
      <c r="C83" s="34" t="s">
        <v>2044</v>
      </c>
      <c r="D83" s="34" t="s">
        <v>2045</v>
      </c>
      <c r="E83" s="34" t="s">
        <v>2046</v>
      </c>
      <c r="F83" s="34" t="s">
        <v>2047</v>
      </c>
      <c r="G83" s="34" t="s">
        <v>2048</v>
      </c>
      <c r="H83" s="34" t="s">
        <v>2049</v>
      </c>
      <c r="I83" s="34" t="s">
        <v>2050</v>
      </c>
    </row>
    <row r="84" ht="12.75" customHeight="1">
      <c r="A84" s="34" t="s">
        <v>39</v>
      </c>
      <c r="B84" s="34" t="s">
        <v>2051</v>
      </c>
      <c r="C84" s="34" t="s">
        <v>2052</v>
      </c>
      <c r="D84" s="34" t="s">
        <v>2053</v>
      </c>
      <c r="E84" s="34" t="s">
        <v>2054</v>
      </c>
      <c r="F84" s="34" t="s">
        <v>2055</v>
      </c>
      <c r="G84" s="34" t="s">
        <v>2056</v>
      </c>
      <c r="H84" s="34" t="s">
        <v>2057</v>
      </c>
      <c r="I84" s="34" t="s">
        <v>2058</v>
      </c>
    </row>
    <row r="85" ht="12.75" customHeight="1">
      <c r="A85" s="34" t="s">
        <v>39</v>
      </c>
      <c r="B85" s="34" t="s">
        <v>2059</v>
      </c>
      <c r="C85" s="34" t="s">
        <v>2060</v>
      </c>
      <c r="D85" s="34" t="s">
        <v>2061</v>
      </c>
      <c r="E85" s="34" t="s">
        <v>2062</v>
      </c>
      <c r="F85" s="34" t="s">
        <v>2063</v>
      </c>
      <c r="G85" s="34" t="s">
        <v>2064</v>
      </c>
      <c r="H85" s="34" t="s">
        <v>2065</v>
      </c>
      <c r="I85" s="34" t="s">
        <v>2066</v>
      </c>
    </row>
    <row r="86" ht="12.75" customHeight="1">
      <c r="A86" s="34" t="s">
        <v>39</v>
      </c>
      <c r="B86" s="34" t="s">
        <v>2067</v>
      </c>
      <c r="C86" s="34" t="s">
        <v>2068</v>
      </c>
      <c r="D86" s="34" t="s">
        <v>2069</v>
      </c>
      <c r="E86" s="34" t="s">
        <v>2070</v>
      </c>
      <c r="F86" s="34" t="s">
        <v>2071</v>
      </c>
      <c r="G86" s="34" t="s">
        <v>2072</v>
      </c>
      <c r="H86" s="34" t="s">
        <v>2073</v>
      </c>
      <c r="I86" s="34" t="s">
        <v>2074</v>
      </c>
    </row>
    <row r="87" ht="12.75" customHeight="1">
      <c r="A87" s="34" t="s">
        <v>39</v>
      </c>
      <c r="B87" s="34" t="s">
        <v>2075</v>
      </c>
      <c r="C87" s="34" t="s">
        <v>2076</v>
      </c>
      <c r="D87" s="34" t="s">
        <v>2077</v>
      </c>
      <c r="E87" s="34" t="s">
        <v>2078</v>
      </c>
      <c r="F87" s="34" t="s">
        <v>2079</v>
      </c>
      <c r="G87" s="34" t="s">
        <v>2080</v>
      </c>
      <c r="H87" s="34" t="s">
        <v>2081</v>
      </c>
      <c r="I87" s="34" t="s">
        <v>2082</v>
      </c>
    </row>
    <row r="88" ht="12.75" customHeight="1">
      <c r="A88" s="34" t="s">
        <v>39</v>
      </c>
      <c r="B88" s="34" t="s">
        <v>2083</v>
      </c>
      <c r="C88" s="34" t="s">
        <v>2084</v>
      </c>
      <c r="D88" s="34" t="s">
        <v>2085</v>
      </c>
      <c r="E88" s="34" t="s">
        <v>2086</v>
      </c>
      <c r="F88" s="34" t="s">
        <v>2087</v>
      </c>
      <c r="G88" s="34" t="s">
        <v>2088</v>
      </c>
      <c r="H88" s="34" t="s">
        <v>2089</v>
      </c>
      <c r="I88" s="34" t="s">
        <v>2090</v>
      </c>
    </row>
    <row r="89" ht="12.75" customHeight="1">
      <c r="A89" s="34" t="s">
        <v>39</v>
      </c>
      <c r="B89" s="34" t="s">
        <v>2091</v>
      </c>
      <c r="C89" s="34" t="s">
        <v>2092</v>
      </c>
      <c r="D89" s="34" t="s">
        <v>2093</v>
      </c>
      <c r="E89" s="34" t="s">
        <v>2094</v>
      </c>
      <c r="F89" s="34" t="s">
        <v>2095</v>
      </c>
      <c r="G89" s="34" t="s">
        <v>2096</v>
      </c>
      <c r="H89" s="34" t="s">
        <v>2097</v>
      </c>
      <c r="I89" s="34" t="s">
        <v>2098</v>
      </c>
    </row>
    <row r="90" ht="12.75" customHeight="1">
      <c r="A90" s="34" t="s">
        <v>39</v>
      </c>
      <c r="B90" s="34" t="s">
        <v>2099</v>
      </c>
      <c r="C90" s="34" t="s">
        <v>2100</v>
      </c>
      <c r="D90" s="34" t="s">
        <v>2101</v>
      </c>
      <c r="E90" s="34" t="s">
        <v>2102</v>
      </c>
      <c r="F90" s="34" t="s">
        <v>2103</v>
      </c>
      <c r="G90" s="34" t="s">
        <v>2104</v>
      </c>
      <c r="H90" s="34" t="s">
        <v>2105</v>
      </c>
      <c r="I90" s="34" t="s">
        <v>2106</v>
      </c>
    </row>
    <row r="91" ht="12.75" customHeight="1">
      <c r="A91" s="34" t="s">
        <v>39</v>
      </c>
      <c r="B91" s="34" t="s">
        <v>2107</v>
      </c>
      <c r="C91" s="34" t="s">
        <v>2108</v>
      </c>
      <c r="D91" s="34" t="s">
        <v>2109</v>
      </c>
      <c r="E91" s="34" t="s">
        <v>2110</v>
      </c>
      <c r="F91" s="34" t="s">
        <v>2111</v>
      </c>
      <c r="G91" s="34" t="s">
        <v>2112</v>
      </c>
      <c r="H91" s="34" t="s">
        <v>2113</v>
      </c>
      <c r="I91" s="34" t="s">
        <v>2114</v>
      </c>
    </row>
    <row r="92" ht="12.75" customHeight="1">
      <c r="A92" s="34" t="s">
        <v>39</v>
      </c>
      <c r="B92" s="34" t="s">
        <v>2115</v>
      </c>
      <c r="C92" s="34" t="s">
        <v>2116</v>
      </c>
      <c r="D92" s="34" t="s">
        <v>2117</v>
      </c>
      <c r="E92" s="34" t="s">
        <v>2118</v>
      </c>
      <c r="F92" s="34" t="s">
        <v>2119</v>
      </c>
      <c r="G92" s="34" t="s">
        <v>2120</v>
      </c>
      <c r="H92" s="34" t="s">
        <v>2121</v>
      </c>
      <c r="I92" s="34" t="s">
        <v>2122</v>
      </c>
    </row>
    <row r="93" ht="12.75" customHeight="1">
      <c r="A93" s="34" t="s">
        <v>39</v>
      </c>
      <c r="B93" s="34" t="s">
        <v>2123</v>
      </c>
      <c r="C93" s="34" t="s">
        <v>2124</v>
      </c>
      <c r="D93" s="34" t="s">
        <v>2125</v>
      </c>
      <c r="E93" s="34" t="s">
        <v>2126</v>
      </c>
      <c r="F93" s="34" t="s">
        <v>2127</v>
      </c>
      <c r="G93" s="34" t="s">
        <v>2128</v>
      </c>
      <c r="H93" s="34" t="s">
        <v>2129</v>
      </c>
      <c r="I93" s="34" t="s">
        <v>2130</v>
      </c>
    </row>
    <row r="94" ht="12.75" customHeight="1">
      <c r="A94" s="34" t="s">
        <v>39</v>
      </c>
      <c r="B94" s="34" t="s">
        <v>2131</v>
      </c>
      <c r="C94" s="34" t="s">
        <v>2132</v>
      </c>
      <c r="D94" s="34" t="s">
        <v>2133</v>
      </c>
      <c r="E94" s="34" t="s">
        <v>2134</v>
      </c>
      <c r="F94" s="34" t="s">
        <v>2135</v>
      </c>
      <c r="G94" s="34" t="s">
        <v>2136</v>
      </c>
      <c r="H94" s="34" t="s">
        <v>2137</v>
      </c>
      <c r="I94" s="34" t="s">
        <v>2138</v>
      </c>
    </row>
    <row r="95" ht="12.75" customHeight="1">
      <c r="A95" s="34" t="s">
        <v>39</v>
      </c>
      <c r="B95" s="34" t="s">
        <v>2139</v>
      </c>
      <c r="C95" s="34" t="s">
        <v>2140</v>
      </c>
      <c r="D95" s="34" t="s">
        <v>2141</v>
      </c>
      <c r="E95" s="34" t="s">
        <v>2142</v>
      </c>
      <c r="F95" s="34" t="s">
        <v>2143</v>
      </c>
      <c r="G95" s="34" t="s">
        <v>2144</v>
      </c>
      <c r="H95" s="34" t="s">
        <v>2145</v>
      </c>
      <c r="I95" s="34" t="s">
        <v>2146</v>
      </c>
    </row>
    <row r="96" ht="12.75" customHeight="1">
      <c r="A96" s="34" t="s">
        <v>39</v>
      </c>
      <c r="B96" s="34" t="s">
        <v>2147</v>
      </c>
      <c r="C96" s="34" t="s">
        <v>2148</v>
      </c>
      <c r="D96" s="34" t="s">
        <v>2149</v>
      </c>
      <c r="E96" s="34" t="s">
        <v>2150</v>
      </c>
      <c r="F96" s="34" t="s">
        <v>2151</v>
      </c>
      <c r="G96" s="34" t="s">
        <v>2152</v>
      </c>
      <c r="H96" s="34" t="s">
        <v>2153</v>
      </c>
      <c r="I96" s="34" t="s">
        <v>2154</v>
      </c>
    </row>
    <row r="97" ht="12.75" customHeight="1">
      <c r="A97" s="34" t="s">
        <v>39</v>
      </c>
      <c r="B97" s="34" t="s">
        <v>2155</v>
      </c>
      <c r="C97" s="34" t="s">
        <v>2156</v>
      </c>
      <c r="D97" s="34" t="s">
        <v>2157</v>
      </c>
      <c r="E97" s="34" t="s">
        <v>2158</v>
      </c>
      <c r="F97" s="34" t="s">
        <v>2159</v>
      </c>
      <c r="G97" s="34" t="s">
        <v>2160</v>
      </c>
      <c r="H97" s="34" t="s">
        <v>2161</v>
      </c>
      <c r="I97" s="34" t="s">
        <v>2162</v>
      </c>
    </row>
    <row r="98" ht="12.75" customHeight="1">
      <c r="A98" s="34" t="s">
        <v>39</v>
      </c>
      <c r="B98" s="34" t="s">
        <v>2163</v>
      </c>
      <c r="C98" s="34" t="s">
        <v>2164</v>
      </c>
      <c r="D98" s="34" t="s">
        <v>2165</v>
      </c>
      <c r="E98" s="34" t="s">
        <v>2166</v>
      </c>
      <c r="F98" s="34" t="s">
        <v>2167</v>
      </c>
      <c r="G98" s="34" t="s">
        <v>2168</v>
      </c>
      <c r="H98" s="34" t="s">
        <v>2169</v>
      </c>
      <c r="I98" s="34" t="s">
        <v>2170</v>
      </c>
    </row>
    <row r="99" ht="12.75" customHeight="1">
      <c r="A99" s="34" t="s">
        <v>39</v>
      </c>
      <c r="B99" s="34" t="s">
        <v>2171</v>
      </c>
      <c r="C99" s="34" t="s">
        <v>2172</v>
      </c>
      <c r="D99" s="34" t="s">
        <v>2173</v>
      </c>
      <c r="E99" s="34" t="s">
        <v>2174</v>
      </c>
      <c r="F99" s="34" t="s">
        <v>2175</v>
      </c>
      <c r="G99" s="34" t="s">
        <v>2176</v>
      </c>
      <c r="H99" s="34" t="s">
        <v>2177</v>
      </c>
      <c r="I99" s="34" t="s">
        <v>2178</v>
      </c>
    </row>
    <row r="100" ht="12.75" customHeight="1">
      <c r="A100" s="34" t="s">
        <v>39</v>
      </c>
      <c r="B100" s="34" t="s">
        <v>2179</v>
      </c>
      <c r="C100" s="34" t="s">
        <v>2180</v>
      </c>
      <c r="D100" s="34" t="s">
        <v>2181</v>
      </c>
      <c r="E100" s="34" t="s">
        <v>2182</v>
      </c>
      <c r="F100" s="34" t="s">
        <v>2183</v>
      </c>
      <c r="G100" s="34" t="s">
        <v>2184</v>
      </c>
      <c r="H100" s="34" t="s">
        <v>2185</v>
      </c>
      <c r="I100" s="34" t="s">
        <v>2186</v>
      </c>
    </row>
    <row r="101" ht="12.75" customHeight="1">
      <c r="A101" s="34" t="s">
        <v>39</v>
      </c>
      <c r="B101" s="34" t="s">
        <v>2187</v>
      </c>
      <c r="C101" s="34" t="s">
        <v>2188</v>
      </c>
      <c r="D101" s="34" t="s">
        <v>2189</v>
      </c>
      <c r="E101" s="34" t="s">
        <v>2190</v>
      </c>
      <c r="F101" s="34" t="s">
        <v>2191</v>
      </c>
      <c r="G101" s="34" t="s">
        <v>2192</v>
      </c>
      <c r="H101" s="34" t="s">
        <v>2193</v>
      </c>
      <c r="I101" s="34" t="s">
        <v>2194</v>
      </c>
    </row>
    <row r="102" ht="12.75" customHeight="1">
      <c r="A102" s="34" t="s">
        <v>39</v>
      </c>
      <c r="B102" s="34" t="s">
        <v>2195</v>
      </c>
      <c r="C102" s="34" t="s">
        <v>2196</v>
      </c>
      <c r="D102" s="34" t="s">
        <v>2197</v>
      </c>
      <c r="E102" s="34" t="s">
        <v>2198</v>
      </c>
      <c r="F102" s="34" t="s">
        <v>2199</v>
      </c>
      <c r="G102" s="34" t="s">
        <v>2200</v>
      </c>
      <c r="H102" s="34" t="s">
        <v>2201</v>
      </c>
      <c r="I102" s="34" t="s">
        <v>2202</v>
      </c>
    </row>
    <row r="103" ht="12.75" customHeight="1">
      <c r="A103" s="34" t="s">
        <v>39</v>
      </c>
      <c r="B103" s="34" t="s">
        <v>2203</v>
      </c>
      <c r="C103" s="34" t="s">
        <v>2204</v>
      </c>
      <c r="D103" s="34" t="s">
        <v>2205</v>
      </c>
      <c r="E103" s="34" t="s">
        <v>2206</v>
      </c>
      <c r="F103" s="34" t="s">
        <v>2207</v>
      </c>
      <c r="G103" s="34" t="s">
        <v>2208</v>
      </c>
      <c r="H103" s="34" t="s">
        <v>2209</v>
      </c>
      <c r="I103" s="34" t="s">
        <v>2210</v>
      </c>
    </row>
    <row r="104" ht="12.75" customHeight="1">
      <c r="A104" s="34" t="s">
        <v>39</v>
      </c>
      <c r="B104" s="34" t="s">
        <v>2211</v>
      </c>
      <c r="C104" s="34" t="s">
        <v>2212</v>
      </c>
      <c r="D104" s="34" t="s">
        <v>2213</v>
      </c>
      <c r="E104" s="34" t="s">
        <v>2214</v>
      </c>
      <c r="F104" s="34" t="s">
        <v>2215</v>
      </c>
      <c r="G104" s="34" t="s">
        <v>2216</v>
      </c>
      <c r="H104" s="34" t="s">
        <v>2217</v>
      </c>
      <c r="I104" s="34" t="s">
        <v>2218</v>
      </c>
    </row>
    <row r="105" ht="12.75" customHeight="1">
      <c r="A105" s="34" t="s">
        <v>39</v>
      </c>
      <c r="B105" s="34" t="s">
        <v>2219</v>
      </c>
      <c r="C105" s="34" t="s">
        <v>2220</v>
      </c>
      <c r="D105" s="34" t="s">
        <v>2221</v>
      </c>
      <c r="E105" s="34" t="s">
        <v>2222</v>
      </c>
      <c r="F105" s="34" t="s">
        <v>2223</v>
      </c>
      <c r="G105" s="34" t="s">
        <v>2224</v>
      </c>
      <c r="H105" s="34" t="s">
        <v>2225</v>
      </c>
      <c r="I105" s="34" t="s">
        <v>2226</v>
      </c>
    </row>
    <row r="106" ht="12.75" customHeight="1">
      <c r="A106" s="34" t="s">
        <v>39</v>
      </c>
      <c r="B106" s="34" t="s">
        <v>2227</v>
      </c>
      <c r="C106" s="34" t="s">
        <v>2228</v>
      </c>
      <c r="D106" s="34" t="s">
        <v>2229</v>
      </c>
      <c r="E106" s="34" t="s">
        <v>2230</v>
      </c>
      <c r="F106" s="34" t="s">
        <v>2231</v>
      </c>
      <c r="G106" s="34" t="s">
        <v>2232</v>
      </c>
      <c r="H106" s="34" t="s">
        <v>2233</v>
      </c>
      <c r="I106" s="34" t="s">
        <v>2234</v>
      </c>
    </row>
    <row r="107" ht="12.75" customHeight="1">
      <c r="A107" s="34" t="s">
        <v>39</v>
      </c>
      <c r="B107" s="34" t="s">
        <v>2235</v>
      </c>
      <c r="C107" s="34" t="s">
        <v>2236</v>
      </c>
      <c r="D107" s="34" t="s">
        <v>2237</v>
      </c>
      <c r="E107" s="34" t="s">
        <v>2238</v>
      </c>
      <c r="F107" s="34" t="s">
        <v>2239</v>
      </c>
      <c r="G107" s="34" t="s">
        <v>2240</v>
      </c>
      <c r="H107" s="34" t="s">
        <v>2241</v>
      </c>
      <c r="I107" s="34" t="s">
        <v>2242</v>
      </c>
    </row>
    <row r="108" ht="12.75" customHeight="1">
      <c r="A108" s="34" t="s">
        <v>39</v>
      </c>
      <c r="B108" s="34" t="s">
        <v>2243</v>
      </c>
      <c r="C108" s="34" t="s">
        <v>2244</v>
      </c>
      <c r="D108" s="34" t="s">
        <v>2245</v>
      </c>
      <c r="E108" s="34" t="s">
        <v>2246</v>
      </c>
      <c r="F108" s="34" t="s">
        <v>2247</v>
      </c>
      <c r="G108" s="34" t="s">
        <v>2248</v>
      </c>
      <c r="H108" s="34" t="s">
        <v>2249</v>
      </c>
      <c r="I108" s="34" t="s">
        <v>2250</v>
      </c>
    </row>
    <row r="109" ht="12.75" customHeight="1">
      <c r="A109" s="34" t="s">
        <v>39</v>
      </c>
      <c r="B109" s="34" t="s">
        <v>2251</v>
      </c>
      <c r="C109" s="34" t="s">
        <v>2252</v>
      </c>
      <c r="D109" s="34" t="s">
        <v>2253</v>
      </c>
      <c r="E109" s="34" t="s">
        <v>2254</v>
      </c>
      <c r="F109" s="34" t="s">
        <v>2255</v>
      </c>
      <c r="G109" s="34" t="s">
        <v>2256</v>
      </c>
      <c r="H109" s="34" t="s">
        <v>2257</v>
      </c>
      <c r="I109" s="34" t="s">
        <v>2258</v>
      </c>
    </row>
    <row r="110" ht="12.75" customHeight="1">
      <c r="A110" s="34" t="s">
        <v>39</v>
      </c>
      <c r="B110" s="34" t="s">
        <v>2259</v>
      </c>
      <c r="C110" s="34" t="s">
        <v>2260</v>
      </c>
      <c r="D110" s="34" t="s">
        <v>2261</v>
      </c>
      <c r="E110" s="34" t="s">
        <v>2262</v>
      </c>
      <c r="F110" s="34" t="s">
        <v>2263</v>
      </c>
      <c r="G110" s="34" t="s">
        <v>2264</v>
      </c>
      <c r="H110" s="34" t="s">
        <v>2265</v>
      </c>
      <c r="I110" s="34" t="s">
        <v>2266</v>
      </c>
    </row>
    <row r="111" ht="12.75" customHeight="1">
      <c r="A111" s="34" t="s">
        <v>39</v>
      </c>
      <c r="B111" s="34" t="s">
        <v>2267</v>
      </c>
      <c r="C111" s="34" t="s">
        <v>2268</v>
      </c>
      <c r="D111" s="34" t="s">
        <v>2269</v>
      </c>
      <c r="E111" s="34" t="s">
        <v>2270</v>
      </c>
      <c r="F111" s="34" t="s">
        <v>2271</v>
      </c>
      <c r="G111" s="34" t="s">
        <v>2272</v>
      </c>
      <c r="H111" s="34" t="s">
        <v>2273</v>
      </c>
      <c r="I111" s="34" t="s">
        <v>2274</v>
      </c>
    </row>
    <row r="112" ht="12.75" customHeight="1">
      <c r="A112" s="34" t="s">
        <v>39</v>
      </c>
      <c r="B112" s="34" t="s">
        <v>2275</v>
      </c>
      <c r="C112" s="34" t="s">
        <v>2276</v>
      </c>
      <c r="D112" s="34" t="s">
        <v>2277</v>
      </c>
      <c r="E112" s="34" t="s">
        <v>2278</v>
      </c>
      <c r="F112" s="34" t="s">
        <v>2279</v>
      </c>
      <c r="G112" s="34" t="s">
        <v>2280</v>
      </c>
      <c r="H112" s="34" t="s">
        <v>2281</v>
      </c>
      <c r="I112" s="34" t="s">
        <v>2282</v>
      </c>
    </row>
    <row r="113" ht="12.75" customHeight="1">
      <c r="A113" s="34" t="s">
        <v>39</v>
      </c>
      <c r="B113" s="34" t="s">
        <v>2283</v>
      </c>
      <c r="C113" s="34" t="s">
        <v>2284</v>
      </c>
      <c r="D113" s="34" t="s">
        <v>2285</v>
      </c>
      <c r="E113" s="34" t="s">
        <v>2286</v>
      </c>
      <c r="F113" s="34" t="s">
        <v>2287</v>
      </c>
      <c r="G113" s="34" t="s">
        <v>2288</v>
      </c>
      <c r="H113" s="34" t="s">
        <v>2289</v>
      </c>
      <c r="I113" s="34" t="s">
        <v>2290</v>
      </c>
    </row>
    <row r="114" ht="12.75" customHeight="1">
      <c r="A114" s="34" t="s">
        <v>39</v>
      </c>
      <c r="B114" s="34" t="s">
        <v>2291</v>
      </c>
      <c r="C114" s="34" t="s">
        <v>2292</v>
      </c>
      <c r="D114" s="34" t="s">
        <v>2293</v>
      </c>
      <c r="E114" s="34" t="s">
        <v>2294</v>
      </c>
      <c r="F114" s="34" t="s">
        <v>2295</v>
      </c>
      <c r="G114" s="34" t="s">
        <v>2296</v>
      </c>
      <c r="H114" s="34" t="s">
        <v>2297</v>
      </c>
      <c r="I114" s="34" t="s">
        <v>2298</v>
      </c>
    </row>
    <row r="115" ht="12.75" customHeight="1">
      <c r="A115" s="34" t="s">
        <v>39</v>
      </c>
      <c r="B115" s="34" t="s">
        <v>2299</v>
      </c>
      <c r="C115" s="34" t="s">
        <v>2300</v>
      </c>
      <c r="D115" s="34" t="s">
        <v>2301</v>
      </c>
      <c r="E115" s="34" t="s">
        <v>2302</v>
      </c>
      <c r="F115" s="34" t="s">
        <v>2303</v>
      </c>
      <c r="G115" s="34" t="s">
        <v>2304</v>
      </c>
      <c r="H115" s="34" t="s">
        <v>2305</v>
      </c>
      <c r="I115" s="34" t="s">
        <v>2306</v>
      </c>
    </row>
    <row r="116" ht="12.75" customHeight="1">
      <c r="A116" s="34" t="s">
        <v>39</v>
      </c>
      <c r="B116" s="34" t="s">
        <v>2307</v>
      </c>
      <c r="C116" s="34" t="s">
        <v>2308</v>
      </c>
      <c r="D116" s="34" t="s">
        <v>2309</v>
      </c>
      <c r="E116" s="34" t="s">
        <v>2310</v>
      </c>
      <c r="F116" s="34" t="s">
        <v>2311</v>
      </c>
      <c r="G116" s="34" t="s">
        <v>2312</v>
      </c>
      <c r="H116" s="34" t="s">
        <v>2313</v>
      </c>
      <c r="I116" s="34" t="s">
        <v>2314</v>
      </c>
    </row>
    <row r="117" ht="12.75" customHeight="1">
      <c r="A117" s="34" t="s">
        <v>39</v>
      </c>
      <c r="B117" s="34" t="s">
        <v>2315</v>
      </c>
      <c r="C117" s="34" t="s">
        <v>2316</v>
      </c>
      <c r="D117" s="34" t="s">
        <v>2317</v>
      </c>
      <c r="E117" s="34" t="s">
        <v>2318</v>
      </c>
      <c r="F117" s="34" t="s">
        <v>2319</v>
      </c>
      <c r="G117" s="34" t="s">
        <v>2320</v>
      </c>
      <c r="H117" s="34" t="s">
        <v>2321</v>
      </c>
      <c r="I117" s="34" t="s">
        <v>2322</v>
      </c>
    </row>
    <row r="118" ht="12.75" customHeight="1">
      <c r="A118" s="34" t="s">
        <v>39</v>
      </c>
      <c r="B118" s="34" t="s">
        <v>2323</v>
      </c>
      <c r="C118" s="34" t="s">
        <v>2324</v>
      </c>
      <c r="D118" s="34" t="s">
        <v>2325</v>
      </c>
      <c r="E118" s="34" t="s">
        <v>2326</v>
      </c>
      <c r="F118" s="34" t="s">
        <v>2327</v>
      </c>
      <c r="G118" s="34" t="s">
        <v>2328</v>
      </c>
      <c r="H118" s="34" t="s">
        <v>2329</v>
      </c>
      <c r="I118" s="34" t="s">
        <v>2330</v>
      </c>
    </row>
    <row r="119" ht="12.75" customHeight="1">
      <c r="A119" s="34" t="s">
        <v>39</v>
      </c>
      <c r="B119" s="34" t="s">
        <v>2331</v>
      </c>
      <c r="C119" s="34" t="s">
        <v>2332</v>
      </c>
      <c r="D119" s="34" t="s">
        <v>2333</v>
      </c>
      <c r="E119" s="34" t="s">
        <v>2334</v>
      </c>
      <c r="F119" s="34" t="s">
        <v>2335</v>
      </c>
      <c r="G119" s="34" t="s">
        <v>2336</v>
      </c>
      <c r="H119" s="34" t="s">
        <v>2337</v>
      </c>
      <c r="I119" s="34" t="s">
        <v>2338</v>
      </c>
    </row>
    <row r="120" ht="12.75" customHeight="1">
      <c r="A120" s="34" t="s">
        <v>39</v>
      </c>
      <c r="B120" s="34" t="s">
        <v>2339</v>
      </c>
      <c r="C120" s="34" t="s">
        <v>2340</v>
      </c>
      <c r="D120" s="34" t="s">
        <v>2341</v>
      </c>
      <c r="E120" s="34" t="s">
        <v>2342</v>
      </c>
      <c r="F120" s="34" t="s">
        <v>2343</v>
      </c>
      <c r="G120" s="34" t="s">
        <v>2344</v>
      </c>
      <c r="H120" s="34" t="s">
        <v>2345</v>
      </c>
      <c r="I120" s="34" t="s">
        <v>2346</v>
      </c>
    </row>
    <row r="121" ht="12.75" customHeight="1">
      <c r="A121" s="34" t="s">
        <v>39</v>
      </c>
      <c r="B121" s="34" t="s">
        <v>2347</v>
      </c>
      <c r="C121" s="34" t="s">
        <v>2348</v>
      </c>
      <c r="D121" s="34" t="s">
        <v>2349</v>
      </c>
      <c r="E121" s="34" t="s">
        <v>2350</v>
      </c>
      <c r="F121" s="34" t="s">
        <v>2351</v>
      </c>
      <c r="G121" s="34" t="s">
        <v>2352</v>
      </c>
      <c r="H121" s="34" t="s">
        <v>2353</v>
      </c>
      <c r="I121" s="34" t="s">
        <v>2354</v>
      </c>
    </row>
    <row r="122" ht="12.75" customHeight="1">
      <c r="A122" s="34" t="s">
        <v>39</v>
      </c>
      <c r="B122" s="34" t="s">
        <v>2355</v>
      </c>
      <c r="C122" s="34" t="s">
        <v>2356</v>
      </c>
      <c r="D122" s="34" t="s">
        <v>2357</v>
      </c>
      <c r="E122" s="34" t="s">
        <v>2358</v>
      </c>
      <c r="F122" s="34" t="s">
        <v>2359</v>
      </c>
      <c r="G122" s="34" t="s">
        <v>2360</v>
      </c>
      <c r="H122" s="34" t="s">
        <v>2361</v>
      </c>
      <c r="I122" s="34" t="s">
        <v>2362</v>
      </c>
    </row>
    <row r="123" ht="12.75" customHeight="1">
      <c r="A123" s="34" t="s">
        <v>39</v>
      </c>
      <c r="B123" s="34" t="s">
        <v>2363</v>
      </c>
      <c r="C123" s="34" t="s">
        <v>2364</v>
      </c>
      <c r="D123" s="34" t="s">
        <v>2365</v>
      </c>
      <c r="E123" s="34" t="s">
        <v>2366</v>
      </c>
      <c r="F123" s="34" t="s">
        <v>2367</v>
      </c>
      <c r="G123" s="34" t="s">
        <v>2368</v>
      </c>
      <c r="H123" s="34" t="s">
        <v>2369</v>
      </c>
      <c r="I123" s="34" t="s">
        <v>2370</v>
      </c>
    </row>
    <row r="124" ht="12.75" customHeight="1">
      <c r="A124" s="34" t="s">
        <v>39</v>
      </c>
      <c r="B124" s="34" t="s">
        <v>2371</v>
      </c>
      <c r="C124" s="34" t="s">
        <v>2372</v>
      </c>
      <c r="D124" s="34" t="s">
        <v>2373</v>
      </c>
      <c r="E124" s="34" t="s">
        <v>2374</v>
      </c>
      <c r="F124" s="34" t="s">
        <v>2375</v>
      </c>
      <c r="G124" s="34" t="s">
        <v>2376</v>
      </c>
      <c r="H124" s="34" t="s">
        <v>2377</v>
      </c>
      <c r="I124" s="34" t="s">
        <v>2378</v>
      </c>
    </row>
    <row r="125" ht="12.75" customHeight="1">
      <c r="A125" s="34" t="s">
        <v>39</v>
      </c>
      <c r="B125" s="34" t="s">
        <v>2379</v>
      </c>
      <c r="C125" s="34" t="s">
        <v>2380</v>
      </c>
      <c r="D125" s="34" t="s">
        <v>2381</v>
      </c>
      <c r="E125" s="34" t="s">
        <v>2382</v>
      </c>
      <c r="F125" s="34" t="s">
        <v>2383</v>
      </c>
      <c r="G125" s="34" t="s">
        <v>2384</v>
      </c>
      <c r="H125" s="34" t="s">
        <v>2385</v>
      </c>
      <c r="I125" s="34" t="s">
        <v>2386</v>
      </c>
    </row>
    <row r="126" ht="12.75" customHeight="1">
      <c r="A126" s="34" t="s">
        <v>39</v>
      </c>
      <c r="B126" s="34" t="s">
        <v>2387</v>
      </c>
      <c r="C126" s="34" t="s">
        <v>2388</v>
      </c>
      <c r="D126" s="34" t="s">
        <v>2389</v>
      </c>
      <c r="E126" s="34" t="s">
        <v>2390</v>
      </c>
      <c r="F126" s="34" t="s">
        <v>2391</v>
      </c>
      <c r="G126" s="34" t="s">
        <v>2392</v>
      </c>
      <c r="H126" s="34" t="s">
        <v>2393</v>
      </c>
      <c r="I126" s="34" t="s">
        <v>2394</v>
      </c>
    </row>
    <row r="127" ht="12.75" customHeight="1">
      <c r="A127" s="34" t="s">
        <v>39</v>
      </c>
      <c r="B127" s="34" t="s">
        <v>2395</v>
      </c>
      <c r="C127" s="34" t="s">
        <v>2396</v>
      </c>
      <c r="D127" s="34" t="s">
        <v>2397</v>
      </c>
      <c r="E127" s="34" t="s">
        <v>2398</v>
      </c>
      <c r="F127" s="34" t="s">
        <v>2399</v>
      </c>
      <c r="G127" s="34" t="s">
        <v>2400</v>
      </c>
      <c r="H127" s="34" t="s">
        <v>2401</v>
      </c>
      <c r="I127" s="34" t="s">
        <v>2402</v>
      </c>
    </row>
    <row r="128" ht="12.75" customHeight="1">
      <c r="A128" s="34" t="s">
        <v>39</v>
      </c>
      <c r="B128" s="34" t="s">
        <v>2403</v>
      </c>
      <c r="C128" s="34" t="s">
        <v>2404</v>
      </c>
      <c r="D128" s="34" t="s">
        <v>2405</v>
      </c>
      <c r="E128" s="34" t="s">
        <v>2406</v>
      </c>
      <c r="F128" s="34" t="s">
        <v>2407</v>
      </c>
      <c r="G128" s="34" t="s">
        <v>2408</v>
      </c>
      <c r="H128" s="34" t="s">
        <v>2409</v>
      </c>
      <c r="I128" s="34" t="s">
        <v>2410</v>
      </c>
    </row>
    <row r="129" ht="12.75" customHeight="1">
      <c r="A129" s="34" t="s">
        <v>39</v>
      </c>
      <c r="B129" s="34" t="s">
        <v>2411</v>
      </c>
      <c r="C129" s="34" t="s">
        <v>2412</v>
      </c>
      <c r="D129" s="34" t="s">
        <v>2413</v>
      </c>
      <c r="E129" s="34" t="s">
        <v>2414</v>
      </c>
      <c r="F129" s="34" t="s">
        <v>2415</v>
      </c>
      <c r="G129" s="34" t="s">
        <v>2416</v>
      </c>
      <c r="H129" s="34" t="s">
        <v>2417</v>
      </c>
      <c r="I129" s="34" t="s">
        <v>2418</v>
      </c>
    </row>
    <row r="130" ht="12.75" customHeight="1">
      <c r="A130" s="34" t="s">
        <v>39</v>
      </c>
      <c r="B130" s="34" t="s">
        <v>2419</v>
      </c>
      <c r="C130" s="34" t="s">
        <v>2420</v>
      </c>
      <c r="D130" s="34" t="s">
        <v>2421</v>
      </c>
      <c r="E130" s="34" t="s">
        <v>2422</v>
      </c>
      <c r="F130" s="34" t="s">
        <v>2423</v>
      </c>
      <c r="G130" s="34" t="s">
        <v>2424</v>
      </c>
      <c r="H130" s="34" t="s">
        <v>2425</v>
      </c>
      <c r="I130" s="34" t="s">
        <v>2426</v>
      </c>
    </row>
    <row r="131" ht="12.75" customHeight="1">
      <c r="A131" s="34" t="s">
        <v>39</v>
      </c>
      <c r="B131" s="34" t="s">
        <v>2427</v>
      </c>
      <c r="C131" s="34" t="s">
        <v>2428</v>
      </c>
      <c r="D131" s="34" t="s">
        <v>2429</v>
      </c>
      <c r="E131" s="34" t="s">
        <v>2430</v>
      </c>
      <c r="F131" s="34" t="s">
        <v>2431</v>
      </c>
      <c r="G131" s="34" t="s">
        <v>2432</v>
      </c>
      <c r="H131" s="34" t="s">
        <v>2433</v>
      </c>
      <c r="I131" s="34" t="s">
        <v>2434</v>
      </c>
    </row>
    <row r="132" ht="12.75" customHeight="1">
      <c r="A132" s="34" t="s">
        <v>39</v>
      </c>
      <c r="B132" s="34" t="s">
        <v>2435</v>
      </c>
      <c r="C132" s="34" t="s">
        <v>2436</v>
      </c>
      <c r="D132" s="34" t="s">
        <v>2437</v>
      </c>
      <c r="E132" s="34" t="s">
        <v>2438</v>
      </c>
      <c r="F132" s="34" t="s">
        <v>2439</v>
      </c>
      <c r="G132" s="34" t="s">
        <v>2440</v>
      </c>
      <c r="H132" s="34" t="s">
        <v>2441</v>
      </c>
      <c r="I132" s="34" t="s">
        <v>2442</v>
      </c>
    </row>
    <row r="133" ht="12.75" customHeight="1">
      <c r="A133" s="34" t="s">
        <v>39</v>
      </c>
      <c r="B133" s="34" t="s">
        <v>2443</v>
      </c>
      <c r="C133" s="34" t="s">
        <v>2444</v>
      </c>
      <c r="D133" s="34" t="s">
        <v>2445</v>
      </c>
      <c r="E133" s="34" t="s">
        <v>2446</v>
      </c>
      <c r="F133" s="34" t="s">
        <v>2447</v>
      </c>
      <c r="G133" s="34" t="s">
        <v>2448</v>
      </c>
      <c r="H133" s="34" t="s">
        <v>2449</v>
      </c>
      <c r="I133" s="34" t="s">
        <v>2450</v>
      </c>
    </row>
    <row r="134" ht="12.75" customHeight="1">
      <c r="A134" s="34" t="s">
        <v>39</v>
      </c>
      <c r="B134" s="34" t="s">
        <v>2451</v>
      </c>
      <c r="C134" s="34" t="s">
        <v>2452</v>
      </c>
      <c r="D134" s="34" t="s">
        <v>2453</v>
      </c>
      <c r="E134" s="34" t="s">
        <v>2454</v>
      </c>
      <c r="F134" s="34" t="s">
        <v>2455</v>
      </c>
      <c r="G134" s="34" t="s">
        <v>2456</v>
      </c>
      <c r="H134" s="34" t="s">
        <v>2457</v>
      </c>
      <c r="I134" s="34" t="s">
        <v>2458</v>
      </c>
    </row>
    <row r="135" ht="12.75" customHeight="1">
      <c r="A135" s="34" t="s">
        <v>39</v>
      </c>
      <c r="B135" s="34" t="s">
        <v>2459</v>
      </c>
      <c r="C135" s="34" t="s">
        <v>2460</v>
      </c>
      <c r="D135" s="34" t="s">
        <v>2461</v>
      </c>
      <c r="E135" s="34" t="s">
        <v>2462</v>
      </c>
      <c r="F135" s="34" t="s">
        <v>2463</v>
      </c>
      <c r="G135" s="34" t="s">
        <v>2464</v>
      </c>
      <c r="H135" s="34" t="s">
        <v>2465</v>
      </c>
      <c r="I135" s="34" t="s">
        <v>2466</v>
      </c>
    </row>
    <row r="136" ht="12.75" customHeight="1">
      <c r="A136" s="34" t="s">
        <v>39</v>
      </c>
      <c r="B136" s="34" t="s">
        <v>2467</v>
      </c>
      <c r="C136" s="34" t="s">
        <v>2468</v>
      </c>
      <c r="D136" s="34" t="s">
        <v>2469</v>
      </c>
      <c r="E136" s="34" t="s">
        <v>2470</v>
      </c>
      <c r="F136" s="34" t="s">
        <v>2471</v>
      </c>
      <c r="G136" s="34" t="s">
        <v>2472</v>
      </c>
      <c r="H136" s="34" t="s">
        <v>2473</v>
      </c>
      <c r="I136" s="34" t="s">
        <v>2474</v>
      </c>
    </row>
    <row r="137" ht="12.75" customHeight="1">
      <c r="A137" s="34" t="s">
        <v>39</v>
      </c>
      <c r="B137" s="34" t="s">
        <v>2475</v>
      </c>
      <c r="C137" s="34" t="s">
        <v>2476</v>
      </c>
      <c r="D137" s="34" t="s">
        <v>2477</v>
      </c>
      <c r="E137" s="34" t="s">
        <v>2478</v>
      </c>
      <c r="F137" s="34" t="s">
        <v>2479</v>
      </c>
      <c r="G137" s="34" t="s">
        <v>2480</v>
      </c>
      <c r="H137" s="34" t="s">
        <v>2481</v>
      </c>
      <c r="I137" s="34" t="s">
        <v>2482</v>
      </c>
    </row>
    <row r="138" ht="12.75" customHeight="1">
      <c r="A138" s="34" t="s">
        <v>39</v>
      </c>
      <c r="B138" s="34" t="s">
        <v>2483</v>
      </c>
      <c r="C138" s="34" t="s">
        <v>2484</v>
      </c>
      <c r="D138" s="34" t="s">
        <v>2485</v>
      </c>
      <c r="E138" s="34" t="s">
        <v>2486</v>
      </c>
      <c r="F138" s="34" t="s">
        <v>2487</v>
      </c>
      <c r="G138" s="34" t="s">
        <v>2488</v>
      </c>
      <c r="H138" s="34" t="s">
        <v>2489</v>
      </c>
      <c r="I138" s="34" t="s">
        <v>2490</v>
      </c>
    </row>
    <row r="139" ht="12.75" customHeight="1">
      <c r="A139" s="34" t="s">
        <v>39</v>
      </c>
      <c r="B139" s="34" t="s">
        <v>2491</v>
      </c>
      <c r="C139" s="34" t="s">
        <v>2492</v>
      </c>
      <c r="D139" s="34" t="s">
        <v>2493</v>
      </c>
      <c r="E139" s="34" t="s">
        <v>2494</v>
      </c>
      <c r="F139" s="34" t="s">
        <v>2495</v>
      </c>
      <c r="G139" s="34" t="s">
        <v>2496</v>
      </c>
      <c r="H139" s="34" t="s">
        <v>2497</v>
      </c>
      <c r="I139" s="34" t="s">
        <v>2498</v>
      </c>
    </row>
    <row r="140" ht="12.75" customHeight="1">
      <c r="A140" s="34" t="s">
        <v>39</v>
      </c>
      <c r="B140" s="34" t="s">
        <v>2499</v>
      </c>
      <c r="C140" s="34" t="s">
        <v>2500</v>
      </c>
      <c r="D140" s="34" t="s">
        <v>2501</v>
      </c>
      <c r="E140" s="34" t="s">
        <v>2502</v>
      </c>
      <c r="F140" s="34" t="s">
        <v>2503</v>
      </c>
      <c r="G140" s="34" t="s">
        <v>2504</v>
      </c>
      <c r="H140" s="34" t="s">
        <v>2505</v>
      </c>
      <c r="I140" s="34" t="s">
        <v>2506</v>
      </c>
    </row>
    <row r="141" ht="12.75" customHeight="1">
      <c r="A141" s="34" t="s">
        <v>39</v>
      </c>
      <c r="B141" s="34" t="s">
        <v>2507</v>
      </c>
      <c r="C141" s="34" t="s">
        <v>2508</v>
      </c>
      <c r="D141" s="34" t="s">
        <v>2509</v>
      </c>
      <c r="E141" s="34" t="s">
        <v>2510</v>
      </c>
      <c r="F141" s="34" t="s">
        <v>2511</v>
      </c>
      <c r="G141" s="34" t="s">
        <v>2512</v>
      </c>
      <c r="H141" s="34" t="s">
        <v>2513</v>
      </c>
      <c r="I141" s="34" t="s">
        <v>2514</v>
      </c>
    </row>
    <row r="142" ht="12.75" customHeight="1">
      <c r="A142" s="34" t="s">
        <v>39</v>
      </c>
      <c r="B142" s="34" t="s">
        <v>2515</v>
      </c>
      <c r="C142" s="34" t="s">
        <v>2516</v>
      </c>
      <c r="D142" s="34" t="s">
        <v>2517</v>
      </c>
      <c r="E142" s="34" t="s">
        <v>2518</v>
      </c>
      <c r="F142" s="34" t="s">
        <v>2519</v>
      </c>
      <c r="G142" s="34" t="s">
        <v>2520</v>
      </c>
      <c r="H142" s="34" t="s">
        <v>2521</v>
      </c>
      <c r="I142" s="34" t="s">
        <v>2522</v>
      </c>
    </row>
    <row r="143" ht="12.75" customHeight="1">
      <c r="A143" s="34" t="s">
        <v>39</v>
      </c>
      <c r="B143" s="34" t="s">
        <v>2523</v>
      </c>
      <c r="C143" s="34" t="s">
        <v>2524</v>
      </c>
      <c r="D143" s="34" t="s">
        <v>2525</v>
      </c>
      <c r="E143" s="34" t="s">
        <v>2526</v>
      </c>
      <c r="F143" s="34" t="s">
        <v>2527</v>
      </c>
      <c r="G143" s="34" t="s">
        <v>2528</v>
      </c>
      <c r="H143" s="34" t="s">
        <v>2529</v>
      </c>
      <c r="I143" s="34" t="s">
        <v>2530</v>
      </c>
    </row>
    <row r="144" ht="12.75" customHeight="1">
      <c r="A144" s="34" t="s">
        <v>39</v>
      </c>
      <c r="B144" s="34" t="s">
        <v>2531</v>
      </c>
      <c r="C144" s="34" t="s">
        <v>2532</v>
      </c>
      <c r="D144" s="34" t="s">
        <v>2533</v>
      </c>
      <c r="E144" s="34" t="s">
        <v>2534</v>
      </c>
      <c r="F144" s="34" t="s">
        <v>2535</v>
      </c>
      <c r="G144" s="34" t="s">
        <v>2536</v>
      </c>
      <c r="H144" s="34" t="s">
        <v>2537</v>
      </c>
      <c r="I144" s="34" t="s">
        <v>2538</v>
      </c>
    </row>
    <row r="145" ht="12.75" customHeight="1">
      <c r="A145" s="34" t="s">
        <v>39</v>
      </c>
      <c r="B145" s="34" t="s">
        <v>2539</v>
      </c>
      <c r="C145" s="34" t="s">
        <v>2540</v>
      </c>
      <c r="D145" s="34" t="s">
        <v>2541</v>
      </c>
      <c r="E145" s="34" t="s">
        <v>2542</v>
      </c>
      <c r="F145" s="34" t="s">
        <v>2543</v>
      </c>
      <c r="G145" s="34" t="s">
        <v>2544</v>
      </c>
      <c r="H145" s="34" t="s">
        <v>2545</v>
      </c>
      <c r="I145" s="34" t="s">
        <v>2546</v>
      </c>
    </row>
    <row r="146" ht="12.75" customHeight="1">
      <c r="A146" s="34" t="s">
        <v>39</v>
      </c>
      <c r="B146" s="34" t="s">
        <v>2547</v>
      </c>
      <c r="C146" s="34" t="s">
        <v>2548</v>
      </c>
      <c r="D146" s="34" t="s">
        <v>2549</v>
      </c>
      <c r="E146" s="34" t="s">
        <v>2550</v>
      </c>
      <c r="F146" s="34" t="s">
        <v>2551</v>
      </c>
      <c r="G146" s="34" t="s">
        <v>2552</v>
      </c>
      <c r="H146" s="34" t="s">
        <v>2553</v>
      </c>
      <c r="I146" s="34" t="s">
        <v>2554</v>
      </c>
    </row>
    <row r="147" ht="12.75" customHeight="1">
      <c r="A147" s="34" t="s">
        <v>39</v>
      </c>
      <c r="B147" s="34" t="s">
        <v>2555</v>
      </c>
      <c r="C147" s="34" t="s">
        <v>2556</v>
      </c>
      <c r="D147" s="34" t="s">
        <v>2557</v>
      </c>
      <c r="E147" s="34" t="s">
        <v>2558</v>
      </c>
      <c r="F147" s="34" t="s">
        <v>2559</v>
      </c>
      <c r="G147" s="34" t="s">
        <v>2560</v>
      </c>
      <c r="H147" s="34" t="s">
        <v>2561</v>
      </c>
      <c r="I147" s="34" t="s">
        <v>2562</v>
      </c>
    </row>
    <row r="148" ht="12.75" customHeight="1">
      <c r="A148" s="34" t="s">
        <v>39</v>
      </c>
      <c r="B148" s="34" t="s">
        <v>2563</v>
      </c>
      <c r="C148" s="34" t="s">
        <v>2564</v>
      </c>
      <c r="D148" s="34" t="s">
        <v>2565</v>
      </c>
      <c r="E148" s="34" t="s">
        <v>2566</v>
      </c>
      <c r="F148" s="34" t="s">
        <v>2567</v>
      </c>
      <c r="G148" s="34" t="s">
        <v>2568</v>
      </c>
      <c r="H148" s="34" t="s">
        <v>2569</v>
      </c>
      <c r="I148" s="34" t="s">
        <v>2570</v>
      </c>
    </row>
    <row r="149" ht="12.75" customHeight="1">
      <c r="A149" s="34" t="s">
        <v>39</v>
      </c>
      <c r="B149" s="34" t="s">
        <v>2571</v>
      </c>
      <c r="C149" s="34" t="s">
        <v>2572</v>
      </c>
      <c r="D149" s="34" t="s">
        <v>2573</v>
      </c>
      <c r="E149" s="34" t="s">
        <v>2574</v>
      </c>
      <c r="F149" s="34" t="s">
        <v>2575</v>
      </c>
      <c r="G149" s="34" t="s">
        <v>2576</v>
      </c>
      <c r="H149" s="34" t="s">
        <v>2577</v>
      </c>
      <c r="I149" s="34" t="s">
        <v>2578</v>
      </c>
    </row>
    <row r="150" ht="12.75" customHeight="1">
      <c r="A150" s="34" t="s">
        <v>39</v>
      </c>
      <c r="B150" s="34" t="s">
        <v>2579</v>
      </c>
      <c r="C150" s="34" t="s">
        <v>2580</v>
      </c>
      <c r="D150" s="34" t="s">
        <v>2581</v>
      </c>
      <c r="E150" s="34" t="s">
        <v>2582</v>
      </c>
      <c r="F150" s="34" t="s">
        <v>2583</v>
      </c>
      <c r="G150" s="34" t="s">
        <v>2584</v>
      </c>
      <c r="H150" s="34" t="s">
        <v>2585</v>
      </c>
      <c r="I150" s="34" t="s">
        <v>2586</v>
      </c>
    </row>
    <row r="151" ht="12.75" customHeight="1">
      <c r="A151" s="34" t="s">
        <v>39</v>
      </c>
      <c r="B151" s="34" t="s">
        <v>2587</v>
      </c>
      <c r="C151" s="34" t="s">
        <v>2588</v>
      </c>
      <c r="D151" s="34" t="s">
        <v>2589</v>
      </c>
      <c r="E151" s="34" t="s">
        <v>2590</v>
      </c>
      <c r="F151" s="34" t="s">
        <v>2591</v>
      </c>
      <c r="G151" s="34" t="s">
        <v>2592</v>
      </c>
      <c r="H151" s="34" t="s">
        <v>2593</v>
      </c>
      <c r="I151" s="34" t="s">
        <v>2594</v>
      </c>
    </row>
    <row r="152" ht="12.75" customHeight="1">
      <c r="A152" s="34" t="s">
        <v>39</v>
      </c>
      <c r="B152" s="34" t="s">
        <v>2595</v>
      </c>
      <c r="C152" s="34" t="s">
        <v>2596</v>
      </c>
      <c r="D152" s="34" t="s">
        <v>2597</v>
      </c>
      <c r="E152" s="34" t="s">
        <v>2598</v>
      </c>
      <c r="F152" s="34" t="s">
        <v>2599</v>
      </c>
      <c r="G152" s="34" t="s">
        <v>2600</v>
      </c>
      <c r="H152" s="34" t="s">
        <v>2601</v>
      </c>
      <c r="I152" s="34" t="s">
        <v>2602</v>
      </c>
    </row>
    <row r="153" ht="12.75" customHeight="1">
      <c r="A153" s="34" t="s">
        <v>39</v>
      </c>
      <c r="B153" s="34" t="s">
        <v>2603</v>
      </c>
      <c r="C153" s="34" t="s">
        <v>2604</v>
      </c>
      <c r="D153" s="34" t="s">
        <v>2605</v>
      </c>
      <c r="E153" s="34" t="s">
        <v>2606</v>
      </c>
      <c r="F153" s="34" t="s">
        <v>2607</v>
      </c>
      <c r="G153" s="34" t="s">
        <v>2608</v>
      </c>
      <c r="H153" s="34" t="s">
        <v>2609</v>
      </c>
      <c r="I153" s="34" t="s">
        <v>2610</v>
      </c>
    </row>
    <row r="154" ht="12.75" customHeight="1">
      <c r="A154" s="34" t="s">
        <v>39</v>
      </c>
      <c r="B154" s="34" t="s">
        <v>2611</v>
      </c>
      <c r="C154" s="34" t="s">
        <v>2612</v>
      </c>
      <c r="D154" s="34" t="s">
        <v>2613</v>
      </c>
      <c r="E154" s="34" t="s">
        <v>2614</v>
      </c>
      <c r="F154" s="34" t="s">
        <v>2615</v>
      </c>
      <c r="G154" s="34" t="s">
        <v>2616</v>
      </c>
      <c r="H154" s="34" t="s">
        <v>2617</v>
      </c>
      <c r="I154" s="34" t="s">
        <v>2618</v>
      </c>
    </row>
    <row r="155" ht="12.75" customHeight="1">
      <c r="A155" s="34" t="s">
        <v>39</v>
      </c>
      <c r="B155" s="34" t="s">
        <v>2619</v>
      </c>
      <c r="C155" s="34" t="s">
        <v>2620</v>
      </c>
      <c r="D155" s="34" t="s">
        <v>2621</v>
      </c>
      <c r="E155" s="34" t="s">
        <v>2622</v>
      </c>
      <c r="F155" s="34" t="s">
        <v>2623</v>
      </c>
      <c r="G155" s="34" t="s">
        <v>2624</v>
      </c>
      <c r="H155" s="34" t="s">
        <v>2625</v>
      </c>
      <c r="I155" s="34" t="s">
        <v>2626</v>
      </c>
    </row>
    <row r="156" ht="12.75" customHeight="1">
      <c r="A156" s="34" t="s">
        <v>39</v>
      </c>
      <c r="B156" s="34" t="s">
        <v>2627</v>
      </c>
      <c r="C156" s="34" t="s">
        <v>2628</v>
      </c>
      <c r="D156" s="34" t="s">
        <v>2629</v>
      </c>
      <c r="E156" s="34" t="s">
        <v>2630</v>
      </c>
      <c r="F156" s="34" t="s">
        <v>2631</v>
      </c>
      <c r="G156" s="34" t="s">
        <v>2632</v>
      </c>
      <c r="H156" s="34" t="s">
        <v>2633</v>
      </c>
      <c r="I156" s="34" t="s">
        <v>2634</v>
      </c>
    </row>
    <row r="157" ht="12.75" customHeight="1">
      <c r="A157" s="34" t="s">
        <v>39</v>
      </c>
      <c r="B157" s="34" t="s">
        <v>2635</v>
      </c>
      <c r="C157" s="34" t="s">
        <v>2636</v>
      </c>
      <c r="D157" s="34" t="s">
        <v>2637</v>
      </c>
      <c r="E157" s="34" t="s">
        <v>2638</v>
      </c>
      <c r="F157" s="34" t="s">
        <v>2639</v>
      </c>
      <c r="G157" s="34" t="s">
        <v>2640</v>
      </c>
      <c r="H157" s="34" t="s">
        <v>2641</v>
      </c>
      <c r="I157" s="34" t="s">
        <v>2642</v>
      </c>
    </row>
    <row r="158" ht="12.75" customHeight="1">
      <c r="A158" s="34" t="s">
        <v>39</v>
      </c>
      <c r="B158" s="34" t="s">
        <v>2643</v>
      </c>
      <c r="C158" s="34" t="s">
        <v>2644</v>
      </c>
      <c r="D158" s="34" t="s">
        <v>2645</v>
      </c>
      <c r="E158" s="34" t="s">
        <v>2646</v>
      </c>
      <c r="F158" s="34" t="s">
        <v>2647</v>
      </c>
      <c r="G158" s="34" t="s">
        <v>2648</v>
      </c>
      <c r="H158" s="34" t="s">
        <v>2649</v>
      </c>
      <c r="I158" s="34" t="s">
        <v>2650</v>
      </c>
    </row>
    <row r="159" ht="12.75" customHeight="1">
      <c r="A159" s="34" t="s">
        <v>39</v>
      </c>
      <c r="B159" s="34" t="s">
        <v>2651</v>
      </c>
      <c r="C159" s="34" t="s">
        <v>2652</v>
      </c>
      <c r="D159" s="34" t="s">
        <v>2653</v>
      </c>
      <c r="E159" s="34" t="s">
        <v>2654</v>
      </c>
      <c r="F159" s="34" t="s">
        <v>2655</v>
      </c>
      <c r="G159" s="34" t="s">
        <v>2656</v>
      </c>
      <c r="H159" s="34" t="s">
        <v>2657</v>
      </c>
      <c r="I159" s="34" t="s">
        <v>2658</v>
      </c>
    </row>
    <row r="160" ht="12.75" customHeight="1">
      <c r="A160" s="34" t="s">
        <v>39</v>
      </c>
      <c r="B160" s="34" t="s">
        <v>2659</v>
      </c>
      <c r="C160" s="34" t="s">
        <v>2660</v>
      </c>
      <c r="D160" s="34" t="s">
        <v>2661</v>
      </c>
      <c r="E160" s="34" t="s">
        <v>2662</v>
      </c>
      <c r="F160" s="34" t="s">
        <v>2663</v>
      </c>
      <c r="G160" s="34" t="s">
        <v>2664</v>
      </c>
      <c r="H160" s="34" t="s">
        <v>2665</v>
      </c>
      <c r="I160" s="34" t="s">
        <v>2666</v>
      </c>
    </row>
    <row r="161" ht="12.75" customHeight="1">
      <c r="A161" s="34" t="s">
        <v>39</v>
      </c>
      <c r="B161" s="34" t="s">
        <v>2667</v>
      </c>
      <c r="C161" s="34" t="s">
        <v>2668</v>
      </c>
      <c r="D161" s="34" t="s">
        <v>2669</v>
      </c>
      <c r="E161" s="34" t="s">
        <v>2670</v>
      </c>
      <c r="F161" s="34" t="s">
        <v>2671</v>
      </c>
      <c r="G161" s="34" t="s">
        <v>2672</v>
      </c>
      <c r="H161" s="34" t="s">
        <v>2673</v>
      </c>
      <c r="I161" s="34" t="s">
        <v>2674</v>
      </c>
    </row>
    <row r="162" ht="12.75" customHeight="1">
      <c r="A162" s="34" t="s">
        <v>39</v>
      </c>
      <c r="B162" s="34" t="s">
        <v>2675</v>
      </c>
      <c r="C162" s="34" t="s">
        <v>2676</v>
      </c>
      <c r="D162" s="34" t="s">
        <v>2677</v>
      </c>
      <c r="E162" s="34" t="s">
        <v>2678</v>
      </c>
      <c r="F162" s="34" t="s">
        <v>2679</v>
      </c>
      <c r="G162" s="34" t="s">
        <v>2680</v>
      </c>
      <c r="H162" s="34" t="s">
        <v>2681</v>
      </c>
      <c r="I162" s="34" t="s">
        <v>2682</v>
      </c>
    </row>
    <row r="163" ht="12.75" customHeight="1">
      <c r="A163" s="34" t="s">
        <v>39</v>
      </c>
      <c r="B163" s="34" t="s">
        <v>2683</v>
      </c>
      <c r="C163" s="34" t="s">
        <v>2684</v>
      </c>
      <c r="D163" s="34" t="s">
        <v>2685</v>
      </c>
      <c r="E163" s="34" t="s">
        <v>2686</v>
      </c>
      <c r="F163" s="34" t="s">
        <v>2687</v>
      </c>
      <c r="G163" s="34" t="s">
        <v>2688</v>
      </c>
      <c r="H163" s="34" t="s">
        <v>2689</v>
      </c>
      <c r="I163" s="34" t="s">
        <v>2690</v>
      </c>
    </row>
    <row r="164" ht="12.75" customHeight="1">
      <c r="A164" s="34" t="s">
        <v>39</v>
      </c>
      <c r="B164" s="34" t="s">
        <v>2691</v>
      </c>
      <c r="C164" s="34" t="s">
        <v>2692</v>
      </c>
      <c r="D164" s="34" t="s">
        <v>2693</v>
      </c>
      <c r="E164" s="34" t="s">
        <v>2694</v>
      </c>
      <c r="F164" s="34" t="s">
        <v>2695</v>
      </c>
      <c r="G164" s="34" t="s">
        <v>2696</v>
      </c>
      <c r="H164" s="34" t="s">
        <v>2697</v>
      </c>
      <c r="I164" s="34" t="s">
        <v>2698</v>
      </c>
    </row>
    <row r="165" ht="12.75" customHeight="1">
      <c r="A165" s="34" t="s">
        <v>39</v>
      </c>
      <c r="B165" s="34" t="s">
        <v>2699</v>
      </c>
      <c r="C165" s="34" t="s">
        <v>2700</v>
      </c>
      <c r="D165" s="34" t="s">
        <v>2701</v>
      </c>
      <c r="E165" s="34" t="s">
        <v>2702</v>
      </c>
      <c r="F165" s="34" t="s">
        <v>2703</v>
      </c>
      <c r="G165" s="34" t="s">
        <v>2704</v>
      </c>
      <c r="H165" s="34" t="s">
        <v>2705</v>
      </c>
      <c r="I165" s="34" t="s">
        <v>2706</v>
      </c>
    </row>
    <row r="166" ht="12.75" customHeight="1">
      <c r="A166" s="34" t="s">
        <v>39</v>
      </c>
      <c r="B166" s="34" t="s">
        <v>2707</v>
      </c>
      <c r="C166" s="34" t="s">
        <v>2708</v>
      </c>
      <c r="D166" s="34" t="s">
        <v>2709</v>
      </c>
      <c r="E166" s="34" t="s">
        <v>2710</v>
      </c>
      <c r="F166" s="34" t="s">
        <v>2711</v>
      </c>
      <c r="G166" s="34" t="s">
        <v>2712</v>
      </c>
      <c r="H166" s="34" t="s">
        <v>2713</v>
      </c>
      <c r="I166" s="34" t="s">
        <v>2714</v>
      </c>
    </row>
    <row r="167" ht="12.75" customHeight="1">
      <c r="A167" s="34" t="s">
        <v>39</v>
      </c>
      <c r="B167" s="34" t="s">
        <v>2715</v>
      </c>
      <c r="C167" s="34" t="s">
        <v>2716</v>
      </c>
      <c r="D167" s="34" t="s">
        <v>2717</v>
      </c>
      <c r="E167" s="34" t="s">
        <v>2718</v>
      </c>
      <c r="F167" s="34" t="s">
        <v>2719</v>
      </c>
      <c r="G167" s="34" t="s">
        <v>2720</v>
      </c>
      <c r="H167" s="34" t="s">
        <v>2721</v>
      </c>
      <c r="I167" s="34" t="s">
        <v>2722</v>
      </c>
    </row>
    <row r="168" ht="12.75" customHeight="1">
      <c r="A168" s="34" t="s">
        <v>39</v>
      </c>
      <c r="B168" s="34" t="s">
        <v>2723</v>
      </c>
      <c r="C168" s="34" t="s">
        <v>2724</v>
      </c>
      <c r="D168" s="34" t="s">
        <v>2725</v>
      </c>
      <c r="E168" s="34" t="s">
        <v>2726</v>
      </c>
      <c r="F168" s="34" t="s">
        <v>2727</v>
      </c>
      <c r="G168" s="34" t="s">
        <v>2728</v>
      </c>
      <c r="H168" s="34" t="s">
        <v>2729</v>
      </c>
      <c r="I168" s="34" t="s">
        <v>2730</v>
      </c>
    </row>
    <row r="169" ht="12.75" customHeight="1">
      <c r="A169" s="34" t="s">
        <v>39</v>
      </c>
      <c r="B169" s="34" t="s">
        <v>2731</v>
      </c>
      <c r="C169" s="34" t="s">
        <v>2732</v>
      </c>
      <c r="D169" s="34" t="s">
        <v>2733</v>
      </c>
      <c r="E169" s="34" t="s">
        <v>2734</v>
      </c>
      <c r="F169" s="34" t="s">
        <v>2735</v>
      </c>
      <c r="G169" s="34" t="s">
        <v>2736</v>
      </c>
      <c r="H169" s="34" t="s">
        <v>2737</v>
      </c>
      <c r="I169" s="34" t="s">
        <v>2738</v>
      </c>
    </row>
    <row r="170" ht="12.75" customHeight="1">
      <c r="A170" s="34" t="s">
        <v>39</v>
      </c>
      <c r="B170" s="34" t="s">
        <v>2739</v>
      </c>
      <c r="C170" s="34" t="s">
        <v>2740</v>
      </c>
      <c r="D170" s="34" t="s">
        <v>2741</v>
      </c>
      <c r="E170" s="34" t="s">
        <v>2742</v>
      </c>
      <c r="F170" s="34" t="s">
        <v>2743</v>
      </c>
      <c r="G170" s="34" t="s">
        <v>2744</v>
      </c>
      <c r="H170" s="34" t="s">
        <v>2745</v>
      </c>
      <c r="I170" s="34" t="s">
        <v>2746</v>
      </c>
    </row>
    <row r="171" ht="12.75" customHeight="1">
      <c r="A171" s="34" t="s">
        <v>39</v>
      </c>
      <c r="B171" s="34" t="s">
        <v>2747</v>
      </c>
      <c r="C171" s="34" t="s">
        <v>2748</v>
      </c>
      <c r="D171" s="34" t="s">
        <v>2749</v>
      </c>
      <c r="E171" s="34" t="s">
        <v>2750</v>
      </c>
      <c r="F171" s="34" t="s">
        <v>2751</v>
      </c>
      <c r="G171" s="34" t="s">
        <v>2752</v>
      </c>
      <c r="H171" s="34" t="s">
        <v>2753</v>
      </c>
      <c r="I171" s="34" t="s">
        <v>2754</v>
      </c>
    </row>
    <row r="172" ht="12.75" customHeight="1">
      <c r="A172" s="34" t="s">
        <v>39</v>
      </c>
      <c r="B172" s="34" t="s">
        <v>2755</v>
      </c>
      <c r="C172" s="34" t="s">
        <v>2756</v>
      </c>
      <c r="D172" s="34" t="s">
        <v>2757</v>
      </c>
      <c r="E172" s="34" t="s">
        <v>2758</v>
      </c>
      <c r="F172" s="34" t="s">
        <v>2759</v>
      </c>
      <c r="G172" s="34" t="s">
        <v>2760</v>
      </c>
      <c r="H172" s="34" t="s">
        <v>2761</v>
      </c>
      <c r="I172" s="34" t="s">
        <v>2762</v>
      </c>
    </row>
    <row r="173" ht="12.75" customHeight="1">
      <c r="A173" s="34" t="s">
        <v>39</v>
      </c>
      <c r="B173" s="34" t="s">
        <v>2763</v>
      </c>
      <c r="C173" s="34" t="s">
        <v>2764</v>
      </c>
      <c r="D173" s="34" t="s">
        <v>2765</v>
      </c>
      <c r="E173" s="34" t="s">
        <v>2766</v>
      </c>
      <c r="F173" s="34" t="s">
        <v>2767</v>
      </c>
      <c r="G173" s="34" t="s">
        <v>2768</v>
      </c>
      <c r="H173" s="34" t="s">
        <v>2769</v>
      </c>
      <c r="I173" s="34" t="s">
        <v>2770</v>
      </c>
    </row>
    <row r="174" ht="12.75" customHeight="1">
      <c r="A174" s="34" t="s">
        <v>39</v>
      </c>
      <c r="B174" s="34" t="s">
        <v>2771</v>
      </c>
      <c r="C174" s="34" t="s">
        <v>2772</v>
      </c>
      <c r="D174" s="34" t="s">
        <v>2773</v>
      </c>
      <c r="E174" s="34" t="s">
        <v>2774</v>
      </c>
      <c r="F174" s="34" t="s">
        <v>2775</v>
      </c>
      <c r="G174" s="34" t="s">
        <v>2776</v>
      </c>
      <c r="H174" s="34" t="s">
        <v>2777</v>
      </c>
      <c r="I174" s="34" t="s">
        <v>2778</v>
      </c>
    </row>
    <row r="175" ht="12.75" customHeight="1">
      <c r="A175" s="34" t="s">
        <v>39</v>
      </c>
      <c r="B175" s="34" t="s">
        <v>2779</v>
      </c>
      <c r="C175" s="34" t="s">
        <v>2780</v>
      </c>
      <c r="D175" s="34" t="s">
        <v>2781</v>
      </c>
      <c r="E175" s="34" t="s">
        <v>2782</v>
      </c>
      <c r="F175" s="34" t="s">
        <v>2783</v>
      </c>
      <c r="G175" s="34" t="s">
        <v>2784</v>
      </c>
      <c r="H175" s="34" t="s">
        <v>2785</v>
      </c>
      <c r="I175" s="34" t="s">
        <v>2786</v>
      </c>
    </row>
    <row r="176" ht="12.75" customHeight="1">
      <c r="A176" s="34" t="s">
        <v>39</v>
      </c>
      <c r="B176" s="34" t="s">
        <v>2787</v>
      </c>
      <c r="C176" s="34" t="s">
        <v>2788</v>
      </c>
      <c r="D176" s="34" t="s">
        <v>2789</v>
      </c>
      <c r="E176" s="34" t="s">
        <v>2790</v>
      </c>
      <c r="F176" s="34" t="s">
        <v>2791</v>
      </c>
      <c r="G176" s="34" t="s">
        <v>2792</v>
      </c>
      <c r="H176" s="34" t="s">
        <v>2793</v>
      </c>
      <c r="I176" s="34" t="s">
        <v>2794</v>
      </c>
    </row>
    <row r="177" ht="12.75" customHeight="1">
      <c r="A177" s="34" t="s">
        <v>39</v>
      </c>
      <c r="B177" s="34" t="s">
        <v>2795</v>
      </c>
      <c r="C177" s="34" t="s">
        <v>2796</v>
      </c>
      <c r="D177" s="34" t="s">
        <v>2797</v>
      </c>
      <c r="E177" s="34" t="s">
        <v>2798</v>
      </c>
      <c r="F177" s="34" t="s">
        <v>2799</v>
      </c>
      <c r="G177" s="34" t="s">
        <v>2800</v>
      </c>
      <c r="H177" s="34" t="s">
        <v>2801</v>
      </c>
      <c r="I177" s="34" t="s">
        <v>2802</v>
      </c>
    </row>
    <row r="178" ht="12.75" customHeight="1">
      <c r="A178" s="34" t="s">
        <v>39</v>
      </c>
      <c r="B178" s="34" t="s">
        <v>2803</v>
      </c>
      <c r="C178" s="34" t="s">
        <v>2804</v>
      </c>
      <c r="D178" s="34" t="s">
        <v>2805</v>
      </c>
      <c r="E178" s="34" t="s">
        <v>2806</v>
      </c>
      <c r="F178" s="34" t="s">
        <v>2807</v>
      </c>
      <c r="G178" s="34" t="s">
        <v>2808</v>
      </c>
      <c r="H178" s="34" t="s">
        <v>2809</v>
      </c>
      <c r="I178" s="34" t="s">
        <v>2810</v>
      </c>
    </row>
    <row r="179" ht="12.75" customHeight="1">
      <c r="A179" s="34" t="s">
        <v>39</v>
      </c>
      <c r="B179" s="34" t="s">
        <v>2811</v>
      </c>
      <c r="C179" s="34" t="s">
        <v>2812</v>
      </c>
      <c r="D179" s="34" t="s">
        <v>2813</v>
      </c>
      <c r="E179" s="34" t="s">
        <v>2814</v>
      </c>
      <c r="F179" s="34" t="s">
        <v>2815</v>
      </c>
      <c r="G179" s="34" t="s">
        <v>2816</v>
      </c>
      <c r="H179" s="34" t="s">
        <v>2817</v>
      </c>
      <c r="I179" s="34" t="s">
        <v>2818</v>
      </c>
    </row>
    <row r="180" ht="12.75" customHeight="1">
      <c r="A180" s="34" t="s">
        <v>39</v>
      </c>
      <c r="B180" s="34" t="s">
        <v>2819</v>
      </c>
      <c r="C180" s="34" t="s">
        <v>2820</v>
      </c>
      <c r="D180" s="34" t="s">
        <v>2821</v>
      </c>
      <c r="E180" s="34" t="s">
        <v>2822</v>
      </c>
      <c r="F180" s="34" t="s">
        <v>2823</v>
      </c>
      <c r="G180" s="34" t="s">
        <v>2824</v>
      </c>
      <c r="H180" s="34" t="s">
        <v>2825</v>
      </c>
      <c r="I180" s="34" t="s">
        <v>2826</v>
      </c>
    </row>
    <row r="181" ht="12.75" customHeight="1">
      <c r="A181" s="34" t="s">
        <v>39</v>
      </c>
      <c r="B181" s="34" t="s">
        <v>2827</v>
      </c>
      <c r="C181" s="34" t="s">
        <v>2828</v>
      </c>
      <c r="D181" s="34" t="s">
        <v>2829</v>
      </c>
      <c r="E181" s="34" t="s">
        <v>2830</v>
      </c>
      <c r="F181" s="34" t="s">
        <v>2831</v>
      </c>
      <c r="G181" s="34" t="s">
        <v>2832</v>
      </c>
      <c r="H181" s="34" t="s">
        <v>2833</v>
      </c>
      <c r="I181" s="34" t="s">
        <v>2834</v>
      </c>
    </row>
    <row r="182" ht="12.75" customHeight="1">
      <c r="A182" s="34" t="s">
        <v>39</v>
      </c>
      <c r="B182" s="34" t="s">
        <v>2835</v>
      </c>
      <c r="C182" s="34" t="s">
        <v>2836</v>
      </c>
      <c r="D182" s="34" t="s">
        <v>2837</v>
      </c>
      <c r="E182" s="34" t="s">
        <v>2838</v>
      </c>
      <c r="F182" s="34" t="s">
        <v>2839</v>
      </c>
      <c r="G182" s="34" t="s">
        <v>2840</v>
      </c>
      <c r="H182" s="34" t="s">
        <v>2841</v>
      </c>
      <c r="I182" s="34" t="s">
        <v>2842</v>
      </c>
    </row>
    <row r="183" ht="12.75" customHeight="1">
      <c r="A183" s="34" t="s">
        <v>39</v>
      </c>
      <c r="B183" s="34" t="s">
        <v>2843</v>
      </c>
      <c r="C183" s="34" t="s">
        <v>2844</v>
      </c>
      <c r="D183" s="34" t="s">
        <v>2845</v>
      </c>
      <c r="E183" s="34" t="s">
        <v>2846</v>
      </c>
      <c r="F183" s="34" t="s">
        <v>2847</v>
      </c>
      <c r="G183" s="34" t="s">
        <v>2848</v>
      </c>
      <c r="H183" s="34" t="s">
        <v>2849</v>
      </c>
      <c r="I183" s="34" t="s">
        <v>2850</v>
      </c>
    </row>
    <row r="184" ht="12.75" customHeight="1">
      <c r="A184" s="34" t="s">
        <v>39</v>
      </c>
      <c r="B184" s="34" t="s">
        <v>2851</v>
      </c>
      <c r="C184" s="34" t="s">
        <v>2852</v>
      </c>
      <c r="D184" s="34" t="s">
        <v>2853</v>
      </c>
      <c r="E184" s="34" t="s">
        <v>2854</v>
      </c>
      <c r="F184" s="34" t="s">
        <v>2855</v>
      </c>
      <c r="G184" s="34" t="s">
        <v>2856</v>
      </c>
      <c r="H184" s="34" t="s">
        <v>2857</v>
      </c>
      <c r="I184" s="34" t="s">
        <v>2858</v>
      </c>
    </row>
    <row r="185" ht="12.75" customHeight="1">
      <c r="A185" s="34" t="s">
        <v>39</v>
      </c>
      <c r="B185" s="34" t="s">
        <v>2859</v>
      </c>
      <c r="C185" s="34" t="s">
        <v>2860</v>
      </c>
      <c r="D185" s="34" t="s">
        <v>2861</v>
      </c>
      <c r="E185" s="34" t="s">
        <v>2862</v>
      </c>
      <c r="F185" s="34" t="s">
        <v>2863</v>
      </c>
      <c r="G185" s="34" t="s">
        <v>2864</v>
      </c>
      <c r="H185" s="34" t="s">
        <v>2865</v>
      </c>
      <c r="I185" s="34" t="s">
        <v>2866</v>
      </c>
    </row>
    <row r="186" ht="12.75" customHeight="1">
      <c r="A186" s="34" t="s">
        <v>39</v>
      </c>
      <c r="B186" s="34" t="s">
        <v>2867</v>
      </c>
      <c r="C186" s="34" t="s">
        <v>2868</v>
      </c>
      <c r="D186" s="34" t="s">
        <v>2869</v>
      </c>
      <c r="E186" s="34" t="s">
        <v>2870</v>
      </c>
      <c r="F186" s="34" t="s">
        <v>2871</v>
      </c>
      <c r="G186" s="34" t="s">
        <v>2872</v>
      </c>
      <c r="H186" s="34" t="s">
        <v>2873</v>
      </c>
      <c r="I186" s="34" t="s">
        <v>2874</v>
      </c>
    </row>
    <row r="187" ht="12.75" customHeight="1">
      <c r="A187" s="34" t="s">
        <v>39</v>
      </c>
      <c r="B187" s="34" t="s">
        <v>2875</v>
      </c>
      <c r="C187" s="34" t="s">
        <v>2876</v>
      </c>
      <c r="D187" s="34" t="s">
        <v>2877</v>
      </c>
      <c r="E187" s="34" t="s">
        <v>2878</v>
      </c>
      <c r="F187" s="34" t="s">
        <v>2879</v>
      </c>
      <c r="G187" s="34" t="s">
        <v>2880</v>
      </c>
      <c r="H187" s="34" t="s">
        <v>2881</v>
      </c>
      <c r="I187" s="34" t="s">
        <v>2882</v>
      </c>
    </row>
    <row r="188" ht="12.75" customHeight="1">
      <c r="A188" s="34" t="s">
        <v>39</v>
      </c>
      <c r="B188" s="34" t="s">
        <v>2883</v>
      </c>
      <c r="C188" s="34" t="s">
        <v>2884</v>
      </c>
      <c r="D188" s="34" t="s">
        <v>2885</v>
      </c>
      <c r="E188" s="34" t="s">
        <v>2886</v>
      </c>
      <c r="F188" s="34" t="s">
        <v>2887</v>
      </c>
      <c r="G188" s="34" t="s">
        <v>2888</v>
      </c>
      <c r="H188" s="34" t="s">
        <v>2889</v>
      </c>
      <c r="I188" s="34" t="s">
        <v>2890</v>
      </c>
    </row>
    <row r="189" ht="12.75" customHeight="1">
      <c r="A189" s="34" t="s">
        <v>39</v>
      </c>
      <c r="B189" s="34" t="s">
        <v>2891</v>
      </c>
      <c r="C189" s="34" t="s">
        <v>2892</v>
      </c>
      <c r="D189" s="34" t="s">
        <v>2893</v>
      </c>
      <c r="E189" s="34" t="s">
        <v>2894</v>
      </c>
      <c r="F189" s="34" t="s">
        <v>2895</v>
      </c>
      <c r="G189" s="34" t="s">
        <v>2896</v>
      </c>
      <c r="H189" s="34" t="s">
        <v>2897</v>
      </c>
      <c r="I189" s="34" t="s">
        <v>2898</v>
      </c>
    </row>
    <row r="190" ht="12.75" customHeight="1">
      <c r="A190" s="34" t="s">
        <v>39</v>
      </c>
      <c r="B190" s="34" t="s">
        <v>2899</v>
      </c>
      <c r="C190" s="34" t="s">
        <v>2900</v>
      </c>
      <c r="D190" s="34" t="s">
        <v>2901</v>
      </c>
      <c r="E190" s="34" t="s">
        <v>2902</v>
      </c>
      <c r="F190" s="34" t="s">
        <v>2903</v>
      </c>
      <c r="G190" s="34" t="s">
        <v>2904</v>
      </c>
      <c r="H190" s="34" t="s">
        <v>2905</v>
      </c>
      <c r="I190" s="34" t="s">
        <v>2906</v>
      </c>
    </row>
    <row r="191" ht="12.75" customHeight="1">
      <c r="A191" s="34" t="s">
        <v>39</v>
      </c>
      <c r="B191" s="34" t="s">
        <v>2907</v>
      </c>
      <c r="C191" s="34" t="s">
        <v>2908</v>
      </c>
      <c r="D191" s="34" t="s">
        <v>2909</v>
      </c>
      <c r="E191" s="34" t="s">
        <v>2910</v>
      </c>
      <c r="F191" s="34" t="s">
        <v>2911</v>
      </c>
      <c r="G191" s="34" t="s">
        <v>2912</v>
      </c>
      <c r="H191" s="34" t="s">
        <v>2913</v>
      </c>
      <c r="I191" s="34" t="s">
        <v>2914</v>
      </c>
    </row>
    <row r="192" ht="12.75" customHeight="1">
      <c r="A192" s="34" t="s">
        <v>39</v>
      </c>
      <c r="B192" s="34" t="s">
        <v>2915</v>
      </c>
      <c r="C192" s="34" t="s">
        <v>2916</v>
      </c>
      <c r="D192" s="34" t="s">
        <v>2917</v>
      </c>
      <c r="E192" s="34" t="s">
        <v>2918</v>
      </c>
      <c r="F192" s="34" t="s">
        <v>2919</v>
      </c>
      <c r="G192" s="34" t="s">
        <v>2920</v>
      </c>
      <c r="H192" s="34" t="s">
        <v>2921</v>
      </c>
      <c r="I192" s="34" t="s">
        <v>2922</v>
      </c>
    </row>
    <row r="193" ht="12.75" customHeight="1">
      <c r="A193" s="34" t="s">
        <v>39</v>
      </c>
      <c r="B193" s="34" t="s">
        <v>2923</v>
      </c>
      <c r="C193" s="34" t="s">
        <v>2924</v>
      </c>
      <c r="D193" s="34" t="s">
        <v>2925</v>
      </c>
      <c r="E193" s="34" t="s">
        <v>2926</v>
      </c>
      <c r="F193" s="34" t="s">
        <v>2927</v>
      </c>
      <c r="G193" s="34" t="s">
        <v>2928</v>
      </c>
      <c r="H193" s="34" t="s">
        <v>2929</v>
      </c>
      <c r="I193" s="34" t="s">
        <v>2930</v>
      </c>
    </row>
    <row r="194" ht="12.75" customHeight="1">
      <c r="A194" s="34" t="s">
        <v>39</v>
      </c>
      <c r="B194" s="34" t="s">
        <v>2931</v>
      </c>
      <c r="C194" s="34" t="s">
        <v>2932</v>
      </c>
      <c r="D194" s="34" t="s">
        <v>2933</v>
      </c>
      <c r="E194" s="34" t="s">
        <v>2934</v>
      </c>
      <c r="F194" s="34" t="s">
        <v>2935</v>
      </c>
      <c r="G194" s="34" t="s">
        <v>2936</v>
      </c>
      <c r="H194" s="34" t="s">
        <v>2937</v>
      </c>
      <c r="I194" s="34" t="s">
        <v>2938</v>
      </c>
    </row>
    <row r="195" ht="12.75" customHeight="1">
      <c r="A195" s="34" t="s">
        <v>39</v>
      </c>
      <c r="B195" s="34" t="s">
        <v>2939</v>
      </c>
      <c r="C195" s="34" t="s">
        <v>2940</v>
      </c>
      <c r="D195" s="34" t="s">
        <v>2941</v>
      </c>
      <c r="E195" s="34" t="s">
        <v>2942</v>
      </c>
      <c r="F195" s="34" t="s">
        <v>2943</v>
      </c>
      <c r="G195" s="34" t="s">
        <v>2944</v>
      </c>
      <c r="H195" s="34" t="s">
        <v>2945</v>
      </c>
      <c r="I195" s="34" t="s">
        <v>2946</v>
      </c>
    </row>
    <row r="196" ht="12.75" customHeight="1">
      <c r="A196" s="34" t="s">
        <v>39</v>
      </c>
      <c r="B196" s="34" t="s">
        <v>2947</v>
      </c>
      <c r="C196" s="34" t="s">
        <v>2948</v>
      </c>
      <c r="D196" s="34" t="s">
        <v>2949</v>
      </c>
      <c r="E196" s="34" t="s">
        <v>2950</v>
      </c>
      <c r="F196" s="34" t="s">
        <v>2951</v>
      </c>
      <c r="G196" s="34" t="s">
        <v>2952</v>
      </c>
      <c r="H196" s="34" t="s">
        <v>2953</v>
      </c>
      <c r="I196" s="34" t="s">
        <v>2954</v>
      </c>
    </row>
    <row r="197" ht="12.75" customHeight="1">
      <c r="A197" s="34" t="s">
        <v>39</v>
      </c>
      <c r="B197" s="34" t="s">
        <v>2955</v>
      </c>
      <c r="C197" s="34" t="s">
        <v>2956</v>
      </c>
      <c r="D197" s="34" t="s">
        <v>2957</v>
      </c>
      <c r="E197" s="34" t="s">
        <v>2958</v>
      </c>
      <c r="F197" s="34" t="s">
        <v>2959</v>
      </c>
      <c r="G197" s="34" t="s">
        <v>2960</v>
      </c>
      <c r="H197" s="34" t="s">
        <v>2961</v>
      </c>
      <c r="I197" s="34" t="s">
        <v>2962</v>
      </c>
    </row>
    <row r="198" ht="12.75" customHeight="1">
      <c r="A198" s="34" t="s">
        <v>39</v>
      </c>
      <c r="B198" s="34" t="s">
        <v>2963</v>
      </c>
      <c r="C198" s="34" t="s">
        <v>2964</v>
      </c>
      <c r="D198" s="34" t="s">
        <v>2965</v>
      </c>
      <c r="E198" s="34" t="s">
        <v>2966</v>
      </c>
      <c r="F198" s="34" t="s">
        <v>2967</v>
      </c>
      <c r="G198" s="34" t="s">
        <v>2968</v>
      </c>
      <c r="H198" s="34" t="s">
        <v>2969</v>
      </c>
      <c r="I198" s="34" t="s">
        <v>2970</v>
      </c>
    </row>
    <row r="199" ht="12.75" customHeight="1">
      <c r="A199" s="34" t="s">
        <v>39</v>
      </c>
      <c r="B199" s="34" t="s">
        <v>2971</v>
      </c>
      <c r="C199" s="34" t="s">
        <v>2972</v>
      </c>
      <c r="D199" s="34" t="s">
        <v>2973</v>
      </c>
      <c r="E199" s="34" t="s">
        <v>2974</v>
      </c>
      <c r="F199" s="34" t="s">
        <v>2975</v>
      </c>
      <c r="G199" s="34" t="s">
        <v>2976</v>
      </c>
      <c r="H199" s="34" t="s">
        <v>2977</v>
      </c>
      <c r="I199" s="34" t="s">
        <v>2978</v>
      </c>
    </row>
    <row r="200" ht="12.75" customHeight="1">
      <c r="A200" s="34" t="s">
        <v>39</v>
      </c>
      <c r="B200" s="34" t="s">
        <v>2979</v>
      </c>
      <c r="C200" s="34" t="s">
        <v>2980</v>
      </c>
      <c r="D200" s="34" t="s">
        <v>2981</v>
      </c>
      <c r="E200" s="34" t="s">
        <v>2982</v>
      </c>
      <c r="F200" s="34" t="s">
        <v>2983</v>
      </c>
      <c r="G200" s="34" t="s">
        <v>2984</v>
      </c>
      <c r="H200" s="34" t="s">
        <v>2985</v>
      </c>
      <c r="I200" s="34" t="s">
        <v>2986</v>
      </c>
    </row>
    <row r="201" ht="12.75" customHeight="1">
      <c r="A201" s="34" t="s">
        <v>39</v>
      </c>
      <c r="B201" s="34" t="s">
        <v>2987</v>
      </c>
      <c r="C201" s="34" t="s">
        <v>2988</v>
      </c>
      <c r="D201" s="34" t="s">
        <v>2989</v>
      </c>
      <c r="E201" s="34" t="s">
        <v>2990</v>
      </c>
      <c r="F201" s="34" t="s">
        <v>2991</v>
      </c>
      <c r="G201" s="34" t="s">
        <v>2992</v>
      </c>
      <c r="H201" s="34" t="s">
        <v>2993</v>
      </c>
      <c r="I201" s="34" t="s">
        <v>2994</v>
      </c>
    </row>
    <row r="202" ht="12.75" customHeight="1">
      <c r="A202" s="34" t="s">
        <v>39</v>
      </c>
      <c r="B202" s="34" t="s">
        <v>2995</v>
      </c>
      <c r="C202" s="34" t="s">
        <v>2996</v>
      </c>
      <c r="D202" s="34" t="s">
        <v>2997</v>
      </c>
      <c r="E202" s="34" t="s">
        <v>2998</v>
      </c>
      <c r="F202" s="34" t="s">
        <v>2999</v>
      </c>
      <c r="G202" s="34" t="s">
        <v>3000</v>
      </c>
      <c r="H202" s="34" t="s">
        <v>3001</v>
      </c>
      <c r="I202" s="34" t="s">
        <v>3002</v>
      </c>
    </row>
    <row r="203" ht="12.75" customHeight="1">
      <c r="A203" s="34" t="s">
        <v>39</v>
      </c>
      <c r="B203" s="34" t="s">
        <v>3003</v>
      </c>
      <c r="C203" s="34" t="s">
        <v>3004</v>
      </c>
      <c r="D203" s="34" t="s">
        <v>3005</v>
      </c>
      <c r="E203" s="34" t="s">
        <v>3006</v>
      </c>
      <c r="F203" s="34" t="s">
        <v>3007</v>
      </c>
      <c r="G203" s="34" t="s">
        <v>3008</v>
      </c>
      <c r="H203" s="34" t="s">
        <v>3009</v>
      </c>
      <c r="I203" s="34" t="s">
        <v>3010</v>
      </c>
    </row>
    <row r="204" ht="12.75" customHeight="1">
      <c r="A204" s="34" t="s">
        <v>39</v>
      </c>
      <c r="B204" s="34" t="s">
        <v>3011</v>
      </c>
      <c r="C204" s="34" t="s">
        <v>3012</v>
      </c>
      <c r="D204" s="34" t="s">
        <v>3013</v>
      </c>
      <c r="E204" s="34" t="s">
        <v>3014</v>
      </c>
      <c r="F204" s="34" t="s">
        <v>3015</v>
      </c>
      <c r="G204" s="34" t="s">
        <v>3016</v>
      </c>
      <c r="H204" s="34" t="s">
        <v>3017</v>
      </c>
      <c r="I204" s="34" t="s">
        <v>3018</v>
      </c>
    </row>
    <row r="205" ht="12.75" customHeight="1">
      <c r="A205" s="34" t="s">
        <v>39</v>
      </c>
      <c r="B205" s="34" t="s">
        <v>3019</v>
      </c>
      <c r="C205" s="34" t="s">
        <v>3020</v>
      </c>
      <c r="D205" s="34" t="s">
        <v>3021</v>
      </c>
      <c r="E205" s="34" t="s">
        <v>3022</v>
      </c>
      <c r="F205" s="34" t="s">
        <v>3023</v>
      </c>
      <c r="G205" s="34" t="s">
        <v>3024</v>
      </c>
      <c r="H205" s="34" t="s">
        <v>3025</v>
      </c>
      <c r="I205" s="34" t="s">
        <v>3026</v>
      </c>
    </row>
    <row r="206" ht="12.75" customHeight="1">
      <c r="A206" s="34" t="s">
        <v>39</v>
      </c>
      <c r="B206" s="34" t="s">
        <v>3027</v>
      </c>
      <c r="C206" s="34" t="s">
        <v>3028</v>
      </c>
      <c r="D206" s="34" t="s">
        <v>3029</v>
      </c>
      <c r="E206" s="34" t="s">
        <v>3030</v>
      </c>
      <c r="F206" s="34" t="s">
        <v>3031</v>
      </c>
      <c r="G206" s="34" t="s">
        <v>3032</v>
      </c>
      <c r="H206" s="34" t="s">
        <v>3033</v>
      </c>
      <c r="I206" s="34" t="s">
        <v>3034</v>
      </c>
    </row>
    <row r="207" ht="12.75" customHeight="1">
      <c r="A207" s="34" t="s">
        <v>39</v>
      </c>
      <c r="B207" s="34" t="s">
        <v>3035</v>
      </c>
      <c r="C207" s="34" t="s">
        <v>3036</v>
      </c>
      <c r="D207" s="34" t="s">
        <v>3037</v>
      </c>
      <c r="E207" s="34" t="s">
        <v>3038</v>
      </c>
      <c r="F207" s="34" t="s">
        <v>3039</v>
      </c>
      <c r="G207" s="34" t="s">
        <v>3040</v>
      </c>
      <c r="H207" s="34" t="s">
        <v>3041</v>
      </c>
      <c r="I207" s="34" t="s">
        <v>3042</v>
      </c>
    </row>
    <row r="208" ht="12.75" customHeight="1">
      <c r="A208" s="34" t="s">
        <v>39</v>
      </c>
      <c r="B208" s="34" t="s">
        <v>3043</v>
      </c>
      <c r="C208" s="34" t="s">
        <v>3044</v>
      </c>
      <c r="D208" s="34" t="s">
        <v>3045</v>
      </c>
      <c r="E208" s="34" t="s">
        <v>3046</v>
      </c>
      <c r="F208" s="34" t="s">
        <v>3047</v>
      </c>
      <c r="G208" s="34" t="s">
        <v>3048</v>
      </c>
      <c r="H208" s="34" t="s">
        <v>3049</v>
      </c>
      <c r="I208" s="34" t="s">
        <v>3050</v>
      </c>
    </row>
    <row r="209" ht="12.75" customHeight="1">
      <c r="A209" s="34" t="s">
        <v>39</v>
      </c>
      <c r="B209" s="34" t="s">
        <v>3051</v>
      </c>
      <c r="C209" s="34" t="s">
        <v>3052</v>
      </c>
      <c r="D209" s="34" t="s">
        <v>3053</v>
      </c>
      <c r="E209" s="34" t="s">
        <v>3054</v>
      </c>
      <c r="F209" s="34" t="s">
        <v>3055</v>
      </c>
      <c r="G209" s="34" t="s">
        <v>3056</v>
      </c>
      <c r="H209" s="34" t="s">
        <v>3057</v>
      </c>
      <c r="I209" s="34" t="s">
        <v>3058</v>
      </c>
    </row>
    <row r="210" ht="12.75" customHeight="1">
      <c r="A210" s="34" t="s">
        <v>39</v>
      </c>
      <c r="B210" s="34" t="s">
        <v>3059</v>
      </c>
      <c r="C210" s="34" t="s">
        <v>3060</v>
      </c>
      <c r="D210" s="34" t="s">
        <v>3061</v>
      </c>
      <c r="E210" s="34" t="s">
        <v>3062</v>
      </c>
      <c r="F210" s="34" t="s">
        <v>3063</v>
      </c>
      <c r="G210" s="34" t="s">
        <v>3064</v>
      </c>
      <c r="H210" s="34" t="s">
        <v>3065</v>
      </c>
      <c r="I210" s="34" t="s">
        <v>3066</v>
      </c>
    </row>
    <row r="211" ht="12.75" customHeight="1">
      <c r="A211" s="34" t="s">
        <v>39</v>
      </c>
      <c r="B211" s="34" t="s">
        <v>3067</v>
      </c>
      <c r="C211" s="34" t="s">
        <v>3068</v>
      </c>
      <c r="D211" s="34" t="s">
        <v>3069</v>
      </c>
      <c r="E211" s="34" t="s">
        <v>3070</v>
      </c>
      <c r="F211" s="34" t="s">
        <v>3071</v>
      </c>
      <c r="G211" s="34" t="s">
        <v>3072</v>
      </c>
      <c r="H211" s="34" t="s">
        <v>3073</v>
      </c>
      <c r="I211" s="34" t="s">
        <v>3074</v>
      </c>
    </row>
    <row r="212" ht="12.75" customHeight="1">
      <c r="A212" s="34" t="s">
        <v>39</v>
      </c>
      <c r="B212" s="34" t="s">
        <v>3075</v>
      </c>
      <c r="C212" s="34" t="s">
        <v>3076</v>
      </c>
      <c r="D212" s="34" t="s">
        <v>3077</v>
      </c>
      <c r="E212" s="34" t="s">
        <v>3078</v>
      </c>
      <c r="F212" s="34" t="s">
        <v>3079</v>
      </c>
      <c r="G212" s="34" t="s">
        <v>3080</v>
      </c>
      <c r="H212" s="34" t="s">
        <v>3081</v>
      </c>
      <c r="I212" s="34" t="s">
        <v>3082</v>
      </c>
    </row>
    <row r="213" ht="12.75" customHeight="1">
      <c r="A213" s="34" t="s">
        <v>39</v>
      </c>
      <c r="B213" s="34" t="s">
        <v>3083</v>
      </c>
      <c r="C213" s="34" t="s">
        <v>3084</v>
      </c>
      <c r="D213" s="34" t="s">
        <v>3085</v>
      </c>
      <c r="E213" s="34" t="s">
        <v>3086</v>
      </c>
      <c r="F213" s="34" t="s">
        <v>3087</v>
      </c>
      <c r="G213" s="34" t="s">
        <v>3088</v>
      </c>
      <c r="H213" s="34" t="s">
        <v>3089</v>
      </c>
      <c r="I213" s="34" t="s">
        <v>3090</v>
      </c>
    </row>
    <row r="214" ht="12.75" customHeight="1">
      <c r="A214" s="34" t="s">
        <v>39</v>
      </c>
      <c r="B214" s="34" t="s">
        <v>3091</v>
      </c>
      <c r="C214" s="34" t="s">
        <v>3092</v>
      </c>
      <c r="D214" s="34" t="s">
        <v>3093</v>
      </c>
      <c r="E214" s="34" t="s">
        <v>3094</v>
      </c>
      <c r="F214" s="34" t="s">
        <v>3095</v>
      </c>
      <c r="G214" s="34" t="s">
        <v>3096</v>
      </c>
      <c r="H214" s="34" t="s">
        <v>3097</v>
      </c>
      <c r="I214" s="34" t="s">
        <v>3098</v>
      </c>
    </row>
    <row r="215" ht="12.75" customHeight="1">
      <c r="A215" s="34" t="s">
        <v>39</v>
      </c>
      <c r="B215" s="34" t="s">
        <v>3099</v>
      </c>
      <c r="C215" s="34" t="s">
        <v>3100</v>
      </c>
      <c r="D215" s="34" t="s">
        <v>3101</v>
      </c>
      <c r="E215" s="34" t="s">
        <v>3102</v>
      </c>
      <c r="F215" s="34" t="s">
        <v>3103</v>
      </c>
      <c r="G215" s="34" t="s">
        <v>3104</v>
      </c>
      <c r="H215" s="34" t="s">
        <v>3105</v>
      </c>
      <c r="I215" s="34" t="s">
        <v>3106</v>
      </c>
    </row>
    <row r="216" ht="12.75" customHeight="1">
      <c r="A216" s="34" t="s">
        <v>39</v>
      </c>
      <c r="B216" s="34" t="s">
        <v>3107</v>
      </c>
      <c r="C216" s="34" t="s">
        <v>3108</v>
      </c>
      <c r="D216" s="34" t="s">
        <v>3109</v>
      </c>
      <c r="E216" s="34" t="s">
        <v>3110</v>
      </c>
      <c r="F216" s="34" t="s">
        <v>3111</v>
      </c>
      <c r="G216" s="34" t="s">
        <v>3112</v>
      </c>
      <c r="H216" s="34" t="s">
        <v>3113</v>
      </c>
      <c r="I216" s="34" t="s">
        <v>3114</v>
      </c>
    </row>
    <row r="217" ht="12.75" customHeight="1">
      <c r="A217" s="34" t="s">
        <v>39</v>
      </c>
      <c r="B217" s="34" t="s">
        <v>3115</v>
      </c>
      <c r="C217" s="34" t="s">
        <v>3116</v>
      </c>
      <c r="D217" s="34" t="s">
        <v>3117</v>
      </c>
      <c r="E217" s="34" t="s">
        <v>3118</v>
      </c>
      <c r="F217" s="34" t="s">
        <v>3119</v>
      </c>
      <c r="G217" s="34" t="s">
        <v>3120</v>
      </c>
      <c r="H217" s="34" t="s">
        <v>3121</v>
      </c>
      <c r="I217" s="34" t="s">
        <v>3122</v>
      </c>
    </row>
    <row r="218" ht="12.75" customHeight="1">
      <c r="A218" s="34" t="s">
        <v>39</v>
      </c>
      <c r="B218" s="34" t="s">
        <v>3123</v>
      </c>
      <c r="C218" s="34" t="s">
        <v>3124</v>
      </c>
      <c r="D218" s="34" t="s">
        <v>3125</v>
      </c>
      <c r="E218" s="34" t="s">
        <v>3126</v>
      </c>
      <c r="F218" s="34" t="s">
        <v>3127</v>
      </c>
      <c r="G218" s="34" t="s">
        <v>3128</v>
      </c>
      <c r="H218" s="34" t="s">
        <v>3129</v>
      </c>
      <c r="I218" s="34" t="s">
        <v>3130</v>
      </c>
    </row>
    <row r="219" ht="12.75" customHeight="1">
      <c r="A219" s="34" t="s">
        <v>39</v>
      </c>
      <c r="B219" s="34" t="s">
        <v>3131</v>
      </c>
      <c r="C219" s="34" t="s">
        <v>3132</v>
      </c>
      <c r="D219" s="34" t="s">
        <v>3133</v>
      </c>
      <c r="E219" s="34" t="s">
        <v>3134</v>
      </c>
      <c r="F219" s="34" t="s">
        <v>3135</v>
      </c>
      <c r="G219" s="34" t="s">
        <v>3136</v>
      </c>
      <c r="H219" s="34" t="s">
        <v>3137</v>
      </c>
      <c r="I219" s="34" t="s">
        <v>3138</v>
      </c>
    </row>
    <row r="220" ht="12.75" customHeight="1">
      <c r="A220" s="34" t="s">
        <v>39</v>
      </c>
      <c r="B220" s="34" t="s">
        <v>3139</v>
      </c>
      <c r="C220" s="34" t="s">
        <v>3140</v>
      </c>
      <c r="D220" s="34" t="s">
        <v>3141</v>
      </c>
      <c r="E220" s="34" t="s">
        <v>3142</v>
      </c>
      <c r="F220" s="34" t="s">
        <v>3143</v>
      </c>
      <c r="G220" s="34" t="s">
        <v>3144</v>
      </c>
      <c r="H220" s="34" t="s">
        <v>3145</v>
      </c>
      <c r="I220" s="34" t="s">
        <v>3146</v>
      </c>
    </row>
    <row r="221" ht="12.75" customHeight="1">
      <c r="A221" s="34" t="s">
        <v>39</v>
      </c>
      <c r="B221" s="34" t="s">
        <v>3147</v>
      </c>
      <c r="C221" s="34" t="s">
        <v>3148</v>
      </c>
      <c r="D221" s="34" t="s">
        <v>3149</v>
      </c>
      <c r="E221" s="34" t="s">
        <v>3150</v>
      </c>
      <c r="F221" s="34" t="s">
        <v>3151</v>
      </c>
      <c r="G221" s="34" t="s">
        <v>3152</v>
      </c>
      <c r="H221" s="34" t="s">
        <v>3153</v>
      </c>
      <c r="I221" s="34" t="s">
        <v>3154</v>
      </c>
    </row>
    <row r="222" ht="12.75" customHeight="1">
      <c r="A222" s="34" t="s">
        <v>39</v>
      </c>
      <c r="B222" s="34" t="s">
        <v>3155</v>
      </c>
      <c r="C222" s="34" t="s">
        <v>3156</v>
      </c>
      <c r="D222" s="34" t="s">
        <v>3157</v>
      </c>
      <c r="E222" s="34" t="s">
        <v>3158</v>
      </c>
      <c r="F222" s="34" t="s">
        <v>3159</v>
      </c>
      <c r="G222" s="34" t="s">
        <v>3160</v>
      </c>
      <c r="H222" s="34" t="s">
        <v>3161</v>
      </c>
      <c r="I222" s="34" t="s">
        <v>3162</v>
      </c>
    </row>
    <row r="223" ht="12.75" customHeight="1">
      <c r="A223" s="34" t="s">
        <v>39</v>
      </c>
      <c r="B223" s="34" t="s">
        <v>3163</v>
      </c>
      <c r="C223" s="34" t="s">
        <v>3164</v>
      </c>
      <c r="D223" s="34" t="s">
        <v>3165</v>
      </c>
      <c r="E223" s="34" t="s">
        <v>3166</v>
      </c>
      <c r="F223" s="34" t="s">
        <v>3167</v>
      </c>
      <c r="G223" s="34" t="s">
        <v>3168</v>
      </c>
      <c r="H223" s="34" t="s">
        <v>3169</v>
      </c>
      <c r="I223" s="34" t="s">
        <v>3170</v>
      </c>
    </row>
    <row r="224" ht="12.75" customHeight="1">
      <c r="A224" s="34" t="s">
        <v>39</v>
      </c>
      <c r="B224" s="34" t="s">
        <v>3171</v>
      </c>
      <c r="C224" s="34" t="s">
        <v>3172</v>
      </c>
      <c r="D224" s="34" t="s">
        <v>3173</v>
      </c>
      <c r="E224" s="34" t="s">
        <v>3174</v>
      </c>
      <c r="F224" s="34" t="s">
        <v>3175</v>
      </c>
      <c r="G224" s="34" t="s">
        <v>3176</v>
      </c>
      <c r="H224" s="34" t="s">
        <v>3177</v>
      </c>
      <c r="I224" s="34" t="s">
        <v>3178</v>
      </c>
    </row>
    <row r="225" ht="12.75" customHeight="1">
      <c r="A225" s="34" t="s">
        <v>39</v>
      </c>
      <c r="B225" s="34" t="s">
        <v>3179</v>
      </c>
      <c r="C225" s="34" t="s">
        <v>3180</v>
      </c>
      <c r="D225" s="34" t="s">
        <v>3181</v>
      </c>
      <c r="E225" s="34" t="s">
        <v>3182</v>
      </c>
      <c r="F225" s="34" t="s">
        <v>3183</v>
      </c>
      <c r="G225" s="34" t="s">
        <v>3184</v>
      </c>
      <c r="H225" s="34" t="s">
        <v>3185</v>
      </c>
      <c r="I225" s="34" t="s">
        <v>3186</v>
      </c>
    </row>
    <row r="226" ht="12.75" customHeight="1">
      <c r="A226" s="34" t="s">
        <v>39</v>
      </c>
      <c r="B226" s="34" t="s">
        <v>3187</v>
      </c>
      <c r="C226" s="34" t="s">
        <v>3188</v>
      </c>
      <c r="D226" s="34" t="s">
        <v>3189</v>
      </c>
      <c r="E226" s="34" t="s">
        <v>3190</v>
      </c>
      <c r="F226" s="34" t="s">
        <v>3191</v>
      </c>
      <c r="G226" s="34" t="s">
        <v>3192</v>
      </c>
      <c r="H226" s="34" t="s">
        <v>3193</v>
      </c>
      <c r="I226" s="34" t="s">
        <v>3194</v>
      </c>
    </row>
    <row r="227" ht="12.75" customHeight="1">
      <c r="A227" s="34" t="s">
        <v>39</v>
      </c>
      <c r="B227" s="34" t="s">
        <v>3195</v>
      </c>
      <c r="C227" s="34" t="s">
        <v>3196</v>
      </c>
      <c r="D227" s="34" t="s">
        <v>3197</v>
      </c>
      <c r="E227" s="34" t="s">
        <v>3198</v>
      </c>
      <c r="F227" s="34" t="s">
        <v>3199</v>
      </c>
      <c r="G227" s="34" t="s">
        <v>3200</v>
      </c>
      <c r="H227" s="34" t="s">
        <v>3201</v>
      </c>
      <c r="I227" s="34" t="s">
        <v>3202</v>
      </c>
    </row>
    <row r="228" ht="12.75" customHeight="1">
      <c r="A228" s="34" t="s">
        <v>39</v>
      </c>
      <c r="B228" s="34" t="s">
        <v>3203</v>
      </c>
      <c r="C228" s="34" t="s">
        <v>3204</v>
      </c>
      <c r="D228" s="34" t="s">
        <v>3205</v>
      </c>
      <c r="E228" s="34" t="s">
        <v>3206</v>
      </c>
      <c r="F228" s="34" t="s">
        <v>3207</v>
      </c>
      <c r="G228" s="34" t="s">
        <v>3208</v>
      </c>
      <c r="H228" s="34" t="s">
        <v>3209</v>
      </c>
      <c r="I228" s="34" t="s">
        <v>3210</v>
      </c>
    </row>
    <row r="229" ht="12.75" customHeight="1">
      <c r="A229" s="34" t="s">
        <v>39</v>
      </c>
      <c r="B229" s="34" t="s">
        <v>3211</v>
      </c>
      <c r="C229" s="34" t="s">
        <v>3212</v>
      </c>
      <c r="D229" s="34" t="s">
        <v>3213</v>
      </c>
      <c r="E229" s="34" t="s">
        <v>3214</v>
      </c>
      <c r="F229" s="34" t="s">
        <v>3215</v>
      </c>
      <c r="G229" s="34" t="s">
        <v>3216</v>
      </c>
      <c r="H229" s="34" t="s">
        <v>3217</v>
      </c>
      <c r="I229" s="34" t="s">
        <v>3218</v>
      </c>
    </row>
    <row r="230" ht="12.75" customHeight="1">
      <c r="A230" s="34" t="s">
        <v>39</v>
      </c>
      <c r="B230" s="34" t="s">
        <v>3219</v>
      </c>
      <c r="C230" s="34" t="s">
        <v>3220</v>
      </c>
      <c r="D230" s="34" t="s">
        <v>3221</v>
      </c>
      <c r="E230" s="34" t="s">
        <v>3222</v>
      </c>
      <c r="F230" s="34" t="s">
        <v>3223</v>
      </c>
      <c r="G230" s="34" t="s">
        <v>3224</v>
      </c>
      <c r="H230" s="34" t="s">
        <v>3225</v>
      </c>
      <c r="I230" s="34" t="s">
        <v>3226</v>
      </c>
    </row>
    <row r="231" ht="12.75" customHeight="1">
      <c r="A231" s="34" t="s">
        <v>39</v>
      </c>
      <c r="B231" s="34" t="s">
        <v>3227</v>
      </c>
      <c r="C231" s="34" t="s">
        <v>3228</v>
      </c>
      <c r="D231" s="34" t="s">
        <v>3229</v>
      </c>
      <c r="E231" s="34" t="s">
        <v>3230</v>
      </c>
      <c r="F231" s="34" t="s">
        <v>3231</v>
      </c>
      <c r="G231" s="34" t="s">
        <v>3232</v>
      </c>
      <c r="H231" s="34" t="s">
        <v>3233</v>
      </c>
      <c r="I231" s="34" t="s">
        <v>3234</v>
      </c>
    </row>
    <row r="232" ht="12.75" customHeight="1">
      <c r="A232" s="34" t="s">
        <v>39</v>
      </c>
      <c r="B232" s="34" t="s">
        <v>3235</v>
      </c>
      <c r="C232" s="34" t="s">
        <v>3236</v>
      </c>
      <c r="D232" s="34" t="s">
        <v>3237</v>
      </c>
      <c r="E232" s="34" t="s">
        <v>3238</v>
      </c>
      <c r="F232" s="34" t="s">
        <v>3239</v>
      </c>
      <c r="G232" s="34" t="s">
        <v>3240</v>
      </c>
      <c r="H232" s="34" t="s">
        <v>3241</v>
      </c>
      <c r="I232" s="34" t="s">
        <v>3242</v>
      </c>
    </row>
    <row r="233" ht="12.75" customHeight="1">
      <c r="A233" s="34" t="s">
        <v>39</v>
      </c>
      <c r="B233" s="34" t="s">
        <v>3243</v>
      </c>
      <c r="C233" s="34" t="s">
        <v>3244</v>
      </c>
      <c r="D233" s="34" t="s">
        <v>3245</v>
      </c>
      <c r="E233" s="34" t="s">
        <v>3246</v>
      </c>
      <c r="F233" s="34" t="s">
        <v>3247</v>
      </c>
      <c r="G233" s="34" t="s">
        <v>3248</v>
      </c>
      <c r="H233" s="34" t="s">
        <v>3249</v>
      </c>
      <c r="I233" s="34" t="s">
        <v>3250</v>
      </c>
    </row>
    <row r="234" ht="12.75" customHeight="1">
      <c r="A234" s="34" t="s">
        <v>39</v>
      </c>
      <c r="B234" s="34" t="s">
        <v>3251</v>
      </c>
      <c r="C234" s="34" t="s">
        <v>3252</v>
      </c>
      <c r="D234" s="34" t="s">
        <v>3253</v>
      </c>
      <c r="E234" s="34" t="s">
        <v>3254</v>
      </c>
      <c r="F234" s="34" t="s">
        <v>3255</v>
      </c>
      <c r="G234" s="34" t="s">
        <v>3256</v>
      </c>
      <c r="H234" s="34" t="s">
        <v>3257</v>
      </c>
      <c r="I234" s="34" t="s">
        <v>3258</v>
      </c>
    </row>
    <row r="235" ht="12.75" customHeight="1">
      <c r="A235" s="34" t="s">
        <v>39</v>
      </c>
      <c r="B235" s="34" t="s">
        <v>3259</v>
      </c>
      <c r="C235" s="34" t="s">
        <v>3260</v>
      </c>
      <c r="D235" s="34" t="s">
        <v>3261</v>
      </c>
      <c r="E235" s="34" t="s">
        <v>3262</v>
      </c>
      <c r="F235" s="34" t="s">
        <v>3263</v>
      </c>
      <c r="G235" s="34" t="s">
        <v>3264</v>
      </c>
      <c r="H235" s="34" t="s">
        <v>3265</v>
      </c>
      <c r="I235" s="34" t="s">
        <v>3266</v>
      </c>
    </row>
    <row r="236" ht="12.75" customHeight="1">
      <c r="A236" s="34" t="s">
        <v>39</v>
      </c>
      <c r="B236" s="34" t="s">
        <v>3267</v>
      </c>
      <c r="C236" s="34" t="s">
        <v>3268</v>
      </c>
      <c r="D236" s="34" t="s">
        <v>3269</v>
      </c>
      <c r="E236" s="34" t="s">
        <v>3270</v>
      </c>
      <c r="F236" s="34" t="s">
        <v>3271</v>
      </c>
      <c r="G236" s="34" t="s">
        <v>3272</v>
      </c>
      <c r="H236" s="34" t="s">
        <v>3273</v>
      </c>
      <c r="I236" s="34" t="s">
        <v>3274</v>
      </c>
    </row>
    <row r="237" ht="12.75" customHeight="1">
      <c r="A237" s="34" t="s">
        <v>39</v>
      </c>
      <c r="B237" s="34" t="s">
        <v>3275</v>
      </c>
      <c r="C237" s="34" t="s">
        <v>3276</v>
      </c>
      <c r="D237" s="34" t="s">
        <v>3277</v>
      </c>
      <c r="E237" s="34" t="s">
        <v>3278</v>
      </c>
      <c r="F237" s="34" t="s">
        <v>3279</v>
      </c>
      <c r="G237" s="34" t="s">
        <v>3280</v>
      </c>
      <c r="H237" s="34" t="s">
        <v>3281</v>
      </c>
      <c r="I237" s="34" t="s">
        <v>3282</v>
      </c>
    </row>
    <row r="238" ht="12.75" customHeight="1">
      <c r="A238" s="34" t="s">
        <v>39</v>
      </c>
      <c r="B238" s="34" t="s">
        <v>3283</v>
      </c>
      <c r="C238" s="34" t="s">
        <v>3284</v>
      </c>
      <c r="D238" s="34" t="s">
        <v>3285</v>
      </c>
      <c r="E238" s="34" t="s">
        <v>3286</v>
      </c>
      <c r="F238" s="34" t="s">
        <v>3287</v>
      </c>
      <c r="G238" s="34" t="s">
        <v>3288</v>
      </c>
      <c r="H238" s="34" t="s">
        <v>3289</v>
      </c>
      <c r="I238" s="34" t="s">
        <v>3290</v>
      </c>
    </row>
    <row r="239" ht="12.75" customHeight="1">
      <c r="A239" s="34" t="s">
        <v>39</v>
      </c>
      <c r="B239" s="34" t="s">
        <v>3291</v>
      </c>
      <c r="C239" s="34" t="s">
        <v>3292</v>
      </c>
      <c r="D239" s="34" t="s">
        <v>3293</v>
      </c>
      <c r="E239" s="34" t="s">
        <v>3294</v>
      </c>
      <c r="F239" s="34" t="s">
        <v>3295</v>
      </c>
      <c r="G239" s="34" t="s">
        <v>3296</v>
      </c>
      <c r="H239" s="34" t="s">
        <v>3297</v>
      </c>
      <c r="I239" s="34" t="s">
        <v>3298</v>
      </c>
    </row>
    <row r="240" ht="12.75" customHeight="1">
      <c r="A240" s="34" t="s">
        <v>39</v>
      </c>
      <c r="B240" s="34" t="s">
        <v>3299</v>
      </c>
      <c r="C240" s="34" t="s">
        <v>3300</v>
      </c>
      <c r="D240" s="34" t="s">
        <v>3301</v>
      </c>
      <c r="E240" s="34" t="s">
        <v>3302</v>
      </c>
      <c r="F240" s="34" t="s">
        <v>3303</v>
      </c>
      <c r="G240" s="34" t="s">
        <v>3304</v>
      </c>
      <c r="H240" s="34" t="s">
        <v>3305</v>
      </c>
      <c r="I240" s="34" t="s">
        <v>3306</v>
      </c>
    </row>
    <row r="241" ht="12.75" customHeight="1">
      <c r="A241" s="34" t="s">
        <v>39</v>
      </c>
      <c r="B241" s="34" t="s">
        <v>3307</v>
      </c>
      <c r="C241" s="34" t="s">
        <v>3308</v>
      </c>
      <c r="D241" s="34" t="s">
        <v>3309</v>
      </c>
      <c r="E241" s="34" t="s">
        <v>3310</v>
      </c>
      <c r="F241" s="34" t="s">
        <v>3311</v>
      </c>
      <c r="G241" s="34" t="s">
        <v>3312</v>
      </c>
      <c r="H241" s="34" t="s">
        <v>3313</v>
      </c>
      <c r="I241" s="34" t="s">
        <v>3314</v>
      </c>
    </row>
    <row r="242" ht="12.75" customHeight="1">
      <c r="A242" s="34" t="s">
        <v>39</v>
      </c>
      <c r="B242" s="34" t="s">
        <v>3315</v>
      </c>
      <c r="C242" s="34" t="s">
        <v>3316</v>
      </c>
      <c r="D242" s="34" t="s">
        <v>3317</v>
      </c>
      <c r="E242" s="34" t="s">
        <v>3318</v>
      </c>
      <c r="F242" s="34" t="s">
        <v>3319</v>
      </c>
      <c r="G242" s="34" t="s">
        <v>3320</v>
      </c>
      <c r="H242" s="34" t="s">
        <v>3321</v>
      </c>
      <c r="I242" s="34" t="s">
        <v>3322</v>
      </c>
    </row>
    <row r="243" ht="12.75" customHeight="1">
      <c r="A243" s="34" t="s">
        <v>39</v>
      </c>
      <c r="B243" s="34" t="s">
        <v>3323</v>
      </c>
      <c r="C243" s="34" t="s">
        <v>3324</v>
      </c>
      <c r="D243" s="34" t="s">
        <v>3325</v>
      </c>
      <c r="E243" s="34" t="s">
        <v>3326</v>
      </c>
      <c r="F243" s="34" t="s">
        <v>3327</v>
      </c>
      <c r="G243" s="34" t="s">
        <v>3328</v>
      </c>
      <c r="H243" s="34" t="s">
        <v>3329</v>
      </c>
      <c r="I243" s="34" t="s">
        <v>3330</v>
      </c>
    </row>
    <row r="244" ht="12.75" customHeight="1">
      <c r="A244" s="34" t="s">
        <v>39</v>
      </c>
      <c r="B244" s="34" t="s">
        <v>3331</v>
      </c>
      <c r="C244" s="34" t="s">
        <v>3332</v>
      </c>
      <c r="D244" s="34" t="s">
        <v>3333</v>
      </c>
      <c r="E244" s="34" t="s">
        <v>3334</v>
      </c>
      <c r="F244" s="34" t="s">
        <v>3335</v>
      </c>
      <c r="G244" s="34" t="s">
        <v>3336</v>
      </c>
      <c r="H244" s="34" t="s">
        <v>3337</v>
      </c>
      <c r="I244" s="34" t="s">
        <v>3338</v>
      </c>
    </row>
    <row r="245" ht="12.75" customHeight="1">
      <c r="A245" s="34" t="s">
        <v>39</v>
      </c>
      <c r="B245" s="34" t="s">
        <v>3339</v>
      </c>
      <c r="C245" s="34" t="s">
        <v>3340</v>
      </c>
      <c r="D245" s="34" t="s">
        <v>3341</v>
      </c>
      <c r="E245" s="34" t="s">
        <v>3342</v>
      </c>
      <c r="F245" s="34" t="s">
        <v>3343</v>
      </c>
      <c r="G245" s="34" t="s">
        <v>3344</v>
      </c>
      <c r="H245" s="34" t="s">
        <v>3345</v>
      </c>
      <c r="I245" s="34" t="s">
        <v>3346</v>
      </c>
    </row>
    <row r="246" ht="12.75" customHeight="1">
      <c r="A246" s="34" t="s">
        <v>39</v>
      </c>
      <c r="B246" s="34" t="s">
        <v>3347</v>
      </c>
      <c r="C246" s="34" t="s">
        <v>3348</v>
      </c>
      <c r="D246" s="34" t="s">
        <v>3349</v>
      </c>
      <c r="E246" s="34" t="s">
        <v>3350</v>
      </c>
      <c r="F246" s="34" t="s">
        <v>3351</v>
      </c>
      <c r="G246" s="34" t="s">
        <v>3352</v>
      </c>
      <c r="H246" s="34" t="s">
        <v>3353</v>
      </c>
      <c r="I246" s="34" t="s">
        <v>3354</v>
      </c>
    </row>
    <row r="247" ht="12.75" customHeight="1">
      <c r="A247" s="34" t="s">
        <v>39</v>
      </c>
      <c r="B247" s="34" t="s">
        <v>3355</v>
      </c>
      <c r="C247" s="34" t="s">
        <v>3356</v>
      </c>
      <c r="D247" s="34" t="s">
        <v>3357</v>
      </c>
      <c r="E247" s="34" t="s">
        <v>3358</v>
      </c>
      <c r="F247" s="34" t="s">
        <v>3359</v>
      </c>
      <c r="G247" s="34" t="s">
        <v>3360</v>
      </c>
      <c r="H247" s="34" t="s">
        <v>3361</v>
      </c>
      <c r="I247" s="34" t="s">
        <v>3362</v>
      </c>
    </row>
    <row r="248" ht="12.75" customHeight="1">
      <c r="A248" s="34" t="s">
        <v>39</v>
      </c>
      <c r="B248" s="34" t="s">
        <v>3363</v>
      </c>
      <c r="C248" s="34" t="s">
        <v>3364</v>
      </c>
      <c r="D248" s="34" t="s">
        <v>3365</v>
      </c>
      <c r="E248" s="34" t="s">
        <v>3366</v>
      </c>
      <c r="F248" s="34" t="s">
        <v>3367</v>
      </c>
      <c r="G248" s="34" t="s">
        <v>3368</v>
      </c>
      <c r="H248" s="34" t="s">
        <v>3369</v>
      </c>
      <c r="I248" s="34" t="s">
        <v>3370</v>
      </c>
    </row>
    <row r="249" ht="12.75" customHeight="1">
      <c r="A249" s="34" t="s">
        <v>39</v>
      </c>
      <c r="B249" s="34" t="s">
        <v>3371</v>
      </c>
      <c r="C249" s="34" t="s">
        <v>3372</v>
      </c>
      <c r="D249" s="34" t="s">
        <v>3373</v>
      </c>
      <c r="E249" s="34" t="s">
        <v>3374</v>
      </c>
      <c r="F249" s="34" t="s">
        <v>3375</v>
      </c>
      <c r="G249" s="34" t="s">
        <v>3376</v>
      </c>
      <c r="H249" s="34" t="s">
        <v>3377</v>
      </c>
      <c r="I249" s="34" t="s">
        <v>3378</v>
      </c>
    </row>
    <row r="250" ht="12.75" customHeight="1">
      <c r="A250" s="34" t="s">
        <v>39</v>
      </c>
      <c r="B250" s="34" t="s">
        <v>3379</v>
      </c>
      <c r="C250" s="34" t="s">
        <v>3380</v>
      </c>
      <c r="D250" s="34" t="s">
        <v>3381</v>
      </c>
      <c r="E250" s="34" t="s">
        <v>3382</v>
      </c>
      <c r="F250" s="34" t="s">
        <v>3383</v>
      </c>
      <c r="G250" s="34" t="s">
        <v>3384</v>
      </c>
      <c r="H250" s="34" t="s">
        <v>3385</v>
      </c>
      <c r="I250" s="34" t="s">
        <v>3386</v>
      </c>
    </row>
    <row r="251" ht="12.75" customHeight="1">
      <c r="A251" s="34" t="s">
        <v>39</v>
      </c>
      <c r="B251" s="34" t="s">
        <v>3387</v>
      </c>
      <c r="C251" s="34" t="s">
        <v>3388</v>
      </c>
      <c r="D251" s="34" t="s">
        <v>3389</v>
      </c>
      <c r="E251" s="34" t="s">
        <v>3390</v>
      </c>
      <c r="F251" s="34" t="s">
        <v>3391</v>
      </c>
      <c r="G251" s="34" t="s">
        <v>3392</v>
      </c>
      <c r="H251" s="34" t="s">
        <v>3393</v>
      </c>
      <c r="I251" s="34" t="s">
        <v>3394</v>
      </c>
    </row>
    <row r="252" ht="12.75" customHeight="1">
      <c r="A252" s="34" t="s">
        <v>39</v>
      </c>
      <c r="B252" s="34" t="s">
        <v>3395</v>
      </c>
      <c r="C252" s="34" t="s">
        <v>3396</v>
      </c>
      <c r="D252" s="34" t="s">
        <v>3397</v>
      </c>
      <c r="E252" s="34" t="s">
        <v>3398</v>
      </c>
      <c r="F252" s="34" t="s">
        <v>3399</v>
      </c>
      <c r="G252" s="34" t="s">
        <v>3400</v>
      </c>
      <c r="H252" s="34" t="s">
        <v>3401</v>
      </c>
      <c r="I252" s="34" t="s">
        <v>3402</v>
      </c>
    </row>
    <row r="253" ht="12.75" customHeight="1">
      <c r="A253" s="34" t="s">
        <v>39</v>
      </c>
      <c r="B253" s="34" t="s">
        <v>3403</v>
      </c>
      <c r="C253" s="34" t="s">
        <v>3404</v>
      </c>
      <c r="D253" s="34" t="s">
        <v>3405</v>
      </c>
      <c r="E253" s="34" t="s">
        <v>3406</v>
      </c>
      <c r="F253" s="34" t="s">
        <v>3407</v>
      </c>
      <c r="G253" s="34" t="s">
        <v>3408</v>
      </c>
      <c r="H253" s="34" t="s">
        <v>3409</v>
      </c>
      <c r="I253" s="34" t="s">
        <v>3410</v>
      </c>
    </row>
    <row r="254" ht="12.75" customHeight="1">
      <c r="A254" s="34" t="s">
        <v>39</v>
      </c>
      <c r="B254" s="34" t="s">
        <v>3411</v>
      </c>
      <c r="C254" s="34" t="s">
        <v>3412</v>
      </c>
      <c r="D254" s="34" t="s">
        <v>3413</v>
      </c>
      <c r="E254" s="34" t="s">
        <v>3414</v>
      </c>
      <c r="F254" s="34" t="s">
        <v>3415</v>
      </c>
      <c r="G254" s="34" t="s">
        <v>3416</v>
      </c>
      <c r="H254" s="34" t="s">
        <v>3417</v>
      </c>
      <c r="I254" s="34" t="s">
        <v>3418</v>
      </c>
    </row>
    <row r="255" ht="12.75" customHeight="1">
      <c r="A255" s="34" t="s">
        <v>39</v>
      </c>
      <c r="B255" s="34" t="s">
        <v>3419</v>
      </c>
      <c r="C255" s="34" t="s">
        <v>3420</v>
      </c>
      <c r="D255" s="34" t="s">
        <v>3421</v>
      </c>
      <c r="E255" s="34" t="s">
        <v>3422</v>
      </c>
      <c r="F255" s="34" t="s">
        <v>3423</v>
      </c>
      <c r="G255" s="34" t="s">
        <v>3424</v>
      </c>
      <c r="H255" s="34" t="s">
        <v>3425</v>
      </c>
      <c r="I255" s="34" t="s">
        <v>3426</v>
      </c>
    </row>
    <row r="256" ht="12.75" customHeight="1">
      <c r="A256" s="34" t="s">
        <v>39</v>
      </c>
      <c r="B256" s="34" t="s">
        <v>3427</v>
      </c>
      <c r="C256" s="34" t="s">
        <v>3428</v>
      </c>
      <c r="D256" s="34" t="s">
        <v>3429</v>
      </c>
      <c r="E256" s="34" t="s">
        <v>3430</v>
      </c>
      <c r="F256" s="34" t="s">
        <v>3431</v>
      </c>
      <c r="G256" s="34" t="s">
        <v>3432</v>
      </c>
      <c r="H256" s="34" t="s">
        <v>3433</v>
      </c>
      <c r="I256" s="34" t="s">
        <v>3434</v>
      </c>
    </row>
    <row r="257" ht="12.75" customHeight="1">
      <c r="A257" s="34" t="s">
        <v>39</v>
      </c>
      <c r="B257" s="34" t="s">
        <v>3435</v>
      </c>
      <c r="C257" s="34" t="s">
        <v>3436</v>
      </c>
      <c r="D257" s="34" t="s">
        <v>3437</v>
      </c>
      <c r="E257" s="34" t="s">
        <v>3438</v>
      </c>
      <c r="F257" s="34" t="s">
        <v>3439</v>
      </c>
      <c r="G257" s="34" t="s">
        <v>3440</v>
      </c>
      <c r="H257" s="34" t="s">
        <v>3441</v>
      </c>
      <c r="I257" s="34" t="s">
        <v>3442</v>
      </c>
    </row>
    <row r="258" ht="12.75" customHeight="1">
      <c r="A258" s="34" t="s">
        <v>39</v>
      </c>
      <c r="B258" s="34" t="s">
        <v>3443</v>
      </c>
      <c r="C258" s="34" t="s">
        <v>3444</v>
      </c>
      <c r="D258" s="34" t="s">
        <v>3445</v>
      </c>
      <c r="E258" s="34" t="s">
        <v>3446</v>
      </c>
      <c r="F258" s="34" t="s">
        <v>3447</v>
      </c>
      <c r="G258" s="34" t="s">
        <v>3448</v>
      </c>
      <c r="H258" s="34" t="s">
        <v>3449</v>
      </c>
      <c r="I258" s="34" t="s">
        <v>3450</v>
      </c>
    </row>
    <row r="259" ht="12.75" customHeight="1">
      <c r="A259" s="34" t="s">
        <v>39</v>
      </c>
      <c r="B259" s="34" t="s">
        <v>3451</v>
      </c>
      <c r="C259" s="34" t="s">
        <v>3452</v>
      </c>
      <c r="D259" s="34" t="s">
        <v>3453</v>
      </c>
      <c r="E259" s="34" t="s">
        <v>3454</v>
      </c>
      <c r="F259" s="34" t="s">
        <v>3455</v>
      </c>
      <c r="G259" s="34" t="s">
        <v>3456</v>
      </c>
      <c r="H259" s="34" t="s">
        <v>3457</v>
      </c>
      <c r="I259" s="34" t="s">
        <v>3458</v>
      </c>
    </row>
    <row r="260" ht="12.75" customHeight="1">
      <c r="A260" s="34" t="s">
        <v>39</v>
      </c>
      <c r="B260" s="34" t="s">
        <v>3459</v>
      </c>
      <c r="C260" s="34" t="s">
        <v>3460</v>
      </c>
      <c r="D260" s="34" t="s">
        <v>3461</v>
      </c>
      <c r="E260" s="34" t="s">
        <v>3462</v>
      </c>
      <c r="F260" s="34" t="s">
        <v>3463</v>
      </c>
      <c r="G260" s="34" t="s">
        <v>3464</v>
      </c>
      <c r="H260" s="34" t="s">
        <v>3465</v>
      </c>
      <c r="I260" s="34" t="s">
        <v>3466</v>
      </c>
    </row>
    <row r="261" ht="12.75" customHeight="1">
      <c r="A261" s="34" t="s">
        <v>39</v>
      </c>
      <c r="B261" s="34" t="s">
        <v>3467</v>
      </c>
      <c r="C261" s="34" t="s">
        <v>3468</v>
      </c>
      <c r="D261" s="34" t="s">
        <v>3469</v>
      </c>
      <c r="E261" s="34" t="s">
        <v>3470</v>
      </c>
      <c r="F261" s="34" t="s">
        <v>3471</v>
      </c>
      <c r="G261" s="34" t="s">
        <v>3472</v>
      </c>
      <c r="H261" s="34" t="s">
        <v>3473</v>
      </c>
      <c r="I261" s="34" t="s">
        <v>3474</v>
      </c>
    </row>
    <row r="262" ht="12.75" customHeight="1">
      <c r="A262" s="34" t="s">
        <v>39</v>
      </c>
      <c r="B262" s="34" t="s">
        <v>3475</v>
      </c>
      <c r="C262" s="34" t="s">
        <v>3476</v>
      </c>
      <c r="D262" s="34" t="s">
        <v>3477</v>
      </c>
      <c r="E262" s="34" t="s">
        <v>3478</v>
      </c>
      <c r="F262" s="34" t="s">
        <v>3479</v>
      </c>
      <c r="G262" s="34" t="s">
        <v>3480</v>
      </c>
      <c r="H262" s="34" t="s">
        <v>3481</v>
      </c>
      <c r="I262" s="34" t="s">
        <v>3482</v>
      </c>
    </row>
    <row r="263" ht="12.75" customHeight="1">
      <c r="A263" s="34" t="s">
        <v>39</v>
      </c>
      <c r="B263" s="34" t="s">
        <v>3483</v>
      </c>
      <c r="C263" s="34" t="s">
        <v>3484</v>
      </c>
      <c r="D263" s="34" t="s">
        <v>3485</v>
      </c>
      <c r="E263" s="34" t="s">
        <v>3486</v>
      </c>
      <c r="F263" s="34" t="s">
        <v>3487</v>
      </c>
      <c r="G263" s="34" t="s">
        <v>3488</v>
      </c>
      <c r="H263" s="34" t="s">
        <v>3489</v>
      </c>
      <c r="I263" s="34" t="s">
        <v>3490</v>
      </c>
    </row>
    <row r="264" ht="12.75" customHeight="1">
      <c r="A264" s="34" t="s">
        <v>39</v>
      </c>
      <c r="B264" s="34" t="s">
        <v>3491</v>
      </c>
      <c r="C264" s="34" t="s">
        <v>3492</v>
      </c>
      <c r="D264" s="34" t="s">
        <v>3493</v>
      </c>
      <c r="E264" s="34" t="s">
        <v>3494</v>
      </c>
      <c r="F264" s="34" t="s">
        <v>3495</v>
      </c>
      <c r="G264" s="34" t="s">
        <v>3496</v>
      </c>
      <c r="H264" s="34" t="s">
        <v>3497</v>
      </c>
      <c r="I264" s="34" t="s">
        <v>3498</v>
      </c>
    </row>
    <row r="265" ht="12.75" customHeight="1">
      <c r="A265" s="34" t="s">
        <v>39</v>
      </c>
      <c r="B265" s="34" t="s">
        <v>3499</v>
      </c>
      <c r="C265" s="34" t="s">
        <v>3500</v>
      </c>
      <c r="D265" s="34" t="s">
        <v>3501</v>
      </c>
      <c r="E265" s="34" t="s">
        <v>3502</v>
      </c>
      <c r="F265" s="34" t="s">
        <v>3503</v>
      </c>
      <c r="G265" s="34" t="s">
        <v>3504</v>
      </c>
      <c r="H265" s="34" t="s">
        <v>3505</v>
      </c>
      <c r="I265" s="34" t="s">
        <v>3506</v>
      </c>
    </row>
    <row r="266" ht="12.75" customHeight="1">
      <c r="A266" s="34" t="s">
        <v>39</v>
      </c>
      <c r="B266" s="34" t="s">
        <v>3507</v>
      </c>
      <c r="C266" s="34" t="s">
        <v>3508</v>
      </c>
      <c r="D266" s="34" t="s">
        <v>3509</v>
      </c>
      <c r="E266" s="34" t="s">
        <v>3510</v>
      </c>
      <c r="F266" s="34" t="s">
        <v>3511</v>
      </c>
      <c r="G266" s="34" t="s">
        <v>3512</v>
      </c>
      <c r="H266" s="34" t="s">
        <v>3513</v>
      </c>
      <c r="I266" s="34" t="s">
        <v>3514</v>
      </c>
    </row>
    <row r="267" ht="12.75" customHeight="1">
      <c r="A267" s="34" t="s">
        <v>39</v>
      </c>
      <c r="B267" s="34" t="s">
        <v>3515</v>
      </c>
      <c r="C267" s="34" t="s">
        <v>3516</v>
      </c>
      <c r="D267" s="34" t="s">
        <v>3517</v>
      </c>
      <c r="E267" s="34" t="s">
        <v>3518</v>
      </c>
      <c r="F267" s="34" t="s">
        <v>3519</v>
      </c>
      <c r="G267" s="34" t="s">
        <v>3520</v>
      </c>
      <c r="H267" s="34" t="s">
        <v>3521</v>
      </c>
      <c r="I267" s="34" t="s">
        <v>3522</v>
      </c>
    </row>
    <row r="268" ht="12.75" customHeight="1">
      <c r="A268" s="34" t="s">
        <v>39</v>
      </c>
      <c r="B268" s="34" t="s">
        <v>3523</v>
      </c>
      <c r="C268" s="34" t="s">
        <v>3524</v>
      </c>
      <c r="D268" s="34" t="s">
        <v>3525</v>
      </c>
      <c r="E268" s="34" t="s">
        <v>3526</v>
      </c>
      <c r="F268" s="34" t="s">
        <v>3527</v>
      </c>
      <c r="G268" s="34" t="s">
        <v>3528</v>
      </c>
      <c r="H268" s="34" t="s">
        <v>3529</v>
      </c>
      <c r="I268" s="34" t="s">
        <v>3530</v>
      </c>
    </row>
    <row r="269" ht="12.75" customHeight="1">
      <c r="A269" s="34" t="s">
        <v>39</v>
      </c>
      <c r="B269" s="34" t="s">
        <v>3531</v>
      </c>
      <c r="C269" s="34" t="s">
        <v>3532</v>
      </c>
      <c r="D269" s="34" t="s">
        <v>3533</v>
      </c>
      <c r="E269" s="34" t="s">
        <v>3534</v>
      </c>
      <c r="F269" s="34" t="s">
        <v>3535</v>
      </c>
      <c r="G269" s="34" t="s">
        <v>3536</v>
      </c>
      <c r="H269" s="34" t="s">
        <v>3537</v>
      </c>
      <c r="I269" s="34" t="s">
        <v>3538</v>
      </c>
    </row>
    <row r="270" ht="12.75" customHeight="1">
      <c r="A270" s="34" t="s">
        <v>39</v>
      </c>
      <c r="B270" s="34" t="s">
        <v>3539</v>
      </c>
      <c r="C270" s="34" t="s">
        <v>3540</v>
      </c>
      <c r="D270" s="34" t="s">
        <v>3541</v>
      </c>
      <c r="E270" s="34" t="s">
        <v>3542</v>
      </c>
      <c r="F270" s="34" t="s">
        <v>3543</v>
      </c>
      <c r="G270" s="34" t="s">
        <v>3544</v>
      </c>
      <c r="H270" s="34" t="s">
        <v>3545</v>
      </c>
      <c r="I270" s="34" t="s">
        <v>3546</v>
      </c>
    </row>
    <row r="271" ht="12.75" customHeight="1">
      <c r="A271" s="34" t="s">
        <v>39</v>
      </c>
      <c r="B271" s="34" t="s">
        <v>3547</v>
      </c>
      <c r="C271" s="34" t="s">
        <v>3548</v>
      </c>
      <c r="D271" s="34" t="s">
        <v>3549</v>
      </c>
      <c r="E271" s="34" t="s">
        <v>3550</v>
      </c>
      <c r="F271" s="34" t="s">
        <v>3551</v>
      </c>
      <c r="G271" s="34" t="s">
        <v>3552</v>
      </c>
      <c r="H271" s="34" t="s">
        <v>3553</v>
      </c>
      <c r="I271" s="34" t="s">
        <v>3554</v>
      </c>
    </row>
    <row r="272" ht="12.75" customHeight="1">
      <c r="A272" s="34" t="s">
        <v>39</v>
      </c>
      <c r="B272" s="34" t="s">
        <v>3555</v>
      </c>
      <c r="C272" s="34" t="s">
        <v>3556</v>
      </c>
      <c r="D272" s="34" t="s">
        <v>3557</v>
      </c>
      <c r="E272" s="34" t="s">
        <v>3558</v>
      </c>
      <c r="F272" s="34" t="s">
        <v>3559</v>
      </c>
      <c r="G272" s="34" t="s">
        <v>3560</v>
      </c>
      <c r="H272" s="34" t="s">
        <v>3561</v>
      </c>
      <c r="I272" s="34" t="s">
        <v>3562</v>
      </c>
    </row>
    <row r="273" ht="12.75" customHeight="1">
      <c r="A273" s="34" t="s">
        <v>39</v>
      </c>
      <c r="B273" s="34" t="s">
        <v>3563</v>
      </c>
      <c r="C273" s="34" t="s">
        <v>3564</v>
      </c>
      <c r="D273" s="34" t="s">
        <v>3565</v>
      </c>
      <c r="E273" s="34" t="s">
        <v>3566</v>
      </c>
      <c r="F273" s="34" t="s">
        <v>3567</v>
      </c>
      <c r="G273" s="34" t="s">
        <v>3568</v>
      </c>
      <c r="H273" s="34" t="s">
        <v>3569</v>
      </c>
      <c r="I273" s="34" t="s">
        <v>3570</v>
      </c>
    </row>
    <row r="274" ht="12.75" customHeight="1">
      <c r="A274" s="34" t="s">
        <v>39</v>
      </c>
      <c r="B274" s="34" t="s">
        <v>3571</v>
      </c>
      <c r="C274" s="34" t="s">
        <v>3572</v>
      </c>
      <c r="D274" s="34" t="s">
        <v>3573</v>
      </c>
      <c r="E274" s="34" t="s">
        <v>3574</v>
      </c>
      <c r="F274" s="34" t="s">
        <v>3575</v>
      </c>
      <c r="G274" s="34" t="s">
        <v>3576</v>
      </c>
      <c r="H274" s="34" t="s">
        <v>3577</v>
      </c>
      <c r="I274" s="34" t="s">
        <v>3578</v>
      </c>
    </row>
    <row r="275" ht="12.75" customHeight="1">
      <c r="A275" s="34" t="s">
        <v>39</v>
      </c>
      <c r="B275" s="34" t="s">
        <v>3579</v>
      </c>
      <c r="C275" s="34" t="s">
        <v>3580</v>
      </c>
      <c r="D275" s="34" t="s">
        <v>3581</v>
      </c>
      <c r="E275" s="34" t="s">
        <v>3582</v>
      </c>
      <c r="F275" s="34" t="s">
        <v>3583</v>
      </c>
      <c r="G275" s="34" t="s">
        <v>3584</v>
      </c>
      <c r="H275" s="34" t="s">
        <v>3585</v>
      </c>
      <c r="I275" s="34" t="s">
        <v>3586</v>
      </c>
    </row>
    <row r="276" ht="12.75" customHeight="1">
      <c r="A276" s="34" t="s">
        <v>39</v>
      </c>
      <c r="B276" s="34" t="s">
        <v>3587</v>
      </c>
      <c r="C276" s="34" t="s">
        <v>3588</v>
      </c>
      <c r="D276" s="34" t="s">
        <v>3589</v>
      </c>
      <c r="E276" s="34" t="s">
        <v>3590</v>
      </c>
      <c r="F276" s="34" t="s">
        <v>3591</v>
      </c>
      <c r="G276" s="34" t="s">
        <v>3592</v>
      </c>
      <c r="H276" s="34" t="s">
        <v>3593</v>
      </c>
      <c r="I276" s="34" t="s">
        <v>3594</v>
      </c>
    </row>
    <row r="277" ht="12.75" customHeight="1">
      <c r="A277" s="34" t="s">
        <v>39</v>
      </c>
      <c r="B277" s="34" t="s">
        <v>3595</v>
      </c>
      <c r="C277" s="34" t="s">
        <v>3596</v>
      </c>
      <c r="D277" s="34" t="s">
        <v>3597</v>
      </c>
      <c r="E277" s="34" t="s">
        <v>3598</v>
      </c>
      <c r="F277" s="34" t="s">
        <v>3599</v>
      </c>
      <c r="G277" s="34" t="s">
        <v>3600</v>
      </c>
      <c r="H277" s="34" t="s">
        <v>3601</v>
      </c>
      <c r="I277" s="34" t="s">
        <v>3602</v>
      </c>
    </row>
    <row r="278" ht="12.75" customHeight="1">
      <c r="A278" s="34" t="s">
        <v>39</v>
      </c>
      <c r="B278" s="34" t="s">
        <v>3603</v>
      </c>
      <c r="C278" s="34" t="s">
        <v>3604</v>
      </c>
      <c r="D278" s="34" t="s">
        <v>3605</v>
      </c>
      <c r="E278" s="34" t="s">
        <v>3606</v>
      </c>
      <c r="F278" s="34" t="s">
        <v>3607</v>
      </c>
      <c r="G278" s="34" t="s">
        <v>3608</v>
      </c>
      <c r="H278" s="34" t="s">
        <v>3609</v>
      </c>
      <c r="I278" s="34" t="s">
        <v>3610</v>
      </c>
    </row>
    <row r="279" ht="12.75" customHeight="1">
      <c r="A279" s="34" t="s">
        <v>39</v>
      </c>
      <c r="B279" s="34" t="s">
        <v>3611</v>
      </c>
      <c r="C279" s="34" t="s">
        <v>3612</v>
      </c>
      <c r="D279" s="34" t="s">
        <v>3613</v>
      </c>
      <c r="E279" s="34" t="s">
        <v>3614</v>
      </c>
      <c r="F279" s="34" t="s">
        <v>3615</v>
      </c>
      <c r="G279" s="34" t="s">
        <v>3616</v>
      </c>
      <c r="H279" s="34" t="s">
        <v>3617</v>
      </c>
      <c r="I279" s="34" t="s">
        <v>3618</v>
      </c>
    </row>
    <row r="280" ht="12.75" customHeight="1">
      <c r="A280" s="34" t="s">
        <v>39</v>
      </c>
      <c r="B280" s="34" t="s">
        <v>3619</v>
      </c>
      <c r="C280" s="34" t="s">
        <v>3620</v>
      </c>
      <c r="D280" s="34" t="s">
        <v>3621</v>
      </c>
      <c r="E280" s="34" t="s">
        <v>3622</v>
      </c>
      <c r="F280" s="34" t="s">
        <v>3623</v>
      </c>
      <c r="G280" s="34" t="s">
        <v>3624</v>
      </c>
      <c r="H280" s="34" t="s">
        <v>3625</v>
      </c>
      <c r="I280" s="34" t="s">
        <v>3626</v>
      </c>
    </row>
    <row r="281" ht="12.75" customHeight="1">
      <c r="A281" s="34" t="s">
        <v>39</v>
      </c>
      <c r="B281" s="34" t="s">
        <v>3627</v>
      </c>
      <c r="C281" s="34" t="s">
        <v>3628</v>
      </c>
      <c r="D281" s="34" t="s">
        <v>3629</v>
      </c>
      <c r="E281" s="34" t="s">
        <v>3630</v>
      </c>
      <c r="F281" s="34" t="s">
        <v>3631</v>
      </c>
      <c r="G281" s="34" t="s">
        <v>3632</v>
      </c>
      <c r="H281" s="34" t="s">
        <v>3633</v>
      </c>
      <c r="I281" s="34" t="s">
        <v>3634</v>
      </c>
    </row>
    <row r="282" ht="12.75" customHeight="1">
      <c r="A282" s="34" t="s">
        <v>39</v>
      </c>
      <c r="B282" s="34" t="s">
        <v>3635</v>
      </c>
      <c r="C282" s="34" t="s">
        <v>3636</v>
      </c>
      <c r="D282" s="34" t="s">
        <v>3637</v>
      </c>
      <c r="E282" s="34" t="s">
        <v>3638</v>
      </c>
      <c r="F282" s="34" t="s">
        <v>3639</v>
      </c>
      <c r="G282" s="34" t="s">
        <v>3640</v>
      </c>
      <c r="H282" s="34" t="s">
        <v>3641</v>
      </c>
      <c r="I282" s="34" t="s">
        <v>3642</v>
      </c>
    </row>
    <row r="283" ht="12.75" customHeight="1">
      <c r="A283" s="34" t="s">
        <v>39</v>
      </c>
      <c r="B283" s="34" t="s">
        <v>3643</v>
      </c>
      <c r="C283" s="34" t="s">
        <v>3644</v>
      </c>
      <c r="D283" s="34" t="s">
        <v>3645</v>
      </c>
      <c r="E283" s="34" t="s">
        <v>3646</v>
      </c>
      <c r="F283" s="34" t="s">
        <v>3647</v>
      </c>
      <c r="G283" s="34" t="s">
        <v>3648</v>
      </c>
      <c r="H283" s="34" t="s">
        <v>3649</v>
      </c>
      <c r="I283" s="34" t="s">
        <v>3650</v>
      </c>
    </row>
    <row r="284" ht="12.75" customHeight="1">
      <c r="A284" s="34" t="s">
        <v>39</v>
      </c>
      <c r="B284" s="34" t="s">
        <v>3651</v>
      </c>
      <c r="C284" s="34" t="s">
        <v>3652</v>
      </c>
      <c r="D284" s="34" t="s">
        <v>3653</v>
      </c>
      <c r="E284" s="34" t="s">
        <v>3654</v>
      </c>
      <c r="F284" s="34" t="s">
        <v>3655</v>
      </c>
      <c r="G284" s="34" t="s">
        <v>3656</v>
      </c>
      <c r="H284" s="34" t="s">
        <v>3657</v>
      </c>
      <c r="I284" s="34" t="s">
        <v>3658</v>
      </c>
    </row>
    <row r="285" ht="12.75" customHeight="1">
      <c r="A285" s="34" t="s">
        <v>39</v>
      </c>
      <c r="B285" s="34" t="s">
        <v>3659</v>
      </c>
      <c r="C285" s="34" t="s">
        <v>3660</v>
      </c>
      <c r="D285" s="34" t="s">
        <v>3661</v>
      </c>
      <c r="E285" s="34" t="s">
        <v>3662</v>
      </c>
      <c r="F285" s="34" t="s">
        <v>3663</v>
      </c>
      <c r="G285" s="34" t="s">
        <v>3664</v>
      </c>
      <c r="H285" s="34" t="s">
        <v>3665</v>
      </c>
      <c r="I285" s="34" t="s">
        <v>3666</v>
      </c>
    </row>
    <row r="286" ht="12.75" customHeight="1">
      <c r="A286" s="34" t="s">
        <v>39</v>
      </c>
      <c r="B286" s="34" t="s">
        <v>3667</v>
      </c>
      <c r="C286" s="34" t="s">
        <v>3668</v>
      </c>
      <c r="D286" s="34" t="s">
        <v>3669</v>
      </c>
      <c r="E286" s="34" t="s">
        <v>3670</v>
      </c>
      <c r="F286" s="34" t="s">
        <v>3671</v>
      </c>
      <c r="G286" s="34" t="s">
        <v>3672</v>
      </c>
      <c r="H286" s="34" t="s">
        <v>3673</v>
      </c>
      <c r="I286" s="34" t="s">
        <v>3674</v>
      </c>
    </row>
    <row r="287" ht="12.75" customHeight="1">
      <c r="A287" s="34" t="s">
        <v>39</v>
      </c>
      <c r="B287" s="34" t="s">
        <v>3675</v>
      </c>
      <c r="C287" s="34" t="s">
        <v>3676</v>
      </c>
      <c r="D287" s="34" t="s">
        <v>3677</v>
      </c>
      <c r="E287" s="34" t="s">
        <v>3678</v>
      </c>
      <c r="F287" s="34" t="s">
        <v>3679</v>
      </c>
      <c r="G287" s="34" t="s">
        <v>3680</v>
      </c>
      <c r="H287" s="34" t="s">
        <v>3681</v>
      </c>
      <c r="I287" s="34" t="s">
        <v>3682</v>
      </c>
    </row>
    <row r="288" ht="12.75" customHeight="1">
      <c r="A288" s="34" t="s">
        <v>39</v>
      </c>
      <c r="B288" s="34" t="s">
        <v>3683</v>
      </c>
      <c r="C288" s="34" t="s">
        <v>3684</v>
      </c>
      <c r="D288" s="34" t="s">
        <v>3685</v>
      </c>
      <c r="E288" s="34" t="s">
        <v>3686</v>
      </c>
      <c r="F288" s="34" t="s">
        <v>3687</v>
      </c>
      <c r="G288" s="34" t="s">
        <v>3688</v>
      </c>
      <c r="H288" s="34" t="s">
        <v>3689</v>
      </c>
      <c r="I288" s="34" t="s">
        <v>3690</v>
      </c>
    </row>
    <row r="289" ht="12.75" customHeight="1">
      <c r="A289" s="34" t="s">
        <v>39</v>
      </c>
      <c r="B289" s="34" t="s">
        <v>3691</v>
      </c>
      <c r="C289" s="34" t="s">
        <v>3692</v>
      </c>
      <c r="D289" s="34" t="s">
        <v>3693</v>
      </c>
      <c r="E289" s="34" t="s">
        <v>3694</v>
      </c>
      <c r="F289" s="34" t="s">
        <v>3695</v>
      </c>
      <c r="G289" s="34" t="s">
        <v>3696</v>
      </c>
      <c r="H289" s="34" t="s">
        <v>3697</v>
      </c>
      <c r="I289" s="34" t="s">
        <v>3698</v>
      </c>
    </row>
    <row r="290" ht="12.75" customHeight="1">
      <c r="A290" s="34" t="s">
        <v>39</v>
      </c>
      <c r="B290" s="34" t="s">
        <v>3699</v>
      </c>
      <c r="C290" s="34" t="s">
        <v>3700</v>
      </c>
      <c r="D290" s="34" t="s">
        <v>3701</v>
      </c>
      <c r="E290" s="34" t="s">
        <v>3702</v>
      </c>
      <c r="F290" s="34" t="s">
        <v>3703</v>
      </c>
      <c r="G290" s="34" t="s">
        <v>3704</v>
      </c>
      <c r="H290" s="34" t="s">
        <v>3705</v>
      </c>
      <c r="I290" s="34" t="s">
        <v>3706</v>
      </c>
    </row>
    <row r="291" ht="12.75" customHeight="1">
      <c r="A291" s="34" t="s">
        <v>39</v>
      </c>
      <c r="B291" s="34" t="s">
        <v>3707</v>
      </c>
      <c r="C291" s="34" t="s">
        <v>3708</v>
      </c>
      <c r="D291" s="34" t="s">
        <v>3709</v>
      </c>
      <c r="E291" s="34" t="s">
        <v>3710</v>
      </c>
      <c r="F291" s="34" t="s">
        <v>3711</v>
      </c>
      <c r="G291" s="34" t="s">
        <v>3712</v>
      </c>
      <c r="H291" s="34" t="s">
        <v>3713</v>
      </c>
      <c r="I291" s="34" t="s">
        <v>3714</v>
      </c>
    </row>
    <row r="292" ht="12.75" customHeight="1">
      <c r="A292" s="34" t="s">
        <v>39</v>
      </c>
      <c r="B292" s="34" t="s">
        <v>3715</v>
      </c>
      <c r="C292" s="34" t="s">
        <v>3716</v>
      </c>
      <c r="D292" s="34" t="s">
        <v>3717</v>
      </c>
      <c r="E292" s="34" t="s">
        <v>3718</v>
      </c>
      <c r="F292" s="34" t="s">
        <v>3719</v>
      </c>
      <c r="G292" s="34" t="s">
        <v>3720</v>
      </c>
      <c r="H292" s="34" t="s">
        <v>3721</v>
      </c>
      <c r="I292" s="34" t="s">
        <v>3722</v>
      </c>
    </row>
    <row r="293" ht="12.75" customHeight="1">
      <c r="A293" s="34" t="s">
        <v>39</v>
      </c>
      <c r="B293" s="34" t="s">
        <v>3723</v>
      </c>
      <c r="C293" s="34" t="s">
        <v>3724</v>
      </c>
      <c r="D293" s="34" t="s">
        <v>3725</v>
      </c>
      <c r="E293" s="34" t="s">
        <v>3726</v>
      </c>
      <c r="F293" s="34" t="s">
        <v>3727</v>
      </c>
      <c r="G293" s="34" t="s">
        <v>3728</v>
      </c>
      <c r="H293" s="34" t="s">
        <v>3729</v>
      </c>
      <c r="I293" s="34" t="s">
        <v>3730</v>
      </c>
    </row>
    <row r="294" ht="12.75" customHeight="1">
      <c r="A294" s="34" t="s">
        <v>39</v>
      </c>
      <c r="B294" s="34" t="s">
        <v>3731</v>
      </c>
      <c r="C294" s="34" t="s">
        <v>3732</v>
      </c>
      <c r="D294" s="34" t="s">
        <v>3733</v>
      </c>
      <c r="E294" s="34" t="s">
        <v>3734</v>
      </c>
      <c r="F294" s="34" t="s">
        <v>3735</v>
      </c>
      <c r="G294" s="34" t="s">
        <v>3736</v>
      </c>
      <c r="H294" s="34" t="s">
        <v>3737</v>
      </c>
      <c r="I294" s="34" t="s">
        <v>3738</v>
      </c>
    </row>
    <row r="295" ht="12.75" customHeight="1">
      <c r="A295" s="34" t="s">
        <v>39</v>
      </c>
      <c r="B295" s="34" t="s">
        <v>3739</v>
      </c>
      <c r="C295" s="34" t="s">
        <v>3740</v>
      </c>
      <c r="D295" s="34" t="s">
        <v>3741</v>
      </c>
      <c r="E295" s="34" t="s">
        <v>3742</v>
      </c>
      <c r="F295" s="34" t="s">
        <v>3743</v>
      </c>
      <c r="G295" s="34" t="s">
        <v>3744</v>
      </c>
      <c r="H295" s="34" t="s">
        <v>3745</v>
      </c>
      <c r="I295" s="34" t="s">
        <v>3746</v>
      </c>
    </row>
    <row r="296" ht="12.75" customHeight="1">
      <c r="A296" s="34" t="s">
        <v>39</v>
      </c>
      <c r="B296" s="34" t="s">
        <v>3747</v>
      </c>
      <c r="C296" s="34" t="s">
        <v>3748</v>
      </c>
      <c r="D296" s="34" t="s">
        <v>3749</v>
      </c>
      <c r="E296" s="34" t="s">
        <v>3750</v>
      </c>
      <c r="F296" s="34" t="s">
        <v>3751</v>
      </c>
      <c r="G296" s="34" t="s">
        <v>3752</v>
      </c>
      <c r="H296" s="34" t="s">
        <v>3753</v>
      </c>
      <c r="I296" s="34" t="s">
        <v>3754</v>
      </c>
    </row>
    <row r="297" ht="12.75" customHeight="1">
      <c r="A297" s="34" t="s">
        <v>39</v>
      </c>
      <c r="B297" s="34" t="s">
        <v>3755</v>
      </c>
      <c r="C297" s="34" t="s">
        <v>3756</v>
      </c>
      <c r="D297" s="34" t="s">
        <v>3757</v>
      </c>
      <c r="E297" s="34" t="s">
        <v>3758</v>
      </c>
      <c r="F297" s="34" t="s">
        <v>3759</v>
      </c>
      <c r="G297" s="34" t="s">
        <v>3760</v>
      </c>
      <c r="H297" s="34" t="s">
        <v>3761</v>
      </c>
      <c r="I297" s="34" t="s">
        <v>3762</v>
      </c>
    </row>
    <row r="298" ht="12.75" customHeight="1">
      <c r="A298" s="34" t="s">
        <v>39</v>
      </c>
      <c r="B298" s="34" t="s">
        <v>3763</v>
      </c>
      <c r="C298" s="34" t="s">
        <v>3764</v>
      </c>
      <c r="D298" s="34" t="s">
        <v>3765</v>
      </c>
      <c r="E298" s="34" t="s">
        <v>3766</v>
      </c>
      <c r="F298" s="34" t="s">
        <v>3767</v>
      </c>
      <c r="G298" s="34" t="s">
        <v>3768</v>
      </c>
      <c r="H298" s="34" t="s">
        <v>3769</v>
      </c>
      <c r="I298" s="34" t="s">
        <v>3770</v>
      </c>
    </row>
    <row r="299" ht="12.75" customHeight="1">
      <c r="A299" s="34" t="s">
        <v>39</v>
      </c>
      <c r="B299" s="34" t="s">
        <v>3771</v>
      </c>
      <c r="C299" s="34" t="s">
        <v>3772</v>
      </c>
      <c r="D299" s="34" t="s">
        <v>3773</v>
      </c>
      <c r="E299" s="34" t="s">
        <v>3774</v>
      </c>
      <c r="F299" s="34" t="s">
        <v>3775</v>
      </c>
      <c r="G299" s="34" t="s">
        <v>3776</v>
      </c>
      <c r="H299" s="34" t="s">
        <v>3777</v>
      </c>
      <c r="I299" s="34" t="s">
        <v>3778</v>
      </c>
    </row>
    <row r="300" ht="12.75" customHeight="1">
      <c r="A300" s="34" t="s">
        <v>39</v>
      </c>
      <c r="B300" s="34" t="s">
        <v>3779</v>
      </c>
      <c r="C300" s="34" t="s">
        <v>3780</v>
      </c>
      <c r="D300" s="34" t="s">
        <v>3781</v>
      </c>
      <c r="E300" s="34" t="s">
        <v>3782</v>
      </c>
      <c r="F300" s="34" t="s">
        <v>3783</v>
      </c>
      <c r="G300" s="34" t="s">
        <v>3784</v>
      </c>
      <c r="H300" s="34" t="s">
        <v>3785</v>
      </c>
      <c r="I300" s="34" t="s">
        <v>3786</v>
      </c>
    </row>
    <row r="301" ht="12.75" customHeight="1">
      <c r="A301" s="34" t="s">
        <v>39</v>
      </c>
      <c r="B301" s="34" t="s">
        <v>3787</v>
      </c>
      <c r="C301" s="34" t="s">
        <v>3788</v>
      </c>
      <c r="D301" s="34" t="s">
        <v>3789</v>
      </c>
      <c r="E301" s="34" t="s">
        <v>3790</v>
      </c>
      <c r="F301" s="34" t="s">
        <v>3791</v>
      </c>
      <c r="G301" s="34" t="s">
        <v>3792</v>
      </c>
      <c r="H301" s="34" t="s">
        <v>3793</v>
      </c>
      <c r="I301" s="34" t="s">
        <v>3794</v>
      </c>
    </row>
    <row r="302" ht="12.75" customHeight="1">
      <c r="A302" s="34" t="s">
        <v>39</v>
      </c>
      <c r="B302" s="34" t="s">
        <v>3795</v>
      </c>
      <c r="C302" s="34" t="s">
        <v>3796</v>
      </c>
      <c r="D302" s="34" t="s">
        <v>3797</v>
      </c>
      <c r="E302" s="34" t="s">
        <v>3798</v>
      </c>
      <c r="F302" s="34" t="s">
        <v>3799</v>
      </c>
      <c r="G302" s="34" t="s">
        <v>3800</v>
      </c>
      <c r="H302" s="34" t="s">
        <v>3801</v>
      </c>
      <c r="I302" s="34" t="s">
        <v>3802</v>
      </c>
    </row>
    <row r="303" ht="12.75" customHeight="1">
      <c r="A303" s="34" t="s">
        <v>39</v>
      </c>
      <c r="B303" s="34" t="s">
        <v>3803</v>
      </c>
      <c r="C303" s="34" t="s">
        <v>3804</v>
      </c>
      <c r="D303" s="34" t="s">
        <v>3805</v>
      </c>
      <c r="E303" s="34" t="s">
        <v>3806</v>
      </c>
      <c r="F303" s="34" t="s">
        <v>3807</v>
      </c>
      <c r="G303" s="34" t="s">
        <v>3808</v>
      </c>
      <c r="H303" s="34" t="s">
        <v>3809</v>
      </c>
      <c r="I303" s="34" t="s">
        <v>3810</v>
      </c>
    </row>
    <row r="304" ht="12.75" customHeight="1">
      <c r="A304" s="34" t="s">
        <v>39</v>
      </c>
      <c r="B304" s="34" t="s">
        <v>3811</v>
      </c>
      <c r="C304" s="34" t="s">
        <v>3812</v>
      </c>
      <c r="D304" s="34" t="s">
        <v>3813</v>
      </c>
      <c r="E304" s="34" t="s">
        <v>3814</v>
      </c>
      <c r="F304" s="34" t="s">
        <v>3815</v>
      </c>
      <c r="G304" s="34" t="s">
        <v>3816</v>
      </c>
      <c r="H304" s="34" t="s">
        <v>3817</v>
      </c>
      <c r="I304" s="34" t="s">
        <v>3818</v>
      </c>
    </row>
    <row r="305" ht="12.75" customHeight="1">
      <c r="A305" s="34" t="s">
        <v>39</v>
      </c>
      <c r="B305" s="34" t="s">
        <v>3819</v>
      </c>
      <c r="C305" s="34" t="s">
        <v>3820</v>
      </c>
      <c r="D305" s="34" t="s">
        <v>3821</v>
      </c>
      <c r="E305" s="34" t="s">
        <v>3822</v>
      </c>
      <c r="F305" s="34" t="s">
        <v>3823</v>
      </c>
      <c r="G305" s="34" t="s">
        <v>3824</v>
      </c>
      <c r="H305" s="34" t="s">
        <v>3825</v>
      </c>
      <c r="I305" s="34" t="s">
        <v>3826</v>
      </c>
    </row>
    <row r="306" ht="12.75" customHeight="1">
      <c r="A306" s="34" t="s">
        <v>39</v>
      </c>
      <c r="B306" s="34" t="s">
        <v>3827</v>
      </c>
      <c r="C306" s="34" t="s">
        <v>3828</v>
      </c>
      <c r="D306" s="34" t="s">
        <v>3829</v>
      </c>
      <c r="E306" s="34" t="s">
        <v>3830</v>
      </c>
      <c r="F306" s="34" t="s">
        <v>3831</v>
      </c>
      <c r="G306" s="34" t="s">
        <v>3832</v>
      </c>
      <c r="H306" s="34" t="s">
        <v>3833</v>
      </c>
      <c r="I306" s="34" t="s">
        <v>3834</v>
      </c>
    </row>
    <row r="307" ht="12.75" customHeight="1">
      <c r="A307" s="34" t="s">
        <v>39</v>
      </c>
      <c r="B307" s="34" t="s">
        <v>3835</v>
      </c>
      <c r="C307" s="34" t="s">
        <v>3836</v>
      </c>
      <c r="D307" s="34" t="s">
        <v>3837</v>
      </c>
      <c r="E307" s="34" t="s">
        <v>3838</v>
      </c>
      <c r="F307" s="34" t="s">
        <v>3839</v>
      </c>
      <c r="G307" s="34" t="s">
        <v>3840</v>
      </c>
      <c r="H307" s="34" t="s">
        <v>3841</v>
      </c>
      <c r="I307" s="34" t="s">
        <v>3842</v>
      </c>
    </row>
    <row r="308" ht="12.75" customHeight="1">
      <c r="A308" s="34" t="s">
        <v>39</v>
      </c>
      <c r="B308" s="34" t="s">
        <v>3843</v>
      </c>
      <c r="C308" s="34" t="s">
        <v>3844</v>
      </c>
      <c r="D308" s="34" t="s">
        <v>3845</v>
      </c>
      <c r="E308" s="34" t="s">
        <v>3846</v>
      </c>
      <c r="F308" s="34" t="s">
        <v>3847</v>
      </c>
      <c r="G308" s="34" t="s">
        <v>3848</v>
      </c>
      <c r="H308" s="34" t="s">
        <v>3849</v>
      </c>
      <c r="I308" s="34" t="s">
        <v>3850</v>
      </c>
    </row>
    <row r="309" ht="12.75" customHeight="1">
      <c r="A309" s="34" t="s">
        <v>39</v>
      </c>
      <c r="B309" s="34" t="s">
        <v>3851</v>
      </c>
      <c r="C309" s="34" t="s">
        <v>3852</v>
      </c>
      <c r="D309" s="34" t="s">
        <v>3853</v>
      </c>
      <c r="E309" s="34" t="s">
        <v>3854</v>
      </c>
      <c r="F309" s="34" t="s">
        <v>3855</v>
      </c>
      <c r="G309" s="34" t="s">
        <v>3856</v>
      </c>
      <c r="H309" s="34" t="s">
        <v>3857</v>
      </c>
      <c r="I309" s="34" t="s">
        <v>3858</v>
      </c>
    </row>
    <row r="310" ht="12.75" customHeight="1">
      <c r="A310" s="34" t="s">
        <v>39</v>
      </c>
      <c r="B310" s="34" t="s">
        <v>3859</v>
      </c>
      <c r="C310" s="34" t="s">
        <v>3860</v>
      </c>
      <c r="D310" s="34" t="s">
        <v>3861</v>
      </c>
      <c r="E310" s="34" t="s">
        <v>3862</v>
      </c>
      <c r="F310" s="34" t="s">
        <v>3863</v>
      </c>
      <c r="G310" s="34" t="s">
        <v>3864</v>
      </c>
      <c r="H310" s="34" t="s">
        <v>3865</v>
      </c>
      <c r="I310" s="34" t="s">
        <v>3866</v>
      </c>
    </row>
    <row r="311" ht="12.75" customHeight="1">
      <c r="A311" s="34" t="s">
        <v>39</v>
      </c>
      <c r="B311" s="34" t="s">
        <v>3867</v>
      </c>
      <c r="C311" s="34" t="s">
        <v>3868</v>
      </c>
      <c r="D311" s="34" t="s">
        <v>3869</v>
      </c>
      <c r="E311" s="34" t="s">
        <v>3870</v>
      </c>
      <c r="F311" s="34" t="s">
        <v>3871</v>
      </c>
      <c r="G311" s="34" t="s">
        <v>3872</v>
      </c>
      <c r="H311" s="34" t="s">
        <v>3873</v>
      </c>
      <c r="I311" s="34" t="s">
        <v>3874</v>
      </c>
    </row>
    <row r="312" ht="12.75" customHeight="1">
      <c r="A312" s="34" t="s">
        <v>39</v>
      </c>
      <c r="B312" s="34" t="s">
        <v>3875</v>
      </c>
      <c r="C312" s="34" t="s">
        <v>3876</v>
      </c>
      <c r="D312" s="34" t="s">
        <v>3877</v>
      </c>
      <c r="E312" s="34" t="s">
        <v>3878</v>
      </c>
      <c r="F312" s="34" t="s">
        <v>3879</v>
      </c>
      <c r="G312" s="34" t="s">
        <v>3880</v>
      </c>
      <c r="H312" s="34" t="s">
        <v>3881</v>
      </c>
      <c r="I312" s="34" t="s">
        <v>3882</v>
      </c>
    </row>
    <row r="313" ht="12.75" customHeight="1">
      <c r="A313" s="34" t="s">
        <v>39</v>
      </c>
      <c r="B313" s="34" t="s">
        <v>3883</v>
      </c>
      <c r="C313" s="34" t="s">
        <v>3884</v>
      </c>
      <c r="D313" s="34" t="s">
        <v>3885</v>
      </c>
      <c r="E313" s="34" t="s">
        <v>3886</v>
      </c>
      <c r="F313" s="34" t="s">
        <v>3887</v>
      </c>
      <c r="G313" s="34" t="s">
        <v>3888</v>
      </c>
      <c r="H313" s="34" t="s">
        <v>3889</v>
      </c>
      <c r="I313" s="34" t="s">
        <v>3890</v>
      </c>
    </row>
    <row r="314" ht="12.75" customHeight="1">
      <c r="A314" s="34" t="s">
        <v>39</v>
      </c>
      <c r="B314" s="34" t="s">
        <v>3891</v>
      </c>
      <c r="C314" s="34" t="s">
        <v>3892</v>
      </c>
      <c r="D314" s="34" t="s">
        <v>3893</v>
      </c>
      <c r="E314" s="34" t="s">
        <v>3894</v>
      </c>
      <c r="F314" s="34" t="s">
        <v>3895</v>
      </c>
      <c r="G314" s="34" t="s">
        <v>3896</v>
      </c>
      <c r="H314" s="34" t="s">
        <v>3897</v>
      </c>
      <c r="I314" s="34" t="s">
        <v>3898</v>
      </c>
    </row>
    <row r="315" ht="12.75" customHeight="1">
      <c r="A315" s="34" t="s">
        <v>39</v>
      </c>
      <c r="B315" s="34" t="s">
        <v>3899</v>
      </c>
      <c r="C315" s="34" t="s">
        <v>3900</v>
      </c>
      <c r="D315" s="34" t="s">
        <v>3901</v>
      </c>
      <c r="E315" s="34" t="s">
        <v>3902</v>
      </c>
      <c r="F315" s="34" t="s">
        <v>3903</v>
      </c>
      <c r="G315" s="34" t="s">
        <v>3904</v>
      </c>
      <c r="H315" s="34" t="s">
        <v>3905</v>
      </c>
      <c r="I315" s="34" t="s">
        <v>3906</v>
      </c>
    </row>
    <row r="316" ht="12.75" customHeight="1">
      <c r="A316" s="34" t="s">
        <v>39</v>
      </c>
      <c r="B316" s="34" t="s">
        <v>3907</v>
      </c>
      <c r="C316" s="34" t="s">
        <v>3908</v>
      </c>
      <c r="D316" s="34" t="s">
        <v>3909</v>
      </c>
      <c r="E316" s="34" t="s">
        <v>3910</v>
      </c>
      <c r="F316" s="34" t="s">
        <v>3911</v>
      </c>
      <c r="G316" s="34" t="s">
        <v>3912</v>
      </c>
      <c r="H316" s="34" t="s">
        <v>3913</v>
      </c>
      <c r="I316" s="34" t="s">
        <v>3914</v>
      </c>
    </row>
    <row r="317" ht="12.75" customHeight="1">
      <c r="A317" s="34" t="s">
        <v>39</v>
      </c>
      <c r="B317" s="34" t="s">
        <v>3915</v>
      </c>
      <c r="C317" s="34" t="s">
        <v>3916</v>
      </c>
      <c r="D317" s="34" t="s">
        <v>3917</v>
      </c>
      <c r="E317" s="34" t="s">
        <v>3918</v>
      </c>
      <c r="F317" s="34" t="s">
        <v>3919</v>
      </c>
      <c r="G317" s="34" t="s">
        <v>3920</v>
      </c>
      <c r="H317" s="34" t="s">
        <v>3921</v>
      </c>
      <c r="I317" s="34" t="s">
        <v>3922</v>
      </c>
    </row>
    <row r="318" ht="12.75" customHeight="1">
      <c r="A318" s="34" t="s">
        <v>39</v>
      </c>
      <c r="B318" s="34" t="s">
        <v>3923</v>
      </c>
      <c r="C318" s="34" t="s">
        <v>3924</v>
      </c>
      <c r="D318" s="34" t="s">
        <v>3925</v>
      </c>
      <c r="E318" s="34" t="s">
        <v>3926</v>
      </c>
      <c r="F318" s="34" t="s">
        <v>3927</v>
      </c>
      <c r="G318" s="34" t="s">
        <v>3928</v>
      </c>
      <c r="H318" s="34" t="s">
        <v>3929</v>
      </c>
      <c r="I318" s="34" t="s">
        <v>3930</v>
      </c>
    </row>
    <row r="319" ht="12.75" customHeight="1">
      <c r="A319" s="34" t="s">
        <v>39</v>
      </c>
      <c r="B319" s="34" t="s">
        <v>3931</v>
      </c>
      <c r="C319" s="34" t="s">
        <v>3932</v>
      </c>
      <c r="D319" s="34" t="s">
        <v>3933</v>
      </c>
      <c r="E319" s="34" t="s">
        <v>3934</v>
      </c>
      <c r="F319" s="34" t="s">
        <v>3935</v>
      </c>
      <c r="G319" s="34" t="s">
        <v>3936</v>
      </c>
      <c r="H319" s="34" t="s">
        <v>3937</v>
      </c>
      <c r="I319" s="34" t="s">
        <v>3938</v>
      </c>
    </row>
    <row r="320" ht="12.75" customHeight="1">
      <c r="A320" s="34" t="s">
        <v>39</v>
      </c>
      <c r="B320" s="34" t="s">
        <v>3939</v>
      </c>
      <c r="C320" s="34" t="s">
        <v>3940</v>
      </c>
      <c r="D320" s="34" t="s">
        <v>3941</v>
      </c>
      <c r="E320" s="34" t="s">
        <v>3942</v>
      </c>
      <c r="F320" s="34" t="s">
        <v>3943</v>
      </c>
      <c r="G320" s="34" t="s">
        <v>3944</v>
      </c>
      <c r="H320" s="34" t="s">
        <v>3945</v>
      </c>
      <c r="I320" s="34" t="s">
        <v>3946</v>
      </c>
    </row>
    <row r="321" ht="12.75" customHeight="1">
      <c r="A321" s="34" t="s">
        <v>39</v>
      </c>
      <c r="B321" s="34" t="s">
        <v>3947</v>
      </c>
      <c r="C321" s="34" t="s">
        <v>3948</v>
      </c>
      <c r="D321" s="34" t="s">
        <v>3949</v>
      </c>
      <c r="E321" s="34" t="s">
        <v>3950</v>
      </c>
      <c r="F321" s="34" t="s">
        <v>3951</v>
      </c>
      <c r="G321" s="34" t="s">
        <v>3952</v>
      </c>
      <c r="H321" s="34" t="s">
        <v>3953</v>
      </c>
      <c r="I321" s="34" t="s">
        <v>3954</v>
      </c>
    </row>
    <row r="322" ht="12.75" customHeight="1">
      <c r="A322" s="34" t="s">
        <v>39</v>
      </c>
      <c r="B322" s="34" t="s">
        <v>3955</v>
      </c>
      <c r="C322" s="34" t="s">
        <v>3956</v>
      </c>
      <c r="D322" s="34" t="s">
        <v>3957</v>
      </c>
      <c r="E322" s="34" t="s">
        <v>3958</v>
      </c>
      <c r="F322" s="34" t="s">
        <v>3959</v>
      </c>
      <c r="G322" s="34" t="s">
        <v>3960</v>
      </c>
      <c r="H322" s="34" t="s">
        <v>3961</v>
      </c>
      <c r="I322" s="34" t="s">
        <v>3962</v>
      </c>
    </row>
    <row r="323" ht="12.75" customHeight="1">
      <c r="A323" s="34" t="s">
        <v>39</v>
      </c>
      <c r="B323" s="34" t="s">
        <v>3963</v>
      </c>
      <c r="C323" s="34" t="s">
        <v>3964</v>
      </c>
      <c r="D323" s="34" t="s">
        <v>3965</v>
      </c>
      <c r="E323" s="34" t="s">
        <v>3966</v>
      </c>
      <c r="F323" s="34" t="s">
        <v>3967</v>
      </c>
      <c r="G323" s="34" t="s">
        <v>3968</v>
      </c>
      <c r="H323" s="34" t="s">
        <v>3969</v>
      </c>
      <c r="I323" s="34" t="s">
        <v>3970</v>
      </c>
    </row>
    <row r="324" ht="12.75" customHeight="1">
      <c r="A324" s="34" t="s">
        <v>39</v>
      </c>
      <c r="B324" s="34" t="s">
        <v>3971</v>
      </c>
      <c r="C324" s="34" t="s">
        <v>3972</v>
      </c>
      <c r="D324" s="34" t="s">
        <v>3973</v>
      </c>
      <c r="E324" s="34" t="s">
        <v>3974</v>
      </c>
      <c r="F324" s="34" t="s">
        <v>3975</v>
      </c>
      <c r="G324" s="34" t="s">
        <v>3976</v>
      </c>
      <c r="H324" s="34" t="s">
        <v>3977</v>
      </c>
      <c r="I324" s="34" t="s">
        <v>3978</v>
      </c>
    </row>
    <row r="325" ht="12.75" customHeight="1">
      <c r="A325" s="34" t="s">
        <v>39</v>
      </c>
      <c r="B325" s="34" t="s">
        <v>3979</v>
      </c>
      <c r="C325" s="34" t="s">
        <v>3980</v>
      </c>
      <c r="D325" s="34" t="s">
        <v>3981</v>
      </c>
      <c r="E325" s="34" t="s">
        <v>3982</v>
      </c>
      <c r="F325" s="34" t="s">
        <v>3983</v>
      </c>
      <c r="G325" s="34" t="s">
        <v>3984</v>
      </c>
      <c r="H325" s="34" t="s">
        <v>3985</v>
      </c>
      <c r="I325" s="34" t="s">
        <v>3986</v>
      </c>
    </row>
    <row r="326" ht="12.75" customHeight="1">
      <c r="A326" s="34" t="s">
        <v>39</v>
      </c>
      <c r="B326" s="34" t="s">
        <v>3987</v>
      </c>
      <c r="C326" s="34" t="s">
        <v>3988</v>
      </c>
      <c r="D326" s="34" t="s">
        <v>3989</v>
      </c>
      <c r="E326" s="34" t="s">
        <v>3990</v>
      </c>
      <c r="F326" s="34" t="s">
        <v>3991</v>
      </c>
      <c r="G326" s="34" t="s">
        <v>3992</v>
      </c>
      <c r="H326" s="34" t="s">
        <v>3993</v>
      </c>
      <c r="I326" s="34" t="s">
        <v>3994</v>
      </c>
    </row>
    <row r="327" ht="12.75" customHeight="1">
      <c r="A327" s="34" t="s">
        <v>39</v>
      </c>
      <c r="B327" s="34" t="s">
        <v>3995</v>
      </c>
      <c r="C327" s="34" t="s">
        <v>3996</v>
      </c>
      <c r="D327" s="34" t="s">
        <v>3997</v>
      </c>
      <c r="E327" s="34" t="s">
        <v>3998</v>
      </c>
      <c r="F327" s="34" t="s">
        <v>3999</v>
      </c>
      <c r="G327" s="34" t="s">
        <v>4000</v>
      </c>
      <c r="H327" s="34" t="s">
        <v>4001</v>
      </c>
      <c r="I327" s="34" t="s">
        <v>4002</v>
      </c>
    </row>
    <row r="328" ht="12.75" customHeight="1">
      <c r="A328" s="34" t="s">
        <v>39</v>
      </c>
      <c r="B328" s="34" t="s">
        <v>4003</v>
      </c>
      <c r="C328" s="34" t="s">
        <v>4004</v>
      </c>
      <c r="D328" s="34" t="s">
        <v>4005</v>
      </c>
      <c r="E328" s="34" t="s">
        <v>4006</v>
      </c>
      <c r="F328" s="34" t="s">
        <v>4007</v>
      </c>
      <c r="G328" s="34" t="s">
        <v>4008</v>
      </c>
      <c r="H328" s="34" t="s">
        <v>4009</v>
      </c>
      <c r="I328" s="34" t="s">
        <v>4010</v>
      </c>
    </row>
    <row r="329" ht="12.75" customHeight="1">
      <c r="A329" s="34" t="s">
        <v>39</v>
      </c>
      <c r="B329" s="34" t="s">
        <v>4011</v>
      </c>
      <c r="C329" s="34" t="s">
        <v>4012</v>
      </c>
      <c r="D329" s="34" t="s">
        <v>4013</v>
      </c>
      <c r="E329" s="34" t="s">
        <v>4014</v>
      </c>
      <c r="F329" s="34" t="s">
        <v>4015</v>
      </c>
      <c r="G329" s="34" t="s">
        <v>4016</v>
      </c>
      <c r="H329" s="34" t="s">
        <v>4017</v>
      </c>
      <c r="I329" s="34" t="s">
        <v>4018</v>
      </c>
    </row>
    <row r="330" ht="12.75" customHeight="1">
      <c r="A330" s="34" t="s">
        <v>39</v>
      </c>
      <c r="B330" s="34" t="s">
        <v>4019</v>
      </c>
      <c r="C330" s="34" t="s">
        <v>4020</v>
      </c>
      <c r="D330" s="34" t="s">
        <v>4021</v>
      </c>
      <c r="E330" s="34" t="s">
        <v>4022</v>
      </c>
      <c r="F330" s="34" t="s">
        <v>4023</v>
      </c>
      <c r="G330" s="34" t="s">
        <v>4024</v>
      </c>
      <c r="H330" s="34" t="s">
        <v>4025</v>
      </c>
      <c r="I330" s="34" t="s">
        <v>4026</v>
      </c>
    </row>
    <row r="331" ht="12.75" customHeight="1">
      <c r="A331" s="34" t="s">
        <v>39</v>
      </c>
      <c r="B331" s="34" t="s">
        <v>4027</v>
      </c>
      <c r="C331" s="34" t="s">
        <v>4028</v>
      </c>
      <c r="D331" s="34" t="s">
        <v>4029</v>
      </c>
      <c r="E331" s="34" t="s">
        <v>4030</v>
      </c>
      <c r="F331" s="34" t="s">
        <v>4031</v>
      </c>
      <c r="G331" s="34" t="s">
        <v>4032</v>
      </c>
      <c r="H331" s="34" t="s">
        <v>4033</v>
      </c>
      <c r="I331" s="34" t="s">
        <v>4034</v>
      </c>
    </row>
    <row r="332" ht="12.75" customHeight="1">
      <c r="A332" s="34" t="s">
        <v>39</v>
      </c>
      <c r="B332" s="34" t="s">
        <v>4035</v>
      </c>
      <c r="C332" s="34" t="s">
        <v>4036</v>
      </c>
      <c r="D332" s="34" t="s">
        <v>4037</v>
      </c>
      <c r="E332" s="34" t="s">
        <v>4038</v>
      </c>
      <c r="F332" s="34" t="s">
        <v>4039</v>
      </c>
      <c r="G332" s="34" t="s">
        <v>4040</v>
      </c>
      <c r="H332" s="34" t="s">
        <v>4041</v>
      </c>
      <c r="I332" s="34" t="s">
        <v>4042</v>
      </c>
    </row>
    <row r="333" ht="12.75" customHeight="1">
      <c r="A333" s="34" t="s">
        <v>39</v>
      </c>
      <c r="B333" s="34" t="s">
        <v>4043</v>
      </c>
      <c r="C333" s="34" t="s">
        <v>4044</v>
      </c>
      <c r="D333" s="34" t="s">
        <v>4045</v>
      </c>
      <c r="E333" s="34" t="s">
        <v>4046</v>
      </c>
      <c r="F333" s="34" t="s">
        <v>4047</v>
      </c>
      <c r="G333" s="34" t="s">
        <v>4048</v>
      </c>
      <c r="H333" s="34" t="s">
        <v>4049</v>
      </c>
      <c r="I333" s="34" t="s">
        <v>4050</v>
      </c>
    </row>
    <row r="334" ht="12.75" customHeight="1">
      <c r="A334" s="34" t="s">
        <v>39</v>
      </c>
      <c r="B334" s="34" t="s">
        <v>4051</v>
      </c>
      <c r="C334" s="34" t="s">
        <v>4052</v>
      </c>
      <c r="D334" s="34" t="s">
        <v>4053</v>
      </c>
      <c r="E334" s="34" t="s">
        <v>4054</v>
      </c>
      <c r="F334" s="34" t="s">
        <v>4055</v>
      </c>
      <c r="G334" s="34" t="s">
        <v>4056</v>
      </c>
      <c r="H334" s="34" t="s">
        <v>4057</v>
      </c>
      <c r="I334" s="34" t="s">
        <v>4058</v>
      </c>
    </row>
    <row r="335" ht="12.75" customHeight="1">
      <c r="A335" s="34" t="s">
        <v>39</v>
      </c>
      <c r="B335" s="34" t="s">
        <v>4059</v>
      </c>
      <c r="C335" s="34" t="s">
        <v>4060</v>
      </c>
      <c r="D335" s="34" t="s">
        <v>4061</v>
      </c>
      <c r="E335" s="34" t="s">
        <v>4062</v>
      </c>
      <c r="F335" s="34" t="s">
        <v>4063</v>
      </c>
      <c r="G335" s="34" t="s">
        <v>4064</v>
      </c>
      <c r="H335" s="34" t="s">
        <v>4065</v>
      </c>
      <c r="I335" s="34" t="s">
        <v>4066</v>
      </c>
    </row>
    <row r="336" ht="12.75" customHeight="1">
      <c r="A336" s="34" t="s">
        <v>39</v>
      </c>
      <c r="B336" s="34" t="s">
        <v>4067</v>
      </c>
      <c r="C336" s="34" t="s">
        <v>4068</v>
      </c>
      <c r="D336" s="34" t="s">
        <v>4069</v>
      </c>
      <c r="E336" s="34" t="s">
        <v>4070</v>
      </c>
      <c r="F336" s="34" t="s">
        <v>4071</v>
      </c>
      <c r="G336" s="34" t="s">
        <v>4072</v>
      </c>
      <c r="H336" s="34" t="s">
        <v>4073</v>
      </c>
      <c r="I336" s="34" t="s">
        <v>4074</v>
      </c>
    </row>
    <row r="337" ht="12.75" customHeight="1">
      <c r="A337" s="34" t="s">
        <v>39</v>
      </c>
      <c r="B337" s="34" t="s">
        <v>4075</v>
      </c>
      <c r="C337" s="34" t="s">
        <v>4076</v>
      </c>
      <c r="D337" s="34" t="s">
        <v>4077</v>
      </c>
      <c r="E337" s="34" t="s">
        <v>4078</v>
      </c>
      <c r="F337" s="34" t="s">
        <v>4079</v>
      </c>
      <c r="G337" s="34" t="s">
        <v>4080</v>
      </c>
      <c r="H337" s="34" t="s">
        <v>4081</v>
      </c>
      <c r="I337" s="34" t="s">
        <v>4082</v>
      </c>
    </row>
    <row r="338" ht="12.75" customHeight="1">
      <c r="A338" s="34" t="s">
        <v>39</v>
      </c>
      <c r="B338" s="34" t="s">
        <v>4083</v>
      </c>
      <c r="C338" s="34" t="s">
        <v>4084</v>
      </c>
      <c r="D338" s="34" t="s">
        <v>4085</v>
      </c>
      <c r="E338" s="34" t="s">
        <v>4086</v>
      </c>
      <c r="F338" s="34" t="s">
        <v>4087</v>
      </c>
      <c r="G338" s="34" t="s">
        <v>4088</v>
      </c>
      <c r="H338" s="34" t="s">
        <v>4089</v>
      </c>
      <c r="I338" s="34" t="s">
        <v>4090</v>
      </c>
    </row>
    <row r="339" ht="12.75" customHeight="1">
      <c r="A339" s="34" t="s">
        <v>39</v>
      </c>
      <c r="B339" s="34" t="s">
        <v>4091</v>
      </c>
      <c r="C339" s="34" t="s">
        <v>4092</v>
      </c>
      <c r="D339" s="34" t="s">
        <v>4093</v>
      </c>
      <c r="E339" s="34" t="s">
        <v>4094</v>
      </c>
      <c r="F339" s="34" t="s">
        <v>4095</v>
      </c>
      <c r="G339" s="34" t="s">
        <v>4096</v>
      </c>
      <c r="H339" s="34" t="s">
        <v>4097</v>
      </c>
      <c r="I339" s="34" t="s">
        <v>4098</v>
      </c>
    </row>
    <row r="340" ht="12.75" customHeight="1">
      <c r="A340" s="34" t="s">
        <v>39</v>
      </c>
      <c r="B340" s="34" t="s">
        <v>4099</v>
      </c>
      <c r="C340" s="34" t="s">
        <v>4100</v>
      </c>
      <c r="D340" s="34" t="s">
        <v>4101</v>
      </c>
      <c r="E340" s="34" t="s">
        <v>4102</v>
      </c>
      <c r="F340" s="34" t="s">
        <v>4103</v>
      </c>
      <c r="G340" s="34" t="s">
        <v>4104</v>
      </c>
      <c r="H340" s="34" t="s">
        <v>4105</v>
      </c>
      <c r="I340" s="34" t="s">
        <v>4106</v>
      </c>
    </row>
    <row r="341" ht="12.75" customHeight="1">
      <c r="A341" s="34" t="s">
        <v>39</v>
      </c>
      <c r="B341" s="34" t="s">
        <v>4107</v>
      </c>
      <c r="C341" s="34" t="s">
        <v>4108</v>
      </c>
      <c r="D341" s="34" t="s">
        <v>4109</v>
      </c>
      <c r="E341" s="34" t="s">
        <v>4110</v>
      </c>
      <c r="F341" s="34" t="s">
        <v>4111</v>
      </c>
      <c r="G341" s="34" t="s">
        <v>4112</v>
      </c>
      <c r="H341" s="34" t="s">
        <v>4113</v>
      </c>
      <c r="I341" s="34" t="s">
        <v>4114</v>
      </c>
    </row>
    <row r="342" ht="12.75" customHeight="1">
      <c r="A342" s="34" t="s">
        <v>39</v>
      </c>
      <c r="B342" s="34" t="s">
        <v>4115</v>
      </c>
      <c r="C342" s="34" t="s">
        <v>4116</v>
      </c>
      <c r="D342" s="34" t="s">
        <v>4117</v>
      </c>
      <c r="E342" s="34" t="s">
        <v>4118</v>
      </c>
      <c r="F342" s="34" t="s">
        <v>4119</v>
      </c>
      <c r="G342" s="34" t="s">
        <v>4120</v>
      </c>
      <c r="H342" s="34" t="s">
        <v>4121</v>
      </c>
      <c r="I342" s="34" t="s">
        <v>4122</v>
      </c>
    </row>
    <row r="343" ht="12.75" customHeight="1">
      <c r="A343" s="34" t="s">
        <v>39</v>
      </c>
      <c r="B343" s="34" t="s">
        <v>4123</v>
      </c>
      <c r="C343" s="34" t="s">
        <v>4124</v>
      </c>
      <c r="D343" s="34" t="s">
        <v>4125</v>
      </c>
      <c r="E343" s="34" t="s">
        <v>4126</v>
      </c>
      <c r="F343" s="34" t="s">
        <v>4127</v>
      </c>
      <c r="G343" s="34" t="s">
        <v>4128</v>
      </c>
      <c r="H343" s="34" t="s">
        <v>4129</v>
      </c>
      <c r="I343" s="34" t="s">
        <v>4130</v>
      </c>
    </row>
    <row r="344" ht="12.75" customHeight="1">
      <c r="A344" s="34" t="s">
        <v>39</v>
      </c>
      <c r="B344" s="34" t="s">
        <v>4131</v>
      </c>
      <c r="C344" s="34" t="s">
        <v>4132</v>
      </c>
      <c r="D344" s="34" t="s">
        <v>4133</v>
      </c>
      <c r="E344" s="34" t="s">
        <v>4134</v>
      </c>
      <c r="F344" s="34" t="s">
        <v>4135</v>
      </c>
      <c r="G344" s="34" t="s">
        <v>4136</v>
      </c>
      <c r="H344" s="34" t="s">
        <v>4137</v>
      </c>
      <c r="I344" s="34" t="s">
        <v>4138</v>
      </c>
    </row>
    <row r="345" ht="12.75" customHeight="1">
      <c r="A345" s="34" t="s">
        <v>39</v>
      </c>
      <c r="B345" s="34" t="s">
        <v>4139</v>
      </c>
      <c r="C345" s="34" t="s">
        <v>4140</v>
      </c>
      <c r="D345" s="34" t="s">
        <v>4141</v>
      </c>
      <c r="E345" s="34" t="s">
        <v>4142</v>
      </c>
      <c r="F345" s="34" t="s">
        <v>4143</v>
      </c>
      <c r="G345" s="34" t="s">
        <v>4144</v>
      </c>
      <c r="H345" s="34" t="s">
        <v>4145</v>
      </c>
      <c r="I345" s="34" t="s">
        <v>4146</v>
      </c>
    </row>
    <row r="346" ht="12.75" customHeight="1">
      <c r="A346" s="34" t="s">
        <v>39</v>
      </c>
      <c r="B346" s="34" t="s">
        <v>4147</v>
      </c>
      <c r="C346" s="34" t="s">
        <v>4148</v>
      </c>
      <c r="D346" s="34" t="s">
        <v>4149</v>
      </c>
      <c r="E346" s="34" t="s">
        <v>4150</v>
      </c>
      <c r="F346" s="34" t="s">
        <v>4151</v>
      </c>
      <c r="G346" s="34" t="s">
        <v>4152</v>
      </c>
      <c r="H346" s="34" t="s">
        <v>4153</v>
      </c>
      <c r="I346" s="34" t="s">
        <v>4154</v>
      </c>
    </row>
    <row r="347" ht="12.75" customHeight="1">
      <c r="A347" s="34" t="s">
        <v>39</v>
      </c>
      <c r="B347" s="34" t="s">
        <v>4155</v>
      </c>
      <c r="C347" s="34" t="s">
        <v>4156</v>
      </c>
      <c r="D347" s="34" t="s">
        <v>4157</v>
      </c>
      <c r="E347" s="34" t="s">
        <v>4158</v>
      </c>
      <c r="F347" s="34" t="s">
        <v>4159</v>
      </c>
      <c r="G347" s="34" t="s">
        <v>4160</v>
      </c>
      <c r="H347" s="34" t="s">
        <v>4161</v>
      </c>
      <c r="I347" s="34" t="s">
        <v>4162</v>
      </c>
    </row>
    <row r="348" ht="12.75" customHeight="1">
      <c r="A348" s="34" t="s">
        <v>39</v>
      </c>
      <c r="B348" s="34" t="s">
        <v>4163</v>
      </c>
      <c r="C348" s="34" t="s">
        <v>4164</v>
      </c>
      <c r="D348" s="34" t="s">
        <v>4165</v>
      </c>
      <c r="E348" s="34" t="s">
        <v>4166</v>
      </c>
      <c r="F348" s="34" t="s">
        <v>4167</v>
      </c>
      <c r="G348" s="34" t="s">
        <v>4168</v>
      </c>
      <c r="H348" s="34" t="s">
        <v>4169</v>
      </c>
      <c r="I348" s="34" t="s">
        <v>4170</v>
      </c>
    </row>
    <row r="349" ht="12.75" customHeight="1">
      <c r="A349" s="34" t="s">
        <v>39</v>
      </c>
      <c r="B349" s="34" t="s">
        <v>4171</v>
      </c>
      <c r="C349" s="34" t="s">
        <v>4172</v>
      </c>
      <c r="D349" s="34" t="s">
        <v>4173</v>
      </c>
      <c r="E349" s="34" t="s">
        <v>4174</v>
      </c>
      <c r="F349" s="34" t="s">
        <v>4175</v>
      </c>
      <c r="G349" s="34" t="s">
        <v>4176</v>
      </c>
      <c r="H349" s="34" t="s">
        <v>4177</v>
      </c>
      <c r="I349" s="34" t="s">
        <v>4178</v>
      </c>
    </row>
    <row r="350" ht="12.75" customHeight="1">
      <c r="A350" s="34" t="s">
        <v>39</v>
      </c>
      <c r="B350" s="34" t="s">
        <v>4179</v>
      </c>
      <c r="C350" s="34" t="s">
        <v>4180</v>
      </c>
      <c r="D350" s="34" t="s">
        <v>4181</v>
      </c>
      <c r="E350" s="34" t="s">
        <v>4182</v>
      </c>
      <c r="F350" s="34" t="s">
        <v>4183</v>
      </c>
      <c r="G350" s="34" t="s">
        <v>4184</v>
      </c>
      <c r="H350" s="34" t="s">
        <v>4185</v>
      </c>
      <c r="I350" s="34" t="s">
        <v>4186</v>
      </c>
    </row>
    <row r="351" ht="12.75" customHeight="1">
      <c r="A351" s="34" t="s">
        <v>39</v>
      </c>
      <c r="B351" s="34" t="s">
        <v>4187</v>
      </c>
      <c r="C351" s="34" t="s">
        <v>4188</v>
      </c>
      <c r="D351" s="34" t="s">
        <v>4189</v>
      </c>
      <c r="E351" s="34" t="s">
        <v>4190</v>
      </c>
      <c r="F351" s="34" t="s">
        <v>4191</v>
      </c>
      <c r="G351" s="34" t="s">
        <v>4192</v>
      </c>
      <c r="H351" s="34" t="s">
        <v>4193</v>
      </c>
      <c r="I351" s="34" t="s">
        <v>4194</v>
      </c>
    </row>
    <row r="352" ht="12.75" customHeight="1">
      <c r="A352" s="34" t="s">
        <v>39</v>
      </c>
      <c r="B352" s="34" t="s">
        <v>4195</v>
      </c>
      <c r="C352" s="34" t="s">
        <v>4196</v>
      </c>
      <c r="D352" s="34" t="s">
        <v>4197</v>
      </c>
      <c r="E352" s="34" t="s">
        <v>4198</v>
      </c>
      <c r="F352" s="34" t="s">
        <v>4199</v>
      </c>
      <c r="G352" s="34" t="s">
        <v>4200</v>
      </c>
      <c r="H352" s="34" t="s">
        <v>4201</v>
      </c>
      <c r="I352" s="34" t="s">
        <v>4202</v>
      </c>
    </row>
    <row r="353" ht="12.75" customHeight="1">
      <c r="A353" s="34" t="s">
        <v>39</v>
      </c>
      <c r="B353" s="34" t="s">
        <v>4203</v>
      </c>
      <c r="C353" s="34" t="s">
        <v>4204</v>
      </c>
      <c r="D353" s="34" t="s">
        <v>4205</v>
      </c>
      <c r="E353" s="34" t="s">
        <v>4206</v>
      </c>
      <c r="F353" s="34" t="s">
        <v>4207</v>
      </c>
      <c r="G353" s="34" t="s">
        <v>4208</v>
      </c>
      <c r="H353" s="34" t="s">
        <v>4209</v>
      </c>
      <c r="I353" s="34" t="s">
        <v>4210</v>
      </c>
    </row>
    <row r="354" ht="12.75" customHeight="1">
      <c r="A354" s="34" t="s">
        <v>39</v>
      </c>
      <c r="B354" s="34" t="s">
        <v>4211</v>
      </c>
      <c r="C354" s="34" t="s">
        <v>4212</v>
      </c>
      <c r="D354" s="34" t="s">
        <v>4213</v>
      </c>
      <c r="E354" s="34" t="s">
        <v>4214</v>
      </c>
      <c r="F354" s="34" t="s">
        <v>4215</v>
      </c>
      <c r="G354" s="34" t="s">
        <v>4216</v>
      </c>
      <c r="H354" s="34" t="s">
        <v>4217</v>
      </c>
      <c r="I354" s="34" t="s">
        <v>4218</v>
      </c>
    </row>
    <row r="355" ht="12.75" customHeight="1">
      <c r="A355" s="34" t="s">
        <v>39</v>
      </c>
      <c r="B355" s="34" t="s">
        <v>4219</v>
      </c>
      <c r="C355" s="34" t="s">
        <v>4220</v>
      </c>
      <c r="D355" s="34" t="s">
        <v>4221</v>
      </c>
      <c r="E355" s="34" t="s">
        <v>4222</v>
      </c>
      <c r="F355" s="34" t="s">
        <v>4223</v>
      </c>
      <c r="G355" s="34" t="s">
        <v>4224</v>
      </c>
      <c r="H355" s="34" t="s">
        <v>4225</v>
      </c>
      <c r="I355" s="34" t="s">
        <v>4226</v>
      </c>
    </row>
    <row r="356" ht="12.75" customHeight="1">
      <c r="A356" s="34" t="s">
        <v>39</v>
      </c>
      <c r="B356" s="34" t="s">
        <v>4227</v>
      </c>
      <c r="C356" s="34" t="s">
        <v>4228</v>
      </c>
      <c r="D356" s="34" t="s">
        <v>4229</v>
      </c>
      <c r="E356" s="34" t="s">
        <v>4230</v>
      </c>
      <c r="F356" s="34" t="s">
        <v>4231</v>
      </c>
      <c r="G356" s="34" t="s">
        <v>4232</v>
      </c>
      <c r="H356" s="34" t="s">
        <v>4233</v>
      </c>
      <c r="I356" s="34" t="s">
        <v>4234</v>
      </c>
    </row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2022-04-25T14:31:55Z</dcterms:created>
  <dc:creator>Melisa Bekker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  <property fmtid="{D5CDD505-2E9C-101B-9397-08002B2CF9AE}" pid="3" name="Jet Reports Function Literals">
    <vt:lpwstr>,	;	,	{	}	[@[{0}]]	1033	7177</vt:lpwstr>
  </property>
</Properties>
</file>